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9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0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5.xml" ContentType="application/vnd.openxmlformats-officedocument.themeOverrid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6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7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8.xml" ContentType="application/vnd.openxmlformats-officedocument.themeOverrid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9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laneacionnacional-my.sharepoint.com/personal/sordonez_dnp_gov_co/Documents/IDF/2024/Presentaciones/Presentación IDF General/Departamentos/"/>
    </mc:Choice>
  </mc:AlternateContent>
  <xr:revisionPtr revIDLastSave="4344" documentId="121_{3EC1B7DE-3421-4215-B1F4-2847693622ED}" xr6:coauthVersionLast="47" xr6:coauthVersionMax="47" xr10:uidLastSave="{26094159-69D0-461E-98CB-752B3231AB8B}"/>
  <bookViews>
    <workbookView xWindow="-108" yWindow="-108" windowWidth="23256" windowHeight="12456" tabRatio="560" activeTab="1" xr2:uid="{00000000-000D-0000-FFFF-FFFF00000000}"/>
  </bookViews>
  <sheets>
    <sheet name="Pivot prom 2020-2024" sheetId="27" r:id="rId1"/>
    <sheet name="Dashboard IDF" sheetId="29" r:id="rId2"/>
    <sheet name="Ejemplo Cálculo IDF" sheetId="30" r:id="rId3"/>
    <sheet name="IDF 20-24 con variables" sheetId="2" r:id="rId4"/>
    <sheet name="IDF 20-24 Sin variables" sheetId="22" r:id="rId5"/>
    <sheet name="Tendencias" sheetId="19" r:id="rId6"/>
    <sheet name="Gráficas" sheetId="18" r:id="rId7"/>
    <sheet name="Mejores-Peores" sheetId="24" r:id="rId8"/>
    <sheet name="Análisis de Brechas" sheetId="25" r:id="rId9"/>
    <sheet name="Analisis rangos desempeño" sheetId="26" r:id="rId10"/>
  </sheets>
  <externalReferences>
    <externalReference r:id="rId11"/>
  </externalReferences>
  <definedNames>
    <definedName name="_xlnm._FilterDatabase" localSheetId="6" hidden="1">Gráficas!$B$1:$E$3060</definedName>
    <definedName name="_xlnm._FilterDatabase" localSheetId="3" hidden="1">'IDF 20-24 con variables'!$A$4:$BG$164</definedName>
    <definedName name="_xlnm._FilterDatabase" localSheetId="4" hidden="1">'IDF 20-24 Sin variables'!$A$5:$AE$164</definedName>
    <definedName name="AMAZONAS">Gráficas!$AL$2:$AL$3</definedName>
    <definedName name="ANTIOQUIA">Gráficas!$J$2:$J$116</definedName>
    <definedName name="ARAUCA">Gráficas!$AH$2:$AH$8</definedName>
    <definedName name="ATLÁNTICO">Gráficas!$K$2:$K$24</definedName>
    <definedName name="BOGOTÁ">Gráficas!$L$2</definedName>
    <definedName name="BOLÍVAR">Gráficas!$M$2:$M$47</definedName>
    <definedName name="BOYACÁ">Gráficas!$N$2:$N$115</definedName>
    <definedName name="CALDAS">Gráficas!$O$2:$O$28</definedName>
    <definedName name="CAQUETÁ">Gráficas!$P$2:$P$17</definedName>
    <definedName name="CASANARE">Gráficas!$AI$2:$AI$20</definedName>
    <definedName name="CAUCA">Gráficas!$Q$2:$Q$43</definedName>
    <definedName name="CESAR">Gráficas!$R$2:$R$26</definedName>
    <definedName name="CHOCÓ">Gráficas!$U$2:$U$31</definedName>
    <definedName name="CÓRDOBA">Gráficas!$S$2:$S$31</definedName>
    <definedName name="CUNDINAMARCA">Gráficas!$T$2:$T$115</definedName>
    <definedName name="Deflactor1">#REF!</definedName>
    <definedName name="DEPARTAMENTO">Gráficas!$H$2:$H$33</definedName>
    <definedName name="DEPTO">#REF!</definedName>
    <definedName name="GUAINÍA">Gráficas!$AM$2:$AM$3</definedName>
    <definedName name="GUAVIARE">Gráficas!$AN$2:$AN$5</definedName>
    <definedName name="HUILA">Gráficas!$V$2:$V$38</definedName>
    <definedName name="LA_GUAJIRA">Gráficas!$W$2:$W$16</definedName>
    <definedName name="Lista">#REF!</definedName>
    <definedName name="MAGDALENA">Gráficas!$X$2:$X$31</definedName>
    <definedName name="META">Gráficas!$Y$2:$Y$30</definedName>
    <definedName name="NARIÑO">Gráficas!$Z$2:$Z$65</definedName>
    <definedName name="NORTE_DE_SANTANDER">Gráficas!$AA$2:$AA$41</definedName>
    <definedName name="PUTUMAYO">Gráficas!$AJ$2:$AJ$14</definedName>
    <definedName name="QUINDIO">Gráficas!$AB$2:$AB$13</definedName>
    <definedName name="RISARALDA">Gráficas!$AC$2:$AC$15</definedName>
    <definedName name="SAN_ANDRÉS">Gráficas!$AK$2</definedName>
    <definedName name="SANTANDER">Gráficas!$AD$2:$AD$88</definedName>
    <definedName name="SUCRE">Gráficas!$AE$2:$AE$27</definedName>
    <definedName name="TOLIMA">Gráficas!$AF$2:$AF$48</definedName>
    <definedName name="VALLE_DEL_CAUCA">Gráficas!$AG$2:$AG$43</definedName>
    <definedName name="VAUPÉS">Gráficas!$AO$2:$AO$4</definedName>
    <definedName name="VICHADA">Gráficas!$AP$2:$AP$4</definedName>
  </definedNames>
  <calcPr calcId="191028"/>
  <pivotCaches>
    <pivotCache cacheId="4" r:id="rId12"/>
    <pivotCache cacheId="5" r:id="rId13"/>
    <pivotCache cacheId="6" r:id="rId14"/>
    <pivotCache cacheId="7" r:id="rId15"/>
    <pivotCache cacheId="8" r:id="rId16"/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8" i="2" l="1"/>
  <c r="AD38" i="2"/>
  <c r="AE38" i="2"/>
  <c r="AF38" i="2"/>
  <c r="AS38" i="2"/>
  <c r="A29" i="29" l="1"/>
  <c r="A16" i="29"/>
  <c r="C35" i="29"/>
  <c r="B35" i="29"/>
  <c r="C34" i="29"/>
  <c r="C33" i="29"/>
  <c r="B33" i="29"/>
  <c r="C32" i="29"/>
  <c r="B32" i="29"/>
  <c r="C31" i="29"/>
  <c r="B31" i="29"/>
  <c r="C23" i="29"/>
  <c r="B23" i="29"/>
  <c r="C22" i="29"/>
  <c r="B22" i="29"/>
  <c r="C21" i="29"/>
  <c r="B21" i="29"/>
  <c r="C20" i="29"/>
  <c r="B20" i="29"/>
  <c r="C19" i="29"/>
  <c r="B19" i="29"/>
  <c r="C18" i="29"/>
  <c r="B18" i="29"/>
  <c r="S35" i="29"/>
  <c r="F36" i="30"/>
  <c r="G87" i="29" a="1"/>
  <c r="G87" i="29" s="1"/>
  <c r="F87" i="29" a="1"/>
  <c r="F87" i="29" s="1"/>
  <c r="E87" i="29" a="1"/>
  <c r="E87" i="29" s="1"/>
  <c r="D87" i="29" a="1"/>
  <c r="D87" i="29" s="1"/>
  <c r="C87" i="29" a="1"/>
  <c r="C87" i="29" s="1"/>
  <c r="B87" i="29" a="1"/>
  <c r="B87" i="29" s="1"/>
  <c r="G86" i="29" a="1"/>
  <c r="G86" i="29" s="1"/>
  <c r="F86" i="29" a="1"/>
  <c r="F86" i="29" s="1"/>
  <c r="E86" i="29" a="1"/>
  <c r="E86" i="29" s="1"/>
  <c r="D86" i="29" a="1"/>
  <c r="D86" i="29" s="1"/>
  <c r="C86" i="29" a="1"/>
  <c r="C86" i="29" s="1"/>
  <c r="B86" i="29" a="1"/>
  <c r="B86" i="29" s="1"/>
  <c r="G85" i="29" a="1"/>
  <c r="G85" i="29" s="1"/>
  <c r="F85" i="29" a="1"/>
  <c r="F85" i="29" s="1"/>
  <c r="E85" i="29" a="1"/>
  <c r="E85" i="29" s="1"/>
  <c r="D85" i="29" a="1"/>
  <c r="D85" i="29" s="1"/>
  <c r="C85" i="29" a="1"/>
  <c r="C85" i="29" s="1"/>
  <c r="B85" i="29" a="1"/>
  <c r="B85" i="29" s="1"/>
  <c r="G84" i="29" a="1"/>
  <c r="G84" i="29" s="1"/>
  <c r="F84" i="29" a="1"/>
  <c r="F84" i="29" s="1"/>
  <c r="E84" i="29" a="1"/>
  <c r="E84" i="29" s="1"/>
  <c r="D84" i="29" a="1"/>
  <c r="D84" i="29" s="1"/>
  <c r="C84" i="29" a="1"/>
  <c r="C84" i="29" s="1"/>
  <c r="B84" i="29" a="1"/>
  <c r="B84" i="29" s="1"/>
  <c r="G83" i="29" a="1"/>
  <c r="G83" i="29" s="1"/>
  <c r="F83" i="29" a="1"/>
  <c r="F83" i="29" s="1"/>
  <c r="E83" i="29" a="1"/>
  <c r="E83" i="29" s="1"/>
  <c r="D83" i="29" a="1"/>
  <c r="D83" i="29" s="1"/>
  <c r="C83" i="29" a="1"/>
  <c r="C83" i="29" s="1"/>
  <c r="B83" i="29" a="1"/>
  <c r="B83" i="29" s="1"/>
  <c r="H75" i="29"/>
  <c r="H74" i="29"/>
  <c r="F74" i="29"/>
  <c r="E74" i="29"/>
  <c r="D74" i="29"/>
  <c r="C74" i="29"/>
  <c r="B74" i="29"/>
  <c r="H73" i="29"/>
  <c r="F73" i="29"/>
  <c r="E73" i="29"/>
  <c r="D73" i="29"/>
  <c r="C73" i="29"/>
  <c r="B73" i="29"/>
  <c r="H72" i="29"/>
  <c r="F72" i="29"/>
  <c r="E72" i="29"/>
  <c r="D72" i="29"/>
  <c r="C72" i="29"/>
  <c r="B72" i="29"/>
  <c r="H71" i="29"/>
  <c r="F71" i="29"/>
  <c r="E71" i="29"/>
  <c r="D71" i="29"/>
  <c r="C71" i="29"/>
  <c r="B71" i="29"/>
  <c r="H70" i="29"/>
  <c r="F70" i="29"/>
  <c r="E70" i="29"/>
  <c r="D70" i="29"/>
  <c r="C70" i="29"/>
  <c r="B70" i="29"/>
  <c r="N64" i="29"/>
  <c r="M64" i="29"/>
  <c r="L64" i="29"/>
  <c r="K64" i="29"/>
  <c r="J64" i="29"/>
  <c r="N63" i="29"/>
  <c r="M63" i="29"/>
  <c r="L63" i="29"/>
  <c r="K63" i="29"/>
  <c r="J63" i="29"/>
  <c r="N62" i="29"/>
  <c r="M62" i="29"/>
  <c r="M65" i="29" s="1"/>
  <c r="L62" i="29"/>
  <c r="K62" i="29"/>
  <c r="J62" i="29"/>
  <c r="E66" i="29"/>
  <c r="B66" i="29"/>
  <c r="B64" i="29"/>
  <c r="B63" i="29"/>
  <c r="B62" i="29"/>
  <c r="E64" i="29"/>
  <c r="E63" i="29"/>
  <c r="E62" i="29"/>
  <c r="K65" i="29" l="1"/>
  <c r="L65" i="29"/>
  <c r="O62" i="29"/>
  <c r="F62" i="29"/>
  <c r="O63" i="29"/>
  <c r="B75" i="29"/>
  <c r="G73" i="29"/>
  <c r="E75" i="29"/>
  <c r="F75" i="29"/>
  <c r="N65" i="29"/>
  <c r="G71" i="29"/>
  <c r="C75" i="29"/>
  <c r="D75" i="29"/>
  <c r="G74" i="29"/>
  <c r="O64" i="29"/>
  <c r="G72" i="29"/>
  <c r="J65" i="29"/>
  <c r="G70" i="29"/>
  <c r="F63" i="29"/>
  <c r="F64" i="29"/>
  <c r="G75" i="29" l="1"/>
  <c r="O65" i="29"/>
  <c r="C54" i="30" a="1"/>
  <c r="C54" i="30" s="1"/>
  <c r="F44" i="30"/>
  <c r="E43" i="30" a="1"/>
  <c r="E43" i="30" s="1"/>
  <c r="G43" i="30" s="1"/>
  <c r="F42" i="30"/>
  <c r="E42" i="30" a="1"/>
  <c r="E42" i="30" s="1"/>
  <c r="G42" i="30" s="1"/>
  <c r="D42" i="30" a="1"/>
  <c r="D42" i="30" s="1"/>
  <c r="F41" i="30"/>
  <c r="E41" i="30" a="1"/>
  <c r="E41" i="30" s="1"/>
  <c r="G41" i="30" s="1"/>
  <c r="D41" i="30" a="1"/>
  <c r="D41" i="30" s="1"/>
  <c r="F40" i="30"/>
  <c r="E40" i="30" a="1"/>
  <c r="E40" i="30" s="1"/>
  <c r="D40" i="30" a="1"/>
  <c r="D40" i="30" s="1"/>
  <c r="E35" i="30" a="1"/>
  <c r="E35" i="30" s="1"/>
  <c r="G35" i="30" s="1"/>
  <c r="E34" i="30" a="1"/>
  <c r="E34" i="30" s="1"/>
  <c r="G34" i="30" s="1"/>
  <c r="E33" i="30" a="1"/>
  <c r="E33" i="30" s="1"/>
  <c r="G33" i="30" s="1"/>
  <c r="E32" i="30" a="1"/>
  <c r="E32" i="30" s="1"/>
  <c r="G32" i="30" s="1"/>
  <c r="E31" i="30" a="1"/>
  <c r="E31" i="30" s="1"/>
  <c r="G31" i="30" s="1"/>
  <c r="C27" i="30" a="1"/>
  <c r="C27" i="30" s="1"/>
  <c r="C40" i="30" s="1" a="1"/>
  <c r="C40" i="30" s="1"/>
  <c r="C26" i="30" a="1"/>
  <c r="C26" i="30" s="1"/>
  <c r="C25" i="30" a="1"/>
  <c r="C25" i="30" s="1"/>
  <c r="C24" i="30" a="1"/>
  <c r="C24" i="30" s="1"/>
  <c r="C23" i="30" a="1"/>
  <c r="C23" i="30" s="1"/>
  <c r="C22" i="30" a="1"/>
  <c r="C22" i="30" s="1"/>
  <c r="C21" i="30" a="1"/>
  <c r="C21" i="30" s="1"/>
  <c r="C20" i="30" a="1"/>
  <c r="C20" i="30" s="1"/>
  <c r="C19" i="30" a="1"/>
  <c r="C19" i="30" s="1"/>
  <c r="C18" i="30" a="1"/>
  <c r="C18" i="30" s="1"/>
  <c r="C17" i="30" a="1"/>
  <c r="C17" i="30" s="1"/>
  <c r="C16" i="30" a="1"/>
  <c r="C16" i="30" s="1"/>
  <c r="C15" i="30" a="1"/>
  <c r="C15" i="30" s="1"/>
  <c r="C14" i="30" a="1"/>
  <c r="C14" i="30" s="1"/>
  <c r="C13" i="30" a="1"/>
  <c r="C13" i="30" s="1"/>
  <c r="C12" i="30" a="1"/>
  <c r="C12" i="30" s="1"/>
  <c r="F8" i="30" a="1"/>
  <c r="F8" i="30" s="1"/>
  <c r="F7" i="30" a="1"/>
  <c r="F7" i="30" s="1"/>
  <c r="F6" i="30" a="1"/>
  <c r="F6" i="30" s="1"/>
  <c r="F5" i="30" a="1"/>
  <c r="F5" i="30" s="1"/>
  <c r="M6" i="29"/>
  <c r="M5" i="29"/>
  <c r="J5" i="29"/>
  <c r="G5" i="29"/>
  <c r="P5" i="29" l="1"/>
  <c r="C33" i="30"/>
  <c r="C32" i="30"/>
  <c r="C41" i="30" a="1"/>
  <c r="C41" i="30" s="1"/>
  <c r="C34" i="30"/>
  <c r="E44" i="30"/>
  <c r="C42" i="30"/>
  <c r="E36" i="30"/>
  <c r="G36" i="30" s="1"/>
  <c r="E49" i="30" s="1"/>
  <c r="C35" i="30"/>
  <c r="D31" i="30"/>
  <c r="C50" i="30"/>
  <c r="G44" i="30"/>
  <c r="E50" i="30" s="1"/>
  <c r="D32" i="30"/>
  <c r="G40" i="30"/>
  <c r="D33" i="30"/>
  <c r="D34" i="30"/>
  <c r="C31" i="30"/>
  <c r="D35" i="30"/>
  <c r="L27" i="29" a="1"/>
  <c r="L27" i="29" s="1"/>
  <c r="K27" i="29" a="1"/>
  <c r="K27" i="29" s="1"/>
  <c r="J27" i="29" a="1"/>
  <c r="J27" i="29" s="1"/>
  <c r="L26" i="29" a="1"/>
  <c r="L26" i="29" s="1"/>
  <c r="K26" i="29" a="1"/>
  <c r="K26" i="29" s="1"/>
  <c r="J26" i="29" a="1"/>
  <c r="J26" i="29" s="1"/>
  <c r="L25" i="29" a="1"/>
  <c r="L25" i="29" s="1"/>
  <c r="K25" i="29" a="1"/>
  <c r="K25" i="29" s="1"/>
  <c r="J25" i="29" a="1"/>
  <c r="J25" i="29" s="1"/>
  <c r="L24" i="29" a="1"/>
  <c r="L24" i="29" s="1"/>
  <c r="K24" i="29" a="1"/>
  <c r="K24" i="29" s="1"/>
  <c r="J24" i="29" a="1"/>
  <c r="J24" i="29" s="1"/>
  <c r="L23" i="29" a="1"/>
  <c r="L23" i="29" s="1"/>
  <c r="K23" i="29" a="1"/>
  <c r="K23" i="29" s="1"/>
  <c r="J23" i="29" a="1"/>
  <c r="J23" i="29" s="1"/>
  <c r="L22" i="29" a="1"/>
  <c r="L22" i="29" s="1"/>
  <c r="K22" i="29" a="1"/>
  <c r="K22" i="29" s="1"/>
  <c r="J22" i="29" a="1"/>
  <c r="J22" i="29" s="1"/>
  <c r="L21" i="29" a="1"/>
  <c r="L21" i="29" s="1"/>
  <c r="K21" i="29" a="1"/>
  <c r="K21" i="29" s="1"/>
  <c r="J21" i="29" a="1"/>
  <c r="J21" i="29" s="1"/>
  <c r="L20" i="29" a="1"/>
  <c r="L20" i="29" s="1"/>
  <c r="K20" i="29" a="1"/>
  <c r="K20" i="29" s="1"/>
  <c r="J20" i="29" a="1"/>
  <c r="J20" i="29" s="1"/>
  <c r="L19" i="29" a="1"/>
  <c r="L19" i="29" s="1"/>
  <c r="K19" i="29" a="1"/>
  <c r="K19" i="29" s="1"/>
  <c r="J19" i="29" a="1"/>
  <c r="J19" i="29" s="1"/>
  <c r="L18" i="29" a="1"/>
  <c r="L18" i="29" s="1"/>
  <c r="K18" i="29" a="1"/>
  <c r="K18" i="29" s="1"/>
  <c r="J18" i="29" a="1"/>
  <c r="J18" i="29" s="1"/>
  <c r="L14" i="29"/>
  <c r="J14" i="29"/>
  <c r="X6" i="29" s="1"/>
  <c r="L13" i="29"/>
  <c r="J13" i="29"/>
  <c r="L12" i="29"/>
  <c r="J12" i="29"/>
  <c r="L11" i="29"/>
  <c r="J11" i="29"/>
  <c r="L10" i="29"/>
  <c r="J10" i="29"/>
  <c r="X2" i="29" s="1"/>
  <c r="F14" i="29"/>
  <c r="E14" i="29"/>
  <c r="D14" i="29"/>
  <c r="B14" i="29"/>
  <c r="U6" i="29" s="1"/>
  <c r="F13" i="29"/>
  <c r="E13" i="29"/>
  <c r="D13" i="29"/>
  <c r="B13" i="29"/>
  <c r="U5" i="29" s="1"/>
  <c r="F12" i="29"/>
  <c r="E12" i="29"/>
  <c r="D12" i="29"/>
  <c r="B12" i="29"/>
  <c r="U4" i="29" s="1"/>
  <c r="F11" i="29"/>
  <c r="E11" i="29"/>
  <c r="D11" i="29"/>
  <c r="B11" i="29"/>
  <c r="F10" i="29"/>
  <c r="E10" i="29"/>
  <c r="D10" i="29"/>
  <c r="B10" i="29"/>
  <c r="U2" i="29" s="1"/>
  <c r="B6" i="29"/>
  <c r="BH164" i="2"/>
  <c r="BH163" i="2"/>
  <c r="BH162" i="2"/>
  <c r="BH161" i="2"/>
  <c r="BH160" i="2"/>
  <c r="BH159" i="2"/>
  <c r="BH158" i="2"/>
  <c r="BH157" i="2"/>
  <c r="BH156" i="2"/>
  <c r="BH155" i="2"/>
  <c r="BH154" i="2"/>
  <c r="BH153" i="2"/>
  <c r="BH152" i="2"/>
  <c r="BH151" i="2"/>
  <c r="BH150" i="2"/>
  <c r="BH149" i="2"/>
  <c r="BH148" i="2"/>
  <c r="BH147" i="2"/>
  <c r="BH146" i="2"/>
  <c r="BH145" i="2"/>
  <c r="BH144" i="2"/>
  <c r="BH143" i="2"/>
  <c r="BH142" i="2"/>
  <c r="BH141" i="2"/>
  <c r="BH140" i="2"/>
  <c r="BH139" i="2"/>
  <c r="BH138" i="2"/>
  <c r="BH137" i="2"/>
  <c r="BH136" i="2"/>
  <c r="BH135" i="2"/>
  <c r="BH134" i="2"/>
  <c r="BH133" i="2"/>
  <c r="C55" i="30" s="1" a="1"/>
  <c r="C55" i="30" s="1"/>
  <c r="BH132" i="2"/>
  <c r="BH131" i="2"/>
  <c r="BH130" i="2"/>
  <c r="BH129" i="2"/>
  <c r="BH128" i="2"/>
  <c r="BH127" i="2"/>
  <c r="BH126" i="2"/>
  <c r="BH125" i="2"/>
  <c r="BH124" i="2"/>
  <c r="BH123" i="2"/>
  <c r="BH122" i="2"/>
  <c r="BH121" i="2"/>
  <c r="BH120" i="2"/>
  <c r="BH119" i="2"/>
  <c r="BH118" i="2"/>
  <c r="BH117" i="2"/>
  <c r="BH116" i="2"/>
  <c r="BH115" i="2"/>
  <c r="BH114" i="2"/>
  <c r="BH113" i="2"/>
  <c r="BH112" i="2"/>
  <c r="BH111" i="2"/>
  <c r="BH110" i="2"/>
  <c r="BH109" i="2"/>
  <c r="BH108" i="2"/>
  <c r="BH107" i="2"/>
  <c r="BH106" i="2"/>
  <c r="BH105" i="2"/>
  <c r="BH104" i="2"/>
  <c r="BH103" i="2"/>
  <c r="BH102" i="2"/>
  <c r="BH101" i="2"/>
  <c r="BH100" i="2"/>
  <c r="BH99" i="2"/>
  <c r="BH98" i="2"/>
  <c r="BH97" i="2"/>
  <c r="BH96" i="2"/>
  <c r="BH95" i="2"/>
  <c r="BH94" i="2"/>
  <c r="BH93" i="2"/>
  <c r="BH92" i="2"/>
  <c r="BH91" i="2"/>
  <c r="BH90" i="2"/>
  <c r="BH89" i="2"/>
  <c r="BH88" i="2"/>
  <c r="BH87" i="2"/>
  <c r="BH86" i="2"/>
  <c r="BH85" i="2"/>
  <c r="BH84" i="2"/>
  <c r="BH83" i="2"/>
  <c r="BH82" i="2"/>
  <c r="BH81" i="2"/>
  <c r="BH80" i="2"/>
  <c r="BH79" i="2"/>
  <c r="BH78" i="2"/>
  <c r="BH77" i="2"/>
  <c r="BH76" i="2"/>
  <c r="BH75" i="2"/>
  <c r="BH74" i="2"/>
  <c r="BH73" i="2"/>
  <c r="BH72" i="2"/>
  <c r="BH71" i="2"/>
  <c r="BH70" i="2"/>
  <c r="BH69" i="2"/>
  <c r="BH68" i="2"/>
  <c r="BH67" i="2"/>
  <c r="BH66" i="2"/>
  <c r="BH65" i="2"/>
  <c r="BH64" i="2"/>
  <c r="BH63" i="2"/>
  <c r="BH62" i="2"/>
  <c r="BH61" i="2"/>
  <c r="BH60" i="2"/>
  <c r="BH59" i="2"/>
  <c r="BH58" i="2"/>
  <c r="BH57" i="2"/>
  <c r="BH56" i="2"/>
  <c r="BH55" i="2"/>
  <c r="BH54" i="2"/>
  <c r="BH53" i="2"/>
  <c r="BH52" i="2"/>
  <c r="BH51" i="2"/>
  <c r="BH50" i="2"/>
  <c r="BH49" i="2"/>
  <c r="BH48" i="2"/>
  <c r="BH47" i="2"/>
  <c r="BH46" i="2"/>
  <c r="BH45" i="2"/>
  <c r="BH44" i="2"/>
  <c r="BH43" i="2"/>
  <c r="BH42" i="2"/>
  <c r="BH41" i="2"/>
  <c r="BH40" i="2"/>
  <c r="BH39" i="2"/>
  <c r="BH38" i="2"/>
  <c r="BH37" i="2"/>
  <c r="BH36" i="2"/>
  <c r="BH35" i="2"/>
  <c r="BH34" i="2"/>
  <c r="BH33" i="2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5" i="22"/>
  <c r="G145" i="18" a="1"/>
  <c r="G145" i="18" s="1"/>
  <c r="F145" i="18" a="1"/>
  <c r="F145" i="18" s="1"/>
  <c r="F137" i="18"/>
  <c r="G137" i="18"/>
  <c r="G135" i="18"/>
  <c r="F132" i="18"/>
  <c r="G139" i="18"/>
  <c r="F139" i="18"/>
  <c r="G144" i="18"/>
  <c r="G142" i="18"/>
  <c r="G141" i="18"/>
  <c r="G140" i="18"/>
  <c r="G138" i="18"/>
  <c r="G136" i="18"/>
  <c r="G134" i="18"/>
  <c r="G133" i="18"/>
  <c r="G132" i="18"/>
  <c r="F144" i="18"/>
  <c r="F142" i="18"/>
  <c r="F141" i="18"/>
  <c r="F140" i="18"/>
  <c r="F138" i="18"/>
  <c r="F136" i="18"/>
  <c r="F135" i="18"/>
  <c r="F134" i="18"/>
  <c r="F133" i="18"/>
  <c r="E20" i="29" l="1"/>
  <c r="E18" i="29"/>
  <c r="E31" i="29"/>
  <c r="G31" i="29" s="1"/>
  <c r="D20" i="29"/>
  <c r="E21" i="29"/>
  <c r="D31" i="29"/>
  <c r="F31" i="29" s="1"/>
  <c r="E35" i="29"/>
  <c r="G35" i="29" s="1"/>
  <c r="D35" i="29"/>
  <c r="F35" i="29" s="1"/>
  <c r="E19" i="29"/>
  <c r="G19" i="29" s="1"/>
  <c r="E23" i="29"/>
  <c r="G23" i="29" s="1"/>
  <c r="D19" i="29"/>
  <c r="F19" i="29" s="1"/>
  <c r="D23" i="29"/>
  <c r="F23" i="29" s="1"/>
  <c r="E34" i="29"/>
  <c r="G34" i="29" s="1"/>
  <c r="E33" i="29"/>
  <c r="G33" i="29" s="1"/>
  <c r="E22" i="29"/>
  <c r="G22" i="29" s="1"/>
  <c r="D18" i="29"/>
  <c r="F18" i="29" s="1"/>
  <c r="D33" i="29"/>
  <c r="F33" i="29" s="1"/>
  <c r="D22" i="29"/>
  <c r="E32" i="29"/>
  <c r="G32" i="29" s="1"/>
  <c r="D21" i="29"/>
  <c r="D32" i="29"/>
  <c r="F32" i="29" s="1"/>
  <c r="M14" i="29"/>
  <c r="N14" i="29" s="1"/>
  <c r="C49" i="30"/>
  <c r="E51" i="30"/>
  <c r="G18" i="29"/>
  <c r="M10" i="29"/>
  <c r="N10" i="29" s="1"/>
  <c r="G20" i="29"/>
  <c r="C12" i="29"/>
  <c r="M11" i="29"/>
  <c r="N11" i="29" s="1"/>
  <c r="C11" i="29"/>
  <c r="M12" i="29"/>
  <c r="N12" i="29" s="1"/>
  <c r="F22" i="29"/>
  <c r="X3" i="29"/>
  <c r="X4" i="29"/>
  <c r="X5" i="29"/>
  <c r="C66" i="29"/>
  <c r="D66" i="29" s="1"/>
  <c r="C63" i="29"/>
  <c r="D63" i="29" s="1"/>
  <c r="C64" i="29"/>
  <c r="D64" i="29" s="1"/>
  <c r="C62" i="29"/>
  <c r="D62" i="29" s="1"/>
  <c r="G6" i="29"/>
  <c r="J6" i="29" s="1"/>
  <c r="C13" i="29"/>
  <c r="F21" i="29"/>
  <c r="G21" i="29"/>
  <c r="M13" i="29"/>
  <c r="N13" i="29" s="1"/>
  <c r="U3" i="29"/>
  <c r="C14" i="29"/>
  <c r="K13" i="29"/>
  <c r="K14" i="29"/>
  <c r="F20" i="29"/>
  <c r="K12" i="29"/>
  <c r="K11" i="29"/>
  <c r="K10" i="29"/>
  <c r="H144" i="18"/>
  <c r="H141" i="18"/>
  <c r="H140" i="18"/>
  <c r="H139" i="18"/>
  <c r="H132" i="18"/>
  <c r="H133" i="18"/>
  <c r="H134" i="18"/>
  <c r="H137" i="18"/>
  <c r="H138" i="18"/>
  <c r="H135" i="18"/>
  <c r="H142" i="18"/>
  <c r="H136" i="18"/>
  <c r="AE37" i="2" l="1"/>
  <c r="AE130" i="2"/>
  <c r="AE149" i="2"/>
  <c r="AE150" i="2"/>
  <c r="AE155" i="2"/>
  <c r="AE76" i="2"/>
  <c r="AF76" i="2"/>
  <c r="B106" i="19"/>
  <c r="C106" i="19" l="1"/>
  <c r="C107" i="19"/>
  <c r="C108" i="19"/>
  <c r="C109" i="19"/>
  <c r="C110" i="19"/>
  <c r="C111" i="19"/>
  <c r="B107" i="19"/>
  <c r="D107" i="19"/>
  <c r="E107" i="19"/>
  <c r="F107" i="19"/>
  <c r="G107" i="19"/>
  <c r="H107" i="19"/>
  <c r="I107" i="19"/>
  <c r="B108" i="19"/>
  <c r="D108" i="19"/>
  <c r="E108" i="19"/>
  <c r="F108" i="19"/>
  <c r="G108" i="19"/>
  <c r="H108" i="19"/>
  <c r="I108" i="19"/>
  <c r="B109" i="19"/>
  <c r="D109" i="19"/>
  <c r="E109" i="19"/>
  <c r="F109" i="19"/>
  <c r="G109" i="19"/>
  <c r="H109" i="19"/>
  <c r="I109" i="19"/>
  <c r="B110" i="19"/>
  <c r="D110" i="19"/>
  <c r="E110" i="19"/>
  <c r="F110" i="19"/>
  <c r="G110" i="19"/>
  <c r="H110" i="19"/>
  <c r="I110" i="19"/>
  <c r="B111" i="19"/>
  <c r="D111" i="19"/>
  <c r="E111" i="19"/>
  <c r="F111" i="19"/>
  <c r="G111" i="19"/>
  <c r="H111" i="19"/>
  <c r="I111" i="19"/>
  <c r="D106" i="19"/>
  <c r="E106" i="19"/>
  <c r="F106" i="19"/>
  <c r="G106" i="19"/>
  <c r="H106" i="19"/>
  <c r="H112" i="19" s="1"/>
  <c r="I106" i="19"/>
  <c r="I112" i="19" s="1"/>
  <c r="F112" i="19" l="1"/>
  <c r="G112" i="19"/>
  <c r="C112" i="19"/>
  <c r="D112" i="19"/>
  <c r="K106" i="19"/>
  <c r="E112" i="19"/>
  <c r="K109" i="19"/>
  <c r="K111" i="19"/>
  <c r="B112" i="19"/>
  <c r="K110" i="19"/>
  <c r="K107" i="19"/>
  <c r="K108" i="19"/>
  <c r="Y36" i="25"/>
  <c r="AH35" i="25"/>
  <c r="AG35" i="25"/>
  <c r="AF35" i="25"/>
  <c r="AE35" i="25"/>
  <c r="AD35" i="25"/>
  <c r="AC35" i="25"/>
  <c r="AB35" i="25"/>
  <c r="AA35" i="25"/>
  <c r="AH30" i="25"/>
  <c r="AG30" i="25"/>
  <c r="AF30" i="25"/>
  <c r="AE30" i="25"/>
  <c r="AD30" i="25"/>
  <c r="AC30" i="25"/>
  <c r="AB30" i="25"/>
  <c r="AA30" i="25"/>
  <c r="M37" i="25"/>
  <c r="P35" i="25"/>
  <c r="Q35" i="25"/>
  <c r="R35" i="25"/>
  <c r="S35" i="25"/>
  <c r="T35" i="25"/>
  <c r="U35" i="25"/>
  <c r="V35" i="25"/>
  <c r="O35" i="25"/>
  <c r="P30" i="25"/>
  <c r="Q30" i="25"/>
  <c r="R30" i="25"/>
  <c r="S30" i="25"/>
  <c r="T30" i="25"/>
  <c r="U30" i="25"/>
  <c r="V30" i="25"/>
  <c r="O30" i="25"/>
  <c r="D40" i="25"/>
  <c r="E40" i="25"/>
  <c r="F40" i="25"/>
  <c r="G40" i="25"/>
  <c r="H40" i="25"/>
  <c r="I40" i="25"/>
  <c r="J40" i="25"/>
  <c r="C40" i="25"/>
  <c r="D32" i="25"/>
  <c r="E32" i="25"/>
  <c r="F32" i="25"/>
  <c r="G32" i="25"/>
  <c r="H32" i="25"/>
  <c r="I32" i="25"/>
  <c r="J32" i="25"/>
  <c r="C32" i="25"/>
  <c r="F13" i="24"/>
  <c r="F12" i="24"/>
  <c r="F11" i="24"/>
  <c r="F10" i="24"/>
  <c r="E13" i="24"/>
  <c r="E12" i="24"/>
  <c r="E11" i="24"/>
  <c r="E10" i="24"/>
  <c r="E9" i="24"/>
  <c r="F59" i="24"/>
  <c r="E59" i="24"/>
  <c r="F58" i="24"/>
  <c r="E58" i="24"/>
  <c r="F57" i="24"/>
  <c r="E57" i="24"/>
  <c r="F56" i="24"/>
  <c r="E56" i="24"/>
  <c r="F55" i="24"/>
  <c r="E55" i="24"/>
  <c r="F54" i="24"/>
  <c r="E54" i="24"/>
  <c r="F53" i="24"/>
  <c r="E53" i="24"/>
  <c r="F52" i="24"/>
  <c r="E52" i="24"/>
  <c r="F51" i="24"/>
  <c r="E51" i="24"/>
  <c r="F35" i="24"/>
  <c r="E35" i="24"/>
  <c r="F34" i="24"/>
  <c r="E34" i="24"/>
  <c r="F33" i="24"/>
  <c r="E33" i="24"/>
  <c r="F32" i="24"/>
  <c r="E32" i="24"/>
  <c r="F40" i="24"/>
  <c r="E40" i="24"/>
  <c r="F39" i="24"/>
  <c r="E39" i="24"/>
  <c r="F38" i="24"/>
  <c r="E38" i="24"/>
  <c r="F37" i="24"/>
  <c r="E37" i="24"/>
  <c r="F36" i="24"/>
  <c r="E36" i="24"/>
  <c r="E18" i="24"/>
  <c r="E17" i="24"/>
  <c r="E16" i="24"/>
  <c r="E15" i="24"/>
  <c r="E14" i="24"/>
  <c r="E8" i="24"/>
  <c r="E7" i="24"/>
  <c r="E6" i="24"/>
  <c r="E5" i="24"/>
  <c r="F15" i="24"/>
  <c r="F16" i="24"/>
  <c r="F17" i="24"/>
  <c r="F18" i="24"/>
  <c r="F14" i="24"/>
  <c r="F9" i="24"/>
  <c r="F8" i="24"/>
  <c r="F7" i="24"/>
  <c r="F6" i="24"/>
  <c r="F5" i="24"/>
  <c r="AC119" i="2" l="1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E132" i="2"/>
  <c r="AE131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D132" i="2"/>
  <c r="AD131" i="2"/>
  <c r="AD130" i="2"/>
  <c r="AD129" i="2"/>
  <c r="AD128" i="2"/>
  <c r="AD127" i="2"/>
  <c r="AD126" i="2"/>
  <c r="AD125" i="2"/>
  <c r="AD124" i="2"/>
  <c r="AD123" i="2"/>
  <c r="AD122" i="2"/>
  <c r="AD121" i="2"/>
  <c r="AD120" i="2"/>
  <c r="AD119" i="2"/>
  <c r="AD118" i="2"/>
  <c r="AD117" i="2"/>
  <c r="AD116" i="2"/>
  <c r="AD115" i="2"/>
  <c r="AD114" i="2"/>
  <c r="AD113" i="2"/>
  <c r="AD112" i="2"/>
  <c r="AD111" i="2"/>
  <c r="AD110" i="2"/>
  <c r="AD109" i="2"/>
  <c r="AD108" i="2"/>
  <c r="AD107" i="2"/>
  <c r="AD106" i="2"/>
  <c r="AD105" i="2"/>
  <c r="AD104" i="2"/>
  <c r="AD103" i="2"/>
  <c r="AD102" i="2"/>
  <c r="AD101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BB68" i="2" l="1"/>
  <c r="BC68" i="2" s="1"/>
  <c r="BD68" i="2" s="1"/>
  <c r="BB67" i="2"/>
  <c r="BC67" i="2" s="1"/>
  <c r="BD67" i="2" s="1"/>
  <c r="BB66" i="2"/>
  <c r="BC66" i="2" s="1"/>
  <c r="BD66" i="2" s="1"/>
  <c r="BB65" i="2"/>
  <c r="BC65" i="2" s="1"/>
  <c r="BD65" i="2" s="1"/>
  <c r="BB64" i="2"/>
  <c r="BC64" i="2" s="1"/>
  <c r="BD64" i="2" s="1"/>
  <c r="BB63" i="2"/>
  <c r="BC63" i="2" s="1"/>
  <c r="BD63" i="2" s="1"/>
  <c r="BB62" i="2"/>
  <c r="BC62" i="2" s="1"/>
  <c r="BD62" i="2" s="1"/>
  <c r="BB61" i="2"/>
  <c r="BC61" i="2" s="1"/>
  <c r="BD61" i="2" s="1"/>
  <c r="BB60" i="2"/>
  <c r="BC60" i="2" s="1"/>
  <c r="BD60" i="2" s="1"/>
  <c r="BB59" i="2"/>
  <c r="BC59" i="2" s="1"/>
  <c r="BD59" i="2" s="1"/>
  <c r="BB58" i="2"/>
  <c r="BC58" i="2" s="1"/>
  <c r="BD58" i="2" s="1"/>
  <c r="BB57" i="2"/>
  <c r="BC57" i="2" s="1"/>
  <c r="BD57" i="2" s="1"/>
  <c r="BB56" i="2"/>
  <c r="BC56" i="2" s="1"/>
  <c r="BD56" i="2" s="1"/>
  <c r="BB55" i="2"/>
  <c r="BC55" i="2" s="1"/>
  <c r="BD55" i="2" s="1"/>
  <c r="BB54" i="2"/>
  <c r="BC54" i="2" s="1"/>
  <c r="BD54" i="2" s="1"/>
  <c r="BB53" i="2"/>
  <c r="BC53" i="2" s="1"/>
  <c r="BD53" i="2" s="1"/>
  <c r="BB52" i="2"/>
  <c r="BC52" i="2" s="1"/>
  <c r="BD52" i="2" s="1"/>
  <c r="BB51" i="2"/>
  <c r="BC51" i="2" s="1"/>
  <c r="BD51" i="2" s="1"/>
  <c r="BB50" i="2"/>
  <c r="BC50" i="2" s="1"/>
  <c r="BD50" i="2" s="1"/>
  <c r="BB49" i="2"/>
  <c r="BC49" i="2" s="1"/>
  <c r="BD49" i="2" s="1"/>
  <c r="BB48" i="2"/>
  <c r="BC48" i="2" s="1"/>
  <c r="BD48" i="2" s="1"/>
  <c r="BB47" i="2"/>
  <c r="BC47" i="2" s="1"/>
  <c r="BD47" i="2" s="1"/>
  <c r="BB46" i="2"/>
  <c r="BC46" i="2" s="1"/>
  <c r="BD46" i="2" s="1"/>
  <c r="BB45" i="2"/>
  <c r="BC45" i="2" s="1"/>
  <c r="BD45" i="2" s="1"/>
  <c r="BB44" i="2"/>
  <c r="BC44" i="2" s="1"/>
  <c r="BD44" i="2" s="1"/>
  <c r="BB43" i="2"/>
  <c r="BC43" i="2" s="1"/>
  <c r="BD43" i="2" s="1"/>
  <c r="BB42" i="2"/>
  <c r="BC42" i="2" s="1"/>
  <c r="BD42" i="2" s="1"/>
  <c r="BB41" i="2"/>
  <c r="BC41" i="2" s="1"/>
  <c r="BD41" i="2" s="1"/>
  <c r="BB40" i="2"/>
  <c r="BC40" i="2" s="1"/>
  <c r="BD40" i="2" s="1"/>
  <c r="BB39" i="2"/>
  <c r="BC39" i="2" s="1"/>
  <c r="BD39" i="2" s="1"/>
  <c r="BB38" i="2"/>
  <c r="BC38" i="2" s="1"/>
  <c r="BD38" i="2" s="1"/>
  <c r="BB37" i="2"/>
  <c r="BC37" i="2" s="1"/>
  <c r="BD37" i="2" s="1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7" i="2"/>
  <c r="AF37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D37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C37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BE48" i="2" l="1"/>
  <c r="BE37" i="2"/>
  <c r="BE49" i="2"/>
  <c r="BE61" i="2"/>
  <c r="BE47" i="2"/>
  <c r="BE59" i="2"/>
  <c r="BE60" i="2"/>
  <c r="BE45" i="2"/>
  <c r="BE57" i="2"/>
  <c r="BE46" i="2"/>
  <c r="BE58" i="2"/>
  <c r="BE39" i="2"/>
  <c r="BE51" i="2"/>
  <c r="BE63" i="2"/>
  <c r="BE43" i="2"/>
  <c r="BE55" i="2"/>
  <c r="BE67" i="2"/>
  <c r="BE40" i="2"/>
  <c r="BE52" i="2"/>
  <c r="BE64" i="2"/>
  <c r="BE44" i="2"/>
  <c r="BE56" i="2"/>
  <c r="BE68" i="2"/>
  <c r="BE41" i="2"/>
  <c r="BE53" i="2"/>
  <c r="BE65" i="2"/>
  <c r="BE38" i="2"/>
  <c r="BE50" i="2"/>
  <c r="BE62" i="2"/>
  <c r="BE42" i="2"/>
  <c r="BE54" i="2"/>
  <c r="BE66" i="2"/>
  <c r="AF100" i="2" l="1"/>
  <c r="AE100" i="2"/>
  <c r="AF99" i="2"/>
  <c r="AE99" i="2"/>
  <c r="AF98" i="2"/>
  <c r="AE98" i="2"/>
  <c r="AF97" i="2"/>
  <c r="AE97" i="2"/>
  <c r="AF96" i="2"/>
  <c r="AE96" i="2"/>
  <c r="AF95" i="2"/>
  <c r="AE95" i="2"/>
  <c r="AF94" i="2"/>
  <c r="AE94" i="2"/>
  <c r="AF93" i="2"/>
  <c r="AE93" i="2"/>
  <c r="AF92" i="2"/>
  <c r="AE92" i="2"/>
  <c r="AF91" i="2"/>
  <c r="AE91" i="2"/>
  <c r="AF90" i="2"/>
  <c r="AE90" i="2"/>
  <c r="AF89" i="2"/>
  <c r="AE89" i="2"/>
  <c r="AF88" i="2"/>
  <c r="AE88" i="2"/>
  <c r="AF87" i="2"/>
  <c r="AE87" i="2"/>
  <c r="AF86" i="2"/>
  <c r="AE86" i="2"/>
  <c r="AF85" i="2"/>
  <c r="AE85" i="2"/>
  <c r="AF84" i="2"/>
  <c r="AE84" i="2"/>
  <c r="AF83" i="2"/>
  <c r="AE83" i="2"/>
  <c r="AF82" i="2"/>
  <c r="AE82" i="2"/>
  <c r="AF81" i="2"/>
  <c r="AE81" i="2"/>
  <c r="AF80" i="2"/>
  <c r="AE80" i="2"/>
  <c r="AF79" i="2"/>
  <c r="AE79" i="2"/>
  <c r="AF78" i="2"/>
  <c r="AE78" i="2"/>
  <c r="AF77" i="2"/>
  <c r="AE77" i="2"/>
  <c r="AF75" i="2"/>
  <c r="AE75" i="2"/>
  <c r="AF74" i="2"/>
  <c r="AE74" i="2"/>
  <c r="AF73" i="2"/>
  <c r="AE73" i="2"/>
  <c r="AF72" i="2"/>
  <c r="AE72" i="2"/>
  <c r="AF71" i="2"/>
  <c r="AE71" i="2"/>
  <c r="AF70" i="2"/>
  <c r="AE70" i="2"/>
  <c r="AF69" i="2"/>
  <c r="AE69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AP73" i="2" l="1"/>
  <c r="AP79" i="2"/>
  <c r="AP85" i="2"/>
  <c r="AP91" i="2"/>
  <c r="AP97" i="2"/>
  <c r="AP69" i="2"/>
  <c r="AP75" i="2"/>
  <c r="AP81" i="2"/>
  <c r="AP93" i="2"/>
  <c r="AP99" i="2"/>
  <c r="AP87" i="2"/>
  <c r="AP71" i="2"/>
  <c r="AP77" i="2"/>
  <c r="AP83" i="2"/>
  <c r="AP89" i="2"/>
  <c r="AP95" i="2"/>
  <c r="AP74" i="2"/>
  <c r="AP86" i="2"/>
  <c r="AP80" i="2"/>
  <c r="AP92" i="2"/>
  <c r="AP98" i="2"/>
  <c r="AP70" i="2"/>
  <c r="AP76" i="2"/>
  <c r="AP82" i="2"/>
  <c r="AP88" i="2"/>
  <c r="AP94" i="2"/>
  <c r="AP100" i="2"/>
  <c r="AP72" i="2"/>
  <c r="AP78" i="2"/>
  <c r="AP84" i="2"/>
  <c r="AP90" i="2"/>
  <c r="AP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tc={319EE7CF-2666-47AC-AC47-B717D71F0F09}</author>
  </authors>
  <commentList>
    <comment ref="N1642" authorId="0" shapeId="0" xr:uid="{319EE7CF-2666-47AC-AC47-B717D71F0F0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Ajustado con info de ET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<sst xmlns="http://schemas.openxmlformats.org/spreadsheetml/2006/main" count="2738" uniqueCount="463">
  <si>
    <t>Departamento</t>
  </si>
  <si>
    <t>Categorías</t>
  </si>
  <si>
    <t>ANTIOQUIA</t>
  </si>
  <si>
    <t>ATLÁNTICO</t>
  </si>
  <si>
    <t>BOLÍVAR</t>
  </si>
  <si>
    <t>BOYACÁ</t>
  </si>
  <si>
    <t>CALDAS</t>
  </si>
  <si>
    <t>RISARALDA</t>
  </si>
  <si>
    <t>CAUCA</t>
  </si>
  <si>
    <t>CESAR</t>
  </si>
  <si>
    <t>CUNDINAMARCA</t>
  </si>
  <si>
    <t>HUILA</t>
  </si>
  <si>
    <t>MAGDALENA</t>
  </si>
  <si>
    <t>META</t>
  </si>
  <si>
    <t>NARIÑO</t>
  </si>
  <si>
    <t>NORTE DE SANTANDER</t>
  </si>
  <si>
    <t>QUINDIO</t>
  </si>
  <si>
    <t>SANTANDER</t>
  </si>
  <si>
    <t>SUCRE</t>
  </si>
  <si>
    <t>TOLIMA</t>
  </si>
  <si>
    <t>VALLE DEL CAUCA</t>
  </si>
  <si>
    <t>ARAUCA</t>
  </si>
  <si>
    <t>CASANARE</t>
  </si>
  <si>
    <t>PUTUMAYO</t>
  </si>
  <si>
    <t>AMAZONAS</t>
  </si>
  <si>
    <t>GUAVIARE</t>
  </si>
  <si>
    <t>VICHADA</t>
  </si>
  <si>
    <t>ATLANTICO</t>
  </si>
  <si>
    <t>IDF</t>
  </si>
  <si>
    <t>Dimensión de resultados</t>
  </si>
  <si>
    <t>SGP + otras transferencias nacionales</t>
  </si>
  <si>
    <t>Ingresos totales</t>
  </si>
  <si>
    <t>Gasto en Formación Bruta de Capital</t>
  </si>
  <si>
    <t>Gasto en Inversión</t>
  </si>
  <si>
    <t>Pasivos totales</t>
  </si>
  <si>
    <t>Activos totales</t>
  </si>
  <si>
    <t>Ahorro corriente</t>
  </si>
  <si>
    <t>Ingreso corriente</t>
  </si>
  <si>
    <t>Déficit o superávit + intereses deuda+RB</t>
  </si>
  <si>
    <t xml:space="preserve">Ingresos totales + desembolsos </t>
  </si>
  <si>
    <t>Límite Ley 617 de 2000</t>
  </si>
  <si>
    <t>Gastos de funcionamiento / ICLD</t>
  </si>
  <si>
    <t>Recaudo</t>
  </si>
  <si>
    <t>Pagos</t>
  </si>
  <si>
    <t>Compromisos</t>
  </si>
  <si>
    <t>Año</t>
  </si>
  <si>
    <t>Promedio de Nuevo IDF</t>
  </si>
  <si>
    <t>Nacional</t>
  </si>
  <si>
    <t>Categoría 1</t>
  </si>
  <si>
    <t>Categoría 2</t>
  </si>
  <si>
    <t>Categoría 3</t>
  </si>
  <si>
    <t>ESP</t>
  </si>
  <si>
    <t>Categoría 4</t>
  </si>
  <si>
    <t>Total general</t>
  </si>
  <si>
    <t>Calculo indicador</t>
  </si>
  <si>
    <t xml:space="preserve">Reescalamiento - Calificación </t>
  </si>
  <si>
    <t>variables necesarias</t>
  </si>
  <si>
    <t>algunos Numeradores y denominadores</t>
  </si>
  <si>
    <t>Dimensión de Gestión Financiera Territorial</t>
  </si>
  <si>
    <t>Resultados</t>
  </si>
  <si>
    <t>A3010-Transferencias corrientes de nivel nacional (NO tiene SGR)</t>
  </si>
  <si>
    <t>D1000-Transferencias nacionales (No tiene SGR)</t>
  </si>
  <si>
    <t>A-INGRESOS TOTALES (NO SGR)</t>
  </si>
  <si>
    <t>A1000-Ingresos tributarios (No SGR</t>
  </si>
  <si>
    <t>A2000-Ingresos no tributarios (No SGR)</t>
  </si>
  <si>
    <t>B2000-Intereses de la deuda pública -NO tiene SGR</t>
  </si>
  <si>
    <t>G-Déficit o Superávit Total (No Tiene SGR)</t>
  </si>
  <si>
    <t>Recursos del Balance CUIPO</t>
  </si>
  <si>
    <t>Desembolsos (No tiene SGR)</t>
  </si>
  <si>
    <t xml:space="preserve">Presupuesto Inicial </t>
  </si>
  <si>
    <t>Dependencia de las transferencias "Resultado"</t>
  </si>
  <si>
    <t>Dependencia de las transferencias "Calificación"</t>
  </si>
  <si>
    <t>Relevancia FBKF "Resultado"</t>
  </si>
  <si>
    <t>FBK fijo/ Inversión  (Con SGR)*</t>
  </si>
  <si>
    <t>Endeudamiento "Resultado"</t>
  </si>
  <si>
    <t>Endeudamiento "Calificación"</t>
  </si>
  <si>
    <t>Ahorro corriente "Resultado"</t>
  </si>
  <si>
    <t>Ahorro corriente "Calificación"</t>
  </si>
  <si>
    <t>Balance Fiscal Primario "Resultado"</t>
  </si>
  <si>
    <t>Balance Fiscal Primario "Calificación"</t>
  </si>
  <si>
    <t xml:space="preserve">Calificación Resultados </t>
  </si>
  <si>
    <t>Holgura "Resultado"</t>
  </si>
  <si>
    <t>Holgura "Calificación"</t>
  </si>
  <si>
    <t>Capacidad de programación y recaudo de ingresos "Resultado"</t>
  </si>
  <si>
    <t>Capacidad de programación y recaudo de Ingresos "Calificación"</t>
  </si>
  <si>
    <t>Capacidad de Ejecución de Inversión "Resultado"</t>
  </si>
  <si>
    <t>Capacidad de Ejecución de Inversión "Calificación"</t>
  </si>
  <si>
    <t>Bonificación Esfuerzo Porpio "Calificación"</t>
  </si>
  <si>
    <t>Resultados Gestión</t>
  </si>
  <si>
    <t>Gestión +Bonos</t>
  </si>
  <si>
    <t>Calificación Resultados Gestión</t>
  </si>
  <si>
    <t>Nuevo IDF (sin bonos)</t>
  </si>
  <si>
    <t>Nuevo IDF</t>
  </si>
  <si>
    <t xml:space="preserve">Rango </t>
  </si>
  <si>
    <t>08</t>
  </si>
  <si>
    <t>4. Solvente (&gt;=70 y &lt;80)</t>
  </si>
  <si>
    <t>25</t>
  </si>
  <si>
    <t>70</t>
  </si>
  <si>
    <t>3. Vulnerable (&gt;=60 y &lt;70)</t>
  </si>
  <si>
    <t>50</t>
  </si>
  <si>
    <t>41</t>
  </si>
  <si>
    <t>95</t>
  </si>
  <si>
    <t>05</t>
  </si>
  <si>
    <t>76</t>
  </si>
  <si>
    <t>20</t>
  </si>
  <si>
    <t>17</t>
  </si>
  <si>
    <t>88</t>
  </si>
  <si>
    <t>SAN ANDRES</t>
  </si>
  <si>
    <t>73</t>
  </si>
  <si>
    <t>2. Riesgo (&gt;=40 y &lt;60)</t>
  </si>
  <si>
    <t>81</t>
  </si>
  <si>
    <t>54</t>
  </si>
  <si>
    <t>47</t>
  </si>
  <si>
    <t>86</t>
  </si>
  <si>
    <t>66</t>
  </si>
  <si>
    <t>27</t>
  </si>
  <si>
    <t>CHOCO</t>
  </si>
  <si>
    <t>68</t>
  </si>
  <si>
    <t>44</t>
  </si>
  <si>
    <t>94</t>
  </si>
  <si>
    <t>GUAINIA</t>
  </si>
  <si>
    <t>18</t>
  </si>
  <si>
    <t>CAQUETA</t>
  </si>
  <si>
    <t>97</t>
  </si>
  <si>
    <t>VAUPES</t>
  </si>
  <si>
    <t>85</t>
  </si>
  <si>
    <t>19</t>
  </si>
  <si>
    <t>52</t>
  </si>
  <si>
    <t>15</t>
  </si>
  <si>
    <t>23</t>
  </si>
  <si>
    <t>CORDOBA</t>
  </si>
  <si>
    <t>91</t>
  </si>
  <si>
    <t>13</t>
  </si>
  <si>
    <t>BOLIVAR</t>
  </si>
  <si>
    <t>99</t>
  </si>
  <si>
    <t>63</t>
  </si>
  <si>
    <t>GUAJIRA</t>
  </si>
  <si>
    <t>Posición</t>
  </si>
  <si>
    <t>Código (5 digitos)</t>
  </si>
  <si>
    <t>05000</t>
  </si>
  <si>
    <t>08000</t>
  </si>
  <si>
    <t>13000</t>
  </si>
  <si>
    <t>15000</t>
  </si>
  <si>
    <t>17000</t>
  </si>
  <si>
    <t>18000</t>
  </si>
  <si>
    <t>19000</t>
  </si>
  <si>
    <t>20000</t>
  </si>
  <si>
    <t>23000</t>
  </si>
  <si>
    <t>25000</t>
  </si>
  <si>
    <t>27000</t>
  </si>
  <si>
    <t>41000</t>
  </si>
  <si>
    <t>44000</t>
  </si>
  <si>
    <t>47000</t>
  </si>
  <si>
    <t>50000</t>
  </si>
  <si>
    <t>52000</t>
  </si>
  <si>
    <t>54000</t>
  </si>
  <si>
    <t>63000</t>
  </si>
  <si>
    <t>66000</t>
  </si>
  <si>
    <t>68000</t>
  </si>
  <si>
    <t>70000</t>
  </si>
  <si>
    <t>73000</t>
  </si>
  <si>
    <t>76000</t>
  </si>
  <si>
    <t>81000</t>
  </si>
  <si>
    <t>85000</t>
  </si>
  <si>
    <t>86000</t>
  </si>
  <si>
    <t>88000</t>
  </si>
  <si>
    <t>91000</t>
  </si>
  <si>
    <t>94000</t>
  </si>
  <si>
    <t>95000</t>
  </si>
  <si>
    <t>97000</t>
  </si>
  <si>
    <t>99000</t>
  </si>
  <si>
    <t>Código (2 digitos)</t>
  </si>
  <si>
    <t>Holgura</t>
  </si>
  <si>
    <t>SAN ANDRÉS</t>
  </si>
  <si>
    <t xml:space="preserve">Capacidad de Ejecución de Inversión </t>
  </si>
  <si>
    <t>Tipologías</t>
  </si>
  <si>
    <t>BOYACA</t>
  </si>
  <si>
    <t>1. Deterioro (&lt;40)</t>
  </si>
  <si>
    <t>N/A</t>
  </si>
  <si>
    <t xml:space="preserve">Promedio Nacional </t>
  </si>
  <si>
    <t xml:space="preserve">Tipología. </t>
  </si>
  <si>
    <t>Dependencia de las transferencias</t>
  </si>
  <si>
    <t>Promedio de Relevancia FBKF "Resultado"</t>
  </si>
  <si>
    <t>Promedio de Endeudamiento "Resultado"</t>
  </si>
  <si>
    <t>Promedio de Ahorro corriente "Resultado"</t>
  </si>
  <si>
    <t>Promedio de Balance Fiscal Primario "Resultado"</t>
  </si>
  <si>
    <t>Promedio de Resultados</t>
  </si>
  <si>
    <t>Promedio de Gestión +Bonos</t>
  </si>
  <si>
    <t>Promedio de Capacidad de Ejecución de Inversión "Resultado"</t>
  </si>
  <si>
    <t>Promedio de Capacidad de programación y recaudo de ingresos "Resultado"</t>
  </si>
  <si>
    <t>Promedio de Holgura "Resultado"</t>
  </si>
  <si>
    <t>5 Mejores</t>
  </si>
  <si>
    <t>4 Menor Desempeño</t>
  </si>
  <si>
    <t>7 Menor Desempeño</t>
  </si>
  <si>
    <t>7 Mejores</t>
  </si>
  <si>
    <t>Promedio de Dependencia de las transferencias "Calificación"</t>
  </si>
  <si>
    <t>Promedio de FBK fijo/ Inversión  (Con SGR)*</t>
  </si>
  <si>
    <t>Promedio de Endeudamiento "Calificación"</t>
  </si>
  <si>
    <t>Promedio de Ahorro corriente "Calificación"</t>
  </si>
  <si>
    <t>Promedio de Balance Fiscal Primario "Calificación"</t>
  </si>
  <si>
    <t>Promedio de Holgura "Calificación"</t>
  </si>
  <si>
    <t>Promedio de Capacidad de Ejecución de Inversión "Calificación"</t>
  </si>
  <si>
    <t>Promedio de Capacidad de programación y recaudo de Ingresos "Calificación"</t>
  </si>
  <si>
    <t>Promedio Mejores</t>
  </si>
  <si>
    <t>Promedio Menores desempeño</t>
  </si>
  <si>
    <t>Promedio de Bonificación Esfuerzo Porpio "Calificación"</t>
  </si>
  <si>
    <t>Cuenta de Departamento</t>
  </si>
  <si>
    <t>Caribe</t>
  </si>
  <si>
    <t>Centro Oriente</t>
  </si>
  <si>
    <t>Centro Sur Amazonía</t>
  </si>
  <si>
    <t>Del Llano</t>
  </si>
  <si>
    <t>Eje Cafetero</t>
  </si>
  <si>
    <t>Pacífico</t>
  </si>
  <si>
    <t>Región</t>
  </si>
  <si>
    <t>Centro Sur Amazonia</t>
  </si>
  <si>
    <t>Pacifico</t>
  </si>
  <si>
    <t>1. Deterioro 
(&lt;40)</t>
  </si>
  <si>
    <t>2. Riesgo 
(&gt;=40 y &lt;60)</t>
  </si>
  <si>
    <t>3. Vulnerable 
(&gt;=60 y &lt;70)</t>
  </si>
  <si>
    <t>4. Solvente
 (&gt;=70 y &lt;80)</t>
  </si>
  <si>
    <t>Etiquetas de fila</t>
  </si>
  <si>
    <t>Etiquetas de columna</t>
  </si>
  <si>
    <t xml:space="preserve">Dependencia Trasnferencias. </t>
  </si>
  <si>
    <t xml:space="preserve"> FBK </t>
  </si>
  <si>
    <t>Endeudamiento.</t>
  </si>
  <si>
    <t xml:space="preserve">Ahorro corriente </t>
  </si>
  <si>
    <t xml:space="preserve"> Balance Fiscal      </t>
  </si>
  <si>
    <t xml:space="preserve">Holgura       </t>
  </si>
  <si>
    <t xml:space="preserve">Capacidad de programación y recaudo de Ingresos  </t>
  </si>
  <si>
    <t xml:space="preserve">Capacidad de Ejecución de Inversión    </t>
  </si>
  <si>
    <t>Diferencia</t>
  </si>
  <si>
    <t>Balance Fiscal "Resultado"</t>
  </si>
  <si>
    <t xml:space="preserve">Relevancia FBKF "Resultado" </t>
  </si>
  <si>
    <t xml:space="preserve">Dependencia de las transferencias "Resultado" </t>
  </si>
  <si>
    <t>Promedio de Nuevo IDF (sin bonos)</t>
  </si>
  <si>
    <t>Promedio resultados 2023</t>
  </si>
  <si>
    <t>Promedio resultados 2024</t>
  </si>
  <si>
    <t>Promedio de Dependencia de las transferencias "Resultado"</t>
  </si>
  <si>
    <t>Promedio de Resultados Gestión</t>
  </si>
  <si>
    <t>Resultados fiscales</t>
  </si>
  <si>
    <t>Gestión financiera</t>
  </si>
  <si>
    <t xml:space="preserve">Promedio de Calificación Resultados </t>
  </si>
  <si>
    <t>Promedio de Calificación Resultados Gestión</t>
  </si>
  <si>
    <t>Dimensión</t>
  </si>
  <si>
    <t>Variable</t>
  </si>
  <si>
    <t>Variación</t>
  </si>
  <si>
    <t>1. Dimensión resultados fiscales</t>
  </si>
  <si>
    <t>Relevancia de la FBK fijo</t>
  </si>
  <si>
    <t>Endeudamiento</t>
  </si>
  <si>
    <t>Balance primario</t>
  </si>
  <si>
    <t>Calificación Resultados  fiscales</t>
  </si>
  <si>
    <t>2. Dimensión gestión financiera</t>
  </si>
  <si>
    <t xml:space="preserve">Capacidad de programación y recaudo de ingresos </t>
  </si>
  <si>
    <t>Bonificación Esfuerzo Propio</t>
  </si>
  <si>
    <t>Calificación departamento</t>
  </si>
  <si>
    <t>Grand Total</t>
  </si>
  <si>
    <t>Row Labels</t>
  </si>
  <si>
    <t>(All)</t>
  </si>
  <si>
    <t>(en blanco)</t>
  </si>
  <si>
    <t xml:space="preserve"> Calificación Resultados Gestión</t>
  </si>
  <si>
    <t xml:space="preserve">  Calificación Resultados </t>
  </si>
  <si>
    <t>Calificación</t>
  </si>
  <si>
    <t>Suma de Bonificación Esfuerzo Porpio "Calificación"</t>
  </si>
  <si>
    <t>Rango de desempñeo</t>
  </si>
  <si>
    <t>Índice de Desempeño Fiscal IDF</t>
  </si>
  <si>
    <t>Ranking nacional</t>
  </si>
  <si>
    <t xml:space="preserve"> IDF (sin bonos)</t>
  </si>
  <si>
    <t>IDF Promedio</t>
  </si>
  <si>
    <t>IDF Máximo</t>
  </si>
  <si>
    <t>IDF Mínimo</t>
  </si>
  <si>
    <t>Rango</t>
  </si>
  <si>
    <t>5. Sostenible (&gt;=80)</t>
  </si>
  <si>
    <t>Sostenible</t>
  </si>
  <si>
    <t>Solvente</t>
  </si>
  <si>
    <t>Vulnerable</t>
  </si>
  <si>
    <t>Riesgo</t>
  </si>
  <si>
    <t>Deterioro</t>
  </si>
  <si>
    <t>DASHBOARD - ÍNDICE DE DESEMPEÑO FISCAL (IDF)</t>
  </si>
  <si>
    <t>Histórico Departamentos de Colombia 2020-2024</t>
  </si>
  <si>
    <t>Año:</t>
  </si>
  <si>
    <t>Departamento:</t>
  </si>
  <si>
    <t>Todos</t>
  </si>
  <si>
    <t>Año Anterior:</t>
  </si>
  <si>
    <t>Deptos</t>
  </si>
  <si>
    <t xml:space="preserve"> ⬤  EVOLUCIÓN HISTÓRICA DEL IDF</t>
  </si>
  <si>
    <t>Var. (pp)</t>
  </si>
  <si>
    <t>Máximo</t>
  </si>
  <si>
    <t>Mínimo</t>
  </si>
  <si>
    <t>-</t>
  </si>
  <si>
    <t>Rango de desempeño</t>
  </si>
  <si>
    <t>Cantidad</t>
  </si>
  <si>
    <t>% del Total</t>
  </si>
  <si>
    <t>IDF Prom.</t>
  </si>
  <si>
    <t>Cant. Año Ant.</t>
  </si>
  <si>
    <t>Var. Cant.</t>
  </si>
  <si>
    <t xml:space="preserve"> ⬤  TOP 10 DEPARTAMENTOS - MAYOR IDF (Año seleccionado)</t>
  </si>
  <si>
    <t>#</t>
  </si>
  <si>
    <t>Indicador</t>
  </si>
  <si>
    <t>Resultado Prom.</t>
  </si>
  <si>
    <t>Calif. Prom.</t>
  </si>
  <si>
    <t>Res. Año Ant.</t>
  </si>
  <si>
    <t>Calif. Año Ant.</t>
  </si>
  <si>
    <t>Var. Res. (pp)</t>
  </si>
  <si>
    <t>Var. Calif. (pp)</t>
  </si>
  <si>
    <t>Dependencia
Transferencias</t>
  </si>
  <si>
    <t>Relevancia FBKF</t>
  </si>
  <si>
    <t>Ahorro Corriente</t>
  </si>
  <si>
    <t>Balance Fiscal
Primario</t>
  </si>
  <si>
    <t>TOTAL RESULTADOS</t>
  </si>
  <si>
    <t>Cap. Prog. y Recaudo
Ingresos</t>
  </si>
  <si>
    <t>Cap. Ejecución
Inversión</t>
  </si>
  <si>
    <t>Bonif. Esfuerzo Propio</t>
  </si>
  <si>
    <t>n/a</t>
  </si>
  <si>
    <t>TOTAL GESTIÓN (con bonos)</t>
  </si>
  <si>
    <t>IDF Prom</t>
  </si>
  <si>
    <t>2020</t>
  </si>
  <si>
    <t>2021</t>
  </si>
  <si>
    <t>2022</t>
  </si>
  <si>
    <t>2023</t>
  </si>
  <si>
    <t>2024</t>
  </si>
  <si>
    <t>IDF Promedio (Año Sel.)</t>
  </si>
  <si>
    <t>IDF Prom. Año Anterior</t>
  </si>
  <si>
    <t>Variación IDF</t>
  </si>
  <si>
    <t>Brecha</t>
  </si>
  <si>
    <t>Departamentos</t>
  </si>
  <si>
    <t xml:space="preserve"> ⬤  DISTRIBUCIÓN POR RANGOS DE DESEMPEÑO IDF (Año seleccionado)</t>
  </si>
  <si>
    <t>🧮 EJEMPLO PASO A PASO — CÁLCULO DEL ÍNDICE DE DESEMPEÑO FISCAL (IDF) — DEPARTAMENTOS</t>
  </si>
  <si>
    <t>Selecciona un departamento y un año para ver cómo se construye el IDF a partir de las cuentas fiscales reportadas.</t>
  </si>
  <si>
    <t>🔽 FILTROS DE CONSULTA</t>
  </si>
  <si>
    <t>Código DANE:</t>
  </si>
  <si>
    <t>💡 Sugerencia: cambia el departamento o el año en las celdas amarillas. Todo el cálculo de abajo se recalcula automáticamente.</t>
  </si>
  <si>
    <t>Año de análisis:</t>
  </si>
  <si>
    <t>Región:</t>
  </si>
  <si>
    <t>Categoría:</t>
  </si>
  <si>
    <t>Tipología:</t>
  </si>
  <si>
    <t>1️⃣  INSUMOS FISCALES BÁSICOS (en pesos)</t>
  </si>
  <si>
    <t>Estas son las cuentas reportadas por el departamento que alimentan los indicadores.</t>
  </si>
  <si>
    <t>Cuenta</t>
  </si>
  <si>
    <t>Valor</t>
  </si>
  <si>
    <t>Descripción</t>
  </si>
  <si>
    <t>Ingresos tributarios (A1000)</t>
  </si>
  <si>
    <t>Impuestos propios (cigarrillo, licores, registro, etc.). Mide esfuerzo fiscal propio.</t>
  </si>
  <si>
    <t>Ingresos no tributarios (A2000)</t>
  </si>
  <si>
    <t>Tasas, multas, contribuciones.</t>
  </si>
  <si>
    <t>Transferencias corrientes nacionales (A3010)</t>
  </si>
  <si>
    <t>Transferencias corrientes recibidas de la nación (sin SGR).</t>
  </si>
  <si>
    <t>Transferencias nacionales totales (D1000)</t>
  </si>
  <si>
    <t>Total de transferencias nacionales (corrientes + de capital).</t>
  </si>
  <si>
    <t>Ingresos totales (A)</t>
  </si>
  <si>
    <t>Suma de todos los ingresos del departamento (sin recursos SGR).</t>
  </si>
  <si>
    <t>Ingresos recurrentes (excluye desembolsos y recursos de capital).</t>
  </si>
  <si>
    <t>Ahorro corriente (C)</t>
  </si>
  <si>
    <t>Ingresos corrientes − gastos corrientes. Capacidad de generar excedentes.</t>
  </si>
  <si>
    <t>Gasto en inversión (E)</t>
  </si>
  <si>
    <t>Inversión total (incluye SGR).</t>
  </si>
  <si>
    <t>Compromisos en inversión total (sin SGR).</t>
  </si>
  <si>
    <t>Pagos de inversión total (sin SGR).</t>
  </si>
  <si>
    <t>Inversión en activos físicos (obras, infraestructura).</t>
  </si>
  <si>
    <t>Total de obligaciones del departamento.</t>
  </si>
  <si>
    <t>Total de bienes y derechos del departamento.</t>
  </si>
  <si>
    <t>Numerador del Balance Fiscal Primario.</t>
  </si>
  <si>
    <t>Denominador del Balance Fiscal Primario.</t>
  </si>
  <si>
    <t>Gastos func./ICLD (GF/ICLD)</t>
  </si>
  <si>
    <t>Indicador Ley 617: % de gastos de funcionamiento sobre ICLD.</t>
  </si>
  <si>
    <t>2️⃣  DIMENSIÓN RESULTADOS — fórmulas conectadas a las variables de arriba</t>
  </si>
  <si>
    <t>Mide el QUÉ: solidez fiscal estructural del departamento.</t>
  </si>
  <si>
    <t>Fórmula (referencia a insumos)</t>
  </si>
  <si>
    <t>Resultado (%)</t>
  </si>
  <si>
    <t>Calificación (0-100)</t>
  </si>
  <si>
    <t>Peso IDF</t>
  </si>
  <si>
    <t>Aporte</t>
  </si>
  <si>
    <t>Cómo se interpreta</t>
  </si>
  <si>
    <t>1. Dependencia de transferencias</t>
  </si>
  <si>
    <t>Menor dependencia → mayor calificación. Pondera ingresos propios vs transferencias.</t>
  </si>
  <si>
    <t>2. Relevancia FBKF (inversión física)</t>
  </si>
  <si>
    <t>Cuánta de la inversión se destina a activos físicos productivos.</t>
  </si>
  <si>
    <t>3. Endeudamiento</t>
  </si>
  <si>
    <t>Menor relación pasivos/activos → mayor calificación.</t>
  </si>
  <si>
    <t>4. Ahorro corriente</t>
  </si>
  <si>
    <t>Capacidad de generar excedentes con ingresos recurrentes.</t>
  </si>
  <si>
    <t>5. Balance Fiscal Primario</t>
  </si>
  <si>
    <t>Sostenibilidad de la deuda: cuánto cubre el sup./déficit + intereses sobre los ingresos.</t>
  </si>
  <si>
    <t>🔸 SUBTOTAL DIMENSIÓN RESULTADOS</t>
  </si>
  <si>
    <t>Promedio simple de calificaciones → luego × 80%</t>
  </si>
  <si>
    <t>Calif. simple Resultados (0–100). Aporte al IDF = calif. × 80%.</t>
  </si>
  <si>
    <t>3️⃣  DIMENSIÓN GESTIÓN — peso 20% del IDF</t>
  </si>
  <si>
    <t>Mide el CÓMO: capacidad de planear, ejecutar y esfuerzo propio.</t>
  </si>
  <si>
    <t>Fórmula</t>
  </si>
  <si>
    <t>Peso</t>
  </si>
  <si>
    <t>Interpretación</t>
  </si>
  <si>
    <t>1. Holgura (Ley 617)</t>
  </si>
  <si>
    <t>Cumplimiento del límite legal de gastos de funcionamiento.</t>
  </si>
  <si>
    <t>2. Capacidad de programación y recaudo de ingresos</t>
  </si>
  <si>
    <t>Qué tan acertada fue la proyección inicial frente al recaudo efectivo.</t>
  </si>
  <si>
    <t>3. Capacidad de ejecución de inversión</t>
  </si>
  <si>
    <t>Qué tanto se ejecutó (pagó) de lo comprometido en inversión.</t>
  </si>
  <si>
    <t>➕ Bonificación esfuerzo propio</t>
  </si>
  <si>
    <t>Promedio del crecimiento real de ingresos propios (tributarios + no tributarios) — máx 5 pts</t>
  </si>
  <si>
    <t>Suma directa</t>
  </si>
  <si>
    <t>Premia el crecimiento real (sin inflación) de ingresos propios.</t>
  </si>
  <si>
    <t>🔸 SUBTOTAL DIMENSIÓN GESTIóN + BONOS</t>
  </si>
  <si>
    <t>Promedio(Holgura, CapProg, CapEjec) + Bono</t>
  </si>
  <si>
    <t>Calif. Gestión+Bonos (0–100). Aporte al IDF = calif. × 20%.</t>
  </si>
  <si>
    <t>4️⃣  ÍNDICE DE DESEMPEÑO FISCAL — RESULTADO FINAL</t>
  </si>
  <si>
    <t>Fórmula: IDF = Calif. Resultados × 80% + Calif. Gestión+Bonos × 20%</t>
  </si>
  <si>
    <t>Componente</t>
  </si>
  <si>
    <t>Calif. simple</t>
  </si>
  <si>
    <t>Peso aplicado</t>
  </si>
  <si>
    <t>Aporte al IDF</t>
  </si>
  <si>
    <t>Dimensión Resultados (promedio 5 indicadores)</t>
  </si>
  <si>
    <t>Dimensión Gestión + Bonos (promedio 3 ind. + bono)</t>
  </si>
  <si>
    <t>🎯 IDF FINAL = Aporte Resultados + Aporte Gestión</t>
  </si>
  <si>
    <t>📊 CLASIFICACIÓN Y RANKING</t>
  </si>
  <si>
    <t>Rango / clasificación:</t>
  </si>
  <si>
    <t>Ranking nacional:</t>
  </si>
  <si>
    <t>de 32 departamentos</t>
  </si>
  <si>
    <t>📖 LEYENDA DE RANGOS</t>
  </si>
  <si>
    <t>1. Deterioro (&lt; 40)</t>
  </si>
  <si>
    <t>Situación fiscal crítica: alta dependencia, baja inversión, riesgo de deuda.</t>
  </si>
  <si>
    <t>2. Riesgo (≥ 40 y &lt; 60)</t>
  </si>
  <si>
    <t>Desempeño fiscal débil, con vulnerabilidades importantes.</t>
  </si>
  <si>
    <t>3. Vulnerable (≥ 60 y &lt; 70)</t>
  </si>
  <si>
    <t>Desempeño aceptable pero con áreas que requieren mejora.</t>
  </si>
  <si>
    <t>4. Solvente (≥ 70 y &lt; 80)</t>
  </si>
  <si>
    <t>Desempeño fiscal sólido, buena gestión y sostenibilidad.</t>
  </si>
  <si>
    <t>5. Sostenible (≥ 80)</t>
  </si>
  <si>
    <t>Desempeño fiscal sobresaliente y sostenible en el tiempo.</t>
  </si>
  <si>
    <t>📊 CONSULTAS POR TIPOLOGÍA Y CATEGORÍA — DEPARTAMENTOS</t>
  </si>
  <si>
    <t>📊 IDF PROMEDIO POR TIPOLOGÍA (Año seleccionado vs. Anterior)</t>
  </si>
  <si>
    <t>Tipología</t>
  </si>
  <si>
    <t>IDF Año Sel.</t>
  </si>
  <si>
    <t>IDF Año Ant.</t>
  </si>
  <si>
    <t>Tipología 1</t>
  </si>
  <si>
    <t>Tipología 2</t>
  </si>
  <si>
    <t>Tipología 3</t>
  </si>
  <si>
    <t>TOTAL</t>
  </si>
  <si>
    <t>📊 DISTRIBUCIÓN POR RANGO × TIPOLOGÍA (Año seleccionado)</t>
  </si>
  <si>
    <t>1. Deterioro</t>
  </si>
  <si>
    <t>2. Riesgo</t>
  </si>
  <si>
    <t>3. Vulnerable</t>
  </si>
  <si>
    <t>4. Solvente</t>
  </si>
  <si>
    <t>5. Sostenible</t>
  </si>
  <si>
    <t>Total</t>
  </si>
  <si>
    <t>📊 DISTRIBUCIÓN POR RANGO × CATEGORÍA LEY 617 (Año seleccionado)</t>
  </si>
  <si>
    <t>Categoría</t>
  </si>
  <si>
    <t>Especial (E)</t>
  </si>
  <si>
    <t>Primera (1)</t>
  </si>
  <si>
    <t>Segunda (2)</t>
  </si>
  <si>
    <t>Tercera (3)</t>
  </si>
  <si>
    <t>Cuarta (4)</t>
  </si>
  <si>
    <t>Nota: Las métricas se actualizan al cambiar el Año (B5) y Año Anterior (B6). Las tipologías solo están disponibles para 2024. Fuente: Tabla1 — Nueva Metodología IDF.</t>
  </si>
  <si>
    <t>🔍 CONSULTA HISTÓRICA POR DEPARTAMENTO (2020-2024)</t>
  </si>
  <si>
    <t>← Elija un departamento</t>
  </si>
  <si>
    <t>Ranking Nal.</t>
  </si>
  <si>
    <t>Ingresos corrientes (AO)</t>
  </si>
  <si>
    <t>Compromisos de inversión gastos de capital  (E)</t>
  </si>
  <si>
    <t>Pagos de inversión gastos de capital  (E)</t>
  </si>
  <si>
    <t>Formación bruta de capital fijo (FBKF) (E1000)</t>
  </si>
  <si>
    <t>Sup./déficit (G) + intereses (B2000) + RB (CUIPO)</t>
  </si>
  <si>
    <t>Ingresos totales (A) + desembolsos (H1010)</t>
  </si>
  <si>
    <t>Criterio depto (dashboard):</t>
  </si>
  <si>
    <t>Max. Grupo para FBKF</t>
  </si>
  <si>
    <t>Promedio Holgura por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</si>
</sst>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_-;\-* #,##0.00_-;_-* &quot;-&quot;_-;_-@_-"/>
    <numFmt numFmtId="166" formatCode="_-* #,##0.00\ _€_-;\-* #,##0.00\ _€_-;_-* &quot;-&quot;??\ _€_-;_-@_-"/>
    <numFmt numFmtId="167" formatCode="_-* #,##0_-;\-* #,##0_-;_-* &quot;-&quot;??_-;_-@_-"/>
    <numFmt numFmtId="168" formatCode="0.0"/>
    <numFmt numFmtId="169" formatCode="_-* #,##0.0_-;\-* #,##0.0_-;_-* &quot;-&quot;_-;_-@_-"/>
    <numFmt numFmtId="170" formatCode="0.0%"/>
    <numFmt numFmtId="171" formatCode="0.000"/>
    <numFmt numFmtId="172" formatCode="[Green]\+0.0;[Red]\-0.0;0.0"/>
    <numFmt numFmtId="173" formatCode="[Green]\+0;[Red]\-0;0"/>
    <numFmt numFmtId="174" formatCode="[Red]\+0.0;[Red]\-0.0;0.0"/>
    <numFmt numFmtId="175" formatCode="[Green]\+0.00;[Red]\-0.00;0.00"/>
    <numFmt numFmtId="176" formatCode="#,##0.000"/>
  </numFmts>
  <fonts count="84" x14ac:knownFonts="1">
    <font>
      <sz val="11"/>
      <color rgb="FF000000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1"/>
      <color rgb="FF000000"/>
      <name val="Franklin Gothic Book"/>
      <family val="2"/>
      <scheme val="minor"/>
    </font>
    <font>
      <sz val="9"/>
      <color theme="1"/>
      <name val="Trebuchet MS"/>
      <family val="2"/>
    </font>
    <font>
      <sz val="10"/>
      <color rgb="FF000000"/>
      <name val="Franklin Gothic Book"/>
      <family val="2"/>
      <scheme val="minor"/>
    </font>
    <font>
      <sz val="9"/>
      <name val="Trebuchet MS"/>
      <family val="2"/>
    </font>
    <font>
      <sz val="12"/>
      <color theme="1"/>
      <name val="Franklin Gothic Book"/>
      <family val="2"/>
      <scheme val="minor"/>
    </font>
    <font>
      <sz val="9"/>
      <color rgb="FF000000"/>
      <name val="Trebuchet MS"/>
      <family val="2"/>
    </font>
    <font>
      <sz val="8"/>
      <color theme="1"/>
      <name val="Calibri"/>
      <family val="2"/>
    </font>
    <font>
      <sz val="9"/>
      <color rgb="FF000000"/>
      <name val="Franklin Gothic Book"/>
      <family val="2"/>
      <scheme val="minor"/>
    </font>
    <font>
      <sz val="10"/>
      <color theme="1"/>
      <name val="Trebuchet MS"/>
      <family val="2"/>
    </font>
    <font>
      <b/>
      <sz val="10"/>
      <color rgb="FF000000"/>
      <name val="Franklin Gothic Book"/>
      <family val="2"/>
      <scheme val="minor"/>
    </font>
    <font>
      <b/>
      <sz val="10"/>
      <color theme="0"/>
      <name val="Trebuchet MS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3"/>
      <name val="Franklin Gothic Book"/>
      <family val="2"/>
      <scheme val="minor"/>
    </font>
    <font>
      <b/>
      <sz val="11"/>
      <color rgb="FF000000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sz val="10"/>
      <name val="Franklin Gothic Book"/>
      <family val="2"/>
      <scheme val="minor"/>
    </font>
    <font>
      <sz val="10"/>
      <name val="Trebuchet MS"/>
      <family val="2"/>
    </font>
    <font>
      <b/>
      <sz val="11"/>
      <color theme="1"/>
      <name val="Franklin Gothic Book"/>
      <family val="2"/>
      <scheme val="minor"/>
    </font>
    <font>
      <sz val="11"/>
      <color rgb="FF000000"/>
      <name val="Aptos Narrow"/>
      <family val="2"/>
    </font>
    <font>
      <b/>
      <sz val="10"/>
      <color theme="0"/>
      <name val="Franklin Gothic Book"/>
      <family val="2"/>
      <scheme val="minor"/>
    </font>
    <font>
      <b/>
      <sz val="9"/>
      <color theme="4" tint="0.39997558519241921"/>
      <name val="Franklin Gothic Book"/>
      <family val="2"/>
      <scheme val="minor"/>
    </font>
    <font>
      <sz val="11"/>
      <color theme="3" tint="9.9978637043366805E-2"/>
      <name val="Franklin Gothic Book"/>
      <family val="2"/>
      <scheme val="minor"/>
    </font>
    <font>
      <b/>
      <sz val="11"/>
      <color theme="3" tint="9.9978637043366805E-2"/>
      <name val="Franklin Gothic Book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6"/>
      <color rgb="FFFFFFFF"/>
      <name val="Calibri"/>
      <family val="2"/>
    </font>
    <font>
      <b/>
      <sz val="11"/>
      <color rgb="FF000000"/>
      <name val="Calibri"/>
      <family val="2"/>
    </font>
    <font>
      <i/>
      <sz val="10"/>
      <color rgb="FFE8F5E9"/>
      <name val="Calibri"/>
      <family val="2"/>
    </font>
    <font>
      <sz val="8"/>
      <color rgb="FFCCCCCC"/>
      <name val="Franklin Gothic Book"/>
      <family val="2"/>
      <scheme val="minor"/>
    </font>
    <font>
      <b/>
      <sz val="11"/>
      <color rgb="FF1B5E20"/>
      <name val="Calibri"/>
      <family val="2"/>
    </font>
    <font>
      <b/>
      <sz val="14"/>
      <color rgb="FF0000FF"/>
      <name val="Calibri"/>
      <family val="2"/>
    </font>
    <font>
      <b/>
      <sz val="10"/>
      <color rgb="FF666666"/>
      <name val="Calibri"/>
      <family val="2"/>
    </font>
    <font>
      <sz val="10"/>
      <color rgb="FF666666"/>
      <name val="Calibri"/>
      <family val="2"/>
    </font>
    <font>
      <b/>
      <sz val="10"/>
      <color rgb="FFFFFFFF"/>
      <name val="Calibri"/>
      <family val="2"/>
    </font>
    <font>
      <b/>
      <sz val="9"/>
      <color rgb="FF1B5E20"/>
      <name val="Calibri"/>
      <family val="2"/>
    </font>
    <font>
      <sz val="11"/>
      <color rgb="FF999999"/>
      <name val="Calibri"/>
      <family val="2"/>
    </font>
    <font>
      <sz val="11"/>
      <color rgb="FFB71C1C"/>
      <name val="Calibri"/>
      <family val="2"/>
    </font>
    <font>
      <sz val="11"/>
      <color rgb="FFE65100"/>
      <name val="Calibri"/>
      <family val="2"/>
    </font>
    <font>
      <sz val="11"/>
      <color rgb="FFF57F17"/>
      <name val="Calibri"/>
      <family val="2"/>
    </font>
    <font>
      <sz val="11"/>
      <color rgb="FF1B5E20"/>
      <name val="Calibri"/>
      <family val="2"/>
    </font>
    <font>
      <b/>
      <sz val="8"/>
      <color rgb="FF1B5E20"/>
      <name val="Calibri"/>
      <family val="2"/>
    </font>
    <font>
      <b/>
      <sz val="9"/>
      <color rgb="FF000000"/>
      <name val="Calibri"/>
      <family val="2"/>
    </font>
    <font>
      <sz val="11"/>
      <color rgb="FF888888"/>
      <name val="Calibri"/>
      <family val="2"/>
    </font>
    <font>
      <sz val="9"/>
      <color rgb="FF000000"/>
      <name val="Calibri"/>
      <family val="2"/>
    </font>
    <font>
      <b/>
      <sz val="11"/>
      <color rgb="FF888888"/>
      <name val="Calibri"/>
      <family val="2"/>
    </font>
    <font>
      <b/>
      <sz val="10"/>
      <color rgb="FF595959"/>
      <name val="Calibri"/>
    </font>
    <font>
      <b/>
      <sz val="18"/>
      <color rgb="FF1B5E20"/>
      <name val="Calibri"/>
    </font>
    <font>
      <b/>
      <sz val="18"/>
      <color rgb="FF0070C0"/>
      <name val="Calibri"/>
    </font>
    <font>
      <b/>
      <sz val="18"/>
      <color rgb="FFED7D31"/>
      <name val="Calibri"/>
    </font>
    <font>
      <b/>
      <sz val="18"/>
      <color rgb="FF7F7F7F"/>
      <name val="Calibri"/>
    </font>
    <font>
      <b/>
      <sz val="18"/>
      <color rgb="FFC00000"/>
      <name val="Calibri"/>
    </font>
    <font>
      <b/>
      <sz val="16"/>
      <color rgb="FFFFFFFF"/>
      <name val="Calibri"/>
    </font>
    <font>
      <i/>
      <sz val="11"/>
      <color rgb="FF595959"/>
      <name val="Franklin Gothic Book"/>
      <family val="2"/>
      <scheme val="minor"/>
    </font>
    <font>
      <b/>
      <sz val="13"/>
      <color rgb="FF1F3864"/>
      <name val="Franklin Gothic Book"/>
      <family val="2"/>
      <scheme val="minor"/>
    </font>
    <font>
      <b/>
      <sz val="14"/>
      <color rgb="FF0000FF"/>
      <name val="Franklin Gothic Book"/>
      <family val="2"/>
      <scheme val="minor"/>
    </font>
    <font>
      <i/>
      <sz val="10"/>
      <color rgb="FF595959"/>
      <name val="Franklin Gothic Book"/>
      <family val="2"/>
      <scheme val="minor"/>
    </font>
    <font>
      <b/>
      <sz val="13"/>
      <color rgb="FFFFFFFF"/>
      <name val="Franklin Gothic Book"/>
      <family val="2"/>
      <scheme val="minor"/>
    </font>
    <font>
      <i/>
      <sz val="10"/>
      <color rgb="FFFFFFFF"/>
      <name val="Franklin Gothic Book"/>
      <family val="2"/>
      <scheme val="minor"/>
    </font>
    <font>
      <sz val="9"/>
      <color rgb="FF595959"/>
      <name val="Franklin Gothic Book"/>
      <family val="2"/>
      <scheme val="minor"/>
    </font>
    <font>
      <b/>
      <sz val="10"/>
      <color rgb="FF595959"/>
      <name val="Franklin Gothic Book"/>
      <family val="2"/>
      <scheme val="minor"/>
    </font>
    <font>
      <i/>
      <sz val="9"/>
      <color rgb="FF595959"/>
      <name val="Franklin Gothic Book"/>
      <family val="2"/>
      <scheme val="minor"/>
    </font>
    <font>
      <sz val="10"/>
      <color rgb="FF999999"/>
      <name val="Franklin Gothic Book"/>
      <family val="2"/>
      <scheme val="minor"/>
    </font>
    <font>
      <b/>
      <sz val="12"/>
      <color rgb="FFFFFFFF"/>
      <name val="Franklin Gothic Book"/>
      <family val="2"/>
      <scheme val="minor"/>
    </font>
    <font>
      <b/>
      <sz val="11"/>
      <color rgb="FFFFFFFF"/>
      <name val="Franklin Gothic Book"/>
      <family val="2"/>
      <scheme val="minor"/>
    </font>
    <font>
      <b/>
      <sz val="18"/>
      <color rgb="FFFFFFFF"/>
      <name val="Franklin Gothic Book"/>
      <family val="2"/>
      <scheme val="minor"/>
    </font>
    <font>
      <b/>
      <sz val="12"/>
      <color rgb="FF1F3864"/>
      <name val="Franklin Gothic Book"/>
      <family val="2"/>
      <scheme val="minor"/>
    </font>
    <font>
      <b/>
      <sz val="14"/>
      <color rgb="FF1F3864"/>
      <name val="Franklin Gothic Book"/>
      <family val="2"/>
      <scheme val="minor"/>
    </font>
    <font>
      <b/>
      <sz val="10"/>
      <color rgb="FFFFFFFF"/>
      <name val="Franklin Gothic Book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FF"/>
      <name val="Franklin Gothic Book"/>
      <family val="2"/>
      <scheme val="minor"/>
    </font>
    <font>
      <i/>
      <sz val="10"/>
      <color rgb="FF999999"/>
      <name val="Franklin Gothic Book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999C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4E11"/>
        <bgColor indexed="64"/>
      </patternFill>
    </fill>
    <fill>
      <patternFill patternType="solid">
        <fgColor theme="0"/>
        <bgColor theme="8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F8D00"/>
        <bgColor theme="4" tint="0.79998168889431442"/>
      </patternFill>
    </fill>
    <fill>
      <patternFill patternType="solid">
        <fgColor rgb="FFAB2292"/>
        <bgColor theme="4" tint="0.79998168889431442"/>
      </patternFill>
    </fill>
    <fill>
      <patternFill patternType="solid">
        <fgColor rgb="FF00B53E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C3C1"/>
        <bgColor indexed="64"/>
      </patternFill>
    </fill>
    <fill>
      <patternFill patternType="solid">
        <fgColor rgb="FFFFCA00"/>
        <bgColor indexed="64"/>
      </patternFill>
    </fill>
    <fill>
      <patternFill patternType="solid">
        <fgColor rgb="FF00C3C1"/>
        <bgColor theme="7" tint="0.79998168889431442"/>
      </patternFill>
    </fill>
    <fill>
      <patternFill patternType="solid">
        <fgColor rgb="FF0DFFFF"/>
        <bgColor theme="7" tint="0.79998168889431442"/>
      </patternFill>
    </fill>
    <fill>
      <patternFill patternType="solid">
        <fgColor rgb="FFFE187B"/>
        <bgColor indexed="64"/>
      </patternFill>
    </fill>
    <fill>
      <patternFill patternType="solid">
        <fgColor rgb="FFFE187B"/>
        <bgColor theme="7" tint="0.79998168889431442"/>
      </patternFill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5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1B5E20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21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8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9" fontId="4" fillId="0" borderId="0" applyFont="0" applyFill="0" applyBorder="0" applyAlignment="0" applyProtection="0"/>
    <xf numFmtId="0" fontId="1" fillId="0" borderId="0"/>
  </cellStyleXfs>
  <cellXfs count="394">
    <xf numFmtId="0" fontId="0" fillId="0" borderId="0" xfId="0"/>
    <xf numFmtId="164" fontId="0" fillId="0" borderId="0" xfId="1" applyNumberFormat="1" applyFont="1"/>
    <xf numFmtId="165" fontId="6" fillId="0" borderId="0" xfId="3" applyNumberFormat="1" applyFont="1"/>
    <xf numFmtId="2" fontId="6" fillId="0" borderId="0" xfId="0" applyNumberFormat="1" applyFont="1"/>
    <xf numFmtId="1" fontId="6" fillId="0" borderId="0" xfId="0" applyNumberFormat="1" applyFont="1"/>
    <xf numFmtId="42" fontId="6" fillId="0" borderId="0" xfId="4" applyFont="1"/>
    <xf numFmtId="164" fontId="6" fillId="0" borderId="0" xfId="1" applyNumberFormat="1" applyFont="1"/>
    <xf numFmtId="2" fontId="0" fillId="0" borderId="0" xfId="0" applyNumberFormat="1"/>
    <xf numFmtId="164" fontId="6" fillId="8" borderId="0" xfId="1" applyNumberFormat="1" applyFont="1" applyFill="1" applyBorder="1" applyAlignment="1">
      <alignment horizontal="center" vertical="center" wrapText="1"/>
    </xf>
    <xf numFmtId="167" fontId="6" fillId="0" borderId="0" xfId="2" applyNumberFormat="1" applyFont="1"/>
    <xf numFmtId="41" fontId="6" fillId="0" borderId="0" xfId="3" applyFont="1"/>
    <xf numFmtId="167" fontId="6" fillId="0" borderId="0" xfId="4" applyNumberFormat="1" applyFont="1"/>
    <xf numFmtId="168" fontId="6" fillId="0" borderId="0" xfId="0" applyNumberFormat="1" applyFont="1"/>
    <xf numFmtId="169" fontId="6" fillId="0" borderId="0" xfId="3" applyNumberFormat="1" applyFont="1"/>
    <xf numFmtId="0" fontId="11" fillId="0" borderId="0" xfId="0" applyFont="1"/>
    <xf numFmtId="41" fontId="11" fillId="0" borderId="0" xfId="3" applyFont="1"/>
    <xf numFmtId="44" fontId="6" fillId="0" borderId="0" xfId="1" applyFont="1"/>
    <xf numFmtId="164" fontId="11" fillId="0" borderId="0" xfId="0" applyNumberFormat="1" applyFont="1"/>
    <xf numFmtId="164" fontId="6" fillId="16" borderId="0" xfId="1" applyNumberFormat="1" applyFont="1" applyFill="1"/>
    <xf numFmtId="49" fontId="7" fillId="17" borderId="5" xfId="0" applyNumberFormat="1" applyFont="1" applyFill="1" applyBorder="1"/>
    <xf numFmtId="2" fontId="5" fillId="2" borderId="5" xfId="0" applyNumberFormat="1" applyFont="1" applyFill="1" applyBorder="1" applyAlignment="1">
      <alignment horizontal="right"/>
    </xf>
    <xf numFmtId="2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1" fontId="5" fillId="2" borderId="0" xfId="0" applyNumberFormat="1" applyFont="1" applyFill="1" applyAlignment="1">
      <alignment horizontal="right"/>
    </xf>
    <xf numFmtId="0" fontId="5" fillId="2" borderId="8" xfId="0" applyFont="1" applyFill="1" applyBorder="1" applyAlignment="1">
      <alignment horizontal="right"/>
    </xf>
    <xf numFmtId="2" fontId="5" fillId="2" borderId="8" xfId="0" applyNumberFormat="1" applyFont="1" applyFill="1" applyBorder="1" applyAlignment="1">
      <alignment horizontal="right"/>
    </xf>
    <xf numFmtId="2" fontId="5" fillId="2" borderId="0" xfId="0" applyNumberFormat="1" applyFont="1" applyFill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4" fontId="7" fillId="2" borderId="8" xfId="2" applyNumberFormat="1" applyFont="1" applyFill="1" applyBorder="1" applyAlignment="1"/>
    <xf numFmtId="165" fontId="11" fillId="0" borderId="0" xfId="3" applyNumberFormat="1" applyFont="1"/>
    <xf numFmtId="42" fontId="11" fillId="0" borderId="0" xfId="4" applyFont="1"/>
    <xf numFmtId="1" fontId="6" fillId="0" borderId="0" xfId="2" applyNumberFormat="1" applyFont="1"/>
    <xf numFmtId="0" fontId="12" fillId="5" borderId="0" xfId="0" applyFont="1" applyFill="1" applyAlignment="1">
      <alignment horizontal="center" vertical="center" wrapText="1"/>
    </xf>
    <xf numFmtId="0" fontId="6" fillId="0" borderId="0" xfId="0" applyFont="1"/>
    <xf numFmtId="0" fontId="12" fillId="6" borderId="0" xfId="0" applyFont="1" applyFill="1" applyAlignment="1">
      <alignment horizontal="center" vertical="center" wrapText="1"/>
    </xf>
    <xf numFmtId="0" fontId="6" fillId="14" borderId="0" xfId="0" applyFont="1" applyFill="1"/>
    <xf numFmtId="164" fontId="6" fillId="3" borderId="0" xfId="1" applyNumberFormat="1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/>
    </xf>
    <xf numFmtId="1" fontId="6" fillId="0" borderId="0" xfId="3" applyNumberFormat="1" applyFont="1"/>
    <xf numFmtId="1" fontId="6" fillId="0" borderId="0" xfId="1" applyNumberFormat="1" applyFont="1"/>
    <xf numFmtId="9" fontId="6" fillId="0" borderId="0" xfId="19" applyFont="1"/>
    <xf numFmtId="164" fontId="11" fillId="0" borderId="0" xfId="1" applyNumberFormat="1" applyFont="1"/>
    <xf numFmtId="1" fontId="11" fillId="0" borderId="0" xfId="3" applyNumberFormat="1" applyFont="1"/>
    <xf numFmtId="1" fontId="11" fillId="0" borderId="0" xfId="0" applyNumberFormat="1" applyFont="1"/>
    <xf numFmtId="169" fontId="11" fillId="0" borderId="0" xfId="3" applyNumberFormat="1" applyFont="1"/>
    <xf numFmtId="167" fontId="11" fillId="0" borderId="0" xfId="2" applyNumberFormat="1" applyFont="1"/>
    <xf numFmtId="2" fontId="11" fillId="0" borderId="0" xfId="0" applyNumberFormat="1" applyFont="1"/>
    <xf numFmtId="168" fontId="11" fillId="0" borderId="0" xfId="0" applyNumberFormat="1" applyFont="1"/>
    <xf numFmtId="49" fontId="7" fillId="17" borderId="0" xfId="0" applyNumberFormat="1" applyFont="1" applyFill="1"/>
    <xf numFmtId="164" fontId="6" fillId="0" borderId="5" xfId="1" applyNumberFormat="1" applyFont="1" applyBorder="1"/>
    <xf numFmtId="164" fontId="6" fillId="0" borderId="6" xfId="1" applyNumberFormat="1" applyFont="1" applyBorder="1"/>
    <xf numFmtId="49" fontId="9" fillId="17" borderId="0" xfId="0" applyNumberFormat="1" applyFont="1" applyFill="1"/>
    <xf numFmtId="2" fontId="6" fillId="0" borderId="5" xfId="0" applyNumberFormat="1" applyFont="1" applyBorder="1"/>
    <xf numFmtId="165" fontId="6" fillId="0" borderId="5" xfId="3" applyNumberFormat="1" applyFont="1" applyBorder="1"/>
    <xf numFmtId="2" fontId="6" fillId="0" borderId="6" xfId="0" applyNumberFormat="1" applyFont="1" applyBorder="1"/>
    <xf numFmtId="2" fontId="6" fillId="0" borderId="3" xfId="0" applyNumberFormat="1" applyFont="1" applyBorder="1"/>
    <xf numFmtId="2" fontId="6" fillId="0" borderId="2" xfId="0" applyNumberFormat="1" applyFont="1" applyBorder="1"/>
    <xf numFmtId="2" fontId="6" fillId="0" borderId="4" xfId="0" applyNumberFormat="1" applyFont="1" applyBorder="1"/>
    <xf numFmtId="2" fontId="6" fillId="0" borderId="8" xfId="0" applyNumberFormat="1" applyFont="1" applyBorder="1"/>
    <xf numFmtId="2" fontId="6" fillId="0" borderId="9" xfId="0" applyNumberFormat="1" applyFont="1" applyBorder="1"/>
    <xf numFmtId="2" fontId="6" fillId="0" borderId="7" xfId="0" applyNumberFormat="1" applyFont="1" applyBorder="1"/>
    <xf numFmtId="4" fontId="7" fillId="2" borderId="0" xfId="2" applyNumberFormat="1" applyFont="1" applyFill="1" applyBorder="1" applyAlignment="1"/>
    <xf numFmtId="164" fontId="6" fillId="0" borderId="0" xfId="1" applyNumberFormat="1" applyFont="1" applyBorder="1"/>
    <xf numFmtId="165" fontId="6" fillId="0" borderId="0" xfId="3" applyNumberFormat="1" applyFont="1" applyBorder="1"/>
    <xf numFmtId="0" fontId="0" fillId="0" borderId="1" xfId="0" applyBorder="1"/>
    <xf numFmtId="0" fontId="6" fillId="19" borderId="0" xfId="0" applyFont="1" applyFill="1"/>
    <xf numFmtId="2" fontId="5" fillId="20" borderId="0" xfId="0" applyNumberFormat="1" applyFont="1" applyFill="1" applyAlignment="1">
      <alignment horizontal="right"/>
    </xf>
    <xf numFmtId="2" fontId="15" fillId="0" borderId="0" xfId="0" applyNumberFormat="1" applyFont="1"/>
    <xf numFmtId="0" fontId="0" fillId="0" borderId="0" xfId="0" pivotButton="1"/>
    <xf numFmtId="1" fontId="0" fillId="0" borderId="0" xfId="0" applyNumberFormat="1"/>
    <xf numFmtId="164" fontId="20" fillId="3" borderId="0" xfId="1" applyNumberFormat="1" applyFont="1" applyFill="1" applyBorder="1" applyAlignment="1">
      <alignment horizontal="center" vertical="center" wrapText="1"/>
    </xf>
    <xf numFmtId="164" fontId="20" fillId="3" borderId="11" xfId="1" applyNumberFormat="1" applyFont="1" applyFill="1" applyBorder="1" applyAlignment="1">
      <alignment horizontal="center" vertical="center" wrapText="1"/>
    </xf>
    <xf numFmtId="164" fontId="20" fillId="18" borderId="12" xfId="1" applyNumberFormat="1" applyFont="1" applyFill="1" applyBorder="1" applyAlignment="1">
      <alignment horizontal="center" vertical="center" wrapText="1"/>
    </xf>
    <xf numFmtId="164" fontId="20" fillId="18" borderId="13" xfId="1" applyNumberFormat="1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/>
    <xf numFmtId="164" fontId="16" fillId="0" borderId="0" xfId="1" applyNumberFormat="1" applyFont="1"/>
    <xf numFmtId="41" fontId="16" fillId="0" borderId="0" xfId="3" applyFont="1"/>
    <xf numFmtId="168" fontId="16" fillId="0" borderId="0" xfId="0" applyNumberFormat="1" applyFont="1"/>
    <xf numFmtId="164" fontId="16" fillId="0" borderId="0" xfId="0" applyNumberFormat="1" applyFont="1"/>
    <xf numFmtId="2" fontId="16" fillId="0" borderId="0" xfId="0" applyNumberFormat="1" applyFont="1"/>
    <xf numFmtId="2" fontId="16" fillId="2" borderId="0" xfId="0" applyNumberFormat="1" applyFont="1" applyFill="1" applyAlignment="1">
      <alignment horizontal="right"/>
    </xf>
    <xf numFmtId="1" fontId="16" fillId="0" borderId="0" xfId="3" applyNumberFormat="1" applyFont="1"/>
    <xf numFmtId="0" fontId="0" fillId="0" borderId="0" xfId="0" applyAlignment="1">
      <alignment wrapText="1"/>
    </xf>
    <xf numFmtId="41" fontId="16" fillId="0" borderId="0" xfId="3" applyFont="1" applyAlignment="1">
      <alignment horizontal="left"/>
    </xf>
    <xf numFmtId="1" fontId="16" fillId="0" borderId="0" xfId="0" applyNumberFormat="1" applyFont="1" applyAlignment="1">
      <alignment horizontal="right"/>
    </xf>
    <xf numFmtId="1" fontId="16" fillId="0" borderId="0" xfId="3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8" fontId="0" fillId="0" borderId="0" xfId="0" applyNumberFormat="1"/>
    <xf numFmtId="0" fontId="22" fillId="21" borderId="20" xfId="0" applyFont="1" applyFill="1" applyBorder="1"/>
    <xf numFmtId="0" fontId="23" fillId="0" borderId="0" xfId="0" applyFont="1" applyAlignment="1">
      <alignment vertical="center"/>
    </xf>
    <xf numFmtId="168" fontId="23" fillId="0" borderId="0" xfId="0" applyNumberFormat="1" applyFont="1" applyAlignment="1">
      <alignment horizontal="right" vertical="center"/>
    </xf>
    <xf numFmtId="0" fontId="22" fillId="21" borderId="19" xfId="0" applyFont="1" applyFill="1" applyBorder="1"/>
    <xf numFmtId="0" fontId="0" fillId="0" borderId="0" xfId="0" applyAlignment="1">
      <alignment vertical="center"/>
    </xf>
    <xf numFmtId="0" fontId="22" fillId="21" borderId="19" xfId="0" applyFont="1" applyFill="1" applyBorder="1" applyAlignment="1">
      <alignment horizontal="center" vertical="center" wrapText="1"/>
    </xf>
    <xf numFmtId="2" fontId="22" fillId="0" borderId="19" xfId="0" applyNumberFormat="1" applyFont="1" applyBorder="1"/>
    <xf numFmtId="2" fontId="22" fillId="22" borderId="19" xfId="0" applyNumberFormat="1" applyFont="1" applyFill="1" applyBorder="1"/>
    <xf numFmtId="0" fontId="0" fillId="22" borderId="0" xfId="0" applyFill="1"/>
    <xf numFmtId="2" fontId="22" fillId="10" borderId="19" xfId="0" applyNumberFormat="1" applyFont="1" applyFill="1" applyBorder="1"/>
    <xf numFmtId="0" fontId="0" fillId="10" borderId="0" xfId="0" applyFill="1"/>
    <xf numFmtId="2" fontId="22" fillId="23" borderId="19" xfId="0" applyNumberFormat="1" applyFont="1" applyFill="1" applyBorder="1"/>
    <xf numFmtId="0" fontId="0" fillId="23" borderId="0" xfId="0" applyFill="1"/>
    <xf numFmtId="2" fontId="22" fillId="24" borderId="19" xfId="0" applyNumberFormat="1" applyFont="1" applyFill="1" applyBorder="1"/>
    <xf numFmtId="0" fontId="0" fillId="24" borderId="0" xfId="0" applyFill="1"/>
    <xf numFmtId="10" fontId="0" fillId="0" borderId="0" xfId="0" applyNumberFormat="1"/>
    <xf numFmtId="0" fontId="18" fillId="0" borderId="0" xfId="0" applyFont="1" applyAlignment="1">
      <alignment horizontal="left"/>
    </xf>
    <xf numFmtId="170" fontId="0" fillId="0" borderId="0" xfId="0" applyNumberFormat="1"/>
    <xf numFmtId="170" fontId="0" fillId="0" borderId="0" xfId="0" applyNumberForma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7" fillId="25" borderId="14" xfId="0" applyFont="1" applyFill="1" applyBorder="1" applyAlignment="1">
      <alignment horizontal="center" vertical="center"/>
    </xf>
    <xf numFmtId="0" fontId="17" fillId="25" borderId="15" xfId="0" applyFont="1" applyFill="1" applyBorder="1" applyAlignment="1">
      <alignment horizontal="center" vertical="center"/>
    </xf>
    <xf numFmtId="0" fontId="19" fillId="26" borderId="16" xfId="0" applyFont="1" applyFill="1" applyBorder="1"/>
    <xf numFmtId="2" fontId="19" fillId="26" borderId="14" xfId="0" applyNumberFormat="1" applyFont="1" applyFill="1" applyBorder="1"/>
    <xf numFmtId="0" fontId="19" fillId="2" borderId="16" xfId="0" applyFont="1" applyFill="1" applyBorder="1"/>
    <xf numFmtId="2" fontId="19" fillId="2" borderId="14" xfId="0" applyNumberFormat="1" applyFont="1" applyFill="1" applyBorder="1"/>
    <xf numFmtId="0" fontId="19" fillId="26" borderId="17" xfId="0" applyFont="1" applyFill="1" applyBorder="1"/>
    <xf numFmtId="2" fontId="19" fillId="26" borderId="18" xfId="0" applyNumberFormat="1" applyFont="1" applyFill="1" applyBorder="1"/>
    <xf numFmtId="1" fontId="16" fillId="0" borderId="0" xfId="0" applyNumberFormat="1" applyFont="1" applyAlignment="1">
      <alignment horizontal="center"/>
    </xf>
    <xf numFmtId="0" fontId="24" fillId="24" borderId="19" xfId="0" applyFont="1" applyFill="1" applyBorder="1" applyAlignment="1">
      <alignment horizontal="center" vertical="center" wrapText="1"/>
    </xf>
    <xf numFmtId="0" fontId="24" fillId="27" borderId="19" xfId="0" applyFont="1" applyFill="1" applyBorder="1" applyAlignment="1">
      <alignment horizontal="center" vertical="center" wrapText="1"/>
    </xf>
    <xf numFmtId="0" fontId="24" fillId="28" borderId="19" xfId="0" applyFont="1" applyFill="1" applyBorder="1" applyAlignment="1">
      <alignment horizontal="center" vertical="center" wrapText="1"/>
    </xf>
    <xf numFmtId="0" fontId="24" fillId="29" borderId="19" xfId="0" applyFont="1" applyFill="1" applyBorder="1" applyAlignment="1">
      <alignment horizontal="center" vertical="center" wrapText="1"/>
    </xf>
    <xf numFmtId="10" fontId="25" fillId="30" borderId="20" xfId="0" applyNumberFormat="1" applyFont="1" applyFill="1" applyBorder="1" applyAlignment="1">
      <alignment horizontal="center" vertical="center"/>
    </xf>
    <xf numFmtId="2" fontId="22" fillId="21" borderId="20" xfId="0" applyNumberFormat="1" applyFont="1" applyFill="1" applyBorder="1"/>
    <xf numFmtId="0" fontId="27" fillId="21" borderId="22" xfId="0" applyFont="1" applyFill="1" applyBorder="1" applyAlignment="1">
      <alignment horizontal="center" vertical="center" wrapText="1"/>
    </xf>
    <xf numFmtId="0" fontId="27" fillId="21" borderId="23" xfId="0" applyFont="1" applyFill="1" applyBorder="1" applyAlignment="1">
      <alignment horizontal="center" vertical="center" wrapText="1"/>
    </xf>
    <xf numFmtId="0" fontId="27" fillId="21" borderId="21" xfId="0" applyFont="1" applyFill="1" applyBorder="1" applyAlignment="1">
      <alignment horizontal="center" vertical="center"/>
    </xf>
    <xf numFmtId="0" fontId="26" fillId="0" borderId="24" xfId="0" applyFont="1" applyBorder="1"/>
    <xf numFmtId="0" fontId="26" fillId="0" borderId="25" xfId="0" applyFont="1" applyBorder="1"/>
    <xf numFmtId="168" fontId="0" fillId="0" borderId="0" xfId="0" applyNumberFormat="1" applyAlignment="1">
      <alignment horizontal="center"/>
    </xf>
    <xf numFmtId="168" fontId="0" fillId="0" borderId="26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8" fontId="0" fillId="0" borderId="27" xfId="0" applyNumberFormat="1" applyBorder="1" applyAlignment="1">
      <alignment horizontal="center"/>
    </xf>
    <xf numFmtId="0" fontId="28" fillId="0" borderId="0" xfId="0" applyFont="1"/>
    <xf numFmtId="0" fontId="22" fillId="21" borderId="22" xfId="0" applyFont="1" applyFill="1" applyBorder="1" applyAlignment="1">
      <alignment horizontal="center" vertical="center" wrapText="1"/>
    </xf>
    <xf numFmtId="0" fontId="18" fillId="0" borderId="0" xfId="0" applyFont="1"/>
    <xf numFmtId="9" fontId="11" fillId="0" borderId="0" xfId="19" applyFont="1"/>
    <xf numFmtId="1" fontId="16" fillId="0" borderId="0" xfId="3" applyNumberFormat="1" applyFont="1" applyAlignment="1">
      <alignment horizontal="center"/>
    </xf>
    <xf numFmtId="0" fontId="16" fillId="0" borderId="0" xfId="3" applyNumberFormat="1" applyFont="1" applyAlignment="1">
      <alignment horizontal="center"/>
    </xf>
    <xf numFmtId="164" fontId="20" fillId="3" borderId="0" xfId="1" applyNumberFormat="1" applyFont="1" applyFill="1" applyBorder="1" applyAlignment="1">
      <alignment horizontal="center" wrapText="1"/>
    </xf>
    <xf numFmtId="41" fontId="6" fillId="0" borderId="0" xfId="3" applyFont="1" applyAlignment="1"/>
    <xf numFmtId="41" fontId="11" fillId="0" borderId="0" xfId="3" applyFont="1" applyAlignment="1"/>
    <xf numFmtId="0" fontId="6" fillId="0" borderId="0" xfId="0" applyFont="1" applyAlignment="1">
      <alignment horizontal="center"/>
    </xf>
    <xf numFmtId="41" fontId="16" fillId="0" borderId="0" xfId="3" applyFont="1" applyAlignment="1">
      <alignment horizontal="center"/>
    </xf>
    <xf numFmtId="41" fontId="6" fillId="0" borderId="0" xfId="3" applyFont="1" applyAlignment="1">
      <alignment horizontal="center"/>
    </xf>
    <xf numFmtId="41" fontId="11" fillId="0" borderId="0" xfId="3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pivotButton="1" applyAlignment="1">
      <alignment wrapText="1"/>
    </xf>
    <xf numFmtId="164" fontId="30" fillId="3" borderId="0" xfId="1" applyNumberFormat="1" applyFont="1" applyFill="1" applyBorder="1" applyAlignment="1">
      <alignment horizontal="center" vertical="center" wrapText="1"/>
    </xf>
    <xf numFmtId="164" fontId="30" fillId="0" borderId="0" xfId="1" applyNumberFormat="1" applyFont="1"/>
    <xf numFmtId="1" fontId="30" fillId="0" borderId="0" xfId="3" applyNumberFormat="1" applyFont="1"/>
    <xf numFmtId="0" fontId="30" fillId="0" borderId="0" xfId="0" pivotButton="1" applyFont="1"/>
    <xf numFmtId="0" fontId="30" fillId="0" borderId="0" xfId="0" applyFont="1" applyAlignment="1">
      <alignment horizontal="left"/>
    </xf>
    <xf numFmtId="0" fontId="30" fillId="0" borderId="0" xfId="0" applyFont="1"/>
    <xf numFmtId="0" fontId="30" fillId="0" borderId="0" xfId="0" pivotButton="1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8" fontId="30" fillId="0" borderId="0" xfId="0" applyNumberFormat="1" applyFont="1"/>
    <xf numFmtId="171" fontId="30" fillId="0" borderId="0" xfId="0" applyNumberFormat="1" applyFont="1"/>
    <xf numFmtId="0" fontId="31" fillId="0" borderId="0" xfId="0" applyFont="1"/>
    <xf numFmtId="0" fontId="30" fillId="0" borderId="0" xfId="0" applyFont="1" applyAlignment="1">
      <alignment wrapText="1"/>
    </xf>
    <xf numFmtId="0" fontId="31" fillId="0" borderId="0" xfId="0" applyFont="1" applyAlignment="1">
      <alignment horizontal="left"/>
    </xf>
    <xf numFmtId="0" fontId="33" fillId="0" borderId="31" xfId="0" applyFont="1" applyBorder="1" applyAlignment="1">
      <alignment horizontal="left" vertical="center" wrapText="1"/>
    </xf>
    <xf numFmtId="168" fontId="30" fillId="0" borderId="0" xfId="0" applyNumberFormat="1" applyFont="1" applyAlignment="1">
      <alignment vertical="center"/>
    </xf>
    <xf numFmtId="9" fontId="30" fillId="0" borderId="24" xfId="19" applyFont="1" applyBorder="1" applyAlignment="1">
      <alignment vertical="center"/>
    </xf>
    <xf numFmtId="0" fontId="33" fillId="0" borderId="24" xfId="0" applyFont="1" applyBorder="1" applyAlignment="1">
      <alignment horizontal="left" vertical="center" wrapText="1"/>
    </xf>
    <xf numFmtId="49" fontId="34" fillId="17" borderId="5" xfId="0" applyNumberFormat="1" applyFont="1" applyFill="1" applyBorder="1"/>
    <xf numFmtId="49" fontId="30" fillId="17" borderId="5" xfId="0" applyNumberFormat="1" applyFont="1" applyFill="1" applyBorder="1"/>
    <xf numFmtId="49" fontId="34" fillId="17" borderId="6" xfId="0" applyNumberFormat="1" applyFont="1" applyFill="1" applyBorder="1"/>
    <xf numFmtId="0" fontId="35" fillId="34" borderId="21" xfId="0" applyFont="1" applyFill="1" applyBorder="1" applyAlignment="1">
      <alignment horizontal="left" vertical="center" wrapText="1"/>
    </xf>
    <xf numFmtId="168" fontId="35" fillId="34" borderId="22" xfId="0" applyNumberFormat="1" applyFont="1" applyFill="1" applyBorder="1" applyAlignment="1">
      <alignment horizontal="right" vertical="center" wrapText="1"/>
    </xf>
    <xf numFmtId="9" fontId="35" fillId="34" borderId="21" xfId="19" applyFont="1" applyFill="1" applyBorder="1" applyAlignment="1">
      <alignment horizontal="right" vertical="center" wrapText="1"/>
    </xf>
    <xf numFmtId="0" fontId="32" fillId="35" borderId="30" xfId="0" applyFont="1" applyFill="1" applyBorder="1" applyAlignment="1">
      <alignment horizontal="center" vertical="center" wrapText="1"/>
    </xf>
    <xf numFmtId="0" fontId="32" fillId="35" borderId="22" xfId="0" applyFont="1" applyFill="1" applyBorder="1" applyAlignment="1">
      <alignment horizontal="center" vertical="center" wrapText="1"/>
    </xf>
    <xf numFmtId="9" fontId="32" fillId="35" borderId="21" xfId="19" applyFont="1" applyFill="1" applyBorder="1" applyAlignment="1">
      <alignment horizontal="center" vertical="center" wrapText="1"/>
    </xf>
    <xf numFmtId="43" fontId="32" fillId="35" borderId="22" xfId="0" applyNumberFormat="1" applyFont="1" applyFill="1" applyBorder="1"/>
    <xf numFmtId="9" fontId="32" fillId="35" borderId="23" xfId="19" applyFont="1" applyFill="1" applyBorder="1"/>
    <xf numFmtId="168" fontId="30" fillId="0" borderId="23" xfId="0" applyNumberFormat="1" applyFont="1" applyBorder="1" applyAlignment="1">
      <alignment horizontal="center" vertical="center" wrapText="1"/>
    </xf>
    <xf numFmtId="168" fontId="30" fillId="0" borderId="2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64" fontId="6" fillId="13" borderId="0" xfId="1" applyNumberFormat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/>
    <xf numFmtId="0" fontId="39" fillId="0" borderId="0" xfId="0" applyFont="1"/>
    <xf numFmtId="0" fontId="40" fillId="0" borderId="0" xfId="0" applyFont="1" applyAlignment="1">
      <alignment horizontal="right"/>
    </xf>
    <xf numFmtId="1" fontId="41" fillId="38" borderId="39" xfId="0" applyNumberFormat="1" applyFont="1" applyFill="1" applyBorder="1" applyAlignment="1">
      <alignment horizontal="center"/>
    </xf>
    <xf numFmtId="0" fontId="42" fillId="0" borderId="0" xfId="0" applyFont="1" applyAlignment="1">
      <alignment horizontal="right"/>
    </xf>
    <xf numFmtId="1" fontId="43" fillId="0" borderId="0" xfId="0" applyNumberFormat="1" applyFont="1" applyAlignment="1">
      <alignment horizontal="center"/>
    </xf>
    <xf numFmtId="0" fontId="45" fillId="38" borderId="40" xfId="0" applyFont="1" applyFill="1" applyBorder="1" applyAlignment="1">
      <alignment horizontal="center"/>
    </xf>
    <xf numFmtId="1" fontId="37" fillId="0" borderId="40" xfId="0" applyNumberFormat="1" applyFont="1" applyBorder="1" applyAlignment="1">
      <alignment horizontal="center"/>
    </xf>
    <xf numFmtId="168" fontId="15" fillId="0" borderId="40" xfId="0" applyNumberFormat="1" applyFont="1" applyBorder="1" applyAlignment="1">
      <alignment horizontal="center"/>
    </xf>
    <xf numFmtId="0" fontId="46" fillId="0" borderId="40" xfId="0" applyFont="1" applyBorder="1" applyAlignment="1">
      <alignment horizontal="center"/>
    </xf>
    <xf numFmtId="3" fontId="15" fillId="0" borderId="40" xfId="0" applyNumberFormat="1" applyFont="1" applyBorder="1" applyAlignment="1">
      <alignment horizontal="center"/>
    </xf>
    <xf numFmtId="0" fontId="47" fillId="40" borderId="40" xfId="0" applyFont="1" applyFill="1" applyBorder="1"/>
    <xf numFmtId="0" fontId="15" fillId="40" borderId="40" xfId="0" applyFont="1" applyFill="1" applyBorder="1" applyAlignment="1">
      <alignment horizontal="center"/>
    </xf>
    <xf numFmtId="170" fontId="15" fillId="40" borderId="40" xfId="0" applyNumberFormat="1" applyFont="1" applyFill="1" applyBorder="1" applyAlignment="1">
      <alignment horizontal="center"/>
    </xf>
    <xf numFmtId="168" fontId="15" fillId="40" borderId="40" xfId="0" applyNumberFormat="1" applyFont="1" applyFill="1" applyBorder="1" applyAlignment="1">
      <alignment horizontal="center"/>
    </xf>
    <xf numFmtId="0" fontId="48" fillId="41" borderId="40" xfId="0" applyFont="1" applyFill="1" applyBorder="1"/>
    <xf numFmtId="0" fontId="15" fillId="41" borderId="40" xfId="0" applyFont="1" applyFill="1" applyBorder="1" applyAlignment="1">
      <alignment horizontal="center"/>
    </xf>
    <xf numFmtId="170" fontId="15" fillId="41" borderId="40" xfId="0" applyNumberFormat="1" applyFont="1" applyFill="1" applyBorder="1" applyAlignment="1">
      <alignment horizontal="center"/>
    </xf>
    <xf numFmtId="168" fontId="15" fillId="41" borderId="40" xfId="0" applyNumberFormat="1" applyFont="1" applyFill="1" applyBorder="1" applyAlignment="1">
      <alignment horizontal="center"/>
    </xf>
    <xf numFmtId="0" fontId="49" fillId="42" borderId="40" xfId="0" applyFont="1" applyFill="1" applyBorder="1"/>
    <xf numFmtId="0" fontId="15" fillId="42" borderId="40" xfId="0" applyFont="1" applyFill="1" applyBorder="1" applyAlignment="1">
      <alignment horizontal="center"/>
    </xf>
    <xf numFmtId="170" fontId="15" fillId="42" borderId="40" xfId="0" applyNumberFormat="1" applyFont="1" applyFill="1" applyBorder="1" applyAlignment="1">
      <alignment horizontal="center"/>
    </xf>
    <xf numFmtId="168" fontId="15" fillId="42" borderId="40" xfId="0" applyNumberFormat="1" applyFont="1" applyFill="1" applyBorder="1" applyAlignment="1">
      <alignment horizontal="center"/>
    </xf>
    <xf numFmtId="0" fontId="50" fillId="43" borderId="40" xfId="0" applyFont="1" applyFill="1" applyBorder="1"/>
    <xf numFmtId="0" fontId="15" fillId="43" borderId="40" xfId="0" applyFont="1" applyFill="1" applyBorder="1" applyAlignment="1">
      <alignment horizontal="center"/>
    </xf>
    <xf numFmtId="170" fontId="15" fillId="43" borderId="40" xfId="0" applyNumberFormat="1" applyFont="1" applyFill="1" applyBorder="1" applyAlignment="1">
      <alignment horizontal="center"/>
    </xf>
    <xf numFmtId="168" fontId="15" fillId="43" borderId="40" xfId="0" applyNumberFormat="1" applyFont="1" applyFill="1" applyBorder="1" applyAlignment="1">
      <alignment horizontal="center"/>
    </xf>
    <xf numFmtId="0" fontId="50" fillId="44" borderId="40" xfId="0" applyFont="1" applyFill="1" applyBorder="1"/>
    <xf numFmtId="0" fontId="15" fillId="44" borderId="40" xfId="0" applyFont="1" applyFill="1" applyBorder="1" applyAlignment="1">
      <alignment horizontal="center"/>
    </xf>
    <xf numFmtId="170" fontId="15" fillId="44" borderId="40" xfId="0" applyNumberFormat="1" applyFont="1" applyFill="1" applyBorder="1" applyAlignment="1">
      <alignment horizontal="center"/>
    </xf>
    <xf numFmtId="168" fontId="15" fillId="44" borderId="40" xfId="0" applyNumberFormat="1" applyFont="1" applyFill="1" applyBorder="1" applyAlignment="1">
      <alignment horizontal="center"/>
    </xf>
    <xf numFmtId="0" fontId="51" fillId="38" borderId="40" xfId="0" applyFont="1" applyFill="1" applyBorder="1" applyAlignment="1">
      <alignment horizontal="center"/>
    </xf>
    <xf numFmtId="0" fontId="52" fillId="0" borderId="40" xfId="0" applyFont="1" applyBorder="1" applyAlignment="1">
      <alignment wrapText="1"/>
    </xf>
    <xf numFmtId="168" fontId="53" fillId="0" borderId="40" xfId="0" applyNumberFormat="1" applyFont="1" applyBorder="1" applyAlignment="1">
      <alignment horizontal="center"/>
    </xf>
    <xf numFmtId="0" fontId="37" fillId="0" borderId="40" xfId="0" applyFont="1" applyBorder="1" applyAlignment="1">
      <alignment horizontal="center"/>
    </xf>
    <xf numFmtId="0" fontId="15" fillId="0" borderId="40" xfId="0" applyFont="1" applyBorder="1"/>
    <xf numFmtId="168" fontId="37" fillId="0" borderId="40" xfId="0" applyNumberFormat="1" applyFont="1" applyBorder="1" applyAlignment="1">
      <alignment horizontal="center"/>
    </xf>
    <xf numFmtId="0" fontId="54" fillId="0" borderId="40" xfId="0" applyFont="1" applyBorder="1"/>
    <xf numFmtId="0" fontId="52" fillId="0" borderId="40" xfId="0" applyFont="1" applyBorder="1"/>
    <xf numFmtId="0" fontId="45" fillId="38" borderId="40" xfId="0" applyFont="1" applyFill="1" applyBorder="1"/>
    <xf numFmtId="168" fontId="37" fillId="38" borderId="40" xfId="0" applyNumberFormat="1" applyFont="1" applyFill="1" applyBorder="1" applyAlignment="1">
      <alignment horizontal="center"/>
    </xf>
    <xf numFmtId="168" fontId="55" fillId="38" borderId="40" xfId="0" applyNumberFormat="1" applyFont="1" applyFill="1" applyBorder="1" applyAlignment="1">
      <alignment horizontal="center"/>
    </xf>
    <xf numFmtId="172" fontId="15" fillId="0" borderId="40" xfId="0" applyNumberFormat="1" applyFont="1" applyBorder="1" applyAlignment="1">
      <alignment horizontal="center"/>
    </xf>
    <xf numFmtId="172" fontId="37" fillId="38" borderId="40" xfId="0" applyNumberFormat="1" applyFont="1" applyFill="1" applyBorder="1" applyAlignment="1">
      <alignment horizontal="center"/>
    </xf>
    <xf numFmtId="173" fontId="15" fillId="40" borderId="40" xfId="0" applyNumberFormat="1" applyFont="1" applyFill="1" applyBorder="1" applyAlignment="1">
      <alignment horizontal="center"/>
    </xf>
    <xf numFmtId="173" fontId="15" fillId="41" borderId="40" xfId="0" applyNumberFormat="1" applyFont="1" applyFill="1" applyBorder="1" applyAlignment="1">
      <alignment horizontal="center"/>
    </xf>
    <xf numFmtId="173" fontId="15" fillId="42" borderId="40" xfId="0" applyNumberFormat="1" applyFont="1" applyFill="1" applyBorder="1" applyAlignment="1">
      <alignment horizontal="center"/>
    </xf>
    <xf numFmtId="173" fontId="15" fillId="43" borderId="40" xfId="0" applyNumberFormat="1" applyFont="1" applyFill="1" applyBorder="1" applyAlignment="1">
      <alignment horizontal="center"/>
    </xf>
    <xf numFmtId="173" fontId="15" fillId="44" borderId="40" xfId="0" applyNumberFormat="1" applyFont="1" applyFill="1" applyBorder="1" applyAlignment="1">
      <alignment horizontal="center"/>
    </xf>
    <xf numFmtId="49" fontId="39" fillId="0" borderId="0" xfId="0" applyNumberFormat="1" applyFont="1"/>
    <xf numFmtId="168" fontId="57" fillId="0" borderId="0" xfId="0" applyNumberFormat="1" applyFont="1" applyAlignment="1">
      <alignment horizontal="left"/>
    </xf>
    <xf numFmtId="1" fontId="58" fillId="0" borderId="0" xfId="0" applyNumberFormat="1" applyFont="1" applyAlignment="1">
      <alignment horizontal="left"/>
    </xf>
    <xf numFmtId="168" fontId="59" fillId="0" borderId="0" xfId="0" applyNumberFormat="1" applyFont="1" applyAlignment="1">
      <alignment horizontal="left"/>
    </xf>
    <xf numFmtId="168" fontId="60" fillId="0" borderId="0" xfId="0" applyNumberFormat="1" applyFont="1" applyAlignment="1">
      <alignment horizontal="left"/>
    </xf>
    <xf numFmtId="168" fontId="61" fillId="0" borderId="0" xfId="0" applyNumberFormat="1" applyFont="1" applyAlignment="1">
      <alignment horizontal="left"/>
    </xf>
    <xf numFmtId="172" fontId="61" fillId="0" borderId="0" xfId="0" applyNumberFormat="1" applyFont="1" applyAlignment="1">
      <alignment horizontal="left"/>
    </xf>
    <xf numFmtId="174" fontId="61" fillId="0" borderId="0" xfId="0" applyNumberFormat="1" applyFont="1" applyAlignment="1">
      <alignment horizontal="left"/>
    </xf>
    <xf numFmtId="168" fontId="56" fillId="0" borderId="0" xfId="0" applyNumberFormat="1" applyFont="1" applyAlignment="1">
      <alignment horizontal="left"/>
    </xf>
    <xf numFmtId="1" fontId="56" fillId="0" borderId="0" xfId="0" applyNumberFormat="1" applyFont="1" applyAlignment="1">
      <alignment horizontal="left"/>
    </xf>
    <xf numFmtId="174" fontId="56" fillId="0" borderId="0" xfId="0" applyNumberFormat="1" applyFont="1" applyAlignment="1">
      <alignment horizontal="left"/>
    </xf>
    <xf numFmtId="172" fontId="56" fillId="0" borderId="0" xfId="0" applyNumberFormat="1" applyFont="1" applyAlignment="1">
      <alignment horizontal="left"/>
    </xf>
    <xf numFmtId="168" fontId="56" fillId="0" borderId="0" xfId="0" applyNumberFormat="1" applyFont="1" applyAlignment="1">
      <alignment horizontal="left" wrapText="1"/>
    </xf>
    <xf numFmtId="0" fontId="62" fillId="45" borderId="0" xfId="0" applyFont="1" applyFill="1" applyAlignment="1">
      <alignment horizontal="left"/>
    </xf>
    <xf numFmtId="0" fontId="63" fillId="0" borderId="0" xfId="0" applyFont="1" applyAlignment="1">
      <alignment horizontal="left"/>
    </xf>
    <xf numFmtId="0" fontId="64" fillId="46" borderId="0" xfId="0" applyFont="1" applyFill="1"/>
    <xf numFmtId="0" fontId="0" fillId="46" borderId="0" xfId="0" applyFill="1"/>
    <xf numFmtId="0" fontId="18" fillId="0" borderId="0" xfId="0" applyFont="1" applyAlignment="1">
      <alignment horizontal="right"/>
    </xf>
    <xf numFmtId="0" fontId="65" fillId="47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66" fillId="0" borderId="0" xfId="0" applyFont="1"/>
    <xf numFmtId="0" fontId="66" fillId="47" borderId="0" xfId="0" applyFont="1" applyFill="1"/>
    <xf numFmtId="1" fontId="65" fillId="47" borderId="0" xfId="0" applyNumberFormat="1" applyFont="1" applyFill="1" applyAlignment="1">
      <alignment horizontal="center"/>
    </xf>
    <xf numFmtId="0" fontId="67" fillId="48" borderId="0" xfId="0" applyFont="1" applyFill="1"/>
    <xf numFmtId="0" fontId="0" fillId="48" borderId="0" xfId="0" applyFill="1"/>
    <xf numFmtId="0" fontId="68" fillId="48" borderId="0" xfId="0" applyFont="1" applyFill="1"/>
    <xf numFmtId="0" fontId="13" fillId="49" borderId="0" xfId="0" applyFont="1" applyFill="1"/>
    <xf numFmtId="0" fontId="13" fillId="49" borderId="0" xfId="0" applyFont="1" applyFill="1" applyAlignment="1">
      <alignment horizontal="center"/>
    </xf>
    <xf numFmtId="3" fontId="6" fillId="0" borderId="0" xfId="0" applyNumberFormat="1" applyFont="1" applyAlignment="1">
      <alignment horizontal="right"/>
    </xf>
    <xf numFmtId="0" fontId="69" fillId="0" borderId="0" xfId="0" applyFont="1"/>
    <xf numFmtId="3" fontId="13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7" fillId="50" borderId="0" xfId="0" applyFont="1" applyFill="1"/>
    <xf numFmtId="0" fontId="0" fillId="50" borderId="0" xfId="0" applyFill="1"/>
    <xf numFmtId="0" fontId="68" fillId="50" borderId="0" xfId="0" applyFont="1" applyFill="1"/>
    <xf numFmtId="0" fontId="13" fillId="51" borderId="0" xfId="0" applyFont="1" applyFill="1"/>
    <xf numFmtId="0" fontId="70" fillId="51" borderId="0" xfId="0" applyFont="1" applyFill="1" applyAlignment="1">
      <alignment horizontal="center"/>
    </xf>
    <xf numFmtId="0" fontId="13" fillId="51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8" fillId="47" borderId="0" xfId="0" applyFont="1" applyFill="1"/>
    <xf numFmtId="0" fontId="71" fillId="0" borderId="0" xfId="0" applyFont="1"/>
    <xf numFmtId="0" fontId="71" fillId="47" borderId="0" xfId="0" applyFont="1" applyFill="1"/>
    <xf numFmtId="0" fontId="0" fillId="47" borderId="0" xfId="0" applyFill="1"/>
    <xf numFmtId="2" fontId="18" fillId="47" borderId="0" xfId="0" applyNumberFormat="1" applyFont="1" applyFill="1" applyAlignment="1">
      <alignment horizontal="center"/>
    </xf>
    <xf numFmtId="9" fontId="18" fillId="47" borderId="0" xfId="0" applyNumberFormat="1" applyFont="1" applyFill="1" applyAlignment="1">
      <alignment horizontal="center"/>
    </xf>
    <xf numFmtId="2" fontId="18" fillId="0" borderId="0" xfId="0" applyNumberFormat="1" applyFont="1" applyAlignment="1">
      <alignment horizontal="center"/>
    </xf>
    <xf numFmtId="0" fontId="67" fillId="52" borderId="0" xfId="0" applyFont="1" applyFill="1"/>
    <xf numFmtId="0" fontId="0" fillId="52" borderId="0" xfId="0" applyFill="1"/>
    <xf numFmtId="0" fontId="68" fillId="52" borderId="0" xfId="0" applyFont="1" applyFill="1"/>
    <xf numFmtId="0" fontId="13" fillId="53" borderId="0" xfId="0" applyFont="1" applyFill="1"/>
    <xf numFmtId="0" fontId="13" fillId="53" borderId="0" xfId="0" applyFont="1" applyFill="1" applyAlignment="1">
      <alignment horizontal="center"/>
    </xf>
    <xf numFmtId="10" fontId="6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7" fillId="54" borderId="0" xfId="0" applyFont="1" applyFill="1"/>
    <xf numFmtId="0" fontId="0" fillId="54" borderId="0" xfId="0" applyFill="1"/>
    <xf numFmtId="0" fontId="68" fillId="54" borderId="0" xfId="0" applyFont="1" applyFill="1"/>
    <xf numFmtId="0" fontId="13" fillId="55" borderId="0" xfId="0" applyFont="1" applyFill="1"/>
    <xf numFmtId="0" fontId="13" fillId="55" borderId="0" xfId="0" applyFont="1" applyFill="1" applyAlignment="1">
      <alignment horizontal="center"/>
    </xf>
    <xf numFmtId="0" fontId="73" fillId="54" borderId="0" xfId="0" applyFont="1" applyFill="1"/>
    <xf numFmtId="9" fontId="74" fillId="54" borderId="0" xfId="0" applyNumberFormat="1" applyFont="1" applyFill="1" applyAlignment="1">
      <alignment horizontal="center"/>
    </xf>
    <xf numFmtId="2" fontId="75" fillId="54" borderId="0" xfId="0" applyNumberFormat="1" applyFont="1" applyFill="1" applyAlignment="1">
      <alignment horizontal="center"/>
    </xf>
    <xf numFmtId="0" fontId="73" fillId="56" borderId="0" xfId="0" applyFont="1" applyFill="1"/>
    <xf numFmtId="0" fontId="0" fillId="56" borderId="0" xfId="0" applyFill="1"/>
    <xf numFmtId="0" fontId="76" fillId="0" borderId="0" xfId="0" applyFont="1"/>
    <xf numFmtId="0" fontId="77" fillId="0" borderId="0" xfId="0" applyFont="1" applyAlignment="1">
      <alignment horizontal="left"/>
    </xf>
    <xf numFmtId="0" fontId="78" fillId="54" borderId="0" xfId="0" applyFont="1" applyFill="1" applyAlignment="1">
      <alignment horizontal="center"/>
    </xf>
    <xf numFmtId="0" fontId="78" fillId="57" borderId="0" xfId="0" applyFont="1" applyFill="1" applyAlignment="1">
      <alignment horizontal="center"/>
    </xf>
    <xf numFmtId="0" fontId="13" fillId="19" borderId="0" xfId="0" applyFont="1" applyFill="1" applyAlignment="1">
      <alignment horizontal="center"/>
    </xf>
    <xf numFmtId="0" fontId="78" fillId="58" borderId="0" xfId="0" applyFont="1" applyFill="1" applyAlignment="1">
      <alignment horizontal="center"/>
    </xf>
    <xf numFmtId="0" fontId="78" fillId="59" borderId="0" xfId="0" applyFont="1" applyFill="1" applyAlignment="1">
      <alignment horizontal="center"/>
    </xf>
    <xf numFmtId="0" fontId="79" fillId="45" borderId="0" xfId="0" applyFont="1" applyFill="1"/>
    <xf numFmtId="0" fontId="15" fillId="45" borderId="0" xfId="0" applyFont="1" applyFill="1"/>
    <xf numFmtId="0" fontId="80" fillId="52" borderId="0" xfId="0" applyFont="1" applyFill="1"/>
    <xf numFmtId="0" fontId="15" fillId="52" borderId="0" xfId="0" applyFont="1" applyFill="1"/>
    <xf numFmtId="0" fontId="37" fillId="53" borderId="0" xfId="0" applyFont="1" applyFill="1" applyAlignment="1">
      <alignment horizontal="center"/>
    </xf>
    <xf numFmtId="0" fontId="37" fillId="60" borderId="0" xfId="0" applyFont="1" applyFill="1"/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175" fontId="37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/>
    </xf>
    <xf numFmtId="0" fontId="37" fillId="60" borderId="0" xfId="0" applyFont="1" applyFill="1" applyAlignment="1">
      <alignment horizontal="center"/>
    </xf>
    <xf numFmtId="2" fontId="37" fillId="60" borderId="0" xfId="0" applyNumberFormat="1" applyFont="1" applyFill="1" applyAlignment="1">
      <alignment horizontal="center"/>
    </xf>
    <xf numFmtId="175" fontId="37" fillId="60" borderId="0" xfId="0" applyNumberFormat="1" applyFont="1" applyFill="1" applyAlignment="1">
      <alignment horizontal="center"/>
    </xf>
    <xf numFmtId="1" fontId="37" fillId="60" borderId="0" xfId="0" applyNumberFormat="1" applyFont="1" applyFill="1" applyAlignment="1">
      <alignment horizontal="center"/>
    </xf>
    <xf numFmtId="170" fontId="37" fillId="60" borderId="0" xfId="0" applyNumberFormat="1" applyFont="1" applyFill="1" applyAlignment="1">
      <alignment horizontal="center"/>
    </xf>
    <xf numFmtId="0" fontId="80" fillId="54" borderId="0" xfId="0" applyFont="1" applyFill="1"/>
    <xf numFmtId="0" fontId="15" fillId="54" borderId="0" xfId="0" applyFont="1" applyFill="1"/>
    <xf numFmtId="0" fontId="37" fillId="55" borderId="0" xfId="0" applyFont="1" applyFill="1" applyAlignment="1">
      <alignment horizontal="center"/>
    </xf>
    <xf numFmtId="0" fontId="44" fillId="54" borderId="0" xfId="0" applyFont="1" applyFill="1" applyAlignment="1">
      <alignment horizontal="center"/>
    </xf>
    <xf numFmtId="0" fontId="44" fillId="57" borderId="0" xfId="0" applyFont="1" applyFill="1" applyAlignment="1">
      <alignment horizontal="center"/>
    </xf>
    <xf numFmtId="0" fontId="81" fillId="19" borderId="0" xfId="0" applyFont="1" applyFill="1" applyAlignment="1">
      <alignment horizontal="center"/>
    </xf>
    <xf numFmtId="0" fontId="44" fillId="58" borderId="0" xfId="0" applyFont="1" applyFill="1" applyAlignment="1">
      <alignment horizontal="center"/>
    </xf>
    <xf numFmtId="0" fontId="44" fillId="59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80" fillId="48" borderId="0" xfId="0" applyFont="1" applyFill="1"/>
    <xf numFmtId="0" fontId="15" fillId="48" borderId="0" xfId="0" applyFont="1" applyFill="1"/>
    <xf numFmtId="0" fontId="37" fillId="49" borderId="0" xfId="0" applyFont="1" applyFill="1" applyAlignment="1">
      <alignment horizontal="center"/>
    </xf>
    <xf numFmtId="0" fontId="18" fillId="60" borderId="0" xfId="0" applyFont="1" applyFill="1"/>
    <xf numFmtId="2" fontId="0" fillId="0" borderId="0" xfId="0" applyNumberFormat="1" applyAlignment="1">
      <alignment horizontal="center"/>
    </xf>
    <xf numFmtId="0" fontId="18" fillId="60" borderId="0" xfId="0" applyFont="1" applyFill="1" applyAlignment="1">
      <alignment horizontal="center"/>
    </xf>
    <xf numFmtId="2" fontId="18" fillId="60" borderId="0" xfId="0" applyNumberFormat="1" applyFont="1" applyFill="1" applyAlignment="1">
      <alignment horizontal="center"/>
    </xf>
    <xf numFmtId="0" fontId="73" fillId="50" borderId="0" xfId="0" applyFont="1" applyFill="1"/>
    <xf numFmtId="0" fontId="82" fillId="47" borderId="0" xfId="0" applyFont="1" applyFill="1" applyAlignment="1">
      <alignment horizontal="center"/>
    </xf>
    <xf numFmtId="0" fontId="83" fillId="0" borderId="0" xfId="0" applyFont="1"/>
    <xf numFmtId="0" fontId="18" fillId="51" borderId="0" xfId="0" applyFont="1" applyFill="1" applyAlignment="1">
      <alignment horizontal="center"/>
    </xf>
    <xf numFmtId="0" fontId="45" fillId="38" borderId="0" xfId="0" applyFont="1" applyFill="1"/>
    <xf numFmtId="168" fontId="37" fillId="38" borderId="0" xfId="0" applyNumberFormat="1" applyFont="1" applyFill="1" applyAlignment="1">
      <alignment horizontal="center"/>
    </xf>
    <xf numFmtId="168" fontId="55" fillId="38" borderId="0" xfId="0" applyNumberFormat="1" applyFont="1" applyFill="1" applyAlignment="1">
      <alignment horizontal="center"/>
    </xf>
    <xf numFmtId="172" fontId="37" fillId="38" borderId="0" xfId="0" applyNumberFormat="1" applyFont="1" applyFill="1" applyAlignment="1">
      <alignment horizontal="center"/>
    </xf>
    <xf numFmtId="0" fontId="69" fillId="0" borderId="0" xfId="0" applyFont="1" applyAlignment="1">
      <alignment wrapText="1"/>
    </xf>
    <xf numFmtId="0" fontId="71" fillId="47" borderId="0" xfId="0" applyFont="1" applyFill="1" applyAlignment="1">
      <alignment wrapText="1"/>
    </xf>
    <xf numFmtId="4" fontId="6" fillId="0" borderId="0" xfId="0" applyNumberFormat="1" applyFont="1" applyAlignment="1">
      <alignment horizontal="right"/>
    </xf>
    <xf numFmtId="176" fontId="6" fillId="0" borderId="0" xfId="0" applyNumberFormat="1" applyFont="1" applyAlignment="1">
      <alignment horizontal="right"/>
    </xf>
    <xf numFmtId="2" fontId="16" fillId="0" borderId="0" xfId="0" applyNumberFormat="1" applyFont="1" applyAlignment="1">
      <alignment horizontal="right"/>
    </xf>
    <xf numFmtId="2" fontId="29" fillId="0" borderId="0" xfId="0" applyNumberFormat="1" applyFont="1"/>
    <xf numFmtId="2" fontId="16" fillId="0" borderId="37" xfId="0" applyNumberFormat="1" applyFont="1" applyBorder="1"/>
    <xf numFmtId="0" fontId="16" fillId="0" borderId="38" xfId="0" applyFont="1" applyBorder="1"/>
    <xf numFmtId="2" fontId="16" fillId="0" borderId="37" xfId="0" applyNumberFormat="1" applyFont="1" applyBorder="1" applyAlignment="1">
      <alignment horizontal="right"/>
    </xf>
    <xf numFmtId="2" fontId="15" fillId="0" borderId="37" xfId="0" applyNumberFormat="1" applyFont="1" applyBorder="1"/>
    <xf numFmtId="2" fontId="15" fillId="0" borderId="38" xfId="0" applyNumberFormat="1" applyFont="1" applyBorder="1"/>
    <xf numFmtId="0" fontId="13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164" fontId="6" fillId="8" borderId="0" xfId="1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164" fontId="6" fillId="13" borderId="0" xfId="1" applyNumberFormat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44" fillId="39" borderId="0" xfId="0" applyFont="1" applyFill="1"/>
    <xf numFmtId="0" fontId="15" fillId="0" borderId="0" xfId="0" applyFont="1"/>
    <xf numFmtId="0" fontId="36" fillId="37" borderId="0" xfId="0" applyFont="1" applyFill="1" applyAlignment="1">
      <alignment horizontal="left"/>
    </xf>
    <xf numFmtId="0" fontId="38" fillId="37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2" fillId="35" borderId="28" xfId="0" applyFont="1" applyFill="1" applyBorder="1" applyAlignment="1">
      <alignment horizontal="center"/>
    </xf>
    <xf numFmtId="0" fontId="32" fillId="35" borderId="29" xfId="0" applyFont="1" applyFill="1" applyBorder="1" applyAlignment="1">
      <alignment horizontal="center"/>
    </xf>
    <xf numFmtId="0" fontId="32" fillId="31" borderId="28" xfId="0" applyFont="1" applyFill="1" applyBorder="1" applyAlignment="1">
      <alignment horizontal="center" vertical="center" wrapText="1"/>
    </xf>
    <xf numFmtId="0" fontId="32" fillId="31" borderId="32" xfId="0" applyFont="1" applyFill="1" applyBorder="1" applyAlignment="1">
      <alignment horizontal="center" vertical="center" wrapText="1"/>
    </xf>
    <xf numFmtId="0" fontId="32" fillId="31" borderId="33" xfId="0" applyFont="1" applyFill="1" applyBorder="1" applyAlignment="1">
      <alignment horizontal="center" vertical="center" wrapText="1"/>
    </xf>
    <xf numFmtId="0" fontId="32" fillId="32" borderId="34" xfId="0" applyFont="1" applyFill="1" applyBorder="1" applyAlignment="1">
      <alignment horizontal="center" vertical="center" wrapText="1"/>
    </xf>
    <xf numFmtId="0" fontId="32" fillId="32" borderId="35" xfId="0" applyFont="1" applyFill="1" applyBorder="1" applyAlignment="1">
      <alignment horizontal="center" vertical="center" wrapText="1"/>
    </xf>
    <xf numFmtId="0" fontId="32" fillId="32" borderId="36" xfId="0" applyFont="1" applyFill="1" applyBorder="1" applyAlignment="1">
      <alignment horizontal="center" vertical="center" wrapText="1"/>
    </xf>
    <xf numFmtId="0" fontId="32" fillId="36" borderId="30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 wrapText="1"/>
    </xf>
    <xf numFmtId="0" fontId="32" fillId="33" borderId="30" xfId="0" applyFont="1" applyFill="1" applyBorder="1" applyAlignment="1">
      <alignment horizontal="center" vertical="center" wrapText="1"/>
    </xf>
    <xf numFmtId="0" fontId="32" fillId="3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1">
    <cellStyle name="Millares" xfId="2" builtinId="3"/>
    <cellStyle name="Millares [0]" xfId="3" builtinId="6"/>
    <cellStyle name="Millares [0] 2" xfId="10" xr:uid="{02ED96C7-6932-4222-823B-3D1478252F2B}"/>
    <cellStyle name="Millares [0] 3" xfId="15" xr:uid="{CD650C21-71DD-4A11-80BF-323402884FB7}"/>
    <cellStyle name="Millares 2" xfId="11" xr:uid="{4CDD0CF3-2CE3-43FC-AC45-64CC2330B995}"/>
    <cellStyle name="Millares 3" xfId="12" xr:uid="{D5AC93F9-A869-43D5-96E9-59BFC741901A}"/>
    <cellStyle name="Millares 4" xfId="6" xr:uid="{153F0922-7375-45F7-84A4-B6528C953263}"/>
    <cellStyle name="Millares 5" xfId="13" xr:uid="{19206732-B753-47C7-9FE5-CE9E2746B7DC}"/>
    <cellStyle name="Millares 6" xfId="16" xr:uid="{7B647619-FC36-4017-8346-FEA2C67070CA}"/>
    <cellStyle name="Moneda" xfId="1" builtinId="4"/>
    <cellStyle name="Moneda [0]" xfId="4" builtinId="7"/>
    <cellStyle name="Moneda [0] 2" xfId="7" xr:uid="{F46F7045-3CBD-4A09-BB42-641CE11D9EB7}"/>
    <cellStyle name="Normal" xfId="0" builtinId="0"/>
    <cellStyle name="Normal 2" xfId="8" xr:uid="{4FD18737-DC3D-4F42-A88C-4F74B4D4D9D8}"/>
    <cellStyle name="Normal 2 2" xfId="9" xr:uid="{8D04C5F1-2643-4DA0-B768-06223FDD6756}"/>
    <cellStyle name="Normal 3" xfId="5" xr:uid="{90F810E2-4B44-44F1-B079-FF932EC2E820}"/>
    <cellStyle name="Normal 3 3" xfId="18" xr:uid="{47D6E877-6F51-4B0C-9714-74C7990C1126}"/>
    <cellStyle name="Normal 4" xfId="14" xr:uid="{CC633216-FDDF-4176-82E2-03D62D8CCF3B}"/>
    <cellStyle name="Normal 5" xfId="20" xr:uid="{05E05841-7C86-4054-B330-06C8B7B6C49B}"/>
    <cellStyle name="Porcentaje" xfId="19" builtinId="5"/>
    <cellStyle name="Porcentaje 2" xfId="17" xr:uid="{DFC35816-7219-4407-9842-0D8E45842540}"/>
  </cellStyles>
  <dxfs count="5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fill>
        <patternFill>
          <bgColor rgb="FFFF8585"/>
        </patternFill>
      </fill>
    </dxf>
    <dxf>
      <numFmt numFmtId="170" formatCode="0.0%"/>
    </dxf>
    <dxf>
      <alignment horizontal="center"/>
    </dxf>
    <dxf>
      <numFmt numFmtId="170" formatCode="0.0%"/>
    </dxf>
    <dxf>
      <numFmt numFmtId="14" formatCode="0.00%"/>
    </dxf>
    <dxf>
      <font>
        <b/>
      </font>
    </dxf>
    <dxf>
      <alignment horizontal="left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71" formatCode="0.00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alignment wrapText="1"/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font>
        <name val="Verdana"/>
        <family val="2"/>
        <scheme val="none"/>
      </font>
    </dxf>
    <dxf>
      <numFmt numFmtId="168" formatCode="0.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177" formatCode="0.0000"/>
    </dxf>
    <dxf>
      <numFmt numFmtId="2" formatCode="0.00"/>
    </dxf>
    <dxf>
      <numFmt numFmtId="177" formatCode="0.0000"/>
    </dxf>
    <dxf>
      <alignment horizontal="center"/>
    </dxf>
    <dxf>
      <alignment vertical="center"/>
    </dxf>
    <dxf>
      <alignment wrapText="1"/>
    </dxf>
    <dxf>
      <numFmt numFmtId="2" formatCode="0.00"/>
    </dxf>
    <dxf>
      <alignment wrapText="1"/>
    </dxf>
    <dxf>
      <alignment wrapText="1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textRotation="0" wrapText="1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9" formatCode="_-* #,##0.0_-;\-* #,##0.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Franklin Gothic Book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>
          <bgColor rgb="FF00CC66"/>
        </patternFill>
      </fill>
    </dxf>
  </dxfs>
  <tableStyles count="1" defaultTableStyle="TableStyleMedium2" defaultPivotStyle="PivotStyleLight16">
    <tableStyle name="Estilo de segmentación de datos 1" pivot="0" table="0" count="2" xr9:uid="{A130A63C-8DB2-412B-AB17-D22391942F78}">
      <tableStyleElement type="headerRow" dxfId="538"/>
    </tableStyle>
  </tableStyles>
  <colors>
    <mruColors>
      <color rgb="FFF74E11"/>
      <color rgb="FF00C3C1"/>
      <color rgb="FFFE187B"/>
      <color rgb="FF0DFFFF"/>
      <color rgb="FFFFCA00"/>
      <color rgb="FFFF187C"/>
      <color rgb="FF003878"/>
      <color rgb="FFAB2292"/>
      <color rgb="FF00B53E"/>
      <color rgb="FF00923D"/>
    </mruColors>
  </colors>
  <extLst>
    <ext xmlns:x14="http://schemas.microsoft.com/office/spreadsheetml/2009/9/main" uri="{46F421CA-312F-682f-3DD2-61675219B42D}">
      <x14:dxfs count="1">
        <dxf>
          <fill>
            <patternFill patternType="solid">
              <fgColor theme="0" tint="-0.499984740745262"/>
              <bgColor rgb="FFCCFFCC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rangos de desempeño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76-43F1-9423-92728FCDB3A0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76-43F1-9423-92728FCDB3A0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76-43F1-9423-92728FCDB3A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776-43F1-9423-92728FCDB3A0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76-43F1-9423-92728FCDB3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IDF'!$I$10:$I$14</c:f>
              <c:strCache>
                <c:ptCount val="5"/>
                <c:pt idx="0">
                  <c:v>1. Deterioro (&lt;40)</c:v>
                </c:pt>
                <c:pt idx="1">
                  <c:v>2. Riesgo (&gt;=40 y &lt;60)</c:v>
                </c:pt>
                <c:pt idx="2">
                  <c:v>3. Vulnerable (&gt;=60 y &lt;70)</c:v>
                </c:pt>
                <c:pt idx="3">
                  <c:v>4. Solvente (&gt;=70 y &lt;80)</c:v>
                </c:pt>
                <c:pt idx="4">
                  <c:v>5. Sostenible (&gt;=80)</c:v>
                </c:pt>
              </c:strCache>
            </c:strRef>
          </c:cat>
          <c:val>
            <c:numRef>
              <c:f>'Dashboard IDF'!$J$10:$J$14</c:f>
              <c:numCache>
                <c:formatCode>General</c:formatCode>
                <c:ptCount val="5"/>
                <c:pt idx="0">
                  <c:v>0</c:v>
                </c:pt>
                <c:pt idx="1">
                  <c:v>21</c:v>
                </c:pt>
                <c:pt idx="2">
                  <c:v>9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6-43F1-9423-92728FCDB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4182239"/>
        <c:axId val="804181759"/>
      </c:barChart>
      <c:catAx>
        <c:axId val="80418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181759"/>
        <c:crosses val="autoZero"/>
        <c:auto val="1"/>
        <c:lblAlgn val="ctr"/>
        <c:lblOffset val="100"/>
        <c:noMultiLvlLbl val="0"/>
      </c:catAx>
      <c:valAx>
        <c:axId val="80418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418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IDF Promedio departamentos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IDF Promedio</c:v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'Dashboard IDF'!$A$10:$A$14</c15:sqref>
                  </c15:fullRef>
                </c:ext>
              </c:extLst>
              <c:f>'Dashboard IDF'!$A$11:$A$14</c:f>
              <c:numCache>
                <c:formatCode>0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IDF'!$B$10:$B$14</c15:sqref>
                  </c15:fullRef>
                </c:ext>
              </c:extLst>
              <c:f>'Dashboard IDF'!$B$11:$B$14</c:f>
              <c:numCache>
                <c:formatCode>0.0</c:formatCode>
                <c:ptCount val="4"/>
                <c:pt idx="0">
                  <c:v>57.480756550988424</c:v>
                </c:pt>
                <c:pt idx="1">
                  <c:v>54.725203963414906</c:v>
                </c:pt>
                <c:pt idx="2">
                  <c:v>56.601958556711253</c:v>
                </c:pt>
                <c:pt idx="3">
                  <c:v>53.462243194524916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5-452F-A8F6-FDEFAE600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340079"/>
        <c:axId val="1059343919"/>
      </c:barChart>
      <c:lineChart>
        <c:grouping val="standard"/>
        <c:varyColors val="0"/>
        <c:ser>
          <c:idx val="1"/>
          <c:order val="1"/>
          <c:tx>
            <c:v>Var. (pp)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D7D31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dLbls>
            <c:numFmt formatCode="\+0.00;\-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ED7D3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'Dashboard IDF'!$A$10:$A$14</c15:sqref>
                  </c15:fullRef>
                </c:ext>
              </c:extLst>
              <c:f>'Dashboard IDF'!$A$11:$A$14</c:f>
              <c:numCache>
                <c:formatCode>0</c:formatCod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IDF'!$C$10:$C$14</c15:sqref>
                  </c15:fullRef>
                </c:ext>
              </c:extLst>
              <c:f>'Dashboard IDF'!$C$11:$C$14</c:f>
              <c:numCache>
                <c:formatCode>[Green]\+0.0;[Red]\-0.0;0.0</c:formatCode>
                <c:ptCount val="4"/>
                <c:pt idx="0">
                  <c:v>3.3918880578490587</c:v>
                </c:pt>
                <c:pt idx="1">
                  <c:v>-2.7555525875735185</c:v>
                </c:pt>
                <c:pt idx="2">
                  <c:v>1.8767545932963472</c:v>
                </c:pt>
                <c:pt idx="3">
                  <c:v>-3.1397153621863367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5-452F-A8F6-FDEFAE600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008016"/>
        <c:axId val="675006576"/>
      </c:lineChart>
      <c:catAx>
        <c:axId val="105934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9343919"/>
        <c:crosses val="autoZero"/>
        <c:auto val="1"/>
        <c:lblAlgn val="ctr"/>
        <c:lblOffset val="100"/>
        <c:noMultiLvlLbl val="0"/>
      </c:catAx>
      <c:valAx>
        <c:axId val="1059343919"/>
        <c:scaling>
          <c:orientation val="minMax"/>
          <c:max val="7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IDF Promedio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9340079"/>
        <c:crosses val="autoZero"/>
        <c:crossBetween val="between"/>
        <c:majorUnit val="2"/>
      </c:valAx>
      <c:valAx>
        <c:axId val="675006576"/>
        <c:scaling>
          <c:orientation val="minMax"/>
          <c:max val="10"/>
          <c:min val="-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74E1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74E11"/>
                    </a:solidFill>
                  </a:rPr>
                  <a:t>Var. (pp)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74E1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\+0;\-0;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74E1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5008016"/>
        <c:crosses val="max"/>
        <c:crossBetween val="between"/>
        <c:majorUnit val="2"/>
      </c:valAx>
      <c:catAx>
        <c:axId val="675008016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67500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>
                <a:solidFill>
                  <a:schemeClr val="tx2">
                    <a:lumMod val="75000"/>
                    <a:lumOff val="25000"/>
                  </a:schemeClr>
                </a:solidFill>
              </a:rPr>
              <a:t>Resultados IDF general por Categorías Ley 617 de 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2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9291116779416651E-2"/>
          <c:y val="0.12188457008244995"/>
          <c:w val="0.90005160622527813"/>
          <c:h val="0.71598007846192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Tendencias!$G$3</c:f>
              <c:strCache>
                <c:ptCount val="1"/>
                <c:pt idx="0">
                  <c:v>IDF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B8-48DD-8A04-E7FE33F864A3}"/>
              </c:ext>
            </c:extLst>
          </c:dPt>
          <c:dPt>
            <c:idx val="5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B8-48DD-8A04-E7FE33F864A3}"/>
              </c:ext>
            </c:extLst>
          </c:dPt>
          <c:dPt>
            <c:idx val="6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B8-48DD-8A04-E7FE33F864A3}"/>
              </c:ext>
            </c:extLst>
          </c:dPt>
          <c:dPt>
            <c:idx val="7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B8-48DD-8A04-E7FE33F864A3}"/>
              </c:ext>
            </c:extLst>
          </c:dPt>
          <c:dPt>
            <c:idx val="8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B8-48DD-8A04-E7FE33F864A3}"/>
              </c:ext>
            </c:extLst>
          </c:dPt>
          <c:dPt>
            <c:idx val="9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DB8-48DD-8A04-E7FE33F864A3}"/>
              </c:ext>
            </c:extLst>
          </c:dPt>
          <c:dPt>
            <c:idx val="10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DB8-48DD-8A04-E7FE33F864A3}"/>
              </c:ext>
            </c:extLst>
          </c:dPt>
          <c:dPt>
            <c:idx val="11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DB8-48DD-8A04-E7FE33F864A3}"/>
              </c:ext>
            </c:extLst>
          </c:dPt>
          <c:dPt>
            <c:idx val="12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DB8-48DD-8A04-E7FE33F864A3}"/>
              </c:ext>
            </c:extLst>
          </c:dPt>
          <c:dPt>
            <c:idx val="13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DB8-48DD-8A04-E7FE33F864A3}"/>
              </c:ext>
            </c:extLst>
          </c:dPt>
          <c:dPt>
            <c:idx val="14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DB8-48DD-8A04-E7FE33F864A3}"/>
              </c:ext>
            </c:extLst>
          </c:dPt>
          <c:dPt>
            <c:idx val="15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DB8-48DD-8A04-E7FE33F864A3}"/>
              </c:ext>
            </c:extLst>
          </c:dPt>
          <c:dPt>
            <c:idx val="16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DB8-48DD-8A04-E7FE33F864A3}"/>
              </c:ext>
            </c:extLst>
          </c:dPt>
          <c:dPt>
            <c:idx val="17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DB8-48DD-8A04-E7FE33F864A3}"/>
              </c:ext>
            </c:extLst>
          </c:dPt>
          <c:dPt>
            <c:idx val="18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DB8-48DD-8A04-E7FE33F864A3}"/>
              </c:ext>
            </c:extLst>
          </c:dPt>
          <c:dPt>
            <c:idx val="19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DB8-48DD-8A04-E7FE33F864A3}"/>
              </c:ext>
            </c:extLst>
          </c:dPt>
          <c:dPt>
            <c:idx val="20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DB8-48DD-8A04-E7FE33F864A3}"/>
              </c:ext>
            </c:extLst>
          </c:dPt>
          <c:dPt>
            <c:idx val="21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DDB8-48DD-8A04-E7FE33F864A3}"/>
              </c:ext>
            </c:extLst>
          </c:dPt>
          <c:dPt>
            <c:idx val="22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DDB8-48DD-8A04-E7FE33F864A3}"/>
              </c:ext>
            </c:extLst>
          </c:dPt>
          <c:dPt>
            <c:idx val="23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DDB8-48DD-8A04-E7FE33F864A3}"/>
              </c:ext>
            </c:extLst>
          </c:dPt>
          <c:dPt>
            <c:idx val="24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DDB8-48DD-8A04-E7FE33F864A3}"/>
              </c:ext>
            </c:extLst>
          </c:dPt>
          <c:dPt>
            <c:idx val="25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DDB8-48DD-8A04-E7FE33F864A3}"/>
              </c:ext>
            </c:extLst>
          </c:dPt>
          <c:dPt>
            <c:idx val="26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DDB8-48DD-8A04-E7FE33F864A3}"/>
              </c:ext>
            </c:extLst>
          </c:dPt>
          <c:dPt>
            <c:idx val="27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DDB8-48DD-8A04-E7FE33F864A3}"/>
              </c:ext>
            </c:extLst>
          </c:dPt>
          <c:dPt>
            <c:idx val="28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59B4-4FE9-9792-0265E538AD12}"/>
              </c:ext>
            </c:extLst>
          </c:dPt>
          <c:dPt>
            <c:idx val="29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59B4-4FE9-9792-0265E538AD12}"/>
              </c:ext>
            </c:extLst>
          </c:dPt>
          <c:dPt>
            <c:idx val="30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59B4-4FE9-9792-0265E538AD12}"/>
              </c:ext>
            </c:extLst>
          </c:dPt>
          <c:dPt>
            <c:idx val="31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59B4-4FE9-9792-0265E538AD12}"/>
              </c:ext>
            </c:extLst>
          </c:dPt>
          <c:dLbls>
            <c:dLbl>
              <c:idx val="2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D-B631-47C4-BFCA-403CE78E25D3}"/>
                </c:ext>
              </c:extLst>
            </c:dLbl>
            <c:dLbl>
              <c:idx val="4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9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DB8-48DD-8A04-E7FE33F864A3}"/>
                </c:ext>
              </c:extLst>
            </c:dLbl>
            <c:dLbl>
              <c:idx val="10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DB8-48DD-8A04-E7FE33F864A3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Tendencias!$E$4:$F$27</c:f>
              <c:multiLvlStrCache>
                <c:ptCount val="24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</c:lvl>
                <c:lvl>
                  <c:pt idx="0">
                    <c:v>Nacional</c:v>
                  </c:pt>
                  <c:pt idx="4">
                    <c:v>ESP</c:v>
                  </c:pt>
                  <c:pt idx="8">
                    <c:v>Categoría 1</c:v>
                  </c:pt>
                  <c:pt idx="12">
                    <c:v>Categoría 2</c:v>
                  </c:pt>
                  <c:pt idx="16">
                    <c:v>Categoría 3</c:v>
                  </c:pt>
                  <c:pt idx="20">
                    <c:v>Categoría 4</c:v>
                  </c:pt>
                </c:lvl>
              </c:multiLvlStrCache>
            </c:multiLvlStrRef>
          </c:cat>
          <c:val>
            <c:numRef>
              <c:f>Tendencias!$G$4:$G$27</c:f>
              <c:numCache>
                <c:formatCode>0.0</c:formatCode>
                <c:ptCount val="24"/>
                <c:pt idx="0">
                  <c:v>57.480756550988424</c:v>
                </c:pt>
                <c:pt idx="1">
                  <c:v>54.725203963414906</c:v>
                </c:pt>
                <c:pt idx="2">
                  <c:v>56.601958556711246</c:v>
                </c:pt>
                <c:pt idx="3">
                  <c:v>53.5</c:v>
                </c:pt>
                <c:pt idx="4">
                  <c:v>69.452142730439235</c:v>
                </c:pt>
                <c:pt idx="5">
                  <c:v>66.373714859627995</c:v>
                </c:pt>
                <c:pt idx="6">
                  <c:v>70.774508912858479</c:v>
                </c:pt>
                <c:pt idx="7">
                  <c:v>51.089033363084006</c:v>
                </c:pt>
                <c:pt idx="8">
                  <c:v>60.502896550373151</c:v>
                </c:pt>
                <c:pt idx="9">
                  <c:v>56.187625279118187</c:v>
                </c:pt>
                <c:pt idx="10">
                  <c:v>55.591249847398309</c:v>
                </c:pt>
                <c:pt idx="11">
                  <c:v>49.395599834721622</c:v>
                </c:pt>
                <c:pt idx="12">
                  <c:v>59.239696982531143</c:v>
                </c:pt>
                <c:pt idx="13">
                  <c:v>53.828340965954787</c:v>
                </c:pt>
                <c:pt idx="14">
                  <c:v>57.027559155595718</c:v>
                </c:pt>
                <c:pt idx="15">
                  <c:v>56.192389149712525</c:v>
                </c:pt>
                <c:pt idx="16">
                  <c:v>55.183689412034653</c:v>
                </c:pt>
                <c:pt idx="17">
                  <c:v>55.023406619052103</c:v>
                </c:pt>
                <c:pt idx="18">
                  <c:v>55.463170775056973</c:v>
                </c:pt>
                <c:pt idx="19">
                  <c:v>54.25254221283776</c:v>
                </c:pt>
                <c:pt idx="20">
                  <c:v>51.817437921765062</c:v>
                </c:pt>
                <c:pt idx="21">
                  <c:v>50.918502275975342</c:v>
                </c:pt>
                <c:pt idx="22">
                  <c:v>53.092051044987208</c:v>
                </c:pt>
                <c:pt idx="23">
                  <c:v>54.765945107497771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DB8-48DD-8A04-E7FE33F8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00165696"/>
        <c:axId val="800168096"/>
      </c:barChart>
      <c:catAx>
        <c:axId val="8001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0168096"/>
        <c:crosses val="autoZero"/>
        <c:auto val="1"/>
        <c:lblAlgn val="ctr"/>
        <c:lblOffset val="100"/>
        <c:noMultiLvlLbl val="0"/>
      </c:catAx>
      <c:valAx>
        <c:axId val="800168096"/>
        <c:scaling>
          <c:orientation val="minMax"/>
          <c:max val="80"/>
          <c:min val="2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crossAx val="80016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9291116779416651E-2"/>
          <c:y val="0.12188457008244995"/>
          <c:w val="0.90005160622527813"/>
          <c:h val="0.715980078461923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Tendencias!$G$37</c:f>
              <c:strCache>
                <c:ptCount val="1"/>
                <c:pt idx="0">
                  <c:v>IDF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B8-48DD-8A04-E7FE33F864A3}"/>
              </c:ext>
            </c:extLst>
          </c:dPt>
          <c:dPt>
            <c:idx val="5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B8-48DD-8A04-E7FE33F864A3}"/>
              </c:ext>
            </c:extLst>
          </c:dPt>
          <c:dPt>
            <c:idx val="6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DB8-48DD-8A04-E7FE33F864A3}"/>
              </c:ext>
            </c:extLst>
          </c:dPt>
          <c:dPt>
            <c:idx val="7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DB8-48DD-8A04-E7FE33F864A3}"/>
              </c:ext>
            </c:extLst>
          </c:dPt>
          <c:dPt>
            <c:idx val="8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B8-48DD-8A04-E7FE33F864A3}"/>
              </c:ext>
            </c:extLst>
          </c:dPt>
          <c:dPt>
            <c:idx val="9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DB8-48DD-8A04-E7FE33F864A3}"/>
              </c:ext>
            </c:extLst>
          </c:dPt>
          <c:dPt>
            <c:idx val="10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DB8-48DD-8A04-E7FE33F864A3}"/>
              </c:ext>
            </c:extLst>
          </c:dPt>
          <c:dPt>
            <c:idx val="11"/>
            <c:invertIfNegative val="0"/>
            <c:bubble3D val="0"/>
            <c:spPr>
              <a:solidFill>
                <a:srgbClr val="00387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DB8-48DD-8A04-E7FE33F864A3}"/>
              </c:ext>
            </c:extLst>
          </c:dPt>
          <c:dPt>
            <c:idx val="12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DB8-48DD-8A04-E7FE33F864A3}"/>
              </c:ext>
            </c:extLst>
          </c:dPt>
          <c:dPt>
            <c:idx val="13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DB8-48DD-8A04-E7FE33F864A3}"/>
              </c:ext>
            </c:extLst>
          </c:dPt>
          <c:dPt>
            <c:idx val="14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DB8-48DD-8A04-E7FE33F864A3}"/>
              </c:ext>
            </c:extLst>
          </c:dPt>
          <c:dPt>
            <c:idx val="15"/>
            <c:invertIfNegative val="0"/>
            <c:bubble3D val="0"/>
            <c:spPr>
              <a:solidFill>
                <a:srgbClr val="AB229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DB8-48DD-8A04-E7FE33F864A3}"/>
              </c:ext>
            </c:extLst>
          </c:dPt>
          <c:dPt>
            <c:idx val="16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DB8-48DD-8A04-E7FE33F864A3}"/>
              </c:ext>
            </c:extLst>
          </c:dPt>
          <c:dPt>
            <c:idx val="17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DB8-48DD-8A04-E7FE33F864A3}"/>
              </c:ext>
            </c:extLst>
          </c:dPt>
          <c:dPt>
            <c:idx val="18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DB8-48DD-8A04-E7FE33F864A3}"/>
              </c:ext>
            </c:extLst>
          </c:dPt>
          <c:dPt>
            <c:idx val="19"/>
            <c:invertIfNegative val="0"/>
            <c:bubble3D val="0"/>
            <c:spPr>
              <a:solidFill>
                <a:srgbClr val="FF187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DB8-48DD-8A04-E7FE33F864A3}"/>
              </c:ext>
            </c:extLst>
          </c:dPt>
          <c:dPt>
            <c:idx val="20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DDB8-48DD-8A04-E7FE33F864A3}"/>
              </c:ext>
            </c:extLst>
          </c:dPt>
          <c:dPt>
            <c:idx val="21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DDB8-48DD-8A04-E7FE33F864A3}"/>
              </c:ext>
            </c:extLst>
          </c:dPt>
          <c:dPt>
            <c:idx val="22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DDB8-48DD-8A04-E7FE33F864A3}"/>
              </c:ext>
            </c:extLst>
          </c:dPt>
          <c:dPt>
            <c:idx val="23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DDB8-48DD-8A04-E7FE33F864A3}"/>
              </c:ext>
            </c:extLst>
          </c:dPt>
          <c:dPt>
            <c:idx val="24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DDB8-48DD-8A04-E7FE33F864A3}"/>
              </c:ext>
            </c:extLst>
          </c:dPt>
          <c:dPt>
            <c:idx val="25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DDB8-48DD-8A04-E7FE33F864A3}"/>
              </c:ext>
            </c:extLst>
          </c:dPt>
          <c:dPt>
            <c:idx val="26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DDB8-48DD-8A04-E7FE33F864A3}"/>
              </c:ext>
            </c:extLst>
          </c:dPt>
          <c:dPt>
            <c:idx val="27"/>
            <c:invertIfNegative val="0"/>
            <c:bubble3D val="0"/>
            <c:spPr>
              <a:solidFill>
                <a:srgbClr val="00B53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DDB8-48DD-8A04-E7FE33F864A3}"/>
              </c:ext>
            </c:extLst>
          </c:dPt>
          <c:dPt>
            <c:idx val="28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59B4-4FE9-9792-0265E538AD12}"/>
              </c:ext>
            </c:extLst>
          </c:dPt>
          <c:dPt>
            <c:idx val="29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59B4-4FE9-9792-0265E538AD12}"/>
              </c:ext>
            </c:extLst>
          </c:dPt>
          <c:dPt>
            <c:idx val="30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59B4-4FE9-9792-0265E538AD12}"/>
              </c:ext>
            </c:extLst>
          </c:dPt>
          <c:dPt>
            <c:idx val="31"/>
            <c:invertIfNegative val="0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59B4-4FE9-9792-0265E538AD12}"/>
              </c:ext>
            </c:extLst>
          </c:dPt>
          <c:dLbls>
            <c:dLbl>
              <c:idx val="10"/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DB8-48DD-8A04-E7FE33F864A3}"/>
                </c:ext>
              </c:extLst>
            </c:dLbl>
            <c:spPr>
              <a:noFill/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Tendencias!$E$38:$F$65</c:f>
              <c:multiLvlStrCache>
                <c:ptCount val="28"/>
                <c:lvl>
                  <c:pt idx="0">
                    <c:v>2021</c:v>
                  </c:pt>
                  <c:pt idx="1">
                    <c:v>2022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2021</c:v>
                  </c:pt>
                  <c:pt idx="9">
                    <c:v>2022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2021</c:v>
                  </c:pt>
                  <c:pt idx="21">
                    <c:v>2022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2021</c:v>
                  </c:pt>
                  <c:pt idx="25">
                    <c:v>2022</c:v>
                  </c:pt>
                  <c:pt idx="26">
                    <c:v>2023</c:v>
                  </c:pt>
                  <c:pt idx="27">
                    <c:v>2024</c:v>
                  </c:pt>
                </c:lvl>
                <c:lvl>
                  <c:pt idx="0">
                    <c:v>Nacional</c:v>
                  </c:pt>
                  <c:pt idx="4">
                    <c:v>Caribe</c:v>
                  </c:pt>
                  <c:pt idx="8">
                    <c:v>Centro Oriente</c:v>
                  </c:pt>
                  <c:pt idx="12">
                    <c:v>Centro Sur Amazonía</c:v>
                  </c:pt>
                  <c:pt idx="16">
                    <c:v>Del Llano</c:v>
                  </c:pt>
                  <c:pt idx="20">
                    <c:v>Eje Cafetero</c:v>
                  </c:pt>
                  <c:pt idx="24">
                    <c:v>Pacífico</c:v>
                  </c:pt>
                </c:lvl>
              </c:multiLvlStrCache>
            </c:multiLvlStrRef>
          </c:cat>
          <c:val>
            <c:numRef>
              <c:f>Tendencias!$G$38:$G$65</c:f>
              <c:numCache>
                <c:formatCode>0.0</c:formatCode>
                <c:ptCount val="28"/>
                <c:pt idx="0">
                  <c:v>57.480756550988424</c:v>
                </c:pt>
                <c:pt idx="1">
                  <c:v>54.725203963414906</c:v>
                </c:pt>
                <c:pt idx="2">
                  <c:v>56.601958556711246</c:v>
                </c:pt>
                <c:pt idx="3">
                  <c:v>53.5</c:v>
                </c:pt>
                <c:pt idx="4">
                  <c:v>58.832502515304441</c:v>
                </c:pt>
                <c:pt idx="5">
                  <c:v>56.738179295738696</c:v>
                </c:pt>
                <c:pt idx="6">
                  <c:v>58.106021053805918</c:v>
                </c:pt>
                <c:pt idx="7">
                  <c:v>53.10427723333116</c:v>
                </c:pt>
                <c:pt idx="8">
                  <c:v>60.931714072777524</c:v>
                </c:pt>
                <c:pt idx="9">
                  <c:v>55.64132699109593</c:v>
                </c:pt>
                <c:pt idx="10">
                  <c:v>60.170681568368821</c:v>
                </c:pt>
                <c:pt idx="11">
                  <c:v>49.330761998271228</c:v>
                </c:pt>
                <c:pt idx="12">
                  <c:v>53.307317165126889</c:v>
                </c:pt>
                <c:pt idx="13">
                  <c:v>53.560732384202083</c:v>
                </c:pt>
                <c:pt idx="14">
                  <c:v>54.875741593235297</c:v>
                </c:pt>
                <c:pt idx="15">
                  <c:v>52.602614323115361</c:v>
                </c:pt>
                <c:pt idx="16">
                  <c:v>54.735153596814996</c:v>
                </c:pt>
                <c:pt idx="17">
                  <c:v>54.422676261717811</c:v>
                </c:pt>
                <c:pt idx="18">
                  <c:v>53.996170916396593</c:v>
                </c:pt>
                <c:pt idx="19">
                  <c:v>57.848423526951102</c:v>
                </c:pt>
                <c:pt idx="20">
                  <c:v>62.33467410545709</c:v>
                </c:pt>
                <c:pt idx="21">
                  <c:v>53.972632003304327</c:v>
                </c:pt>
                <c:pt idx="22">
                  <c:v>56.776297964283323</c:v>
                </c:pt>
                <c:pt idx="23">
                  <c:v>53.900293702115377</c:v>
                </c:pt>
                <c:pt idx="24">
                  <c:v>56.493993948229075</c:v>
                </c:pt>
                <c:pt idx="25">
                  <c:v>52.207127312794299</c:v>
                </c:pt>
                <c:pt idx="26">
                  <c:v>56.478623156835766</c:v>
                </c:pt>
                <c:pt idx="27">
                  <c:v>51.248189640200977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DB8-48DD-8A04-E7FE33F86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00165696"/>
        <c:axId val="800168096"/>
      </c:barChart>
      <c:catAx>
        <c:axId val="80016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0168096"/>
        <c:crosses val="autoZero"/>
        <c:auto val="1"/>
        <c:lblAlgn val="ctr"/>
        <c:lblOffset val="100"/>
        <c:noMultiLvlLbl val="0"/>
      </c:catAx>
      <c:valAx>
        <c:axId val="800168096"/>
        <c:scaling>
          <c:orientation val="minMax"/>
          <c:min val="49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80016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2020-2024.xlsx]Tendencias!TablaDinámica3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rgbClr val="0051A5"/>
                </a:solidFill>
                <a:latin typeface="Helvetic neue"/>
                <a:ea typeface="+mn-ea"/>
                <a:cs typeface="+mn-cs"/>
              </a:defRPr>
            </a:pPr>
            <a:r>
              <a:rPr lang="es-ES" sz="1440" b="0" i="0" u="none" strike="noStrike" kern="1200" spc="0" baseline="0" dirty="0">
                <a:solidFill>
                  <a:srgbClr val="0051A5"/>
                </a:solidFill>
                <a:latin typeface="Helvetic neue"/>
              </a:rPr>
              <a:t>Evolución de los indicadores que marcaron la caída del IDF 2024: Balance Primario, Transferencias y FBKF (2021-2024).</a:t>
            </a:r>
            <a:endParaRPr lang="es-CO" sz="1440" b="0" i="0" u="none" strike="noStrike" kern="1200" spc="0" baseline="0" dirty="0">
              <a:solidFill>
                <a:srgbClr val="0051A5"/>
              </a:solidFill>
              <a:latin typeface="Helvetic neue"/>
            </a:endParaRPr>
          </a:p>
        </c:rich>
      </c:tx>
      <c:layout>
        <c:manualLayout>
          <c:xMode val="edge"/>
          <c:yMode val="edge"/>
          <c:x val="0.12993683635329611"/>
          <c:y val="5.0595219463167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rgbClr val="0051A5"/>
              </a:solidFill>
              <a:latin typeface="Helvetic neue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5400" cap="rnd">
            <a:solidFill>
              <a:srgbClr val="00B53E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00B53E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 cap="rnd">
            <a:solidFill>
              <a:srgbClr val="FF8D0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FF8D00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AB2292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AB229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rgbClr val="00B53E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00B53E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 cap="rnd">
            <a:solidFill>
              <a:srgbClr val="FF8D0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FF8D00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AB2292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numFmt formatCode="#,##0.0" sourceLinked="0"/>
          <c:spPr>
            <a:solidFill>
              <a:schemeClr val="lt1"/>
            </a:solidFill>
            <a:ln w="19050" cap="flat" cmpd="sng" algn="ctr">
              <a:solidFill>
                <a:srgbClr val="AB229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16274946304769"/>
          <c:y val="0.17251144862122361"/>
          <c:w val="0.81056234461937804"/>
          <c:h val="0.53742255021469587"/>
        </c:manualLayout>
      </c:layout>
      <c:lineChart>
        <c:grouping val="standard"/>
        <c:varyColors val="0"/>
        <c:ser>
          <c:idx val="0"/>
          <c:order val="0"/>
          <c:tx>
            <c:strRef>
              <c:f>Tendencias!$B$128</c:f>
              <c:strCache>
                <c:ptCount val="1"/>
                <c:pt idx="0">
                  <c:v>Balance Fiscal "Resultado"</c:v>
                </c:pt>
              </c:strCache>
            </c:strRef>
          </c:tx>
          <c:spPr>
            <a:ln w="25400" cap="rnd">
              <a:solidFill>
                <a:srgbClr val="00B53E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chemeClr val="lt1"/>
              </a:solidFill>
              <a:ln w="19050" cap="flat" cmpd="sng" algn="ctr">
                <a:solidFill>
                  <a:srgbClr val="00B53E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Helvetic neue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Tendencias!$A$129:$A$133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Tendencias!$B$129:$B$133</c:f>
              <c:numCache>
                <c:formatCode>0.00</c:formatCode>
                <c:ptCount val="4"/>
                <c:pt idx="0">
                  <c:v>17.762106933013555</c:v>
                </c:pt>
                <c:pt idx="1">
                  <c:v>16.57654046035341</c:v>
                </c:pt>
                <c:pt idx="2">
                  <c:v>13.917601955972305</c:v>
                </c:pt>
                <c:pt idx="3">
                  <c:v>17.948128604878299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3-49F1-8490-287F2F1E979D}"/>
            </c:ext>
          </c:extLst>
        </c:ser>
        <c:ser>
          <c:idx val="1"/>
          <c:order val="1"/>
          <c:tx>
            <c:strRef>
              <c:f>Tendencias!$C$128</c:f>
              <c:strCache>
                <c:ptCount val="1"/>
                <c:pt idx="0">
                  <c:v>Relevancia FBKF "Resultado" </c:v>
                </c:pt>
              </c:strCache>
            </c:strRef>
          </c:tx>
          <c:spPr>
            <a:ln w="25400" cap="rnd">
              <a:solidFill>
                <a:srgbClr val="FF8D00"/>
              </a:solidFill>
              <a:prstDash val="dash"/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chemeClr val="lt1"/>
              </a:solidFill>
              <a:ln w="19050" cap="flat" cmpd="sng" algn="ctr">
                <a:solidFill>
                  <a:srgbClr val="FF8D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Helvetic neue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Tendencias!$A$129:$A$133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Tendencias!$C$129:$C$133</c:f>
              <c:numCache>
                <c:formatCode>0.00</c:formatCode>
                <c:ptCount val="4"/>
                <c:pt idx="0">
                  <c:v>20.850343253307248</c:v>
                </c:pt>
                <c:pt idx="1">
                  <c:v>8.542713361019814</c:v>
                </c:pt>
                <c:pt idx="2">
                  <c:v>7.4913751257978767</c:v>
                </c:pt>
                <c:pt idx="3">
                  <c:v>10.740577722704522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3-49F1-8490-287F2F1E979D}"/>
            </c:ext>
          </c:extLst>
        </c:ser>
        <c:ser>
          <c:idx val="2"/>
          <c:order val="2"/>
          <c:tx>
            <c:strRef>
              <c:f>Tendencias!$D$128</c:f>
              <c:strCache>
                <c:ptCount val="1"/>
                <c:pt idx="0">
                  <c:v>Dependencia de las transferencias "Resultado" </c:v>
                </c:pt>
              </c:strCache>
            </c:strRef>
          </c:tx>
          <c:spPr>
            <a:ln w="28575" cap="rnd">
              <a:solidFill>
                <a:srgbClr val="AB2292"/>
              </a:solidFill>
              <a:prstDash val="sysDot"/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solidFill>
                <a:schemeClr val="lt1"/>
              </a:solidFill>
              <a:ln w="19050" cap="flat" cmpd="sng" algn="ctr">
                <a:solidFill>
                  <a:srgbClr val="AB229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Helvetic neue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Tendencias!$A$129:$A$133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Tendencias!$D$129:$D$133</c:f>
              <c:numCache>
                <c:formatCode>0.00</c:formatCode>
                <c:ptCount val="4"/>
                <c:pt idx="0">
                  <c:v>63.096120010158813</c:v>
                </c:pt>
                <c:pt idx="1">
                  <c:v>53.204449026900896</c:v>
                </c:pt>
                <c:pt idx="2">
                  <c:v>54.355402528553881</c:v>
                </c:pt>
                <c:pt idx="3">
                  <c:v>56.772308693398671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A3-49F1-8490-287F2F1E97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8999008"/>
        <c:axId val="558999968"/>
      </c:lineChart>
      <c:catAx>
        <c:axId val="55899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rgbClr val="0051A5"/>
                    </a:solidFill>
                    <a:latin typeface="Helvetic neue"/>
                    <a:ea typeface="+mn-ea"/>
                    <a:cs typeface="+mn-cs"/>
                  </a:defRPr>
                </a:pPr>
                <a:r>
                  <a:rPr lang="es-CO"/>
                  <a:t>Título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rgbClr val="0051A5"/>
                  </a:solidFill>
                  <a:latin typeface="Helvetic neue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51A5"/>
                </a:solidFill>
                <a:latin typeface="Helvetic neue"/>
                <a:ea typeface="+mn-ea"/>
                <a:cs typeface="+mn-cs"/>
              </a:defRPr>
            </a:pPr>
            <a:endParaRPr lang="es-CO"/>
          </a:p>
        </c:txPr>
        <c:crossAx val="558999968"/>
        <c:crosses val="autoZero"/>
        <c:auto val="1"/>
        <c:lblAlgn val="ctr"/>
        <c:lblOffset val="100"/>
        <c:noMultiLvlLbl val="0"/>
      </c:catAx>
      <c:valAx>
        <c:axId val="55899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0051A5"/>
                </a:solidFill>
                <a:latin typeface="Helvetic neue"/>
                <a:ea typeface="+mn-ea"/>
                <a:cs typeface="+mn-cs"/>
              </a:defRPr>
            </a:pPr>
            <a:endParaRPr lang="es-CO"/>
          </a:p>
        </c:txPr>
        <c:crossAx val="5589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rgbClr val="0051A5"/>
              </a:solidFill>
              <a:latin typeface="Helvetic neue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rgbClr val="0051A5"/>
          </a:solidFill>
          <a:latin typeface="Helvetic neue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51A5"/>
                </a:solidFill>
              </a:rPr>
              <a:t>Dependencia de las Transferencias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Gráficas!$A$4:$A$8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Gráficas!$B$4:$B$8</c:f>
              <c:numCache>
                <c:formatCode>0.0</c:formatCode>
                <c:ptCount val="4"/>
                <c:pt idx="0">
                  <c:v>56.772308693398671</c:v>
                </c:pt>
                <c:pt idx="1">
                  <c:v>47.628196953543195</c:v>
                </c:pt>
                <c:pt idx="2">
                  <c:v>57.104783978582276</c:v>
                </c:pt>
                <c:pt idx="3">
                  <c:v>70.664007225767989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Resulado</a:t>
                </a:r>
                <a:r>
                  <a:rPr lang="es-CO" baseline="0"/>
                  <a:t> Indicador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Relevancia</a:t>
            </a:r>
            <a:r>
              <a:rPr lang="es-CO" b="1" baseline="0"/>
              <a:t> Formación Bruta de Capital Fijo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Gráficas!$A$22:$A$26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Gráficas!$B$22:$B$26</c:f>
              <c:numCache>
                <c:formatCode>0.0</c:formatCode>
                <c:ptCount val="4"/>
                <c:pt idx="0">
                  <c:v>10.740577722704522</c:v>
                </c:pt>
                <c:pt idx="1">
                  <c:v>12.020405912515283</c:v>
                </c:pt>
                <c:pt idx="2">
                  <c:v>10.975618217550839</c:v>
                </c:pt>
                <c:pt idx="3">
                  <c:v>8.514693377041473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Resltado Indicador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Endeudamiento</a:t>
            </a:r>
          </a:p>
        </c:rich>
      </c:tx>
      <c:layout>
        <c:manualLayout>
          <c:xMode val="edge"/>
          <c:yMode val="edge"/>
          <c:x val="0.36734011373578301"/>
          <c:y val="0.20166229221347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340069991251093"/>
          <c:y val="0.36411599591717708"/>
          <c:w val="0.84326596675415577"/>
          <c:h val="0.29747083697871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Gráficas!$B$33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Gráficas!$A$34:$A$38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Gráficas!$B$34:$B$38</c:f>
              <c:numCache>
                <c:formatCode>0.0</c:formatCode>
                <c:ptCount val="4"/>
                <c:pt idx="0">
                  <c:v>48.772759354630594</c:v>
                </c:pt>
                <c:pt idx="1">
                  <c:v>65.180704243326673</c:v>
                </c:pt>
                <c:pt idx="2">
                  <c:v>42.737395232589257</c:v>
                </c:pt>
                <c:pt idx="3">
                  <c:v>29.284653649811375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Indicador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28078266258384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Ahorro</a:t>
            </a:r>
            <a:r>
              <a:rPr lang="es-CO" b="1" baseline="0"/>
              <a:t> Corriente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Gráficas!$A$45:$A$49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Gráficas!$B$45:$B$49</c:f>
              <c:numCache>
                <c:formatCode>0.0</c:formatCode>
                <c:ptCount val="4"/>
                <c:pt idx="0">
                  <c:v>49.451027647957595</c:v>
                </c:pt>
                <c:pt idx="1">
                  <c:v>54.401522192203188</c:v>
                </c:pt>
                <c:pt idx="2">
                  <c:v>45.249175053240549</c:v>
                </c:pt>
                <c:pt idx="3">
                  <c:v>45.952110951625947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Indicador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Balance Primario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Gráficas!$A$56:$A$60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Gráficas!$B$56:$B$60</c:f>
              <c:numCache>
                <c:formatCode>0.0</c:formatCode>
                <c:ptCount val="4"/>
                <c:pt idx="0">
                  <c:v>17.948128604878296</c:v>
                </c:pt>
                <c:pt idx="1">
                  <c:v>13.512831888000774</c:v>
                </c:pt>
                <c:pt idx="2">
                  <c:v>21.831370063975488</c:v>
                </c:pt>
                <c:pt idx="3">
                  <c:v>20.964237594257256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Indicador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/>
              <a:t>Dimensión</a:t>
            </a:r>
            <a:r>
              <a:rPr lang="es-CO" baseline="0"/>
              <a:t> de Resultados Fiscales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Gráficas!$A$70:$A$74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Gráficas!$B$70:$B$74</c:f>
              <c:numCache>
                <c:formatCode>0.0</c:formatCode>
                <c:ptCount val="4"/>
                <c:pt idx="0">
                  <c:v>46.617148501998905</c:v>
                </c:pt>
                <c:pt idx="1">
                  <c:v>47.197092154297458</c:v>
                </c:pt>
                <c:pt idx="2">
                  <c:v>43.476606234915124</c:v>
                </c:pt>
                <c:pt idx="3">
                  <c:v>48.855556198840475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Dinemsión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Dimensión</a:t>
            </a:r>
            <a:r>
              <a:rPr lang="es-CO" b="1" baseline="0"/>
              <a:t> Gestión Financiera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Gráficas!$L$68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Gráficas!$K$69:$K$73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Gráficas!$L$69:$L$73</c:f>
              <c:numCache>
                <c:formatCode>0.0</c:formatCode>
                <c:ptCount val="4"/>
                <c:pt idx="0">
                  <c:v>80.842621964629018</c:v>
                </c:pt>
                <c:pt idx="1">
                  <c:v>85.203771732541085</c:v>
                </c:pt>
                <c:pt idx="2">
                  <c:v>79.254826264607928</c:v>
                </c:pt>
                <c:pt idx="3">
                  <c:v>75.64640691456465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Dimensión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2020-2024.xlsx]Gráficas!TablaDinámica12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Capacidad Ejecución de la 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Gráficas!$L$55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Gráficas!$K$56:$K$60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Gráficas!$L$56:$L$60</c:f>
              <c:numCache>
                <c:formatCode>0.0</c:formatCode>
                <c:ptCount val="4"/>
                <c:pt idx="0">
                  <c:v>86.296927838123466</c:v>
                </c:pt>
                <c:pt idx="1">
                  <c:v>84.372771663536511</c:v>
                </c:pt>
                <c:pt idx="2">
                  <c:v>89.389266494898422</c:v>
                </c:pt>
                <c:pt idx="3">
                  <c:v>86.197721008483697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</a:t>
                </a:r>
                <a:r>
                  <a:rPr lang="es-CO" baseline="0"/>
                  <a:t> Indicador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2020-2024.xlsx]Gráficas!TablaDinámica13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Capacidad</a:t>
            </a:r>
            <a:r>
              <a:rPr lang="es-CO" b="1" baseline="0"/>
              <a:t> Programación y Recaudo Ingresos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Gráficas!$L$44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Gráficas!$K$45:$K$49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Gráficas!$L$45:$L$49</c:f>
              <c:numCache>
                <c:formatCode>0.0</c:formatCode>
                <c:ptCount val="4"/>
                <c:pt idx="0">
                  <c:v>147.78086158912376</c:v>
                </c:pt>
                <c:pt idx="1">
                  <c:v>104.78858907136524</c:v>
                </c:pt>
                <c:pt idx="2">
                  <c:v>236.19735518251525</c:v>
                </c:pt>
                <c:pt idx="3">
                  <c:v>126.24123635668992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Indicador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2020-2024.xlsx]Gráficas!TablaDinámica14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Holgura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Gráficas!$L$33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Gráficas!$K$34:$K$38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Gráficas!$L$34:$L$38</c:f>
              <c:numCache>
                <c:formatCode>0.0</c:formatCode>
                <c:ptCount val="4"/>
                <c:pt idx="0">
                  <c:v>11.718719067743843</c:v>
                </c:pt>
                <c:pt idx="1">
                  <c:v>11.713361597663001</c:v>
                </c:pt>
                <c:pt idx="2">
                  <c:v>8.2043622155409981</c:v>
                </c:pt>
                <c:pt idx="3">
                  <c:v>15.241409762294653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Reultado Indicador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2020-2024.xlsx]Gráficas!TablaDinámica15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Calificación</a:t>
            </a:r>
            <a:r>
              <a:rPr lang="es-CO" b="1" baseline="0"/>
              <a:t> IDF 2024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cat>
            <c:strRef>
              <c:f>Gráficas!$K$4:$K$8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Gráficas!$L$4:$L$8</c:f>
              <c:numCache>
                <c:formatCode>0.0</c:formatCode>
                <c:ptCount val="4"/>
                <c:pt idx="0">
                  <c:v>53.462243194524916</c:v>
                </c:pt>
                <c:pt idx="1">
                  <c:v>54.798428069946183</c:v>
                </c:pt>
                <c:pt idx="2">
                  <c:v>50.632250240853686</c:v>
                </c:pt>
                <c:pt idx="3">
                  <c:v>54.213726341985314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  <c:max val="6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</a:t>
                </a:r>
                <a:r>
                  <a:rPr lang="es-CO" baseline="0"/>
                  <a:t> IDF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49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2020-2024.xlsx]Gráficas!TablaDinámica9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r>
              <a:rPr lang="es-CO" b="1"/>
              <a:t>Bono Esfuerzo</a:t>
            </a:r>
            <a:r>
              <a:rPr lang="es-CO" b="1" baseline="0"/>
              <a:t> Propio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51A5"/>
              </a:solidFill>
              <a:latin typeface="+mj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B2292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2"/>
        <c:spPr>
          <a:solidFill>
            <a:srgbClr val="0051A5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3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4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5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6"/>
        <c:spPr>
          <a:solidFill>
            <a:srgbClr val="FF8D0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7"/>
        <c:spPr>
          <a:solidFill>
            <a:srgbClr val="F74E1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8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9"/>
        <c:spPr>
          <a:solidFill>
            <a:srgbClr val="0068D0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2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3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4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lt1"/>
            </a:solidFill>
            <a:ln w="19050" cap="flat" cmpd="sng" algn="ctr">
              <a:solidFill>
                <a:schemeClr val="bg2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3878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7"/>
        <c:spPr>
          <a:solidFill>
            <a:srgbClr val="FF187C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8"/>
        <c:spPr>
          <a:solidFill>
            <a:srgbClr val="00923D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  <c:pivotFmt>
        <c:idx val="19"/>
        <c:spPr>
          <a:solidFill>
            <a:srgbClr val="00B53E"/>
          </a:solidFill>
          <a:ln w="0">
            <a:solidFill>
              <a:schemeClr val="tx1">
                <a:lumMod val="15000"/>
                <a:lumOff val="8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Gráficas!$V$33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0"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878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620-484F-8BF5-5E44C12D3BE6}"/>
              </c:ext>
            </c:extLst>
          </c:dPt>
          <c:dPt>
            <c:idx val="1"/>
            <c:invertIfNegative val="0"/>
            <c:bubble3D val="0"/>
            <c:spPr>
              <a:solidFill>
                <a:srgbClr val="FF187C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620-484F-8BF5-5E44C12D3BE6}"/>
              </c:ext>
            </c:extLst>
          </c:dPt>
          <c:dPt>
            <c:idx val="2"/>
            <c:invertIfNegative val="0"/>
            <c:bubble3D val="0"/>
            <c:spPr>
              <a:solidFill>
                <a:srgbClr val="00923D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20-484F-8BF5-5E44C12D3BE6}"/>
              </c:ext>
            </c:extLst>
          </c:dPt>
          <c:dPt>
            <c:idx val="3"/>
            <c:invertIfNegative val="0"/>
            <c:bubble3D val="0"/>
            <c:spPr>
              <a:solidFill>
                <a:srgbClr val="00B53E"/>
              </a:solidFill>
              <a:ln w="0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20-484F-8BF5-5E44C12D3B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20-484F-8BF5-5E44C12D3BE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20-484F-8BF5-5E44C12D3BE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620-484F-8BF5-5E44C12D3BE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620-484F-8BF5-5E44C12D3B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620-484F-8BF5-5E44C12D3BE6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Gráficas!$U$34:$U$38</c:f>
              <c:strCache>
                <c:ptCount val="4"/>
                <c:pt idx="0">
                  <c:v>Promedio Nacional 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Gráficas!$V$34:$V$38</c:f>
              <c:numCache>
                <c:formatCode>0.000</c:formatCode>
                <c:ptCount val="4"/>
                <c:pt idx="0">
                  <c:v>1.3835420556772327E-2</c:v>
                </c:pt>
                <c:pt idx="1">
                  <c:v>1.0890675288579241E-2</c:v>
                </c:pt>
                <c:pt idx="2">
                  <c:v>4.9836006210005855E-3</c:v>
                </c:pt>
                <c:pt idx="3">
                  <c:v>2.726795535417776E-2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0-484F-8BF5-5E44C12D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98"/>
        <c:axId val="1705574208"/>
        <c:axId val="1705585248"/>
      </c:barChart>
      <c:catAx>
        <c:axId val="17055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68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85248"/>
        <c:crosses val="autoZero"/>
        <c:auto val="1"/>
        <c:lblAlgn val="ctr"/>
        <c:lblOffset val="100"/>
        <c:noMultiLvlLbl val="0"/>
      </c:catAx>
      <c:valAx>
        <c:axId val="17055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51A5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s-CO"/>
                  <a:t>Resultado Bono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51A5"/>
                  </a:solidFill>
                  <a:latin typeface="+mj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17055742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34925" cap="flat" cmpd="sng" algn="ctr">
      <a:noFill/>
      <a:round/>
    </a:ln>
    <a:effectLst/>
  </c:spPr>
  <c:txPr>
    <a:bodyPr/>
    <a:lstStyle/>
    <a:p>
      <a:pPr>
        <a:defRPr>
          <a:solidFill>
            <a:srgbClr val="0051A5"/>
          </a:solidFill>
          <a:latin typeface="+mj-lt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800" b="1" i="0" u="none" strike="noStrike" kern="1200" spc="0" baseline="0">
                <a:solidFill>
                  <a:srgbClr val="0F9ED5">
                    <a:lumMod val="50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1</a:t>
            </a:r>
          </a:p>
        </c:rich>
      </c:tx>
      <c:layout>
        <c:manualLayout>
          <c:xMode val="edge"/>
          <c:yMode val="edge"/>
          <c:x val="0.43119531933508309"/>
          <c:y val="4.3291776027996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800" b="1" i="0" u="none" strike="noStrike" kern="1200" spc="0" baseline="0">
              <a:solidFill>
                <a:srgbClr val="0F9ED5">
                  <a:lumMod val="50000"/>
                </a:srgb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1-4A2E-A571-F485C333F8C8}"/>
              </c:ext>
            </c:extLst>
          </c:dPt>
          <c:dPt>
            <c:idx val="1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1-4A2E-A571-F485C333F8C8}"/>
              </c:ext>
            </c:extLst>
          </c:dPt>
          <c:dPt>
            <c:idx val="2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1-4A2E-A571-F485C333F8C8}"/>
              </c:ext>
            </c:extLst>
          </c:dPt>
          <c:dPt>
            <c:idx val="3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1-4A2E-A571-F485C333F8C8}"/>
              </c:ext>
            </c:extLst>
          </c:dPt>
          <c:dPt>
            <c:idx val="4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1-4A2E-A571-F485C333F8C8}"/>
              </c:ext>
            </c:extLst>
          </c:dPt>
          <c:dPt>
            <c:idx val="5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11-4A2E-A571-F485C333F8C8}"/>
              </c:ext>
            </c:extLst>
          </c:dPt>
          <c:dPt>
            <c:idx val="6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11-4A2E-A571-F485C333F8C8}"/>
              </c:ext>
            </c:extLst>
          </c:dPt>
          <c:dPt>
            <c:idx val="7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11-4A2E-A571-F485C333F8C8}"/>
              </c:ext>
            </c:extLst>
          </c:dPt>
          <c:dPt>
            <c:idx val="8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11-4A2E-A571-F485C333F8C8}"/>
              </c:ext>
            </c:extLst>
          </c:dPt>
          <c:dPt>
            <c:idx val="9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11-4A2E-A571-F485C333F8C8}"/>
              </c:ext>
            </c:extLst>
          </c:dPt>
          <c:dPt>
            <c:idx val="10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11-4A2E-A571-F485C333F8C8}"/>
              </c:ext>
            </c:extLst>
          </c:dPt>
          <c:dPt>
            <c:idx val="11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011-4A2E-A571-F485C333F8C8}"/>
              </c:ext>
            </c:extLst>
          </c:dPt>
          <c:dPt>
            <c:idx val="12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4A2-4D47-AA74-C2905652202B}"/>
              </c:ext>
            </c:extLst>
          </c:dPt>
          <c:dPt>
            <c:idx val="13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4A2-4D47-AA74-C2905652202B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'Mejores-Peores'!$D$5:$E$18</c:f>
              <c:multiLvlStrCache>
                <c:ptCount val="14"/>
                <c:lvl>
                  <c:pt idx="0">
                    <c:v>Santander</c:v>
                  </c:pt>
                  <c:pt idx="1">
                    <c:v>Norte De Santander</c:v>
                  </c:pt>
                  <c:pt idx="2">
                    <c:v>Cundinamarca</c:v>
                  </c:pt>
                  <c:pt idx="3">
                    <c:v>Boyaca</c:v>
                  </c:pt>
                  <c:pt idx="4">
                    <c:v>Tolima</c:v>
                  </c:pt>
                  <c:pt idx="5">
                    <c:v>Quindio</c:v>
                  </c:pt>
                  <c:pt idx="6">
                    <c:v>Valle Del Cauca</c:v>
                  </c:pt>
                  <c:pt idx="7">
                    <c:v>Antioquia</c:v>
                  </c:pt>
                  <c:pt idx="8">
                    <c:v>Risaralda</c:v>
                  </c:pt>
                  <c:pt idx="9">
                    <c:v>Caldas</c:v>
                  </c:pt>
                  <c:pt idx="10">
                    <c:v>Sucre</c:v>
                  </c:pt>
                  <c:pt idx="11">
                    <c:v>Huila</c:v>
                  </c:pt>
                  <c:pt idx="12">
                    <c:v>Atlantico</c:v>
                  </c:pt>
                  <c:pt idx="13">
                    <c:v>Cesar</c:v>
                  </c:pt>
                </c:lvl>
                <c:lvl>
                  <c:pt idx="0">
                    <c:v>7 Menor Desempeño</c:v>
                  </c:pt>
                  <c:pt idx="7">
                    <c:v>7 Mejores</c:v>
                  </c:pt>
                </c:lvl>
              </c:multiLvlStrCache>
            </c:multiLvlStrRef>
          </c:cat>
          <c:val>
            <c:numRef>
              <c:f>'Mejores-Peores'!$F$5:$F$18</c:f>
              <c:numCache>
                <c:formatCode>0.0</c:formatCode>
                <c:ptCount val="14"/>
                <c:pt idx="0">
                  <c:v>46.548663847397748</c:v>
                </c:pt>
                <c:pt idx="1">
                  <c:v>49.750536717839175</c:v>
                </c:pt>
                <c:pt idx="2">
                  <c:v>50.213012769362919</c:v>
                </c:pt>
                <c:pt idx="3">
                  <c:v>50.830507842121456</c:v>
                </c:pt>
                <c:pt idx="4">
                  <c:v>51.019049352857991</c:v>
                </c:pt>
                <c:pt idx="5">
                  <c:v>51.266435649482084</c:v>
                </c:pt>
                <c:pt idx="6">
                  <c:v>51.338436603757202</c:v>
                </c:pt>
                <c:pt idx="7">
                  <c:v>51.715650716131883</c:v>
                </c:pt>
                <c:pt idx="8">
                  <c:v>54.74197396775984</c:v>
                </c:pt>
                <c:pt idx="9">
                  <c:v>57.887935182259362</c:v>
                </c:pt>
                <c:pt idx="10">
                  <c:v>60.525919514240925</c:v>
                </c:pt>
                <c:pt idx="11">
                  <c:v>60.742783661202992</c:v>
                </c:pt>
                <c:pt idx="12">
                  <c:v>61.84893636683325</c:v>
                </c:pt>
                <c:pt idx="13">
                  <c:v>68.748150787999663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11-4A2E-A571-F485C333F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axId val="1016406527"/>
        <c:axId val="1016421407"/>
      </c:barChart>
      <c:catAx>
        <c:axId val="101640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6421407"/>
        <c:crosses val="autoZero"/>
        <c:auto val="1"/>
        <c:lblAlgn val="ctr"/>
        <c:lblOffset val="100"/>
        <c:noMultiLvlLbl val="0"/>
      </c:catAx>
      <c:valAx>
        <c:axId val="101642140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01640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800" b="1" i="0" u="none" strike="noStrike" kern="1200" spc="0" baseline="0">
                <a:solidFill>
                  <a:srgbClr val="0F9ED5">
                    <a:lumMod val="50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2</a:t>
            </a:r>
          </a:p>
        </c:rich>
      </c:tx>
      <c:layout>
        <c:manualLayout>
          <c:xMode val="edge"/>
          <c:yMode val="edge"/>
          <c:x val="0.26175088479708136"/>
          <c:y val="1.0884356073567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800" b="1" i="0" u="none" strike="noStrike" kern="1200" spc="0" baseline="0">
              <a:solidFill>
                <a:srgbClr val="0F9ED5">
                  <a:lumMod val="50000"/>
                </a:srgb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1-4A2E-A571-F485C333F8C8}"/>
              </c:ext>
            </c:extLst>
          </c:dPt>
          <c:dPt>
            <c:idx val="1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1-4A2E-A571-F485C333F8C8}"/>
              </c:ext>
            </c:extLst>
          </c:dPt>
          <c:dPt>
            <c:idx val="2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1-4A2E-A571-F485C333F8C8}"/>
              </c:ext>
            </c:extLst>
          </c:dPt>
          <c:dPt>
            <c:idx val="3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1-4A2E-A571-F485C333F8C8}"/>
              </c:ext>
            </c:extLst>
          </c:dPt>
          <c:dPt>
            <c:idx val="4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1-4A2E-A571-F485C333F8C8}"/>
              </c:ext>
            </c:extLst>
          </c:dPt>
          <c:dPt>
            <c:idx val="5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11-4A2E-A571-F485C333F8C8}"/>
              </c:ext>
            </c:extLst>
          </c:dPt>
          <c:dPt>
            <c:idx val="6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11-4A2E-A571-F485C333F8C8}"/>
              </c:ext>
            </c:extLst>
          </c:dPt>
          <c:dPt>
            <c:idx val="7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11-4A2E-A571-F485C333F8C8}"/>
              </c:ext>
            </c:extLst>
          </c:dPt>
          <c:dPt>
            <c:idx val="8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11-4A2E-A571-F485C333F8C8}"/>
              </c:ext>
            </c:extLst>
          </c:dPt>
          <c:dPt>
            <c:idx val="9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11-4A2E-A571-F485C333F8C8}"/>
              </c:ext>
            </c:extLst>
          </c:dPt>
          <c:dPt>
            <c:idx val="10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11-4A2E-A571-F485C333F8C8}"/>
              </c:ext>
            </c:extLst>
          </c:dPt>
          <c:dPt>
            <c:idx val="11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011-4A2E-A571-F485C333F8C8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'Mejores-Peores'!$D$32:$E$40</c:f>
              <c:multiLvlStrCache>
                <c:ptCount val="9"/>
                <c:lvl>
                  <c:pt idx="0">
                    <c:v>San Andrés</c:v>
                  </c:pt>
                  <c:pt idx="1">
                    <c:v>Cordoba</c:v>
                  </c:pt>
                  <c:pt idx="2">
                    <c:v>Bolivar</c:v>
                  </c:pt>
                  <c:pt idx="3">
                    <c:v>Nariño</c:v>
                  </c:pt>
                  <c:pt idx="4">
                    <c:v>Meta</c:v>
                  </c:pt>
                  <c:pt idx="5">
                    <c:v>Magdalena</c:v>
                  </c:pt>
                  <c:pt idx="6">
                    <c:v>Cauca</c:v>
                  </c:pt>
                  <c:pt idx="7">
                    <c:v>Guajira</c:v>
                  </c:pt>
                  <c:pt idx="8">
                    <c:v>Casanare</c:v>
                  </c:pt>
                </c:lvl>
                <c:lvl>
                  <c:pt idx="0">
                    <c:v>4 Menor Desempeño</c:v>
                  </c:pt>
                  <c:pt idx="4">
                    <c:v>5 Mejores</c:v>
                  </c:pt>
                </c:lvl>
              </c:multiLvlStrCache>
            </c:multiLvlStrRef>
          </c:cat>
          <c:val>
            <c:numRef>
              <c:f>'Mejores-Peores'!$F$32:$F$40</c:f>
              <c:numCache>
                <c:formatCode>0.0</c:formatCode>
                <c:ptCount val="9"/>
                <c:pt idx="0">
                  <c:v>38.127030563454781</c:v>
                </c:pt>
                <c:pt idx="1">
                  <c:v>42.069691812357846</c:v>
                </c:pt>
                <c:pt idx="2">
                  <c:v>45.639067069388105</c:v>
                </c:pt>
                <c:pt idx="3">
                  <c:v>48.962741969314941</c:v>
                </c:pt>
                <c:pt idx="4">
                  <c:v>49.869589935637997</c:v>
                </c:pt>
                <c:pt idx="5">
                  <c:v>50.456294378068634</c:v>
                </c:pt>
                <c:pt idx="6">
                  <c:v>52.242421503037733</c:v>
                </c:pt>
                <c:pt idx="7">
                  <c:v>57.419127374306115</c:v>
                </c:pt>
                <c:pt idx="8">
                  <c:v>70.904287562117048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11-4A2E-A571-F485C333F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axId val="1016406527"/>
        <c:axId val="1016421407"/>
      </c:barChart>
      <c:catAx>
        <c:axId val="101640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6421407"/>
        <c:crosses val="autoZero"/>
        <c:auto val="1"/>
        <c:lblAlgn val="ctr"/>
        <c:lblOffset val="100"/>
        <c:noMultiLvlLbl val="0"/>
      </c:catAx>
      <c:valAx>
        <c:axId val="101642140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01640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800" b="1" i="0" u="none" strike="noStrike" kern="1200" spc="0" baseline="0">
                <a:solidFill>
                  <a:srgbClr val="0F9ED5">
                    <a:lumMod val="50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3</a:t>
            </a:r>
          </a:p>
        </c:rich>
      </c:tx>
      <c:layout>
        <c:manualLayout>
          <c:xMode val="edge"/>
          <c:yMode val="edge"/>
          <c:x val="0.26175088479708136"/>
          <c:y val="1.0884356073567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800" b="1" i="0" u="none" strike="noStrike" kern="1200" spc="0" baseline="0">
              <a:solidFill>
                <a:srgbClr val="0F9ED5">
                  <a:lumMod val="50000"/>
                </a:srgb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11-4A2E-A571-F485C333F8C8}"/>
              </c:ext>
            </c:extLst>
          </c:dPt>
          <c:dPt>
            <c:idx val="1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11-4A2E-A571-F485C333F8C8}"/>
              </c:ext>
            </c:extLst>
          </c:dPt>
          <c:dPt>
            <c:idx val="2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11-4A2E-A571-F485C333F8C8}"/>
              </c:ext>
            </c:extLst>
          </c:dPt>
          <c:dPt>
            <c:idx val="3"/>
            <c:invertIfNegative val="0"/>
            <c:bubble3D val="0"/>
            <c:spPr>
              <a:solidFill>
                <a:srgbClr val="F74E1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11-4A2E-A571-F485C333F8C8}"/>
              </c:ext>
            </c:extLst>
          </c:dPt>
          <c:dPt>
            <c:idx val="4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11-4A2E-A571-F485C333F8C8}"/>
              </c:ext>
            </c:extLst>
          </c:dPt>
          <c:dPt>
            <c:idx val="5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11-4A2E-A571-F485C333F8C8}"/>
              </c:ext>
            </c:extLst>
          </c:dPt>
          <c:dPt>
            <c:idx val="6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11-4A2E-A571-F485C333F8C8}"/>
              </c:ext>
            </c:extLst>
          </c:dPt>
          <c:dPt>
            <c:idx val="7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11-4A2E-A571-F485C333F8C8}"/>
              </c:ext>
            </c:extLst>
          </c:dPt>
          <c:dPt>
            <c:idx val="8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11-4A2E-A571-F485C333F8C8}"/>
              </c:ext>
            </c:extLst>
          </c:dPt>
          <c:dPt>
            <c:idx val="9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11-4A2E-A571-F485C333F8C8}"/>
              </c:ext>
            </c:extLst>
          </c:dPt>
          <c:dPt>
            <c:idx val="10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11-4A2E-A571-F485C333F8C8}"/>
              </c:ext>
            </c:extLst>
          </c:dPt>
          <c:dPt>
            <c:idx val="11"/>
            <c:invertIfNegative val="0"/>
            <c:bubble3D val="0"/>
            <c:spPr>
              <a:solidFill>
                <a:srgbClr val="0092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011-4A2E-A571-F485C333F8C8}"/>
              </c:ext>
            </c:extLst>
          </c:dPt>
          <c:dLbls>
            <c:spPr>
              <a:solidFill>
                <a:schemeClr val="lt1"/>
              </a:solidFill>
              <a:ln w="19050" cap="flat" cmpd="sng" algn="ctr">
                <a:solidFill>
                  <a:schemeClr val="bg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'Mejores-Peores'!$D$51:$E$59</c:f>
              <c:multiLvlStrCache>
                <c:ptCount val="9"/>
                <c:lvl>
                  <c:pt idx="0">
                    <c:v>Caqueta</c:v>
                  </c:pt>
                  <c:pt idx="1">
                    <c:v>Amazonas</c:v>
                  </c:pt>
                  <c:pt idx="2">
                    <c:v>Choco</c:v>
                  </c:pt>
                  <c:pt idx="3">
                    <c:v>Vaupes</c:v>
                  </c:pt>
                  <c:pt idx="4">
                    <c:v>Guainia</c:v>
                  </c:pt>
                  <c:pt idx="5">
                    <c:v>Putumayo</c:v>
                  </c:pt>
                  <c:pt idx="6">
                    <c:v>Vichada</c:v>
                  </c:pt>
                  <c:pt idx="7">
                    <c:v>Guaviare</c:v>
                  </c:pt>
                  <c:pt idx="8">
                    <c:v>Arauca</c:v>
                  </c:pt>
                </c:lvl>
                <c:lvl>
                  <c:pt idx="0">
                    <c:v>4 Menor Desempeño</c:v>
                  </c:pt>
                  <c:pt idx="4">
                    <c:v>5 Mejores</c:v>
                  </c:pt>
                </c:lvl>
              </c:multiLvlStrCache>
            </c:multiLvlStrRef>
          </c:cat>
          <c:val>
            <c:numRef>
              <c:f>'Mejores-Peores'!$F$51:$F$59</c:f>
              <c:numCache>
                <c:formatCode>0.0</c:formatCode>
                <c:ptCount val="9"/>
                <c:pt idx="0">
                  <c:v>47.389088088997127</c:v>
                </c:pt>
                <c:pt idx="1">
                  <c:v>47.48204325840198</c:v>
                </c:pt>
                <c:pt idx="2">
                  <c:v>52.449158484693996</c:v>
                </c:pt>
                <c:pt idx="3">
                  <c:v>52.785252102588885</c:v>
                </c:pt>
                <c:pt idx="4">
                  <c:v>55.457030868659032</c:v>
                </c:pt>
                <c:pt idx="5">
                  <c:v>56.380107254116687</c:v>
                </c:pt>
                <c:pt idx="6">
                  <c:v>58.223626018736937</c:v>
                </c:pt>
                <c:pt idx="7">
                  <c:v>58.566767148313708</c:v>
                </c:pt>
                <c:pt idx="8">
                  <c:v>59.190463853359461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11-4A2E-A571-F485C333F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9"/>
        <c:axId val="1016406527"/>
        <c:axId val="1016421407"/>
      </c:barChart>
      <c:catAx>
        <c:axId val="101640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2">
                    <a:lumMod val="90000"/>
                    <a:lumOff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6421407"/>
        <c:crosses val="autoZero"/>
        <c:auto val="1"/>
        <c:lblAlgn val="ctr"/>
        <c:lblOffset val="100"/>
        <c:noMultiLvlLbl val="0"/>
      </c:catAx>
      <c:valAx>
        <c:axId val="1016421407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01640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[Desempeño Fiscal departamentos 2020-2024.xlsx]Analisis rangos desempeño!TablaDinámica11</c:name>
    <c:fmtId val="29"/>
  </c:pivotSource>
  <c:chart>
    <c:autoTitleDeleted val="1"/>
    <c:pivotFmts>
      <c:pivotFmt>
        <c:idx val="0"/>
        <c:spPr>
          <a:solidFill>
            <a:srgbClr val="F74E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8D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B229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53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923D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74E11"/>
          </a:solidFill>
          <a:ln>
            <a:noFill/>
          </a:ln>
          <a:effectLst/>
        </c:spPr>
      </c:pivotFmt>
      <c:pivotFmt>
        <c:idx val="6"/>
        <c:spPr>
          <a:solidFill>
            <a:srgbClr val="FF8D00"/>
          </a:solidFill>
          <a:ln>
            <a:noFill/>
          </a:ln>
          <a:effectLst/>
        </c:spPr>
      </c:pivotFmt>
      <c:pivotFmt>
        <c:idx val="7"/>
        <c:spPr>
          <a:solidFill>
            <a:srgbClr val="AB2292"/>
          </a:solidFill>
          <a:ln>
            <a:noFill/>
          </a:ln>
          <a:effectLst/>
        </c:spPr>
      </c:pivotFmt>
      <c:pivotFmt>
        <c:idx val="8"/>
        <c:spPr>
          <a:solidFill>
            <a:srgbClr val="00B53E"/>
          </a:solidFill>
          <a:ln>
            <a:noFill/>
          </a:ln>
          <a:effectLst/>
        </c:spPr>
      </c:pivotFmt>
      <c:pivotFmt>
        <c:idx val="9"/>
        <c:spPr>
          <a:solidFill>
            <a:srgbClr val="00923D"/>
          </a:solidFill>
          <a:ln>
            <a:noFill/>
          </a:ln>
          <a:effectLst/>
        </c:spPr>
      </c:pivotFmt>
      <c:pivotFmt>
        <c:idx val="10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74E1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8D0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AB229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53E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%;;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2">
                      <a:lumMod val="90000"/>
                      <a:lumOff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8D00"/>
          </a:solidFill>
          <a:ln>
            <a:noFill/>
          </a:ln>
          <a:effectLst/>
        </c:spPr>
      </c:pivotFmt>
      <c:pivotFmt>
        <c:idx val="18"/>
        <c:spPr>
          <a:solidFill>
            <a:srgbClr val="FF8D00"/>
          </a:solidFill>
          <a:ln>
            <a:noFill/>
          </a:ln>
          <a:effectLst/>
        </c:spPr>
      </c:pivotFmt>
      <c:pivotFmt>
        <c:idx val="19"/>
        <c:spPr>
          <a:solidFill>
            <a:srgbClr val="FF8D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rangos desempeño'!$B$13:$B$14</c:f>
              <c:strCache>
                <c:ptCount val="1"/>
                <c:pt idx="0">
                  <c:v>1. Deterioro (&lt;40)</c:v>
                </c:pt>
              </c:strCache>
            </c:strRef>
          </c:tx>
          <c:spPr>
            <a:solidFill>
              <a:srgbClr val="F74E1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F62-4BB6-824F-D83427C7F7AE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rangos desempeño'!$A$15:$A$18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'Analisis rangos desempeño'!$B$15:$B$18</c:f>
              <c:numCache>
                <c:formatCode>0.0%</c:formatCode>
                <c:ptCount val="3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A-4CE2-9BE3-9A36E71F6343}"/>
            </c:ext>
          </c:extLst>
        </c:ser>
        <c:ser>
          <c:idx val="1"/>
          <c:order val="1"/>
          <c:tx>
            <c:strRef>
              <c:f>'Analisis rangos desempeño'!$C$13:$C$14</c:f>
              <c:strCache>
                <c:ptCount val="1"/>
                <c:pt idx="0">
                  <c:v>2. Riesgo (&gt;=40 y &lt;60)</c:v>
                </c:pt>
              </c:strCache>
            </c:strRef>
          </c:tx>
          <c:spPr>
            <a:solidFill>
              <a:srgbClr val="FF8D00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F62-4BB6-824F-D83427C7F7AE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rangos desempeño'!$A$15:$A$18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'Analisis rangos desempeño'!$C$15:$C$18</c:f>
              <c:numCache>
                <c:formatCode>0.0%</c:formatCode>
                <c:ptCount val="3"/>
                <c:pt idx="0">
                  <c:v>0.7142857142857143</c:v>
                </c:pt>
                <c:pt idx="1">
                  <c:v>0.77777777777777779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6A-4CE2-9BE3-9A36E71F6343}"/>
            </c:ext>
          </c:extLst>
        </c:ser>
        <c:ser>
          <c:idx val="2"/>
          <c:order val="2"/>
          <c:tx>
            <c:strRef>
              <c:f>'Analisis rangos desempeño'!$D$13:$D$14</c:f>
              <c:strCache>
                <c:ptCount val="1"/>
                <c:pt idx="0">
                  <c:v>3. Vulnerable (&gt;=60 y &lt;70)</c:v>
                </c:pt>
              </c:strCache>
            </c:strRef>
          </c:tx>
          <c:spPr>
            <a:solidFill>
              <a:srgbClr val="AB2292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F62-4BB6-824F-D83427C7F7AE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rangos desempeño'!$A$15:$A$18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'Analisis rangos desempeño'!$D$15:$D$18</c:f>
              <c:numCache>
                <c:formatCode>0.0%</c:formatCode>
                <c:ptCount val="3"/>
                <c:pt idx="0">
                  <c:v>0.2857142857142857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6A-4CE2-9BE3-9A36E71F6343}"/>
            </c:ext>
          </c:extLst>
        </c:ser>
        <c:ser>
          <c:idx val="3"/>
          <c:order val="3"/>
          <c:tx>
            <c:strRef>
              <c:f>'Analisis rangos desempeño'!$E$13:$E$14</c:f>
              <c:strCache>
                <c:ptCount val="1"/>
                <c:pt idx="0">
                  <c:v>4. Solvente (&gt;=70 y &lt;80)</c:v>
                </c:pt>
              </c:strCache>
            </c:strRef>
          </c:tx>
          <c:spPr>
            <a:solidFill>
              <a:srgbClr val="00B53E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F62-4BB6-824F-D83427C7F7AE}"/>
              </c:ext>
            </c:extLst>
          </c:dPt>
          <c:dLbls>
            <c:numFmt formatCode="0%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2">
                        <a:lumMod val="90000"/>
                        <a:lumOff val="1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'Analisis rangos desempeño'!$A$15:$A$18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'Analisis rangos desempeño'!$E$15:$E$18</c:f>
              <c:numCache>
                <c:formatCode>0.0%</c:formatCode>
                <c:ptCount val="3"/>
                <c:pt idx="0">
                  <c:v>0</c:v>
                </c:pt>
                <c:pt idx="1">
                  <c:v>0.1111111111111111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6A-4CE2-9BE3-9A36E71F63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13"/>
        <c:axId val="213703455"/>
        <c:axId val="213701535"/>
      </c:barChart>
      <c:catAx>
        <c:axId val="21370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800" b="0" i="0" u="none" strike="noStrike" kern="1200" cap="all" spc="120" normalizeH="0" baseline="0">
                <a:solidFill>
                  <a:srgbClr val="0051A5"/>
                </a:solidFill>
                <a:latin typeface="+mj-lt"/>
                <a:ea typeface="+mn-ea"/>
                <a:cs typeface="+mn-cs"/>
              </a:defRPr>
            </a:pPr>
            <a:endParaRPr lang="es-CO"/>
          </a:p>
        </c:txPr>
        <c:crossAx val="213701535"/>
        <c:crosses val="autoZero"/>
        <c:auto val="1"/>
        <c:lblAlgn val="ctr"/>
        <c:lblOffset val="100"/>
        <c:noMultiLvlLbl val="0"/>
      </c:catAx>
      <c:valAx>
        <c:axId val="213701535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21370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1946878284417"/>
          <c:y val="0.15703703703703706"/>
          <c:w val="0.20574333721828322"/>
          <c:h val="0.40958789701916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586740</xdr:colOff>
      <xdr:row>35</xdr:row>
      <xdr:rowOff>68580</xdr:rowOff>
    </xdr:from>
    <xdr:to>
      <xdr:col>15</xdr:col>
      <xdr:colOff>723900</xdr:colOff>
      <xdr:row>54</xdr:row>
      <xdr:rowOff>137160</xdr:rowOff>
    </xdr:to>
    <xdr:graphicFrame macro="">
      <xdr:nvGraphicFramePr>
        <xdr:cNvPr id="5" name="Distribución por Clasificación">
          <a:extLst>
            <a:ext uri="{FF2B5EF4-FFF2-40B4-BE49-F238E27FC236}">
              <a16:creationId xmlns:a16="http://schemas.microsoft.com/office/drawing/2014/main" id="{95C2DE0F-6A76-8BB3-00BC-4A8A1B9D5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114299</xdr:colOff>
      <xdr:row>35</xdr:row>
      <xdr:rowOff>45720</xdr:rowOff>
    </xdr:from>
    <xdr:to>
      <xdr:col>5</xdr:col>
      <xdr:colOff>685799</xdr:colOff>
      <xdr:row>56</xdr:row>
      <xdr:rowOff>7620</xdr:rowOff>
    </xdr:to>
    <xdr:graphicFrame macro="">
      <xdr:nvGraphicFramePr>
        <xdr:cNvPr id="9" name="Evolución IDF Promedio">
          <a:extLst>
            <a:ext uri="{FF2B5EF4-FFF2-40B4-BE49-F238E27FC236}">
              <a16:creationId xmlns:a16="http://schemas.microsoft.com/office/drawing/2014/main" id="{3537DA12-5B52-504B-5E9A-54B7F53AA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227854</xdr:colOff>
      <xdr:row>3</xdr:row>
      <xdr:rowOff>33617</xdr:rowOff>
    </xdr:from>
    <xdr:to>
      <xdr:col>16</xdr:col>
      <xdr:colOff>266860</xdr:colOff>
      <xdr:row>16</xdr:row>
      <xdr:rowOff>2240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2DE4F7-5286-4BD6-9C0E-429CD4DE4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941292</xdr:colOff>
      <xdr:row>35</xdr:row>
      <xdr:rowOff>40339</xdr:rowOff>
    </xdr:from>
    <xdr:to>
      <xdr:col>17</xdr:col>
      <xdr:colOff>952500</xdr:colOff>
      <xdr:row>59</xdr:row>
      <xdr:rowOff>78441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FE53FC9-A545-8274-B0E9-5DB5858FB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3920</xdr:colOff>
      <xdr:row>135</xdr:row>
      <xdr:rowOff>152399</xdr:rowOff>
    </xdr:from>
    <xdr:to>
      <xdr:col>7</xdr:col>
      <xdr:colOff>806822</xdr:colOff>
      <xdr:row>161</xdr:row>
      <xdr:rowOff>179295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AEDCC0D0-84E2-5713-0DF8-1185EA836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33338</xdr:colOff>
      <xdr:row>1</xdr:row>
      <xdr:rowOff>11903</xdr:rowOff>
    </xdr:from>
    <xdr:to>
      <xdr:col>7</xdr:col>
      <xdr:colOff>760463</xdr:colOff>
      <xdr:row>15</xdr:row>
      <xdr:rowOff>25309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C975C5-A43A-3978-E5E7-3B058CF6C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50006</xdr:colOff>
      <xdr:row>18</xdr:row>
      <xdr:rowOff>52387</xdr:rowOff>
    </xdr:from>
    <xdr:to>
      <xdr:col>7</xdr:col>
      <xdr:colOff>777131</xdr:colOff>
      <xdr:row>29</xdr:row>
      <xdr:rowOff>65793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CE5FB7-C039-476D-E217-B61E5984F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35719</xdr:colOff>
      <xdr:row>30</xdr:row>
      <xdr:rowOff>33338</xdr:rowOff>
    </xdr:from>
    <xdr:to>
      <xdr:col>7</xdr:col>
      <xdr:colOff>762844</xdr:colOff>
      <xdr:row>41</xdr:row>
      <xdr:rowOff>46743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AC41099-C2F3-C8E5-1293-8253918B9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35718</xdr:colOff>
      <xdr:row>41</xdr:row>
      <xdr:rowOff>33337</xdr:rowOff>
    </xdr:from>
    <xdr:to>
      <xdr:col>7</xdr:col>
      <xdr:colOff>762843</xdr:colOff>
      <xdr:row>53</xdr:row>
      <xdr:rowOff>10743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AF295D2-7FD5-BD9B-C27E-8C8867E4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11905</xdr:colOff>
      <xdr:row>54</xdr:row>
      <xdr:rowOff>33337</xdr:rowOff>
    </xdr:from>
    <xdr:to>
      <xdr:col>7</xdr:col>
      <xdr:colOff>739030</xdr:colOff>
      <xdr:row>65</xdr:row>
      <xdr:rowOff>46743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AD895E5-A6FC-EEFC-2070-059F4488D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47624</xdr:colOff>
      <xdr:row>66</xdr:row>
      <xdr:rowOff>57150</xdr:rowOff>
    </xdr:from>
    <xdr:to>
      <xdr:col>7</xdr:col>
      <xdr:colOff>774749</xdr:colOff>
      <xdr:row>78</xdr:row>
      <xdr:rowOff>82463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5411E7F-1658-CE69-7E67-432219B5E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23812</xdr:colOff>
      <xdr:row>65</xdr:row>
      <xdr:rowOff>9524</xdr:rowOff>
    </xdr:from>
    <xdr:to>
      <xdr:col>17</xdr:col>
      <xdr:colOff>750937</xdr:colOff>
      <xdr:row>77</xdr:row>
      <xdr:rowOff>34837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9BCD069-6580-558F-4830-C7ABA3B4C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83343</xdr:colOff>
      <xdr:row>52</xdr:row>
      <xdr:rowOff>80963</xdr:rowOff>
    </xdr:from>
    <xdr:to>
      <xdr:col>17</xdr:col>
      <xdr:colOff>810468</xdr:colOff>
      <xdr:row>63</xdr:row>
      <xdr:rowOff>94369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7657CC7-27C1-BF04-AECF-D9981E37C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35718</xdr:colOff>
      <xdr:row>40</xdr:row>
      <xdr:rowOff>188119</xdr:rowOff>
    </xdr:from>
    <xdr:to>
      <xdr:col>17</xdr:col>
      <xdr:colOff>654843</xdr:colOff>
      <xdr:row>51</xdr:row>
      <xdr:rowOff>109538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974084D-55D6-C16E-353D-AD6F67E55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940594</xdr:colOff>
      <xdr:row>26</xdr:row>
      <xdr:rowOff>140494</xdr:rowOff>
    </xdr:from>
    <xdr:to>
      <xdr:col>17</xdr:col>
      <xdr:colOff>571500</xdr:colOff>
      <xdr:row>38</xdr:row>
      <xdr:rowOff>61913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C011F-5DA9-EA84-2362-E21136912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790575</xdr:colOff>
      <xdr:row>2</xdr:row>
      <xdr:rowOff>219075</xdr:rowOff>
    </xdr:from>
    <xdr:to>
      <xdr:col>18</xdr:col>
      <xdr:colOff>546150</xdr:colOff>
      <xdr:row>17</xdr:row>
      <xdr:rowOff>41981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C86F45D-FA24-D708-E734-49F703A3C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595313</xdr:colOff>
      <xdr:row>30</xdr:row>
      <xdr:rowOff>57150</xdr:rowOff>
    </xdr:from>
    <xdr:to>
      <xdr:col>29</xdr:col>
      <xdr:colOff>226219</xdr:colOff>
      <xdr:row>38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05A7060-70E1-A531-3F95-99320B796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</xdr:row>
      <xdr:rowOff>114300</xdr:rowOff>
    </xdr:from>
    <xdr:to>
      <xdr:col>11</xdr:col>
      <xdr:colOff>200025</xdr:colOff>
      <xdr:row>15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4BA781-4DBE-0F88-4F66-A43AD8C93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795337</xdr:colOff>
      <xdr:row>24</xdr:row>
      <xdr:rowOff>66675</xdr:rowOff>
    </xdr:from>
    <xdr:to>
      <xdr:col>11</xdr:col>
      <xdr:colOff>414337</xdr:colOff>
      <xdr:row>38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7B73BA-BF5C-63B1-B195-316080746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671512</xdr:colOff>
      <xdr:row>42</xdr:row>
      <xdr:rowOff>95250</xdr:rowOff>
    </xdr:from>
    <xdr:to>
      <xdr:col>11</xdr:col>
      <xdr:colOff>290512</xdr:colOff>
      <xdr:row>56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93B268-1134-8E4E-4B67-1640DD173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447673</xdr:colOff>
      <xdr:row>4</xdr:row>
      <xdr:rowOff>161925</xdr:rowOff>
    </xdr:from>
    <xdr:to>
      <xdr:col>12</xdr:col>
      <xdr:colOff>971550</xdr:colOff>
      <xdr:row>18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1DD3C0-04CB-0FEF-C10D-204CE15BB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021/IDF%20y%20OEC%202021/Departamentos/C&#225;lculo%20OEC%20Deptos%202021%20rev%202023.xlsx" TargetMode="External"/><Relationship Id="rId2" Type="http://schemas.openxmlformats.org/officeDocument/2006/relationships/externalLinkPath" Target="https://planeacionnacional-my.sharepoint.com/personal/sordonez_dnp_gov_co/Documents/IDF/2021/IDF%20y%20OEC%202021/Departamentos/C&#225;lculo%20OEC%20Deptos%202021%20rev%202023.xlsx" TargetMode="External"/><Relationship Id="rId1" Type="http://schemas.openxmlformats.org/officeDocument/2006/relationships/externalLinkPath" Target="/personal/sordonez_dnp_gov_co/Documents/IDF/2021/IDF%20y%20OEC%202021/Departamentos/C&#225;lculo%20OEC%20Deptos%202021%20rev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y 617 "/>
      <sheetName val="Balance Fin."/>
      <sheetName val="OC"/>
      <sheetName val="TD OEC"/>
      <sheetName val="2020"/>
      <sheetName val="SGR"/>
      <sheetName val="Desarrollo"/>
      <sheetName val="2020T"/>
      <sheetName val="Ley 550"/>
      <sheetName val="Tabla"/>
      <sheetName val="Población"/>
      <sheetName val="Ranking"/>
      <sheetName val="TD Rep."/>
      <sheetName val="Graficos"/>
      <sheetName val="Reporte 2021"/>
      <sheetName val="Nuevo IDF"/>
      <sheetName val="OEC-sin SGR"/>
      <sheetName val="Bonificación Esfuerzo propio"/>
      <sheetName val="Ranking Categorí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terine Laverde Ariza" id="{EB072580-19E3-4491-936A-8FAA8BF139F1}" userId="S::glaverde@dnp.gov.co::36170dcf-ceb1-4e08-b997-09c8a46377d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idel  Rodriguez Urueña" refreshedDate="45938.635833680557" createdVersion="8" refreshedVersion="8" minRefreshableVersion="3" recordCount="162" xr:uid="{ECE0E74F-9208-48A1-AB5E-C83A7F7D5BB8}">
  <cacheSource type="worksheet">
    <worksheetSource ref="A4:BG134" sheet="IDF 20-24 con variables"/>
  </cacheSource>
  <cacheFields count="56">
    <cacheField name="Código (2 digitos)" numFmtId="0">
      <sharedItems containsBlank="1"/>
    </cacheField>
    <cacheField name="Código (5 digitos)" numFmtId="0">
      <sharedItems containsBlank="1"/>
    </cacheField>
    <cacheField name="Año" numFmtId="0">
      <sharedItems containsString="0" containsBlank="1" containsNumber="1" containsInteger="1" minValue="2020" maxValue="2024" count="6">
        <n v="2020"/>
        <n v="2021"/>
        <n v="2022"/>
        <n v="2023"/>
        <n v="2024"/>
        <m/>
      </sharedItems>
    </cacheField>
    <cacheField name="Departamento" numFmtId="0">
      <sharedItems containsBlank="1"/>
    </cacheField>
    <cacheField name="Categorías" numFmtId="0">
      <sharedItems containsBlank="1" containsMixedTypes="1" containsNumber="1" containsInteger="1" minValue="1" maxValue="4"/>
    </cacheField>
    <cacheField name="Tipologías" numFmtId="0">
      <sharedItems containsBlank="1" containsMixedTypes="1" containsNumber="1" containsInteger="1" minValue="1" maxValue="3"/>
    </cacheField>
    <cacheField name="A3010-Transferencias corrientes de nivel nacional (NO tiene SGR)" numFmtId="164">
      <sharedItems containsString="0" containsBlank="1" containsNumber="1" minValue="0" maxValue="119183.045"/>
    </cacheField>
    <cacheField name="D1000-Transferencias nacionales (No tiene SGR)" numFmtId="164">
      <sharedItems containsString="0" containsBlank="1" containsNumber="1" minValue="57466.396444999991" maxValue="2185756.971653"/>
    </cacheField>
    <cacheField name="A-INGRESOS TOTALES (NO SGR)" numFmtId="164">
      <sharedItems containsString="0" containsBlank="1" containsNumber="1" minValue="123076.37778100002" maxValue="6362170.0811090004"/>
    </cacheField>
    <cacheField name="A1000-Ingresos tributarios (No SGR" numFmtId="0">
      <sharedItems containsString="0" containsBlank="1" containsNumber="1" minValue="10889.958999999999" maxValue="2125447.5530950003"/>
    </cacheField>
    <cacheField name="A2000-Ingresos no tributarios (No SGR)" numFmtId="0">
      <sharedItems containsString="0" containsBlank="1" containsNumber="1" minValue="264.56299999999999" maxValue="1262248.3300910001"/>
    </cacheField>
    <cacheField name="Gasto en Inversión" numFmtId="0">
      <sharedItems containsString="0" containsBlank="1" containsNumber="1" minValue="98588.905532000004" maxValue="5557896.2575310012"/>
    </cacheField>
    <cacheField name="Gasto en Formación Bruta de Capital" numFmtId="0">
      <sharedItems containsString="0" containsBlank="1" containsNumber="1" minValue="0" maxValue="1222873.4755569999"/>
    </cacheField>
    <cacheField name="Ingreso corriente" numFmtId="0">
      <sharedItems containsString="0" containsBlank="1" containsNumber="1" minValue="35445.463999999993" maxValue="3392717.2894199998"/>
    </cacheField>
    <cacheField name="Ahorro corriente" numFmtId="0">
      <sharedItems containsString="0" containsBlank="1" containsNumber="1" minValue="-18194.058334000001" maxValue="2174780.558923"/>
    </cacheField>
    <cacheField name="B2000-Intereses de la deuda pública -NO tiene SGR" numFmtId="0">
      <sharedItems containsString="0" containsBlank="1" containsNumber="1" minValue="0" maxValue="267602.986661"/>
    </cacheField>
    <cacheField name="G-Déficit o Superávit Total (No Tiene SGR)" numFmtId="0">
      <sharedItems containsString="0" containsBlank="1" containsNumber="1" minValue="-537294.77478800062" maxValue="230843.84234100161"/>
    </cacheField>
    <cacheField name="Recursos del Balance CUIPO" numFmtId="0">
      <sharedItems containsString="0" containsBlank="1" containsNumber="1" minValue="19418.080136" maxValue="1110806.930898"/>
    </cacheField>
    <cacheField name="Desembolsos (No tiene SGR)" numFmtId="0">
      <sharedItems containsString="0" containsBlank="1" containsNumber="1" minValue="0" maxValue="527712.31049599999"/>
    </cacheField>
    <cacheField name="Activos totales" numFmtId="0">
      <sharedItems containsString="0" containsBlank="1" containsNumber="1" minValue="558510.07537600002" maxValue="16095790.780893"/>
    </cacheField>
    <cacheField name="Pasivos totales" numFmtId="0">
      <sharedItems containsString="0" containsBlank="1" containsNumber="1" minValue="58513.208935339993" maxValue="13366808.623283001"/>
    </cacheField>
    <cacheField name="Gastos de funcionamiento / ICLD" numFmtId="0">
      <sharedItems containsString="0" containsBlank="1" containsNumber="1" minValue="0.2664599280874963" maxValue="83.494438600324543"/>
    </cacheField>
    <cacheField name="Límite Ley 617 de 2000" numFmtId="0">
      <sharedItems containsString="0" containsBlank="1" containsNumber="1" minValue="50" maxValue="70"/>
    </cacheField>
    <cacheField name="Presupuesto Inicial " numFmtId="0">
      <sharedItems containsString="0" containsBlank="1" containsNumber="1" minValue="5910.0770599999996" maxValue="3062505.434471"/>
    </cacheField>
    <cacheField name="Recaudo" numFmtId="0">
      <sharedItems containsString="0" containsBlank="1" containsNumber="1" minValue="9787.6997850000007" maxValue="3367645.1853399999"/>
    </cacheField>
    <cacheField name="Compromisos" numFmtId="0">
      <sharedItems containsString="0" containsBlank="1" containsNumber="1" minValue="78469.145688999997" maxValue="5320918.7083240012"/>
    </cacheField>
    <cacheField name="Pagos" numFmtId="0">
      <sharedItems containsString="0" containsBlank="1" containsNumber="1" minValue="66704.330625999995" maxValue="4228125.5784480004"/>
    </cacheField>
    <cacheField name="SGP + otras transferencias nacionales" numFmtId="0">
      <sharedItems containsString="0" containsBlank="1" containsNumber="1" minValue="68254.932400499994" maxValue="2185756.971653"/>
    </cacheField>
    <cacheField name="Ingresos totales" numFmtId="0">
      <sharedItems containsString="0" containsBlank="1" containsNumber="1" minValue="133068.20799999998" maxValue="6362170.0811090004"/>
    </cacheField>
    <cacheField name="Déficit o superávit + intereses deuda+RB" numFmtId="0">
      <sharedItems containsString="0" containsBlank="1" containsNumber="1" minValue="-278153.15984899993" maxValue="1201724.5598469994"/>
    </cacheField>
    <cacheField name="Ingresos totales + desembolsos " numFmtId="0">
      <sharedItems containsString="0" containsBlank="1" containsNumber="1" minValue="133068.20799999998" maxValue="6658046.2019230006"/>
    </cacheField>
    <cacheField name="Dependencia de las transferencias &quot;Resultado&quot;" numFmtId="0">
      <sharedItems containsString="0" containsBlank="1" containsNumber="1" minValue="14.717175804187775" maxValue="89.804355073144066"/>
    </cacheField>
    <cacheField name="Dependencia de las transferencias &quot;Calificación&quot;" numFmtId="2">
      <sharedItems containsString="0" containsBlank="1" containsNumber="1" minValue="10.195644926855934" maxValue="85.282824195812225"/>
    </cacheField>
    <cacheField name="Relevancia FBKF &quot;Resultado&quot;" numFmtId="0">
      <sharedItems containsString="0" containsBlank="1" containsNumber="1" minValue="0" maxValue="59.009503809274264"/>
    </cacheField>
    <cacheField name="FBK fijo/ Inversión  (Con SGR)*" numFmtId="0">
      <sharedItems containsString="0" containsBlank="1" containsNumber="1" minValue="0" maxValue="100.00000000000001"/>
    </cacheField>
    <cacheField name="Endeudamiento &quot;Resultado&quot;" numFmtId="2">
      <sharedItems containsString="0" containsBlank="1" containsNumber="1" minValue="9.6319136825602438" maxValue="96.995187385290379"/>
    </cacheField>
    <cacheField name="Endeudamiento &quot;Calificación&quot;" numFmtId="2">
      <sharedItems containsString="0" containsBlank="1" containsNumber="1" minValue="3.0048126147096212" maxValue="90.368086317439762"/>
    </cacheField>
    <cacheField name="Ahorro corriente &quot;Resultado&quot;" numFmtId="2">
      <sharedItems containsString="0" containsBlank="1" containsNumber="1" minValue="-8.1593626420138019" maxValue="72.825601798953087"/>
    </cacheField>
    <cacheField name="Ahorro corriente &quot;Calificación&quot;" numFmtId="0">
      <sharedItems containsString="0" containsBlank="1" containsNumber="1" containsInteger="1" minValue="0" maxValue="100"/>
    </cacheField>
    <cacheField name="Balance Fiscal Primario &quot;Resultado&quot;" numFmtId="2">
      <sharedItems containsString="0" containsBlank="1" containsNumber="1" minValue="-29.380187575440907" maxValue="64.237323654304831"/>
    </cacheField>
    <cacheField name="Balance Fiscal Primario &quot;Calificación&quot;" numFmtId="0">
      <sharedItems containsString="0" containsBlank="1" containsNumber="1" containsInteger="1" minValue="0" maxValue="100"/>
    </cacheField>
    <cacheField name="Resultados" numFmtId="2">
      <sharedItems containsString="0" containsBlank="1" containsNumber="1" minValue="29.420650810412781" maxValue="74.957309560700836"/>
    </cacheField>
    <cacheField name="Calificación Resultados " numFmtId="2">
      <sharedItems containsString="0" containsBlank="1" containsNumber="1" minValue="23.536520648330225" maxValue="59.965847648560668"/>
    </cacheField>
    <cacheField name="Holgura &quot;Resultado&quot;" numFmtId="2">
      <sharedItems containsString="0" containsBlank="1" containsNumber="1" minValue="0" maxValue="41.808625632489644"/>
    </cacheField>
    <cacheField name="Holgura &quot;Calificación&quot;" numFmtId="2">
      <sharedItems containsString="0" containsBlank="1" containsNumber="1" minValue="0" maxValue="100"/>
    </cacheField>
    <cacheField name="Capacidad de programación y recaudo de ingresos &quot;Resultado&quot;" numFmtId="2">
      <sharedItems containsString="0" containsBlank="1" containsNumber="1" minValue="42.505842581964913" maxValue="1240.8300378277838"/>
    </cacheField>
    <cacheField name="Capacidad de programación y recaudo de Ingresos &quot;Calificación&quot;" numFmtId="0">
      <sharedItems containsString="0" containsBlank="1" containsNumber="1" containsInteger="1" minValue="0" maxValue="100"/>
    </cacheField>
    <cacheField name="Capacidad de Ejecución de Inversión &quot;Resultado&quot;" numFmtId="2">
      <sharedItems containsString="0" containsBlank="1" containsNumber="1" minValue="58.345292002315993" maxValue="99.780016223081304"/>
    </cacheField>
    <cacheField name="Capacidad de Ejecución de Inversión &quot;Calificación&quot;" numFmtId="0">
      <sharedItems containsString="0" containsBlank="1" containsNumber="1" containsInteger="1" minValue="50" maxValue="100"/>
    </cacheField>
    <cacheField name="Bonificación Esfuerzo Porpio &quot;Calificación&quot;" numFmtId="2">
      <sharedItems containsString="0" containsBlank="1" containsNumber="1" minValue="0" maxValue="0.65798582584237475"/>
    </cacheField>
    <cacheField name="Resultados Gestión" numFmtId="2">
      <sharedItems containsString="0" containsBlank="1" containsNumber="1" minValue="23.333333333333332" maxValue="100"/>
    </cacheField>
    <cacheField name="Gestión +Bonos" numFmtId="2">
      <sharedItems containsString="0" containsBlank="1" containsNumber="1" minValue="23.333333333333332" maxValue="100"/>
    </cacheField>
    <cacheField name="Calificación Resultados Gestión" numFmtId="2">
      <sharedItems containsString="0" containsBlank="1" containsNumber="1" minValue="4.666666666666667" maxValue="20"/>
    </cacheField>
    <cacheField name="Nuevo IDF (sin bonos)" numFmtId="2">
      <sharedItems containsString="0" containsBlank="1" containsNumber="1" minValue="38.127030563454781" maxValue="75.965847648560668"/>
    </cacheField>
    <cacheField name="Nuevo IDF" numFmtId="2">
      <sharedItems containsString="0" containsBlank="1" containsNumber="1" minValue="38.127030563454781" maxValue="75.965847648560668"/>
    </cacheField>
    <cacheField name="Rang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idel  Rodriguez Urueña" refreshedDate="45938.723614930554" createdVersion="8" refreshedVersion="8" minRefreshableVersion="3" recordCount="161" xr:uid="{5D5977B6-AA50-4143-A8F7-49CBAE49B98B}">
  <cacheSource type="worksheet">
    <worksheetSource ref="A4:BG133" sheet="IDF 20-24 con variables"/>
  </cacheSource>
  <cacheFields count="57">
    <cacheField name="Código (2 digitos)" numFmtId="0">
      <sharedItems containsBlank="1"/>
    </cacheField>
    <cacheField name="Código (5 digitos)" numFmtId="0">
      <sharedItems containsBlank="1"/>
    </cacheField>
    <cacheField name="Año" numFmtId="0">
      <sharedItems containsString="0" containsBlank="1" containsNumber="1" containsInteger="1" minValue="2020" maxValue="2024" count="6">
        <n v="2020"/>
        <n v="2021"/>
        <n v="2022"/>
        <n v="2023"/>
        <n v="2024"/>
        <m/>
      </sharedItems>
    </cacheField>
    <cacheField name="Departamento" numFmtId="0">
      <sharedItems containsBlank="1"/>
    </cacheField>
    <cacheField name="Categorías" numFmtId="0">
      <sharedItems containsBlank="1" containsMixedTypes="1" containsNumber="1" containsInteger="1" minValue="1" maxValue="4"/>
    </cacheField>
    <cacheField name="Tipologías" numFmtId="0">
      <sharedItems containsBlank="1" containsMixedTypes="1" containsNumber="1" containsInteger="1" minValue="1" maxValue="3"/>
    </cacheField>
    <cacheField name="Región" numFmtId="0">
      <sharedItems containsBlank="1" count="7">
        <s v="Centro Sur Amazonia"/>
        <s v="Eje Cafetero"/>
        <s v="Del Llano"/>
        <s v="Caribe"/>
        <s v="Centro Oriente"/>
        <s v="Pacifico"/>
        <m/>
      </sharedItems>
    </cacheField>
    <cacheField name="A3010-Transferencias corrientes de nivel nacional (NO tiene SGR)" numFmtId="164">
      <sharedItems containsString="0" containsBlank="1" containsNumber="1" minValue="0" maxValue="119183.045"/>
    </cacheField>
    <cacheField name="D1000-Transferencias nacionales (No tiene SGR)" numFmtId="164">
      <sharedItems containsString="0" containsBlank="1" containsNumber="1" minValue="57466.396444999991" maxValue="2185756.971653"/>
    </cacheField>
    <cacheField name="A-INGRESOS TOTALES (NO SGR)" numFmtId="164">
      <sharedItems containsString="0" containsBlank="1" containsNumber="1" minValue="123076.37778100002" maxValue="6362170.0811090004"/>
    </cacheField>
    <cacheField name="A1000-Ingresos tributarios (No SGR" numFmtId="164">
      <sharedItems containsString="0" containsBlank="1" containsNumber="1" minValue="10889.958999999999" maxValue="2125447.5530950003"/>
    </cacheField>
    <cacheField name="A2000-Ingresos no tributarios (No SGR)" numFmtId="164">
      <sharedItems containsString="0" containsBlank="1" containsNumber="1" minValue="264.56299999999999" maxValue="1262248.3300910001"/>
    </cacheField>
    <cacheField name="Gasto en Inversión" numFmtId="164">
      <sharedItems containsString="0" containsBlank="1" containsNumber="1" minValue="98588.905532000004" maxValue="5557896.2575310012"/>
    </cacheField>
    <cacheField name="Gasto en Formación Bruta de Capital" numFmtId="164">
      <sharedItems containsString="0" containsBlank="1" containsNumber="1" minValue="0" maxValue="1222873.4755569999"/>
    </cacheField>
    <cacheField name="Ingreso corriente" numFmtId="164">
      <sharedItems containsString="0" containsBlank="1" containsNumber="1" minValue="35445.463999999993" maxValue="3392717.2894199998"/>
    </cacheField>
    <cacheField name="Ahorro corriente" numFmtId="164">
      <sharedItems containsString="0" containsBlank="1" containsNumber="1" minValue="-18194.058334000001" maxValue="2174780.558923"/>
    </cacheField>
    <cacheField name="B2000-Intereses de la deuda pública -NO tiene SGR" numFmtId="164">
      <sharedItems containsString="0" containsBlank="1" containsNumber="1" minValue="0" maxValue="267602.986661"/>
    </cacheField>
    <cacheField name="G-Déficit o Superávit Total (No Tiene SGR)" numFmtId="164">
      <sharedItems containsString="0" containsBlank="1" containsNumber="1" minValue="-537294.77478800062" maxValue="230843.84234100161"/>
    </cacheField>
    <cacheField name="Recursos del Balance CUIPO" numFmtId="164">
      <sharedItems containsString="0" containsBlank="1" containsNumber="1" minValue="19418.080136" maxValue="1110806.930898"/>
    </cacheField>
    <cacheField name="Desembolsos (No tiene SGR)" numFmtId="164">
      <sharedItems containsString="0" containsBlank="1" containsNumber="1" minValue="0" maxValue="527712.31049599999"/>
    </cacheField>
    <cacheField name="Activos totales" numFmtId="0">
      <sharedItems containsString="0" containsBlank="1" containsNumber="1" minValue="558510.07537600002" maxValue="16095790.780893"/>
    </cacheField>
    <cacheField name="Pasivos totales" numFmtId="0">
      <sharedItems containsString="0" containsBlank="1" containsNumber="1" minValue="58513.208935339993" maxValue="13366808.623283001"/>
    </cacheField>
    <cacheField name="Gastos de funcionamiento / ICLD" numFmtId="0">
      <sharedItems containsString="0" containsBlank="1" containsNumber="1" minValue="0.2664599280874963" maxValue="83.494438600324543"/>
    </cacheField>
    <cacheField name="Límite Ley 617 de 2000" numFmtId="0">
      <sharedItems containsString="0" containsBlank="1" containsNumber="1" minValue="50" maxValue="70"/>
    </cacheField>
    <cacheField name="Presupuesto Inicial " numFmtId="0">
      <sharedItems containsString="0" containsBlank="1" containsNumber="1" minValue="5910.0770599999996" maxValue="3062505.434471"/>
    </cacheField>
    <cacheField name="Recaudo" numFmtId="0">
      <sharedItems containsString="0" containsBlank="1" containsNumber="1" minValue="9787.6997850000007" maxValue="3367645.1853399999"/>
    </cacheField>
    <cacheField name="Compromisos" numFmtId="164">
      <sharedItems containsString="0" containsBlank="1" containsNumber="1" minValue="78469.145688999997" maxValue="5320918.7083240012"/>
    </cacheField>
    <cacheField name="Pagos" numFmtId="0">
      <sharedItems containsString="0" containsBlank="1" containsNumber="1" minValue="66704.330625999995" maxValue="4228125.5784480004"/>
    </cacheField>
    <cacheField name="SGP + otras transferencias nacionales" numFmtId="0">
      <sharedItems containsString="0" containsBlank="1" containsNumber="1" minValue="68254.932400499994" maxValue="2185756.971653"/>
    </cacheField>
    <cacheField name="Ingresos totales" numFmtId="0">
      <sharedItems containsString="0" containsBlank="1" containsNumber="1" minValue="133068.20799999998" maxValue="6362170.0811090004"/>
    </cacheField>
    <cacheField name="Déficit o superávit + intereses deuda+RB" numFmtId="0">
      <sharedItems containsString="0" containsBlank="1" containsNumber="1" minValue="-278153.15984899993" maxValue="1201724.5598469994"/>
    </cacheField>
    <cacheField name="Ingresos totales + desembolsos " numFmtId="0">
      <sharedItems containsString="0" containsBlank="1" containsNumber="1" minValue="133068.20799999998" maxValue="6658046.2019230006"/>
    </cacheField>
    <cacheField name="Dependencia de las transferencias &quot;Resultado&quot;" numFmtId="0">
      <sharedItems containsString="0" containsBlank="1" containsNumber="1" minValue="14.717175804187775" maxValue="89.804355073144066"/>
    </cacheField>
    <cacheField name="Dependencia de las transferencias &quot;Calificación&quot;" numFmtId="2">
      <sharedItems containsString="0" containsBlank="1" containsNumber="1" minValue="10.195644926855934" maxValue="85.282824195812225"/>
    </cacheField>
    <cacheField name="Relevancia FBKF &quot;Resultado&quot;" numFmtId="0">
      <sharedItems containsString="0" containsBlank="1" containsNumber="1" minValue="0" maxValue="59.009503809274264"/>
    </cacheField>
    <cacheField name="FBK fijo/ Inversión  (Con SGR)*" numFmtId="0">
      <sharedItems containsString="0" containsBlank="1" containsNumber="1" minValue="0" maxValue="100.00000000000001"/>
    </cacheField>
    <cacheField name="Endeudamiento &quot;Resultado&quot;" numFmtId="2">
      <sharedItems containsString="0" containsBlank="1" containsNumber="1" minValue="9.6319136825602438" maxValue="96.995187385290379"/>
    </cacheField>
    <cacheField name="Endeudamiento &quot;Calificación&quot;" numFmtId="2">
      <sharedItems containsString="0" containsBlank="1" containsNumber="1" minValue="3.0048126147096212" maxValue="90.368086317439762"/>
    </cacheField>
    <cacheField name="Ahorro corriente &quot;Resultado&quot;" numFmtId="2">
      <sharedItems containsString="0" containsBlank="1" containsNumber="1" minValue="-8.1593626420138019" maxValue="72.825601798953087"/>
    </cacheField>
    <cacheField name="Ahorro corriente &quot;Calificación&quot;" numFmtId="2">
      <sharedItems containsString="0" containsBlank="1" containsNumber="1" containsInteger="1" minValue="0" maxValue="100"/>
    </cacheField>
    <cacheField name="Balance Fiscal Primario &quot;Resultado&quot;" numFmtId="2">
      <sharedItems containsString="0" containsBlank="1" containsNumber="1" minValue="-29.380187575440907" maxValue="64.237323654304831"/>
    </cacheField>
    <cacheField name="Balance Fiscal Primario &quot;Calificación&quot;" numFmtId="2">
      <sharedItems containsString="0" containsBlank="1" containsNumber="1" containsInteger="1" minValue="0" maxValue="100"/>
    </cacheField>
    <cacheField name="Resultados" numFmtId="2">
      <sharedItems containsString="0" containsBlank="1" containsNumber="1" minValue="29.420650810412781" maxValue="74.957309560700836"/>
    </cacheField>
    <cacheField name="Calificación Resultados " numFmtId="2">
      <sharedItems containsString="0" containsBlank="1" containsNumber="1" minValue="23.536520648330225" maxValue="59.965847648560668"/>
    </cacheField>
    <cacheField name="Holgura &quot;Resultado&quot;" numFmtId="2">
      <sharedItems containsString="0" containsBlank="1" containsNumber="1" minValue="0" maxValue="41.808625632489644"/>
    </cacheField>
    <cacheField name="Holgura &quot;Calificación&quot;" numFmtId="2">
      <sharedItems containsString="0" containsBlank="1" containsNumber="1" minValue="0" maxValue="100"/>
    </cacheField>
    <cacheField name="Capacidad de programación y recaudo de ingresos &quot;Resultado&quot;" numFmtId="2">
      <sharedItems containsString="0" containsBlank="1" containsNumber="1" minValue="42.505842581964913" maxValue="1240.8300378277838"/>
    </cacheField>
    <cacheField name="Capacidad de programación y recaudo de Ingresos &quot;Calificación&quot;" numFmtId="2">
      <sharedItems containsString="0" containsBlank="1" containsNumber="1" containsInteger="1" minValue="0" maxValue="100"/>
    </cacheField>
    <cacheField name="Capacidad de Ejecución de Inversión &quot;Resultado&quot;" numFmtId="2">
      <sharedItems containsString="0" containsBlank="1" containsNumber="1" minValue="58.345292002315993" maxValue="99.780016223081304"/>
    </cacheField>
    <cacheField name="Capacidad de Ejecución de Inversión &quot;Calificación&quot;" numFmtId="2">
      <sharedItems containsString="0" containsBlank="1" containsNumber="1" containsInteger="1" minValue="50" maxValue="100"/>
    </cacheField>
    <cacheField name="Bonificación Esfuerzo Porpio &quot;Calificación&quot;" numFmtId="2">
      <sharedItems containsString="0" containsBlank="1" containsNumber="1" minValue="0" maxValue="0.65798582584237475"/>
    </cacheField>
    <cacheField name="Resultados Gestión" numFmtId="2">
      <sharedItems containsString="0" containsBlank="1" containsNumber="1" minValue="23.333333333333332" maxValue="100"/>
    </cacheField>
    <cacheField name="Gestión +Bonos" numFmtId="2">
      <sharedItems containsString="0" containsBlank="1" containsNumber="1" minValue="23.333333333333332" maxValue="100"/>
    </cacheField>
    <cacheField name="Calificación Resultados Gestión" numFmtId="2">
      <sharedItems containsString="0" containsBlank="1" containsNumber="1" minValue="4.666666666666667" maxValue="20"/>
    </cacheField>
    <cacheField name="Nuevo IDF (sin bonos)" numFmtId="2">
      <sharedItems containsString="0" containsBlank="1" containsNumber="1" minValue="38.127030563454781" maxValue="75.965847648560668"/>
    </cacheField>
    <cacheField name="Nuevo IDF" numFmtId="2">
      <sharedItems containsString="0" containsBlank="1" containsNumber="1" minValue="38.127030563454781" maxValue="75.965847648560668"/>
    </cacheField>
    <cacheField name="Rango " numFmtId="0">
      <sharedItems containsBlank="1" count="5">
        <s v="2. Riesgo (&gt;=40 y &lt;60)"/>
        <s v="3. Vulnerable (&gt;=60 y &lt;70)"/>
        <s v="4. Solvente (&gt;=70 y &lt;80)"/>
        <s v="1. Deterioro (&lt;40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idel  Rodriguez Urueña" refreshedDate="45939.715107523145" createdVersion="8" refreshedVersion="8" minRefreshableVersion="3" recordCount="157" xr:uid="{3D1916B8-7BB5-4964-BCA6-04B6AD7CDF70}">
  <cacheSource type="worksheet">
    <worksheetSource ref="A4:BG129" sheet="IDF 20-24 con variables"/>
  </cacheSource>
  <cacheFields count="57">
    <cacheField name="Código (2 digitos)" numFmtId="0">
      <sharedItems/>
    </cacheField>
    <cacheField name="Código (5 digitos)" numFmtId="0">
      <sharedItems/>
    </cacheField>
    <cacheField name="Año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Departamento" numFmtId="0">
      <sharedItems count="61">
        <s v=" AMAZONAS"/>
        <s v=" ANTIOQUIA"/>
        <s v=" ARAUCA"/>
        <s v=" ATLANTICO"/>
        <s v=" BOLIVAR"/>
        <s v="BOYACÁ"/>
        <s v=" CALDAS"/>
        <s v=" CAQUETA"/>
        <s v=" CASANARE"/>
        <s v=" CAUCA"/>
        <s v=" CESAR"/>
        <s v=" CHOCO"/>
        <s v="CORDOBA"/>
        <s v=" CUNDINAMARCA"/>
        <s v=" GUAINIA"/>
        <s v="LA_GUAJIRA"/>
        <s v=" GUAVIARE"/>
        <s v=" HUILA"/>
        <s v=" MAGDALENA"/>
        <s v=" META"/>
        <s v="NARIÑO"/>
        <s v=" NORTE DE SANTANDER"/>
        <s v=" PUTUMAYO"/>
        <s v=" QUINDIO"/>
        <s v=" RISARALDA"/>
        <s v="SAN ANDRES"/>
        <s v=" SANTANDER"/>
        <s v=" SUCRE"/>
        <s v=" TOLIMA"/>
        <s v=" VALLE DEL CAUCA"/>
        <s v=" VAUPES"/>
        <s v=" VICHADA"/>
        <s v="ANTIOQUIA"/>
        <s v="ATLANTICO"/>
        <s v="BOLIVAR"/>
        <s v="CALDAS"/>
        <s v="CAQUETA"/>
        <s v="CAUCA"/>
        <s v="CESAR"/>
        <s v="CUNDINAMARCA"/>
        <s v="CHOCO"/>
        <s v="HUILA"/>
        <s v="MAGDALENA"/>
        <s v="META"/>
        <s v="NORTE_DE_SANTANDER"/>
        <s v="QUINDIO"/>
        <s v="RISARALDA"/>
        <s v="SANTANDER"/>
        <s v="SUCRE"/>
        <s v="TOLIMA"/>
        <s v="VALLE DEL CAUCA"/>
        <s v="ARAUCA"/>
        <s v="CASANARE"/>
        <s v="PUTUMAYO"/>
        <s v="AMAZONAS"/>
        <s v="GUAINIA"/>
        <s v="GUAVIARE"/>
        <s v="VAUPES"/>
        <s v="VICHADA"/>
        <s v="NORTE DE SANTANDER"/>
        <s v="BOYACA"/>
      </sharedItems>
    </cacheField>
    <cacheField name="Categorías" numFmtId="0">
      <sharedItems containsMixedTypes="1" containsNumber="1" containsInteger="1" minValue="1" maxValue="4"/>
    </cacheField>
    <cacheField name="Tipologías" numFmtId="0">
      <sharedItems containsMixedTypes="1" containsNumber="1" containsInteger="1" minValue="1" maxValue="3"/>
    </cacheField>
    <cacheField name="Región" numFmtId="0">
      <sharedItems/>
    </cacheField>
    <cacheField name="A3010-Transferencias corrientes de nivel nacional (NO tiene SGR)" numFmtId="164">
      <sharedItems containsSemiMixedTypes="0" containsString="0" containsNumber="1" minValue="0" maxValue="119183.045"/>
    </cacheField>
    <cacheField name="D1000-Transferencias nacionales (No tiene SGR)" numFmtId="164">
      <sharedItems containsSemiMixedTypes="0" containsString="0" containsNumber="1" minValue="57466.396444999991" maxValue="2185756.971653"/>
    </cacheField>
    <cacheField name="A-INGRESOS TOTALES (NO SGR)" numFmtId="164">
      <sharedItems containsSemiMixedTypes="0" containsString="0" containsNumber="1" minValue="123076.37778100002" maxValue="6362170.0811090004"/>
    </cacheField>
    <cacheField name="A1000-Ingresos tributarios (No SGR" numFmtId="164">
      <sharedItems containsString="0" containsBlank="1" containsNumber="1" minValue="10889.958999999999" maxValue="2125447.5530950003"/>
    </cacheField>
    <cacheField name="A2000-Ingresos no tributarios (No SGR)" numFmtId="164">
      <sharedItems containsString="0" containsBlank="1" containsNumber="1" minValue="264.56299999999999" maxValue="1262248.3300910001"/>
    </cacheField>
    <cacheField name="Gasto en Inversión" numFmtId="164">
      <sharedItems containsSemiMixedTypes="0" containsString="0" containsNumber="1" minValue="98588.905532000004" maxValue="5557896.2575310012"/>
    </cacheField>
    <cacheField name="Gasto en Formación Bruta de Capital" numFmtId="164">
      <sharedItems containsSemiMixedTypes="0" containsString="0" containsNumber="1" minValue="0" maxValue="1222873.4755569999"/>
    </cacheField>
    <cacheField name="Ingreso corriente" numFmtId="164">
      <sharedItems containsSemiMixedTypes="0" containsString="0" containsNumber="1" minValue="35445.463999999993" maxValue="3392717.2894199998"/>
    </cacheField>
    <cacheField name="Ahorro corriente" numFmtId="164">
      <sharedItems containsSemiMixedTypes="0" containsString="0" containsNumber="1" minValue="-18194.058334000001" maxValue="2174780.558923"/>
    </cacheField>
    <cacheField name="B2000-Intereses de la deuda pública -NO tiene SGR" numFmtId="164">
      <sharedItems containsSemiMixedTypes="0" containsString="0" containsNumber="1" minValue="0" maxValue="267602.986661"/>
    </cacheField>
    <cacheField name="G-Déficit o Superávit Total (No Tiene SGR)" numFmtId="164">
      <sharedItems containsSemiMixedTypes="0" containsString="0" containsNumber="1" minValue="-537294.77478800062" maxValue="230843.84234100161"/>
    </cacheField>
    <cacheField name="Recursos del Balance CUIPO" numFmtId="164">
      <sharedItems containsSemiMixedTypes="0" containsString="0" containsNumber="1" minValue="19418.080136" maxValue="1110806.930898"/>
    </cacheField>
    <cacheField name="Desembolsos (No tiene SGR)" numFmtId="164">
      <sharedItems containsSemiMixedTypes="0" containsString="0" containsNumber="1" minValue="0" maxValue="527712.31049599999"/>
    </cacheField>
    <cacheField name="Activos totales" numFmtId="164">
      <sharedItems containsSemiMixedTypes="0" containsString="0" containsNumber="1" minValue="558510.07537600002" maxValue="16095790.780893"/>
    </cacheField>
    <cacheField name="Pasivos totales" numFmtId="164">
      <sharedItems containsSemiMixedTypes="0" containsString="0" containsNumber="1" minValue="58513.208935339993" maxValue="13366808.623283001"/>
    </cacheField>
    <cacheField name="Gastos de funcionamiento / ICLD" numFmtId="0">
      <sharedItems containsSemiMixedTypes="0" containsString="0" containsNumber="1" minValue="0.2664599280874963" maxValue="83.494438600324543"/>
    </cacheField>
    <cacheField name="Límite Ley 617 de 2000" numFmtId="0">
      <sharedItems containsSemiMixedTypes="0" containsString="0" containsNumber="1" minValue="50" maxValue="70"/>
    </cacheField>
    <cacheField name="Presupuesto Inicial " numFmtId="164">
      <sharedItems containsSemiMixedTypes="0" containsString="0" containsNumber="1" minValue="5910.0770599999996" maxValue="3062505.434471"/>
    </cacheField>
    <cacheField name="Recaudo" numFmtId="164">
      <sharedItems containsSemiMixedTypes="0" containsString="0" containsNumber="1" minValue="9787.6997850000007" maxValue="3367645.1853399999"/>
    </cacheField>
    <cacheField name="Compromisos" numFmtId="164">
      <sharedItems containsSemiMixedTypes="0" containsString="0" containsNumber="1" minValue="78469.145688999997" maxValue="5320918.7083240012"/>
    </cacheField>
    <cacheField name="Pagos" numFmtId="164">
      <sharedItems containsSemiMixedTypes="0" containsString="0" containsNumber="1" minValue="66704.330625999995" maxValue="4228125.5784480004"/>
    </cacheField>
    <cacheField name="SGP + otras transferencias nacionales" numFmtId="164">
      <sharedItems containsString="0" containsBlank="1" containsNumber="1" minValue="68254.932400499994" maxValue="2185756.971653"/>
    </cacheField>
    <cacheField name="Ingresos totales" numFmtId="164">
      <sharedItems containsString="0" containsBlank="1" containsNumber="1" minValue="133068.20799999998" maxValue="6362170.0811090004"/>
    </cacheField>
    <cacheField name="Déficit o superávit + intereses deuda+RB" numFmtId="164">
      <sharedItems containsString="0" containsBlank="1" containsNumber="1" minValue="-278153.15984899993" maxValue="1201724.5598469994"/>
    </cacheField>
    <cacheField name="Ingresos totales + desembolsos " numFmtId="164">
      <sharedItems containsString="0" containsBlank="1" containsNumber="1" minValue="133068.20799999998" maxValue="6658046.2019230006"/>
    </cacheField>
    <cacheField name="Dependencia de las transferencias &quot;Resultado&quot;" numFmtId="2">
      <sharedItems containsSemiMixedTypes="0" containsString="0" containsNumber="1" minValue="14.717175804187775" maxValue="89.804355073144066"/>
    </cacheField>
    <cacheField name="Dependencia de las transferencias &quot;Calificación&quot;" numFmtId="2">
      <sharedItems containsSemiMixedTypes="0" containsString="0" containsNumber="1" minValue="10.195644926855934" maxValue="85.282824195812225"/>
    </cacheField>
    <cacheField name="Relevancia FBKF &quot;Resultado&quot;" numFmtId="2">
      <sharedItems containsSemiMixedTypes="0" containsString="0" containsNumber="1" minValue="0" maxValue="59.009503809274264"/>
    </cacheField>
    <cacheField name="FBK fijo/ Inversión  (Con SGR)*" numFmtId="2">
      <sharedItems containsSemiMixedTypes="0" containsString="0" containsNumber="1" minValue="0" maxValue="100.00000000000001"/>
    </cacheField>
    <cacheField name="Endeudamiento &quot;Resultado&quot;" numFmtId="2">
      <sharedItems containsSemiMixedTypes="0" containsString="0" containsNumber="1" minValue="9.6319136825602438" maxValue="96.995187385290379"/>
    </cacheField>
    <cacheField name="Endeudamiento &quot;Calificación&quot;" numFmtId="2">
      <sharedItems containsSemiMixedTypes="0" containsString="0" containsNumber="1" minValue="3.0048126147096212" maxValue="90.368086317439762"/>
    </cacheField>
    <cacheField name="Ahorro corriente &quot;Resultado&quot;" numFmtId="2">
      <sharedItems containsSemiMixedTypes="0" containsString="0" containsNumber="1" minValue="-8.1593626420138019" maxValue="72.825601798953087"/>
    </cacheField>
    <cacheField name="Ahorro corriente &quot;Calificación&quot;" numFmtId="2">
      <sharedItems containsSemiMixedTypes="0" containsString="0" containsNumber="1" containsInteger="1" minValue="0" maxValue="100"/>
    </cacheField>
    <cacheField name="Balance Fiscal Primario &quot;Resultado&quot;" numFmtId="2">
      <sharedItems containsSemiMixedTypes="0" containsString="0" containsNumber="1" minValue="-29.380187575440907" maxValue="64.237323654304831"/>
    </cacheField>
    <cacheField name="Balance Fiscal Primario &quot;Calificación&quot;" numFmtId="2">
      <sharedItems containsSemiMixedTypes="0" containsString="0" containsNumber="1" containsInteger="1" minValue="0" maxValue="100"/>
    </cacheField>
    <cacheField name="Resultados" numFmtId="2">
      <sharedItems containsSemiMixedTypes="0" containsString="0" containsNumber="1" minValue="32.27440348490029" maxValue="74.957309560700836"/>
    </cacheField>
    <cacheField name="Calificación Resultados " numFmtId="2">
      <sharedItems containsSemiMixedTypes="0" containsString="0" containsNumber="1" minValue="25.819522787920235" maxValue="59.965847648560668"/>
    </cacheField>
    <cacheField name="Holgura &quot;Resultado&quot;" numFmtId="2">
      <sharedItems containsSemiMixedTypes="0" containsString="0" containsNumber="1" minValue="0" maxValue="41.808625632489644"/>
    </cacheField>
    <cacheField name="Holgura &quot;Calificación&quot;" numFmtId="2">
      <sharedItems containsSemiMixedTypes="0" containsString="0" containsNumber="1" minValue="0" maxValue="100"/>
    </cacheField>
    <cacheField name="Capacidad de programación y recaudo de ingresos &quot;Resultado&quot;" numFmtId="2">
      <sharedItems containsSemiMixedTypes="0" containsString="0" containsNumber="1" minValue="42.505842581964913" maxValue="278.49509588664421"/>
    </cacheField>
    <cacheField name="Capacidad de programación y recaudo de Ingresos &quot;Calificación&quot;" numFmtId="2">
      <sharedItems containsSemiMixedTypes="0" containsString="0" containsNumber="1" containsInteger="1" minValue="0" maxValue="100"/>
    </cacheField>
    <cacheField name="Capacidad de Ejecución de Inversión &quot;Resultado&quot;" numFmtId="2">
      <sharedItems containsSemiMixedTypes="0" containsString="0" containsNumber="1" minValue="58.345292002315993" maxValue="99.780016223081304"/>
    </cacheField>
    <cacheField name="Capacidad de Ejecución de Inversión &quot;Calificación&quot;" numFmtId="2">
      <sharedItems containsSemiMixedTypes="0" containsString="0" containsNumber="1" containsInteger="1" minValue="50" maxValue="100"/>
    </cacheField>
    <cacheField name="Bonificación Esfuerzo Porpio &quot;Calificación&quot;" numFmtId="2">
      <sharedItems containsSemiMixedTypes="0" containsString="0" containsNumber="1" minValue="0" maxValue="0.65798582584237475"/>
    </cacheField>
    <cacheField name="Resultados Gestión" numFmtId="2">
      <sharedItems containsSemiMixedTypes="0" containsString="0" containsNumber="1" minValue="26.666666666666668" maxValue="100"/>
    </cacheField>
    <cacheField name="Gestión +Bonos" numFmtId="2">
      <sharedItems containsSemiMixedTypes="0" containsString="0" containsNumber="1" minValue="26.666666666666668" maxValue="100"/>
    </cacheField>
    <cacheField name="Calificación Resultados Gestión" numFmtId="2">
      <sharedItems containsSemiMixedTypes="0" containsString="0" containsNumber="1" minValue="5.3333333333333339" maxValue="20"/>
    </cacheField>
    <cacheField name="Nuevo IDF (sin bonos)" numFmtId="2">
      <sharedItems containsSemiMixedTypes="0" containsString="0" containsNumber="1" minValue="38.857279272800881" maxValue="75.965847648560668"/>
    </cacheField>
    <cacheField name="Nuevo IDF" numFmtId="2">
      <sharedItems containsSemiMixedTypes="0" containsString="0" containsNumber="1" minValue="38.857279272800881" maxValue="75.965847648560668"/>
    </cacheField>
    <cacheField name="Rango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idel  Rodriguez Urueña" refreshedDate="45939.733097569442" createdVersion="8" refreshedVersion="8" minRefreshableVersion="3" recordCount="161" xr:uid="{B010EF1C-A21B-4855-83A5-0D9B701C6F0F}">
  <cacheSource type="worksheet">
    <worksheetSource ref="A4:BE133" sheet="IDF 20-24 con variables"/>
  </cacheSource>
  <cacheFields count="55">
    <cacheField name="Código (2 digitos)" numFmtId="0">
      <sharedItems containsBlank="1"/>
    </cacheField>
    <cacheField name="Código (5 digitos)" numFmtId="0">
      <sharedItems containsBlank="1"/>
    </cacheField>
    <cacheField name="Año" numFmtId="0">
      <sharedItems containsString="0" containsBlank="1" containsNumber="1" containsInteger="1" minValue="2020" maxValue="2024" count="6">
        <n v="2020"/>
        <n v="2021"/>
        <n v="2022"/>
        <n v="2023"/>
        <n v="2024"/>
        <m/>
      </sharedItems>
    </cacheField>
    <cacheField name="Departamento" numFmtId="0">
      <sharedItems containsBlank="1"/>
    </cacheField>
    <cacheField name="Categorías" numFmtId="0">
      <sharedItems containsBlank="1" containsMixedTypes="1" containsNumber="1" containsInteger="1" minValue="1" maxValue="4"/>
    </cacheField>
    <cacheField name="Tipologías" numFmtId="0">
      <sharedItems containsBlank="1" containsMixedTypes="1" containsNumber="1" containsInteger="1" minValue="1" maxValue="3"/>
    </cacheField>
    <cacheField name="Región" numFmtId="0">
      <sharedItems containsBlank="1" count="7">
        <s v="Centro Sur Amazonia"/>
        <s v="Eje Cafetero"/>
        <s v="Del Llano"/>
        <s v="Caribe"/>
        <s v="Centro Oriente"/>
        <s v="Pacifico"/>
        <m/>
      </sharedItems>
    </cacheField>
    <cacheField name="A3010-Transferencias corrientes de nivel nacional (NO tiene SGR)" numFmtId="164">
      <sharedItems containsString="0" containsBlank="1" containsNumber="1" minValue="0" maxValue="119183.045"/>
    </cacheField>
    <cacheField name="D1000-Transferencias nacionales (No tiene SGR)" numFmtId="164">
      <sharedItems containsString="0" containsBlank="1" containsNumber="1" minValue="57466.396444999991" maxValue="2185756.971653"/>
    </cacheField>
    <cacheField name="A-INGRESOS TOTALES (NO SGR)" numFmtId="164">
      <sharedItems containsString="0" containsBlank="1" containsNumber="1" minValue="123076.37778100002" maxValue="6362170.0811090004"/>
    </cacheField>
    <cacheField name="A1000-Ingresos tributarios (No SGR" numFmtId="164">
      <sharedItems containsString="0" containsBlank="1" containsNumber="1" minValue="10889.958999999999" maxValue="2125447.5530950003"/>
    </cacheField>
    <cacheField name="A2000-Ingresos no tributarios (No SGR)" numFmtId="164">
      <sharedItems containsString="0" containsBlank="1" containsNumber="1" minValue="264.56299999999999" maxValue="1262248.3300910001"/>
    </cacheField>
    <cacheField name="Gasto en Inversión" numFmtId="164">
      <sharedItems containsString="0" containsBlank="1" containsNumber="1" minValue="98588.905532000004" maxValue="5557896.2575310012"/>
    </cacheField>
    <cacheField name="Gasto en Formación Bruta de Capital" numFmtId="164">
      <sharedItems containsString="0" containsBlank="1" containsNumber="1" minValue="0" maxValue="1222873.4755569999"/>
    </cacheField>
    <cacheField name="Ingreso corriente" numFmtId="164">
      <sharedItems containsString="0" containsBlank="1" containsNumber="1" minValue="35445.463999999993" maxValue="3392717.2894199998"/>
    </cacheField>
    <cacheField name="Ahorro corriente" numFmtId="164">
      <sharedItems containsString="0" containsBlank="1" containsNumber="1" minValue="-18194.058334000001" maxValue="2174780.558923"/>
    </cacheField>
    <cacheField name="B2000-Intereses de la deuda pública -NO tiene SGR" numFmtId="164">
      <sharedItems containsString="0" containsBlank="1" containsNumber="1" minValue="0" maxValue="267602.986661"/>
    </cacheField>
    <cacheField name="G-Déficit o Superávit Total (No Tiene SGR)" numFmtId="164">
      <sharedItems containsString="0" containsBlank="1" containsNumber="1" minValue="-537294.77478800062" maxValue="230843.84234100161"/>
    </cacheField>
    <cacheField name="Recursos del Balance CUIPO" numFmtId="164">
      <sharedItems containsString="0" containsBlank="1" containsNumber="1" minValue="19418.080136" maxValue="1110806.930898"/>
    </cacheField>
    <cacheField name="Desembolsos (No tiene SGR)" numFmtId="164">
      <sharedItems containsString="0" containsBlank="1" containsNumber="1" minValue="0" maxValue="527712.31049599999"/>
    </cacheField>
    <cacheField name="Activos totales" numFmtId="0">
      <sharedItems containsString="0" containsBlank="1" containsNumber="1" minValue="558510.07537600002" maxValue="16095790.780893"/>
    </cacheField>
    <cacheField name="Pasivos totales" numFmtId="0">
      <sharedItems containsString="0" containsBlank="1" containsNumber="1" minValue="58513.208935339993" maxValue="13366808.623283001"/>
    </cacheField>
    <cacheField name="Gastos de funcionamiento / ICLD" numFmtId="0">
      <sharedItems containsString="0" containsBlank="1" containsNumber="1" minValue="0.2664599280874963" maxValue="83.494438600324543"/>
    </cacheField>
    <cacheField name="Límite Ley 617 de 2000" numFmtId="0">
      <sharedItems containsString="0" containsBlank="1" containsNumber="1" minValue="50" maxValue="70"/>
    </cacheField>
    <cacheField name="Presupuesto Inicial " numFmtId="0">
      <sharedItems containsString="0" containsBlank="1" containsNumber="1" minValue="5910.0770599999996" maxValue="3062505.434471"/>
    </cacheField>
    <cacheField name="Recaudo" numFmtId="0">
      <sharedItems containsString="0" containsBlank="1" containsNumber="1" minValue="9787.6997850000007" maxValue="3367645.1853399999"/>
    </cacheField>
    <cacheField name="Compromisos" numFmtId="164">
      <sharedItems containsString="0" containsBlank="1" containsNumber="1" minValue="78469.145688999997" maxValue="5320918.7083240012"/>
    </cacheField>
    <cacheField name="Pagos" numFmtId="0">
      <sharedItems containsString="0" containsBlank="1" containsNumber="1" minValue="66704.330625999995" maxValue="4228125.5784480004"/>
    </cacheField>
    <cacheField name="SGP + otras transferencias nacionales" numFmtId="0">
      <sharedItems containsString="0" containsBlank="1" containsNumber="1" minValue="68254.932400499994" maxValue="2185756.971653"/>
    </cacheField>
    <cacheField name="Ingresos totales" numFmtId="0">
      <sharedItems containsString="0" containsBlank="1" containsNumber="1" minValue="133068.20799999998" maxValue="6362170.0811090004"/>
    </cacheField>
    <cacheField name="Déficit o superávit + intereses deuda+RB" numFmtId="0">
      <sharedItems containsString="0" containsBlank="1" containsNumber="1" minValue="-278153.15984899993" maxValue="1201724.5598469994"/>
    </cacheField>
    <cacheField name="Ingresos totales + desembolsos " numFmtId="0">
      <sharedItems containsString="0" containsBlank="1" containsNumber="1" minValue="133068.20799999998" maxValue="6658046.2019230006"/>
    </cacheField>
    <cacheField name="Dependencia de las transferencias &quot;Resultado&quot;" numFmtId="0">
      <sharedItems containsString="0" containsBlank="1" containsNumber="1" minValue="14.717175804187775" maxValue="89.804355073144066"/>
    </cacheField>
    <cacheField name="Dependencia de las transferencias &quot;Calificación&quot;" numFmtId="2">
      <sharedItems containsString="0" containsBlank="1" containsNumber="1" minValue="10.195644926855934" maxValue="85.282824195812225"/>
    </cacheField>
    <cacheField name="Relevancia FBKF &quot;Resultado&quot;" numFmtId="0">
      <sharedItems containsString="0" containsBlank="1" containsNumber="1" minValue="0" maxValue="59.009503809274264"/>
    </cacheField>
    <cacheField name="FBK fijo/ Inversión  (Con SGR)*" numFmtId="0">
      <sharedItems containsString="0" containsBlank="1" containsNumber="1" minValue="0" maxValue="100.00000000000001"/>
    </cacheField>
    <cacheField name="Endeudamiento &quot;Resultado&quot;" numFmtId="2">
      <sharedItems containsString="0" containsBlank="1" containsNumber="1" minValue="9.6319136825602438" maxValue="96.995187385290379"/>
    </cacheField>
    <cacheField name="Endeudamiento &quot;Calificación&quot;" numFmtId="2">
      <sharedItems containsString="0" containsBlank="1" containsNumber="1" minValue="3.0048126147096212" maxValue="90.368086317439762"/>
    </cacheField>
    <cacheField name="Ahorro corriente &quot;Resultado&quot;" numFmtId="2">
      <sharedItems containsString="0" containsBlank="1" containsNumber="1" minValue="-8.1593626420138019" maxValue="72.825601798953087"/>
    </cacheField>
    <cacheField name="Ahorro corriente &quot;Calificación&quot;" numFmtId="2">
      <sharedItems containsString="0" containsBlank="1" containsNumber="1" containsInteger="1" minValue="0" maxValue="100"/>
    </cacheField>
    <cacheField name="Balance Fiscal Primario &quot;Resultado&quot;" numFmtId="2">
      <sharedItems containsString="0" containsBlank="1" containsNumber="1" minValue="-29.380187575440907" maxValue="64.237323654304831"/>
    </cacheField>
    <cacheField name="Balance Fiscal Primario &quot;Calificación&quot;" numFmtId="2">
      <sharedItems containsString="0" containsBlank="1" containsNumber="1" containsInteger="1" minValue="0" maxValue="100"/>
    </cacheField>
    <cacheField name="Resultados" numFmtId="2">
      <sharedItems containsString="0" containsBlank="1" containsNumber="1" minValue="29.420650810412781" maxValue="74.957309560700836"/>
    </cacheField>
    <cacheField name="Calificación Resultados " numFmtId="2">
      <sharedItems containsString="0" containsBlank="1" containsNumber="1" minValue="23.536520648330225" maxValue="59.965847648560668"/>
    </cacheField>
    <cacheField name="Holgura &quot;Resultado&quot;" numFmtId="2">
      <sharedItems containsString="0" containsBlank="1" containsNumber="1" minValue="0" maxValue="41.808625632489644"/>
    </cacheField>
    <cacheField name="Holgura &quot;Calificación&quot;" numFmtId="2">
      <sharedItems containsString="0" containsBlank="1" containsNumber="1" minValue="0" maxValue="100"/>
    </cacheField>
    <cacheField name="Capacidad de programación y recaudo de ingresos &quot;Resultado&quot;" numFmtId="2">
      <sharedItems containsString="0" containsBlank="1" containsNumber="1" minValue="42.505842581964913" maxValue="1240.8300378277838"/>
    </cacheField>
    <cacheField name="Capacidad de programación y recaudo de Ingresos &quot;Calificación&quot;" numFmtId="2">
      <sharedItems containsString="0" containsBlank="1" containsNumber="1" containsInteger="1" minValue="0" maxValue="100"/>
    </cacheField>
    <cacheField name="Capacidad de Ejecución de Inversión &quot;Resultado&quot;" numFmtId="2">
      <sharedItems containsString="0" containsBlank="1" containsNumber="1" minValue="58.345292002315993" maxValue="99.780016223081304"/>
    </cacheField>
    <cacheField name="Capacidad de Ejecución de Inversión &quot;Calificación&quot;" numFmtId="2">
      <sharedItems containsString="0" containsBlank="1" containsNumber="1" containsInteger="1" minValue="50" maxValue="100"/>
    </cacheField>
    <cacheField name="Bonificación Esfuerzo Porpio &quot;Calificación&quot;" numFmtId="2">
      <sharedItems containsString="0" containsBlank="1" containsNumber="1" minValue="0" maxValue="0.65798582584237475"/>
    </cacheField>
    <cacheField name="Resultados Gestión" numFmtId="2">
      <sharedItems containsString="0" containsBlank="1" containsNumber="1" minValue="23.333333333333332" maxValue="100"/>
    </cacheField>
    <cacheField name="Gestión +Bonos" numFmtId="2">
      <sharedItems containsString="0" containsBlank="1" containsNumber="1" minValue="23.333333333333332" maxValue="100"/>
    </cacheField>
    <cacheField name="Calificación Resultados Gestión" numFmtId="2">
      <sharedItems containsString="0" containsBlank="1" containsNumber="1" minValue="4.666666666666667" maxValue="20"/>
    </cacheField>
    <cacheField name="Nuevo IDF (sin bonos)" numFmtId="2">
      <sharedItems containsString="0" containsBlank="1" containsNumber="1" minValue="38.127030563454781" maxValue="75.965847648560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idel  Rodriguez Urueña" refreshedDate="45940.393130555552" createdVersion="8" refreshedVersion="8" minRefreshableVersion="3" recordCount="161" xr:uid="{FD06ADBE-8E34-4908-8267-1DA1B850DB23}">
  <cacheSource type="worksheet">
    <worksheetSource ref="A4:BF133" sheet="IDF 20-24 con variables"/>
  </cacheSource>
  <cacheFields count="56">
    <cacheField name="Código (2 digitos)" numFmtId="0">
      <sharedItems containsBlank="1"/>
    </cacheField>
    <cacheField name="Código (5 digitos)" numFmtId="0">
      <sharedItems containsBlank="1"/>
    </cacheField>
    <cacheField name="Año" numFmtId="0">
      <sharedItems containsString="0" containsBlank="1" containsNumber="1" containsInteger="1" minValue="2020" maxValue="2024" count="6">
        <n v="2020"/>
        <n v="2021"/>
        <n v="2022"/>
        <n v="2023"/>
        <n v="2024"/>
        <m/>
      </sharedItems>
    </cacheField>
    <cacheField name="Departamento" numFmtId="0">
      <sharedItems containsBlank="1"/>
    </cacheField>
    <cacheField name="Categorías" numFmtId="0">
      <sharedItems containsBlank="1" containsMixedTypes="1" containsNumber="1" containsInteger="1" minValue="1" maxValue="4" count="11">
        <s v="4"/>
        <s v="ESPECIAL"/>
        <s v="1"/>
        <s v="2"/>
        <s v="3"/>
        <s v="ESP"/>
        <n v="1"/>
        <n v="2"/>
        <n v="4"/>
        <n v="3"/>
        <m/>
      </sharedItems>
    </cacheField>
    <cacheField name="Tipologías" numFmtId="0">
      <sharedItems containsBlank="1" containsMixedTypes="1" containsNumber="1" containsInteger="1" minValue="1" maxValue="3"/>
    </cacheField>
    <cacheField name="Región" numFmtId="0">
      <sharedItems containsBlank="1" count="7">
        <s v="Centro Sur Amazonia"/>
        <s v="Eje Cafetero"/>
        <s v="Del Llano"/>
        <s v="Caribe"/>
        <s v="Centro Oriente"/>
        <s v="Pacifico"/>
        <m/>
      </sharedItems>
    </cacheField>
    <cacheField name="A3010-Transferencias corrientes de nivel nacional (NO tiene SGR)" numFmtId="164">
      <sharedItems containsString="0" containsBlank="1" containsNumber="1" minValue="0" maxValue="119183.045"/>
    </cacheField>
    <cacheField name="D1000-Transferencias nacionales (No tiene SGR)" numFmtId="164">
      <sharedItems containsString="0" containsBlank="1" containsNumber="1" minValue="57466.396444999991" maxValue="2185756.971653"/>
    </cacheField>
    <cacheField name="A-INGRESOS TOTALES (NO SGR)" numFmtId="164">
      <sharedItems containsString="0" containsBlank="1" containsNumber="1" minValue="123076.37778100002" maxValue="6362170.0811090004"/>
    </cacheField>
    <cacheField name="A1000-Ingresos tributarios (No SGR" numFmtId="164">
      <sharedItems containsString="0" containsBlank="1" containsNumber="1" minValue="10889.958999999999" maxValue="2125447.5530950003"/>
    </cacheField>
    <cacheField name="A2000-Ingresos no tributarios (No SGR)" numFmtId="164">
      <sharedItems containsString="0" containsBlank="1" containsNumber="1" minValue="264.56299999999999" maxValue="1262248.3300910001"/>
    </cacheField>
    <cacheField name="Gasto en Inversión" numFmtId="164">
      <sharedItems containsString="0" containsBlank="1" containsNumber="1" minValue="98588.905532000004" maxValue="5557896.2575310012"/>
    </cacheField>
    <cacheField name="Gasto en Formación Bruta de Capital" numFmtId="164">
      <sharedItems containsString="0" containsBlank="1" containsNumber="1" minValue="0" maxValue="1222873.4755569999"/>
    </cacheField>
    <cacheField name="Ingreso corriente" numFmtId="164">
      <sharedItems containsString="0" containsBlank="1" containsNumber="1" minValue="35445.463999999993" maxValue="3392717.2894199998"/>
    </cacheField>
    <cacheField name="Ahorro corriente" numFmtId="164">
      <sharedItems containsString="0" containsBlank="1" containsNumber="1" minValue="-18194.058334000001" maxValue="2174780.558923"/>
    </cacheField>
    <cacheField name="B2000-Intereses de la deuda pública -NO tiene SGR" numFmtId="164">
      <sharedItems containsString="0" containsBlank="1" containsNumber="1" minValue="0" maxValue="267602.986661"/>
    </cacheField>
    <cacheField name="G-Déficit o Superávit Total (No Tiene SGR)" numFmtId="164">
      <sharedItems containsString="0" containsBlank="1" containsNumber="1" minValue="-537294.77478800062" maxValue="230843.84234100161"/>
    </cacheField>
    <cacheField name="Recursos del Balance CUIPO" numFmtId="164">
      <sharedItems containsString="0" containsBlank="1" containsNumber="1" minValue="19418.080136" maxValue="1110806.930898"/>
    </cacheField>
    <cacheField name="Desembolsos (No tiene SGR)" numFmtId="164">
      <sharedItems containsString="0" containsBlank="1" containsNumber="1" minValue="0" maxValue="527712.31049599999"/>
    </cacheField>
    <cacheField name="Activos totales" numFmtId="0">
      <sharedItems containsString="0" containsBlank="1" containsNumber="1" minValue="558510.07537600002" maxValue="16095790.780893"/>
    </cacheField>
    <cacheField name="Pasivos totales" numFmtId="0">
      <sharedItems containsString="0" containsBlank="1" containsNumber="1" minValue="58513.208935339993" maxValue="13366808.623283001"/>
    </cacheField>
    <cacheField name="Gastos de funcionamiento / ICLD" numFmtId="0">
      <sharedItems containsString="0" containsBlank="1" containsNumber="1" minValue="0.2664599280874963" maxValue="83.494438600324543"/>
    </cacheField>
    <cacheField name="Límite Ley 617 de 2000" numFmtId="0">
      <sharedItems containsString="0" containsBlank="1" containsNumber="1" minValue="50" maxValue="70"/>
    </cacheField>
    <cacheField name="Presupuesto Inicial " numFmtId="0">
      <sharedItems containsString="0" containsBlank="1" containsNumber="1" minValue="5910.0770599999996" maxValue="3062505.434471"/>
    </cacheField>
    <cacheField name="Recaudo" numFmtId="0">
      <sharedItems containsString="0" containsBlank="1" containsNumber="1" minValue="9787.6997850000007" maxValue="3367645.1853399999"/>
    </cacheField>
    <cacheField name="Compromisos" numFmtId="164">
      <sharedItems containsString="0" containsBlank="1" containsNumber="1" minValue="78469.145688999997" maxValue="5320918.7083240012"/>
    </cacheField>
    <cacheField name="Pagos" numFmtId="0">
      <sharedItems containsString="0" containsBlank="1" containsNumber="1" minValue="66704.330625999995" maxValue="4228125.5784480004"/>
    </cacheField>
    <cacheField name="SGP + otras transferencias nacionales" numFmtId="0">
      <sharedItems containsString="0" containsBlank="1" containsNumber="1" minValue="68254.932400499994" maxValue="2185756.971653"/>
    </cacheField>
    <cacheField name="Ingresos totales" numFmtId="0">
      <sharedItems containsString="0" containsBlank="1" containsNumber="1" minValue="133068.20799999998" maxValue="6362170.0811090004"/>
    </cacheField>
    <cacheField name="Déficit o superávit + intereses deuda+RB" numFmtId="0">
      <sharedItems containsString="0" containsBlank="1" containsNumber="1" minValue="-278153.15984899993" maxValue="1201724.5598469994"/>
    </cacheField>
    <cacheField name="Ingresos totales + desembolsos " numFmtId="0">
      <sharedItems containsString="0" containsBlank="1" containsNumber="1" minValue="133068.20799999998" maxValue="6658046.2019230006"/>
    </cacheField>
    <cacheField name="Dependencia de las transferencias &quot;Resultado&quot;" numFmtId="0">
      <sharedItems containsString="0" containsBlank="1" containsNumber="1" minValue="14.717175804187775" maxValue="89.804355073144066"/>
    </cacheField>
    <cacheField name="Dependencia de las transferencias &quot;Calificación&quot;" numFmtId="2">
      <sharedItems containsString="0" containsBlank="1" containsNumber="1" minValue="10.195644926855934" maxValue="85.282824195812225"/>
    </cacheField>
    <cacheField name="Relevancia FBKF &quot;Resultado&quot;" numFmtId="0">
      <sharedItems containsString="0" containsBlank="1" containsNumber="1" minValue="0" maxValue="59.009503809274264"/>
    </cacheField>
    <cacheField name="FBK fijo/ Inversión  (Con SGR)*" numFmtId="0">
      <sharedItems containsString="0" containsBlank="1" containsNumber="1" minValue="0" maxValue="100.00000000000001"/>
    </cacheField>
    <cacheField name="Endeudamiento &quot;Resultado&quot;" numFmtId="2">
      <sharedItems containsString="0" containsBlank="1" containsNumber="1" minValue="9.6319136825602438" maxValue="96.995187385290379"/>
    </cacheField>
    <cacheField name="Endeudamiento &quot;Calificación&quot;" numFmtId="2">
      <sharedItems containsString="0" containsBlank="1" containsNumber="1" minValue="3.0048126147096212" maxValue="90.368086317439762"/>
    </cacheField>
    <cacheField name="Ahorro corriente &quot;Resultado&quot;" numFmtId="2">
      <sharedItems containsString="0" containsBlank="1" containsNumber="1" minValue="-8.1593626420138019" maxValue="72.825601798953087"/>
    </cacheField>
    <cacheField name="Ahorro corriente &quot;Calificación&quot;" numFmtId="2">
      <sharedItems containsString="0" containsBlank="1" containsNumber="1" containsInteger="1" minValue="0" maxValue="100"/>
    </cacheField>
    <cacheField name="Balance Fiscal Primario &quot;Resultado&quot;" numFmtId="2">
      <sharedItems containsString="0" containsBlank="1" containsNumber="1" minValue="-29.380187575440907" maxValue="64.237323654304831"/>
    </cacheField>
    <cacheField name="Balance Fiscal Primario &quot;Calificación&quot;" numFmtId="2">
      <sharedItems containsString="0" containsBlank="1" containsNumber="1" containsInteger="1" minValue="0" maxValue="100"/>
    </cacheField>
    <cacheField name="Resultados" numFmtId="2">
      <sharedItems containsString="0" containsBlank="1" containsNumber="1" minValue="29.420650810412781" maxValue="74.957309560700836"/>
    </cacheField>
    <cacheField name="Calificación Resultados " numFmtId="2">
      <sharedItems containsString="0" containsBlank="1" containsNumber="1" minValue="23.536520648330225" maxValue="59.965847648560668"/>
    </cacheField>
    <cacheField name="Holgura &quot;Resultado&quot;" numFmtId="2">
      <sharedItems containsString="0" containsBlank="1" containsNumber="1" minValue="0" maxValue="41.808625632489644"/>
    </cacheField>
    <cacheField name="Holgura &quot;Calificación&quot;" numFmtId="2">
      <sharedItems containsString="0" containsBlank="1" containsNumber="1" minValue="0" maxValue="100"/>
    </cacheField>
    <cacheField name="Capacidad de programación y recaudo de ingresos &quot;Resultado&quot;" numFmtId="2">
      <sharedItems containsString="0" containsBlank="1" containsNumber="1" minValue="42.505842581964913" maxValue="1240.8300378277838"/>
    </cacheField>
    <cacheField name="Capacidad de programación y recaudo de Ingresos &quot;Calificación&quot;" numFmtId="2">
      <sharedItems containsString="0" containsBlank="1" containsNumber="1" containsInteger="1" minValue="0" maxValue="100"/>
    </cacheField>
    <cacheField name="Capacidad de Ejecución de Inversión &quot;Resultado&quot;" numFmtId="2">
      <sharedItems containsString="0" containsBlank="1" containsNumber="1" minValue="58.345292002315993" maxValue="99.780016223081304"/>
    </cacheField>
    <cacheField name="Capacidad de Ejecución de Inversión &quot;Calificación&quot;" numFmtId="2">
      <sharedItems containsString="0" containsBlank="1" containsNumber="1" containsInteger="1" minValue="50" maxValue="100"/>
    </cacheField>
    <cacheField name="Bonificación Esfuerzo Porpio &quot;Calificación&quot;" numFmtId="2">
      <sharedItems containsString="0" containsBlank="1" containsNumber="1" minValue="0" maxValue="0.65798582584237475"/>
    </cacheField>
    <cacheField name="Resultados Gestión" numFmtId="2">
      <sharedItems containsString="0" containsBlank="1" containsNumber="1" minValue="23.333333333333332" maxValue="100"/>
    </cacheField>
    <cacheField name="Gestión +Bonos" numFmtId="2">
      <sharedItems containsString="0" containsBlank="1" containsNumber="1" minValue="23.333333333333332" maxValue="100"/>
    </cacheField>
    <cacheField name="Calificación Resultados Gestión" numFmtId="2">
      <sharedItems containsString="0" containsBlank="1" containsNumber="1" minValue="4.666666666666667" maxValue="20"/>
    </cacheField>
    <cacheField name="Nuevo IDF (sin bonos)" numFmtId="2">
      <sharedItems containsString="0" containsBlank="1" containsNumber="1" minValue="38.127030563454781" maxValue="75.965847648560668"/>
    </cacheField>
    <cacheField name="Nuevo IDF" numFmtId="2">
      <sharedItems containsString="0" containsBlank="1" containsNumber="1" minValue="38.127030563454781" maxValue="75.9658476485606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a Ordoñez" refreshedDate="45987.597323495371" createdVersion="8" refreshedVersion="8" minRefreshableVersion="3" recordCount="161" xr:uid="{77568DBC-D0CC-4BBE-BF28-410FCFD777F7}">
  <cacheSource type="worksheet">
    <worksheetSource ref="A4:AE164" sheet="IDF 20-24 Sin variables"/>
  </cacheSource>
  <cacheFields count="35">
    <cacheField name="Código (2 digitos)" numFmtId="0">
      <sharedItems containsBlank="1"/>
    </cacheField>
    <cacheField name="Código (5 digitos)" numFmtId="0">
      <sharedItems containsBlank="1"/>
    </cacheField>
    <cacheField name="Año" numFmtId="0">
      <sharedItems containsSemiMixedTypes="0" containsString="0" containsNumber="1" containsInteger="1" minValue="2020" maxValue="2024" count="5">
        <n v="2024"/>
        <n v="2020"/>
        <n v="2021"/>
        <n v="2022"/>
        <n v="2023"/>
      </sharedItems>
    </cacheField>
    <cacheField name="Departamento" numFmtId="0">
      <sharedItems count="69">
        <s v="Promedio Nacional "/>
        <s v="AMAZONAS"/>
        <s v="ANTIOQUIA"/>
        <s v="ARAUCA"/>
        <s v="ATLANTICO"/>
        <s v="BOLIVAR"/>
        <s v="BOYACA"/>
        <s v="CALDAS"/>
        <s v="CAQUETA"/>
        <s v="CASANARE"/>
        <s v="CAUCA"/>
        <s v="CESAR"/>
        <s v="CHOCO"/>
        <s v="CORDOBA"/>
        <s v="CUNDINAMARCA"/>
        <s v="GUAINIA"/>
        <s v="GUAJIRA"/>
        <s v="GUAVIARE"/>
        <s v="HUILA"/>
        <s v="MAGDALENA"/>
        <s v="META"/>
        <s v="NARIÑO"/>
        <s v="NORTE DE SANTANDER"/>
        <s v="PUTUMAYO"/>
        <s v="QUINDIO"/>
        <s v="RISARALDA"/>
        <s v="SAN ANDRÉS"/>
        <s v="SANTANDER"/>
        <s v="SUCRE"/>
        <s v="TOLIMA"/>
        <s v="VALLE DEL CAUCA"/>
        <s v="VAUPES"/>
        <s v="VICHADA"/>
        <s v=" AMAZONAS" u="1"/>
        <s v=" ANTIOQUIA" u="1"/>
        <s v=" ARAUCA" u="1"/>
        <s v=" ATLANTICO" u="1"/>
        <s v=" BOLIVAR" u="1"/>
        <s v=" BOYACÁ" u="1"/>
        <s v=" CALDAS" u="1"/>
        <s v=" CAQUETA" u="1"/>
        <s v=" CASANARE" u="1"/>
        <s v=" CAUCA" u="1"/>
        <s v=" CESAR" u="1"/>
        <s v=" CHOCO" u="1"/>
        <s v=" CÓRDOBA" u="1"/>
        <s v=" CUNDINAMARCA" u="1"/>
        <s v=" GUAINIA" u="1"/>
        <s v=" GUAJIRA" u="1"/>
        <s v=" GUAVIARE" u="1"/>
        <s v=" HUILA" u="1"/>
        <s v=" MAGDALENA" u="1"/>
        <s v=" META" u="1"/>
        <s v=" NARIÑO" u="1"/>
        <s v=" NORTE DE SANTANDER" u="1"/>
        <s v=" PUTUMAYO" u="1"/>
        <s v=" QUINDIO" u="1"/>
        <s v=" RISARALDA" u="1"/>
        <s v=" SANTANDER" u="1"/>
        <s v=" TOLIMA" u="1"/>
        <s v=" VALLE DEL CAUCA" u="1"/>
        <s v=" VAUPES" u="1"/>
        <s v=" VICHADA" u="1"/>
        <s v="BOYACÁ" u="1"/>
        <s v="LA_GUAJIRA" u="1"/>
        <s v="NORTE_DE_SANTANDER" u="1"/>
        <s v=" SUCRE" u="1"/>
        <s v="ARCHIPIELAGO DE SAN ANDRES, PROVIDENCIA Y SANTA CATALINA" u="1"/>
        <s v="SAN ANDRES" u="1"/>
      </sharedItems>
    </cacheField>
    <cacheField name="Categorías" numFmtId="0">
      <sharedItems containsBlank="1" containsMixedTypes="1" containsNumber="1" containsInteger="1" minValue="1" maxValue="4" count="11">
        <m/>
        <s v="4"/>
        <s v="ESPECIAL"/>
        <s v="1"/>
        <s v="2"/>
        <s v="3"/>
        <s v="ESP"/>
        <n v="1"/>
        <n v="2"/>
        <n v="4"/>
        <n v="3"/>
      </sharedItems>
    </cacheField>
    <cacheField name="Tipologías" numFmtId="0">
      <sharedItems containsMixedTypes="1" containsNumber="1" containsInteger="1" minValue="1" maxValue="3" count="5">
        <s v="Promedio Nacional "/>
        <s v="N/A"/>
        <n v="2"/>
        <n v="1"/>
        <n v="3"/>
      </sharedItems>
    </cacheField>
    <cacheField name="Dependencia de las transferencias &quot;Resultado&quot;" numFmtId="2">
      <sharedItems containsSemiMixedTypes="0" containsString="0" containsNumber="1" minValue="14.717175804187775" maxValue="89.804355073144066"/>
    </cacheField>
    <cacheField name="Dependencia de las transferencias &quot;Calificación&quot;" numFmtId="2">
      <sharedItems containsSemiMixedTypes="0" containsString="0" containsNumber="1" minValue="10.195644926855934" maxValue="85.282824195812225"/>
    </cacheField>
    <cacheField name="Relevancia FBKF &quot;Resultado&quot;" numFmtId="2">
      <sharedItems containsSemiMixedTypes="0" containsString="0" containsNumber="1" minValue="0" maxValue="59.009503809274264"/>
    </cacheField>
    <cacheField name="FBK fijo/ Inversión  (Con SGR)*" numFmtId="2">
      <sharedItems containsSemiMixedTypes="0" containsString="0" containsNumber="1" minValue="0" maxValue="100.00000000000001"/>
    </cacheField>
    <cacheField name="Endeudamiento &quot;Resultado&quot;" numFmtId="2">
      <sharedItems containsSemiMixedTypes="0" containsString="0" containsNumber="1" minValue="9.6319136825602438" maxValue="96.995187385290379"/>
    </cacheField>
    <cacheField name="Endeudamiento &quot;Calificación&quot;" numFmtId="2">
      <sharedItems containsSemiMixedTypes="0" containsString="0" containsNumber="1" minValue="3.0048126147096212" maxValue="90.368086317439762"/>
    </cacheField>
    <cacheField name="Ahorro corriente &quot;Resultado&quot;" numFmtId="2">
      <sharedItems containsSemiMixedTypes="0" containsString="0" containsNumber="1" minValue="-8.1593626420138019" maxValue="72.825601798953087"/>
    </cacheField>
    <cacheField name="Ahorro corriente &quot;Calificación&quot;" numFmtId="2">
      <sharedItems containsSemiMixedTypes="0" containsString="0" containsNumber="1" minValue="0" maxValue="100"/>
    </cacheField>
    <cacheField name="Balance Fiscal Primario &quot;Resultado&quot;" numFmtId="2">
      <sharedItems containsSemiMixedTypes="0" containsString="0" containsNumber="1" minValue="-29.380187575440907" maxValue="64.237323654304831"/>
    </cacheField>
    <cacheField name="Balance Fiscal Primario &quot;Calificación&quot;" numFmtId="2">
      <sharedItems containsSemiMixedTypes="0" containsString="0" containsNumber="1" containsInteger="1" minValue="0" maxValue="100"/>
    </cacheField>
    <cacheField name="Resultados" numFmtId="2">
      <sharedItems containsSemiMixedTypes="0" containsString="0" containsNumber="1" minValue="29.420650810412781" maxValue="74.957309560700836"/>
    </cacheField>
    <cacheField name="Calificación Resultados " numFmtId="2">
      <sharedItems containsSemiMixedTypes="0" containsString="0" containsNumber="1" minValue="23.536520648330225" maxValue="59.965847648560668"/>
    </cacheField>
    <cacheField name="Holgura &quot;Resultado&quot;" numFmtId="2">
      <sharedItems containsSemiMixedTypes="0" containsString="0" containsNumber="1" minValue="0" maxValue="41.808625632489644"/>
    </cacheField>
    <cacheField name="Holgura &quot;Calificación&quot;" numFmtId="2">
      <sharedItems containsSemiMixedTypes="0" containsString="0" containsNumber="1" minValue="0" maxValue="100"/>
    </cacheField>
    <cacheField name="Capacidad de programación y recaudo de ingresos &quot;Resultado&quot;" numFmtId="2">
      <sharedItems containsSemiMixedTypes="0" containsString="0" containsNumber="1" minValue="42.505842581964913" maxValue="1240.8300378277838"/>
    </cacheField>
    <cacheField name="Capacidad de programación y recaudo de Ingresos &quot;Calificación&quot;" numFmtId="2">
      <sharedItems containsSemiMixedTypes="0" containsString="0" containsNumber="1" minValue="0" maxValue="100"/>
    </cacheField>
    <cacheField name="Capacidad de Ejecución de Inversión &quot;Resultado&quot;" numFmtId="2">
      <sharedItems containsSemiMixedTypes="0" containsString="0" containsNumber="1" minValue="58.345292002315993" maxValue="99.780016223081304"/>
    </cacheField>
    <cacheField name="Capacidad de Ejecución de Inversión &quot;Calificación&quot;" numFmtId="2">
      <sharedItems containsSemiMixedTypes="0" containsString="0" containsNumber="1" minValue="50" maxValue="100"/>
    </cacheField>
    <cacheField name="Bonificación Esfuerzo Porpio &quot;Calificación&quot;" numFmtId="2">
      <sharedItems containsSemiMixedTypes="0" containsString="0" containsNumber="1" minValue="0" maxValue="0.65798582584237475"/>
    </cacheField>
    <cacheField name="Resultados Gestión" numFmtId="2">
      <sharedItems containsSemiMixedTypes="0" containsString="0" containsNumber="1" minValue="23.333333333333332" maxValue="100"/>
    </cacheField>
    <cacheField name="Gestión +Bonos" numFmtId="2">
      <sharedItems containsSemiMixedTypes="0" containsString="0" containsNumber="1" minValue="23.333333333333332" maxValue="100"/>
    </cacheField>
    <cacheField name="Calificación Resultados Gestión" numFmtId="2">
      <sharedItems containsSemiMixedTypes="0" containsString="0" containsNumber="1" minValue="4.666666666666667" maxValue="20"/>
    </cacheField>
    <cacheField name="Nuevo IDF (sin bonos)" numFmtId="2">
      <sharedItems containsSemiMixedTypes="0" containsString="0" containsNumber="1" minValue="38.127030563454781" maxValue="75.965847648560668"/>
    </cacheField>
    <cacheField name="Nuevo IDF" numFmtId="2">
      <sharedItems containsSemiMixedTypes="0" containsString="0" containsNumber="1" minValue="38.127030563454781" maxValue="75.965847648560668" count="161">
        <n v="53.462243194524916"/>
        <n v="43.715147709610889"/>
        <n v="65.636264881346705"/>
        <n v="42.89064869585853"/>
        <n v="65.270209361179894"/>
        <n v="46.408403775507892"/>
        <n v="44.924049321577627"/>
        <n v="66.657356765300747"/>
        <n v="49.806224210797701"/>
        <n v="52.074856875075852"/>
        <n v="55.642418596543294"/>
        <n v="63.964067437015117"/>
        <n v="45.760693331786591"/>
        <n v="41.337772468065161"/>
        <n v="73.550686132216313"/>
        <n v="49.160811019794494"/>
        <n v="48.366540661532483"/>
        <n v="63.17562430207812"/>
        <n v="49.583799127966493"/>
        <n v="49.083229626987901"/>
        <n v="69.305292237245908"/>
        <n v="39.95960805769748"/>
        <n v="63.014608726090536"/>
        <n v="54.034752283540165"/>
        <n v="47.698702968366817"/>
        <n v="68.351578140937121"/>
        <n v="38.857279272800881"/>
        <n v="47.508048714852137"/>
        <n v="60.508968436902947"/>
        <n v="58.122281149187231"/>
        <n v="63.404561137728138"/>
        <n v="55.908880672398453"/>
        <n v="47.160425682469537"/>
        <n v="67.021451072467954"/>
        <n v="75.965847648560668"/>
        <n v="56.849877568087607"/>
        <n v="57.508622733549423"/>
        <n v="63.593460729914398"/>
        <n v="48.242112877432511"/>
        <n v="51.612100493011042"/>
        <n v="68.377552000934728"/>
        <n v="45.369880949041338"/>
        <n v="71.648254076249856"/>
        <n v="52.128463550265096"/>
        <n v="54.065159520126599"/>
        <n v="50.112734745348355"/>
        <n v="58.026375816822082"/>
        <n v="63.346520051345749"/>
        <n v="52.548688707040263"/>
        <n v="57.772156887655584"/>
        <n v="61.468330179307671"/>
        <n v="57.255454440138315"/>
        <n v="56.797822593655226"/>
        <n v="70.327337918984554"/>
        <n v="69.457535515616172"/>
        <n v="69.686723042599894"/>
        <n v="40.293189955343266"/>
        <n v="46.880264994213825"/>
        <n v="53.809124642813828"/>
        <n v="45.630413474656187"/>
        <n v="40.962653269645386"/>
        <n v="56.60552922786259"/>
        <n v="63.933533767117517"/>
        <n v="59.076647655798382"/>
        <n v="53.010389526023644"/>
        <n v="74.95498647627592"/>
        <n v="71.937321253336677"/>
        <n v="68.205988113636295"/>
        <n v="68.178979803432441"/>
        <n v="66.233994741658975"/>
        <n v="65.529454179559906"/>
        <n v="63.706604590308586"/>
        <n v="63.477218735238715"/>
        <n v="62.088111579544844"/>
        <n v="60.504718834772305"/>
        <n v="60.385471887348842"/>
        <n v="58.088143128065255"/>
        <n v="57.300690480227615"/>
        <n v="54.812290357739414"/>
        <n v="53.44153511269154"/>
        <n v="52.085488236309267"/>
        <n v="51.656281202566419"/>
        <n v="51.491295448780598"/>
        <n v="51.349174625630468"/>
        <n v="50.417031254064376"/>
        <n v="49.734335628775931"/>
        <n v="49.601751666582217"/>
        <n v="49.364132354043178"/>
        <n v="49.3250610886939"/>
        <n v="47.400745099247189"/>
        <n v="46.585275202102721"/>
        <n v="44.625743579637593"/>
        <n v="43.063566456892623"/>
        <n v="42.011141900483068"/>
        <n v="41.829241910614492"/>
        <n v="41.649701610927316"/>
        <n v="40.171050290088061"/>
        <n v="51.952856310515187"/>
        <n v="68.843584130551861"/>
        <n v="51.186608356161841"/>
        <n v="67.899974692601404"/>
        <n v="42.085960409147482"/>
        <n v="57.261420293666461"/>
        <n v="61.555646180142674"/>
        <n v="48.971250622754766"/>
        <n v="55.796764264571728"/>
        <n v="49.134093336695301"/>
        <n v="73.040468377285023"/>
        <n v="49.309712977695945"/>
        <n v="54.743139869469104"/>
        <n v="70.577998418508969"/>
        <n v="60.192762500214521"/>
        <n v="51.289648405266874"/>
        <n v="54.703989321379105"/>
        <n v="59.115468161383646"/>
        <n v="47.286319359308919"/>
        <n v="57.850808436658269"/>
        <n v="54.568742123437204"/>
        <n v="58.138669449431433"/>
        <n v="61.018549629217262"/>
        <n v="49.997613010596091"/>
        <n v="46.727185051941774"/>
        <n v="61.035211188085682"/>
        <n v="54.728703106808155"/>
        <n v="67.505629872697114"/>
        <n v="53.32915750967652"/>
        <n v="72.901944189514623"/>
        <n v="49.247659183115147"/>
        <n v="49.265135076260194"/>
        <n v="70.904287562117048"/>
        <n v="68.748150787999663"/>
        <n v="61.84893636683325"/>
        <n v="60.742783661202992"/>
        <n v="60.525919514240925"/>
        <n v="59.190463853359461"/>
        <n v="58.566767148313708"/>
        <n v="58.223626018736937"/>
        <n v="57.887935182259362"/>
        <n v="57.419127374306115"/>
        <n v="56.380107254116687"/>
        <n v="55.457030868659032"/>
        <n v="54.74197396775984"/>
        <n v="52.785252102588885"/>
        <n v="52.449158484693996"/>
        <n v="52.242421503037733"/>
        <n v="51.715650716131883"/>
        <n v="51.338436603757202"/>
        <n v="51.266435649482084"/>
        <n v="51.019049352857991"/>
        <n v="50.830507842121456"/>
        <n v="50.456294378068634"/>
        <n v="50.213012769362919"/>
        <n v="49.869589935637997"/>
        <n v="49.750536717839175"/>
        <n v="48.962741969314941"/>
        <n v="47.48204325840198"/>
        <n v="47.389088088997127"/>
        <n v="46.548663847397748"/>
        <n v="45.639067069388105"/>
        <n v="42.069691812357846"/>
        <n v="38.127030563454781"/>
      </sharedItems>
    </cacheField>
    <cacheField name="Rango " numFmtId="0">
      <sharedItems containsBlank="1" count="5">
        <m/>
        <s v="2. Riesgo (&gt;=40 y &lt;60)"/>
        <s v="3. Vulnerable (&gt;=60 y &lt;70)"/>
        <s v="4. Solvente (&gt;=70 y &lt;80)"/>
        <s v="1. Deterioro (&lt;40)"/>
      </sharedItems>
    </cacheField>
    <cacheField name="Promedio nacional" numFmtId="0" formula="AVERAGE('Nuevo IDF')" databaseField="0"/>
    <cacheField name="Promedio naciona" numFmtId="0" formula="'Promedio nacional'" databaseField="0"/>
    <cacheField name="Campo1" numFmtId="0" formula="'Promedio nacional'" databaseField="0"/>
    <cacheField name="Campo2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91"/>
    <s v="91000"/>
    <x v="0"/>
    <s v=" AMAZONAS"/>
    <s v="4"/>
    <s v="N/A"/>
    <n v="0"/>
    <n v="130959.10188"/>
    <n v="174009.20267700002"/>
    <m/>
    <m/>
    <n v="161167.91017700001"/>
    <n v="21438.246735000001"/>
    <n v="39576.982459000006"/>
    <n v="14620.794825000004"/>
    <n v="0"/>
    <n v="12278.558688999998"/>
    <n v="26890.689661"/>
    <n v="259.64236599999998"/>
    <n v="863395.92108100001"/>
    <n v="295765.82177400001"/>
    <n v="0.59281022494314861"/>
    <n v="70"/>
    <n v="17832.686947269998"/>
    <n v="14232.522504549999"/>
    <n v="136774.45635260001"/>
    <n v="136774.45635260001"/>
    <m/>
    <m/>
    <m/>
    <m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  <n v="43.715147709610889"/>
    <s v="2. Riesgo (&gt;=40 y &lt;60)"/>
  </r>
  <r>
    <s v="05"/>
    <s v="05000"/>
    <x v="0"/>
    <s v=" ANTIOQUIA"/>
    <s v="ESPECIAL"/>
    <s v="N/A"/>
    <n v="0"/>
    <n v="1823047.055957"/>
    <n v="4090738.5152229993"/>
    <m/>
    <m/>
    <n v="3571604.038923"/>
    <n v="1222873.4755569999"/>
    <n v="1824093.1233649997"/>
    <n v="818518.62523999962"/>
    <n v="64011.114753000002"/>
    <n v="-371175.35987000074"/>
    <n v="665405.92350799998"/>
    <n v="171872.829203"/>
    <n v="13508051.740302"/>
    <n v="10477575.290440001"/>
    <n v="0.41196507317030118"/>
    <n v="50"/>
    <n v="2310752.6415400002"/>
    <n v="1590618.429792"/>
    <n v="3456339.3769680001"/>
    <n v="3143551.0794009999"/>
    <m/>
    <m/>
    <m/>
    <m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  <n v="65.636264881346705"/>
    <s v="3. Vulnerable (&gt;=60 y &lt;70)"/>
  </r>
  <r>
    <s v="81"/>
    <s v="81000"/>
    <x v="0"/>
    <s v=" ARAUCA"/>
    <s v="4"/>
    <s v="N/A"/>
    <n v="0"/>
    <n v="233214.514383"/>
    <n v="327076.537427"/>
    <m/>
    <m/>
    <n v="414671.794261"/>
    <n v="130231.497038"/>
    <n v="74222.102974000009"/>
    <n v="10364.976889000012"/>
    <n v="0"/>
    <n v="-27648.757681999938"/>
    <n v="88513.885553"/>
    <n v="0"/>
    <n v="1381738.19763729"/>
    <n v="675001.22452742001"/>
    <n v="0.71323396395455096"/>
    <n v="70"/>
    <n v="40045.367928"/>
    <n v="46354.786591689997"/>
    <n v="290868.1690209501"/>
    <n v="268874.40893251001"/>
    <m/>
    <m/>
    <m/>
    <m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  <n v="42.89064869585853"/>
    <s v="2. Riesgo (&gt;=40 y &lt;60)"/>
  </r>
  <r>
    <s v="08"/>
    <s v="08000"/>
    <x v="0"/>
    <s v=" ATLANTICO"/>
    <s v="1"/>
    <s v="N/A"/>
    <n v="0"/>
    <n v="423897.05522500002"/>
    <n v="1108479.265132"/>
    <m/>
    <m/>
    <n v="959862.66274099995"/>
    <n v="207032.22905300002"/>
    <n v="641055.65673399996"/>
    <n v="436577.13126299996"/>
    <n v="20336.436952"/>
    <n v="-12199.531743000029"/>
    <n v="180126.67610800001"/>
    <n v="0"/>
    <n v="4136488.5105571202"/>
    <n v="1773273.4676698798"/>
    <n v="0.2664599280874963"/>
    <n v="55"/>
    <n v="680934.75025499996"/>
    <n v="625841.27555100003"/>
    <n v="916200.27140354994"/>
    <n v="711308.74987504003"/>
    <m/>
    <m/>
    <m/>
    <m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  <n v="65.270209361179894"/>
    <s v="3. Vulnerable (&gt;=60 y &lt;70)"/>
  </r>
  <r>
    <s v="13"/>
    <s v="13000"/>
    <x v="0"/>
    <s v=" BOLIVAR"/>
    <s v="1"/>
    <s v="N/A"/>
    <n v="0"/>
    <n v="849541.72838999995"/>
    <n v="1304675.519106"/>
    <m/>
    <m/>
    <n v="982722.09742600005"/>
    <n v="126866.03378100001"/>
    <n v="312476.20075199998"/>
    <n v="136689.626598"/>
    <n v="3957.7625739999999"/>
    <n v="156582.53782800003"/>
    <n v="39332.010616"/>
    <n v="0"/>
    <n v="3639178.1014322499"/>
    <n v="2508647.4591360199"/>
    <n v="0.41767080335769385"/>
    <n v="55"/>
    <n v="429944.91303900001"/>
    <n v="308887.05293399998"/>
    <n v="972306.40712400002"/>
    <n v="899886.27521500003"/>
    <m/>
    <m/>
    <m/>
    <m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  <n v="46.408403775507892"/>
    <s v="2. Riesgo (&gt;=40 y &lt;60)"/>
  </r>
  <r>
    <s v="15"/>
    <s v="15000"/>
    <x v="0"/>
    <s v=" BOYACÁ"/>
    <s v="1"/>
    <s v="N/A"/>
    <n v="0"/>
    <n v="735513.793772"/>
    <n v="1174448.7941949998"/>
    <m/>
    <m/>
    <n v="1053987.7997849998"/>
    <n v="197900.91534599999"/>
    <n v="305347.96344599995"/>
    <n v="127383.26872099994"/>
    <n v="6239.9699049999999"/>
    <n v="-6286.9507900001481"/>
    <n v="169419.93925200001"/>
    <n v="15164.550905"/>
    <n v="4425569.8076839997"/>
    <n v="2864148.5348410001"/>
    <n v="0.59334038548744361"/>
    <n v="55"/>
    <n v="338416.14628500002"/>
    <n v="278845.42071600002"/>
    <n v="969587.96775900002"/>
    <n v="851469.39978700003"/>
    <m/>
    <m/>
    <m/>
    <m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  <n v="44.924049321577627"/>
    <s v="2. Riesgo (&gt;=40 y &lt;60)"/>
  </r>
  <r>
    <s v="17"/>
    <s v="17000"/>
    <x v="0"/>
    <s v=" CALDAS"/>
    <s v="2"/>
    <s v="N/A"/>
    <n v="0"/>
    <n v="374801.11080600001"/>
    <n v="721781.86418500007"/>
    <m/>
    <m/>
    <n v="701520.33515699999"/>
    <n v="197199.462481"/>
    <n v="235883.72903300001"/>
    <n v="119285.541243"/>
    <n v="3590.284302"/>
    <n v="30719.233647000161"/>
    <n v="61709.876664000003"/>
    <n v="14815.686782999999"/>
    <n v="2979685.0001210002"/>
    <n v="1729145.078578"/>
    <n v="0.51439540277856366"/>
    <n v="60"/>
    <n v="251197.860888"/>
    <n v="168877.847668"/>
    <n v="574464.44274800003"/>
    <n v="561980.301675"/>
    <m/>
    <m/>
    <m/>
    <m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  <n v="66.657356765300747"/>
    <s v="3. Vulnerable (&gt;=60 y &lt;70)"/>
  </r>
  <r>
    <s v="18"/>
    <s v="18000"/>
    <x v="0"/>
    <s v=" CAQUETA"/>
    <s v="4"/>
    <s v="N/A"/>
    <n v="0"/>
    <n v="252365.23491500001"/>
    <n v="336102.64341800002"/>
    <m/>
    <m/>
    <n v="423552.08822099998"/>
    <n v="149634.41928199999"/>
    <n v="66859.528201000008"/>
    <n v="24490.540512000007"/>
    <n v="0"/>
    <n v="20350.129827000026"/>
    <n v="30290.510962"/>
    <n v="0"/>
    <n v="1396255.0511729999"/>
    <n v="601675.13314799999"/>
    <n v="0.69405814467109539"/>
    <n v="70"/>
    <n v="74414.829500000007"/>
    <n v="55594.785823190003"/>
    <n v="273383.52590228"/>
    <n v="248564.72516834"/>
    <m/>
    <m/>
    <m/>
    <m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  <n v="49.806224210797701"/>
    <s v="2. Riesgo (&gt;=40 y &lt;60)"/>
  </r>
  <r>
    <s v="85"/>
    <s v="85000"/>
    <x v="0"/>
    <s v=" CASANARE"/>
    <s v="3"/>
    <s v="N/A"/>
    <n v="0"/>
    <n v="224995.20421699999"/>
    <n v="385441.68354300002"/>
    <m/>
    <m/>
    <n v="367159.54338599998"/>
    <n v="65751.814072000008"/>
    <n v="125612.30413100001"/>
    <n v="58847.265349000008"/>
    <n v="0"/>
    <n v="-10582.229074999981"/>
    <n v="96772.200689999998"/>
    <n v="0"/>
    <n v="2844797.3708309601"/>
    <n v="511187.27396492998"/>
    <n v="0.81349048199814245"/>
    <n v="70"/>
    <n v="81344.475000000006"/>
    <n v="103091.38121944001"/>
    <n v="329258.87383333"/>
    <n v="285450.59743055998"/>
    <m/>
    <m/>
    <m/>
    <m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  <n v="52.074856875075852"/>
    <s v="2. Riesgo (&gt;=40 y &lt;60)"/>
  </r>
  <r>
    <s v="19"/>
    <s v="19000"/>
    <x v="0"/>
    <s v=" CAUCA"/>
    <s v="3"/>
    <s v="N/A"/>
    <n v="0"/>
    <n v="974101.54360900004"/>
    <n v="1213453.361484"/>
    <m/>
    <m/>
    <n v="1197656.859008"/>
    <n v="164159.27259000001"/>
    <n v="201455.879499"/>
    <n v="114898.16617200001"/>
    <n v="243.877792"/>
    <n v="75816.92493800004"/>
    <n v="168863.30061899999"/>
    <n v="0"/>
    <n v="2978719.401238"/>
    <n v="1127163.8204940001"/>
    <n v="0.37647592551665665"/>
    <n v="70"/>
    <n v="190719.59179899999"/>
    <n v="174847.58821410997"/>
    <n v="1051078.723216"/>
    <n v="1025589.0454169499"/>
    <m/>
    <m/>
    <m/>
    <m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  <n v="55.642418596543294"/>
    <s v="2. Riesgo (&gt;=40 y &lt;60)"/>
  </r>
  <r>
    <s v="20"/>
    <s v="20000"/>
    <x v="0"/>
    <s v=" CESAR"/>
    <s v="2"/>
    <s v="N/A"/>
    <n v="0"/>
    <n v="559175.75741800002"/>
    <n v="755093.39081400004"/>
    <m/>
    <m/>
    <n v="876700.96031100012"/>
    <n v="232071.064354"/>
    <n v="153895.765506"/>
    <n v="69627.708136000001"/>
    <n v="3722.0527910000001"/>
    <n v="-10913.576682999963"/>
    <n v="99013.684110000002"/>
    <n v="13000"/>
    <n v="2180519.67222013"/>
    <n v="633534.64266595"/>
    <n v="0.57757376607177258"/>
    <n v="60"/>
    <n v="177222.21504400001"/>
    <n v="140615.02988583999"/>
    <n v="681738.91012462985"/>
    <n v="637118.73170350993"/>
    <m/>
    <m/>
    <m/>
    <m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  <n v="63.964067437015117"/>
    <s v="3. Vulnerable (&gt;=60 y &lt;70)"/>
  </r>
  <r>
    <s v="27"/>
    <s v="27000"/>
    <x v="0"/>
    <s v=" CHOCO"/>
    <s v="4"/>
    <s v="N/A"/>
    <n v="0"/>
    <n v="424722.98897000001"/>
    <n v="516648.89210500004"/>
    <m/>
    <m/>
    <n v="636935.97236700007"/>
    <n v="140773.324777"/>
    <n v="72867.392906000008"/>
    <n v="14644.675380000008"/>
    <n v="293.445919"/>
    <n v="21354.708864000044"/>
    <n v="33464.458760000001"/>
    <n v="4000"/>
    <n v="1552859.41135975"/>
    <n v="594427.68954999"/>
    <n v="1.058443034490989"/>
    <n v="70"/>
    <n v="78933.666659179988"/>
    <n v="63987.925201760001"/>
    <n v="402354.69556309999"/>
    <n v="371898.77206799999"/>
    <m/>
    <m/>
    <m/>
    <m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  <n v="45.760693331786591"/>
    <s v="2. Riesgo (&gt;=40 y &lt;60)"/>
  </r>
  <r>
    <s v="23"/>
    <s v="23000"/>
    <x v="0"/>
    <s v=" CÓRDOBA"/>
    <s v="2"/>
    <s v="N/A"/>
    <n v="0"/>
    <n v="882592.33642299997"/>
    <n v="1165846.91812"/>
    <m/>
    <m/>
    <n v="1044683.213843"/>
    <n v="120148.791495"/>
    <n v="196850.63401200002"/>
    <n v="84211.583615000025"/>
    <n v="3201.6202309999999"/>
    <n v="44648.063164000167"/>
    <n v="171264.06792500001"/>
    <n v="0"/>
    <n v="2582211.8734305296"/>
    <n v="2406960.35024171"/>
    <n v="0.53927972187682582"/>
    <n v="60"/>
    <n v="223416.039193"/>
    <n v="184173.99381056"/>
    <n v="1008559.8045589501"/>
    <n v="954060.80530889006"/>
    <m/>
    <m/>
    <m/>
    <m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  <n v="41.337772468065161"/>
    <s v="2. Riesgo (&gt;=40 y &lt;60)"/>
  </r>
  <r>
    <s v="25"/>
    <s v="25000"/>
    <x v="0"/>
    <s v=" CUNDINAMARCA"/>
    <s v="ESPECIAL"/>
    <s v="N/A"/>
    <n v="0"/>
    <n v="950747.97744399996"/>
    <n v="2336013.7325019999"/>
    <m/>
    <m/>
    <n v="2057403.8309760001"/>
    <n v="585827.30839400005"/>
    <n v="1324128.6298500001"/>
    <n v="902995.13054100005"/>
    <n v="34666.064218"/>
    <n v="-24875.484263000078"/>
    <n v="209487.14686899999"/>
    <n v="0"/>
    <n v="8161084.1474679997"/>
    <n v="6468882.7715290003"/>
    <n v="0.39491318375409079"/>
    <n v="50"/>
    <n v="1358007.5911969999"/>
    <n v="1229742.464799"/>
    <n v="1939755.7174559999"/>
    <n v="1673223.2069969999"/>
    <m/>
    <m/>
    <m/>
    <m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  <n v="73.550686132216313"/>
    <s v="4. Solvente (&gt;=70 y &lt;80)"/>
  </r>
  <r>
    <s v="94"/>
    <s v="94000"/>
    <x v="0"/>
    <s v=" GUAINIA"/>
    <s v="4"/>
    <s v="N/A"/>
    <n v="0"/>
    <n v="104184.44317"/>
    <n v="157095.44714100001"/>
    <m/>
    <m/>
    <n v="135991.64415599999"/>
    <n v="20350.627668000001"/>
    <n v="46649.638294000004"/>
    <n v="30007.966993000005"/>
    <n v="0"/>
    <n v="26614.593535000007"/>
    <n v="33191.025887999996"/>
    <n v="0"/>
    <n v="818597.90998776001"/>
    <n v="173205.72895945"/>
    <n v="0.35481372943872053"/>
    <n v="70"/>
    <n v="14430.641718999999"/>
    <n v="17693.46600891"/>
    <n v="113839.18230268"/>
    <n v="97905.799540369961"/>
    <m/>
    <m/>
    <m/>
    <m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  <n v="49.160811019794494"/>
    <s v="2. Riesgo (&gt;=40 y &lt;60)"/>
  </r>
  <r>
    <s v="44"/>
    <s v="44000"/>
    <x v="0"/>
    <s v=" GUAJIRA"/>
    <s v="4"/>
    <s v="N/A"/>
    <n v="0"/>
    <n v="344698.20102099999"/>
    <n v="446730.51522599999"/>
    <m/>
    <m/>
    <n v="440477.41382700001"/>
    <n v="64024.855408999996"/>
    <n v="93704.114190000008"/>
    <n v="34476.511654000009"/>
    <n v="10639.576517"/>
    <n v="30235.19596599997"/>
    <n v="58418.589479000002"/>
    <n v="0"/>
    <n v="1855321.6650371298"/>
    <n v="763969.32662099996"/>
    <n v="0.55353444553340025"/>
    <n v="70"/>
    <n v="80626.019835399988"/>
    <n v="79173.134896790012"/>
    <n v="357267.71672085999"/>
    <n v="334868.79826294008"/>
    <m/>
    <m/>
    <m/>
    <m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  <n v="48.366540661532483"/>
    <s v="2. Riesgo (&gt;=40 y &lt;60)"/>
  </r>
  <r>
    <s v="95"/>
    <s v="95000"/>
    <x v="0"/>
    <s v=" GUAVIARE"/>
    <s v="4"/>
    <s v="N/A"/>
    <n v="0"/>
    <n v="102708.161672"/>
    <n v="167443.71766900001"/>
    <m/>
    <m/>
    <n v="203759.442274"/>
    <n v="83569.350884999993"/>
    <n v="59244.894110000001"/>
    <n v="31991.052969000004"/>
    <n v="413.20304900000002"/>
    <n v="12631.379937999998"/>
    <n v="19659.574336000001"/>
    <n v="0"/>
    <n v="681034.67078000004"/>
    <n v="148480.80463299999"/>
    <n v="0.54403489873255206"/>
    <n v="70"/>
    <n v="22498.63318664"/>
    <n v="33105.063004750002"/>
    <n v="127558.49658492999"/>
    <n v="115089.43563832001"/>
    <m/>
    <m/>
    <m/>
    <m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  <n v="63.17562430207812"/>
    <s v="3. Vulnerable (&gt;=60 y &lt;70)"/>
  </r>
  <r>
    <s v="41"/>
    <s v="41000"/>
    <x v="0"/>
    <s v=" HUILA"/>
    <s v="2"/>
    <s v="N/A"/>
    <n v="0"/>
    <n v="562989.15482099995"/>
    <n v="851534.13150199992"/>
    <m/>
    <m/>
    <n v="764808.44419099996"/>
    <n v="121772.57840300001"/>
    <n v="184518.46966200002"/>
    <n v="68403.973279000027"/>
    <n v="2479.2347570000002"/>
    <n v="20800.604985999875"/>
    <n v="77122.455176000003"/>
    <n v="6750"/>
    <n v="2538160.34934283"/>
    <n v="1665734.3336429"/>
    <n v="0.613201677855436"/>
    <n v="60"/>
    <n v="209313.84672500001"/>
    <n v="182834.80452449"/>
    <n v="714619.03013009008"/>
    <n v="646554.31719686009"/>
    <m/>
    <m/>
    <m/>
    <m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  <n v="49.583799127966493"/>
    <s v="2. Riesgo (&gt;=40 y &lt;60)"/>
  </r>
  <r>
    <s v="47"/>
    <s v="47000"/>
    <x v="0"/>
    <s v=" MAGDALENA"/>
    <s v="2"/>
    <s v="N/A"/>
    <n v="0"/>
    <n v="668278.09243399999"/>
    <n v="1030817.15071"/>
    <m/>
    <m/>
    <n v="908020.57822500006"/>
    <n v="121462.52815499999"/>
    <n v="300073.892903"/>
    <n v="146567.57591400002"/>
    <n v="2582.1207410000002"/>
    <n v="57544.821568999905"/>
    <n v="182184.576332"/>
    <n v="0"/>
    <n v="2065432.6019137199"/>
    <n v="1032544.22965119"/>
    <n v="0.53666286338769709"/>
    <n v="60"/>
    <n v="331272.38416800002"/>
    <n v="195845.96638999999"/>
    <n v="819766.01215199998"/>
    <n v="778918.51969900005"/>
    <m/>
    <m/>
    <m/>
    <m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  <n v="49.083229626987901"/>
    <s v="2. Riesgo (&gt;=40 y &lt;60)"/>
  </r>
  <r>
    <s v="50"/>
    <s v="50000"/>
    <x v="0"/>
    <s v=" META"/>
    <s v="1"/>
    <s v="N/A"/>
    <n v="0"/>
    <n v="360076.01153600001"/>
    <n v="741598.89948699996"/>
    <m/>
    <m/>
    <n v="1248596.9768079999"/>
    <n v="736790.88059199997"/>
    <n v="276715.52591299999"/>
    <n v="151089.54109499999"/>
    <n v="4816.6335079999999"/>
    <n v="66868.809026999981"/>
    <n v="79419.181328999999"/>
    <n v="20725.953559000001"/>
    <n v="7793274.7629720001"/>
    <n v="1494779.557911"/>
    <n v="0.48319036212016719"/>
    <n v="55"/>
    <n v="291835.07135099999"/>
    <n v="233568.081718"/>
    <n v="549104.10564199998"/>
    <n v="424793.077536"/>
    <m/>
    <m/>
    <m/>
    <m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  <n v="69.305292237245908"/>
    <s v="3. Vulnerable (&gt;=60 y &lt;70)"/>
  </r>
  <r>
    <s v="52"/>
    <s v="52000"/>
    <x v="0"/>
    <s v=" NARIÑO"/>
    <s v="1"/>
    <s v="N/A"/>
    <n v="0"/>
    <n v="756646.46359199996"/>
    <n v="1095642.9863399998"/>
    <m/>
    <m/>
    <n v="1001888.249933"/>
    <n v="97706.16294699999"/>
    <n v="275382.14987999998"/>
    <n v="151995.07492899999"/>
    <n v="0"/>
    <n v="37643.559714999981"/>
    <n v="186779.04984699999"/>
    <n v="0"/>
    <n v="2909535.9600492101"/>
    <n v="1872202.18830317"/>
    <n v="0.582111213543692"/>
    <n v="55"/>
    <n v="243880.511906"/>
    <n v="200224.188471"/>
    <n v="934612.35167400003"/>
    <n v="840373.27021700004"/>
    <m/>
    <m/>
    <m/>
    <m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  <n v="39.95960805769748"/>
    <s v="1. Deterioro (&lt;40)"/>
  </r>
  <r>
    <s v="54"/>
    <s v="54000"/>
    <x v="0"/>
    <s v=" NORTE DE SANTANDER"/>
    <s v="2"/>
    <s v="N/A"/>
    <n v="0"/>
    <n v="566539.49374800001"/>
    <n v="890398.54063000006"/>
    <m/>
    <m/>
    <n v="869851.88189800002"/>
    <n v="173927.94392300001"/>
    <n v="261448.72087599998"/>
    <n v="141559.80219799996"/>
    <n v="8066.8577070000001"/>
    <n v="29858.984903000062"/>
    <n v="89894.795478999993"/>
    <n v="0"/>
    <n v="2312368.0840334799"/>
    <n v="1566736.1440166398"/>
    <n v="0.38609805823879106"/>
    <n v="60"/>
    <n v="260577.63392200001"/>
    <n v="240879.52262762"/>
    <n v="740650.63704846974"/>
    <n v="701367.59100686992"/>
    <m/>
    <m/>
    <m/>
    <m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  <n v="63.014608726090536"/>
    <s v="3. Vulnerable (&gt;=60 y &lt;70)"/>
  </r>
  <r>
    <s v="86"/>
    <s v="86000"/>
    <x v="0"/>
    <s v=" PUTUMAYO"/>
    <s v="4"/>
    <s v="N/A"/>
    <n v="0"/>
    <n v="338612.71387500002"/>
    <n v="455805.53979499999"/>
    <m/>
    <m/>
    <n v="478255.53993299999"/>
    <n v="79774.325607000006"/>
    <n v="85042.273524999997"/>
    <n v="32864.207079999993"/>
    <n v="0"/>
    <n v="2644.798982999986"/>
    <n v="56764.36"/>
    <n v="0"/>
    <n v="1439639.68213533"/>
    <n v="409930.90668413002"/>
    <n v="0.59613483149630442"/>
    <n v="70"/>
    <n v="49981.353394429992"/>
    <n v="54812.265347630004"/>
    <n v="400982.67436296993"/>
    <n v="343674.06447849999"/>
    <m/>
    <m/>
    <m/>
    <m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  <n v="54.034752283540165"/>
    <s v="2. Riesgo (&gt;=40 y &lt;60)"/>
  </r>
  <r>
    <s v="63"/>
    <s v="63000"/>
    <x v="0"/>
    <s v=" QUINDIO"/>
    <s v="3"/>
    <s v="N/A"/>
    <n v="0"/>
    <n v="187122.14556400001"/>
    <n v="338837.17063800001"/>
    <m/>
    <m/>
    <n v="250206.95155299999"/>
    <n v="18397.167957000001"/>
    <n v="139493.730503"/>
    <n v="49778.321547"/>
    <n v="864.33332499999995"/>
    <n v="14790.701690000016"/>
    <n v="39765.666732999998"/>
    <n v="0"/>
    <n v="1331899.90950634"/>
    <n v="944653.10955903004"/>
    <n v="0.48391270433525868"/>
    <n v="70"/>
    <n v="148755.03251300001"/>
    <n v="112182.44490421"/>
    <n v="234331.05999179999"/>
    <n v="231838.15665761995"/>
    <m/>
    <m/>
    <m/>
    <m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  <n v="47.698702968366817"/>
    <s v="2. Riesgo (&gt;=40 y &lt;60)"/>
  </r>
  <r>
    <s v="66"/>
    <s v="66000"/>
    <x v="0"/>
    <s v=" RISARALDA"/>
    <s v="2"/>
    <s v="N/A"/>
    <n v="0"/>
    <n v="216383.15373399999"/>
    <n v="487018.19393000007"/>
    <m/>
    <m/>
    <n v="479900.47848399996"/>
    <n v="114125.61822400001"/>
    <n v="230482.61197800006"/>
    <n v="111157.78105000006"/>
    <n v="2162.1927249999999"/>
    <n v="17583.184501000098"/>
    <n v="72991.799161000003"/>
    <n v="0"/>
    <n v="2371953.4851509999"/>
    <n v="920343.820159"/>
    <n v="0.39382462497839482"/>
    <n v="60"/>
    <n v="245150.95673000001"/>
    <n v="207134.44722999999"/>
    <n v="350110.17850099999"/>
    <n v="337286.38093599997"/>
    <m/>
    <m/>
    <m/>
    <m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  <n v="68.351578140937121"/>
    <s v="3. Vulnerable (&gt;=60 y &lt;70)"/>
  </r>
  <r>
    <s v="88"/>
    <s v="88000"/>
    <x v="0"/>
    <s v="SAN ANDRÉS"/>
    <s v="3"/>
    <s v="N/A"/>
    <n v="0"/>
    <n v="58123.463732999997"/>
    <n v="335416.83405"/>
    <m/>
    <m/>
    <n v="190186.46202200002"/>
    <n v="23034.527378999999"/>
    <n v="188497.18811300001"/>
    <n v="36074.162771000003"/>
    <n v="0"/>
    <n v="9017.7205709999544"/>
    <n v="174201.57258599999"/>
    <n v="0"/>
    <n v="1495340.2385750301"/>
    <n v="346387.66401549999"/>
    <n v="0.64900471999163301"/>
    <n v="70"/>
    <n v="179595.28959999999"/>
    <n v="76338.491081999993"/>
    <n v="173976.08813700001"/>
    <n v="137657.619828"/>
    <m/>
    <m/>
    <m/>
    <m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  <n v="38.857279272800881"/>
    <s v="1. Deterioro (&lt;40)"/>
  </r>
  <r>
    <s v="68"/>
    <s v="68000"/>
    <x v="0"/>
    <s v=" SANTANDER"/>
    <s v="1"/>
    <s v="N/A"/>
    <n v="0"/>
    <n v="709121.95640000002"/>
    <n v="1324654.178688"/>
    <m/>
    <m/>
    <n v="1069481.365798"/>
    <n v="211246.996655"/>
    <n v="527660.78804499994"/>
    <n v="175878.63406299992"/>
    <n v="6419.5406620000003"/>
    <n v="-68555.57795600011"/>
    <n v="264929.48184999998"/>
    <n v="0"/>
    <n v="6123002.0014306903"/>
    <n v="3993245.8073587404"/>
    <n v="0.46877286476132218"/>
    <n v="55"/>
    <n v="546942.9922637"/>
    <n v="459509.69311829004"/>
    <n v="1041427.6026574498"/>
    <n v="884132.57800323993"/>
    <m/>
    <m/>
    <m/>
    <m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  <n v="47.508048714852137"/>
    <s v="2. Riesgo (&gt;=40 y &lt;60)"/>
  </r>
  <r>
    <s v="70"/>
    <s v="70000"/>
    <x v="0"/>
    <s v=" SUCRE"/>
    <s v="3"/>
    <s v="N/A"/>
    <n v="0"/>
    <n v="595221.41052100004"/>
    <n v="782215.92260300007"/>
    <m/>
    <m/>
    <n v="870104.29049499996"/>
    <n v="284341.316291"/>
    <n v="105144.66100800001"/>
    <n v="47438.267169000006"/>
    <n v="0"/>
    <n v="39604.238794000004"/>
    <n v="99140.043518000006"/>
    <n v="0"/>
    <n v="1440859.79971439"/>
    <n v="442699.68105716998"/>
    <n v="0.75465378107201009"/>
    <n v="70"/>
    <n v="126926.62852300001"/>
    <n v="104411.720457"/>
    <n v="684905.28997000004"/>
    <n v="668440.10274400003"/>
    <m/>
    <m/>
    <m/>
    <m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  <n v="60.508968436902947"/>
    <s v="3. Vulnerable (&gt;=60 y &lt;70)"/>
  </r>
  <r>
    <s v="73"/>
    <s v="73000"/>
    <x v="0"/>
    <s v=" TOLIMA"/>
    <s v="2"/>
    <s v="N/A"/>
    <n v="0"/>
    <n v="661063.71440299996"/>
    <n v="1090749.046169"/>
    <m/>
    <m/>
    <n v="952539.47547599999"/>
    <n v="210149.00664199999"/>
    <n v="264258.95436600002"/>
    <n v="98140.442016000015"/>
    <n v="479.25375000000003"/>
    <n v="69826.509204000002"/>
    <n v="68108.638932999995"/>
    <n v="0"/>
    <n v="2143643.397508"/>
    <n v="1735599.659467"/>
    <n v="0.32039232771794712"/>
    <n v="60"/>
    <n v="286914.58299999998"/>
    <n v="233234.11642807996"/>
    <n v="854804.02461303968"/>
    <n v="793630.46288964979"/>
    <m/>
    <m/>
    <m/>
    <m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  <n v="58.122281149187231"/>
    <s v="2. Riesgo (&gt;=40 y &lt;60)"/>
  </r>
  <r>
    <s v="76"/>
    <s v="76000"/>
    <x v="0"/>
    <s v=" VALLE DEL CAUCA"/>
    <s v="ESPECIAL"/>
    <s v="N/A"/>
    <n v="0"/>
    <n v="801933.00294200005"/>
    <n v="2376427.5186029999"/>
    <m/>
    <m/>
    <n v="1844386.9018139997"/>
    <n v="449118.76698199997"/>
    <n v="1200166.2014500001"/>
    <n v="780147.7692770001"/>
    <n v="12528.06885"/>
    <n v="130959.80646899994"/>
    <n v="345189.47594899999"/>
    <n v="39053.721640000003"/>
    <n v="6951931.8646999998"/>
    <n v="5406010.7802100005"/>
    <n v="0.38479524477315413"/>
    <n v="50"/>
    <n v="1238478.9450089999"/>
    <n v="1095325.2689110001"/>
    <n v="1824772.779961"/>
    <n v="1694691.986214"/>
    <m/>
    <m/>
    <m/>
    <m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  <n v="63.404561137728138"/>
    <s v="3. Vulnerable (&gt;=60 y &lt;70)"/>
  </r>
  <r>
    <s v="97"/>
    <s v="97000"/>
    <x v="0"/>
    <s v=" VAUPES"/>
    <s v="4"/>
    <s v="N/A"/>
    <n v="0"/>
    <n v="81044.919661000007"/>
    <n v="123076.37778100002"/>
    <m/>
    <m/>
    <n v="194037.12340300001"/>
    <n v="101439.905994"/>
    <n v="36135.284913000003"/>
    <n v="19748.181658000001"/>
    <n v="0"/>
    <n v="28186.638705999998"/>
    <n v="30331.152119999999"/>
    <n v="0"/>
    <n v="580941.3459033299"/>
    <n v="58513.208935339993"/>
    <n v="0.42714140172301496"/>
    <n v="70"/>
    <n v="5910.0770599999996"/>
    <n v="11547.125066000001"/>
    <n v="78469.145688999997"/>
    <n v="66704.330625999995"/>
    <m/>
    <m/>
    <m/>
    <m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  <n v="55.908880672398453"/>
    <s v="2. Riesgo (&gt;=40 y &lt;60)"/>
  </r>
  <r>
    <s v="99"/>
    <s v="99000"/>
    <x v="0"/>
    <s v=" VICHADA"/>
    <s v="4"/>
    <s v="N/A"/>
    <n v="0"/>
    <n v="81388.049786999996"/>
    <n v="134318.118888"/>
    <m/>
    <m/>
    <n v="98588.905532000004"/>
    <n v="6668.1085739999999"/>
    <n v="38976.034129"/>
    <n v="20187.909470999999"/>
    <n v="0"/>
    <n v="22095.389936999985"/>
    <n v="19418.080136"/>
    <n v="0"/>
    <n v="558510.07537600002"/>
    <n v="138505.00026100001"/>
    <n v="0.39687618062935293"/>
    <n v="70"/>
    <n v="15711.788"/>
    <n v="12718.48170423"/>
    <n v="93434.604292350006"/>
    <n v="84156.781821830009"/>
    <m/>
    <m/>
    <m/>
    <m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  <n v="47.160425682469537"/>
    <s v="2. Riesgo (&gt;=40 y &lt;60)"/>
  </r>
  <r>
    <s v="05"/>
    <s v="05000"/>
    <x v="1"/>
    <s v="ANTIOQUIA"/>
    <s v="ESP"/>
    <s v="N/A"/>
    <n v="0"/>
    <n v="1709401.2830000001"/>
    <n v="4592679.4110000003"/>
    <n v="1559056.101"/>
    <n v="926098.66299999994"/>
    <n v="3635276.6460159998"/>
    <n v="1041270.6330000001"/>
    <n v="2496946.9780000001"/>
    <n v="1552525.4240000001"/>
    <n v="87868.123999999996"/>
    <n v="52088.412000000477"/>
    <n v="457101.00599999999"/>
    <n v="0"/>
    <n v="13610541.498312"/>
    <n v="10408840.132896001"/>
    <n v="20.377259040043448"/>
    <n v="50"/>
    <n v="1398513.6009519999"/>
    <n v="1664061.5847759999"/>
    <n v="3596155.6391790002"/>
    <n v="3227210.3036949998"/>
    <n v="1709401.2830000001"/>
    <n v="4592679.4110000003"/>
    <n v="597057.54200000048"/>
    <n v="4592679.4110000003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  <n v="67.021451072467954"/>
    <s v="3. Vulnerable (&gt;=60 y &lt;70)"/>
  </r>
  <r>
    <s v="08"/>
    <s v="08000"/>
    <x v="1"/>
    <s v="ATLANTICO"/>
    <n v="1"/>
    <s v="N/A"/>
    <n v="1147.6300000000001"/>
    <n v="461663.31899999996"/>
    <n v="1271528.996"/>
    <n v="555954.07499999995"/>
    <n v="236938.87299999999"/>
    <n v="1407695.5684249999"/>
    <n v="450142.11042500002"/>
    <n v="795112.88"/>
    <n v="570037.55000000005"/>
    <n v="13174.616"/>
    <n v="-334165.3870000001"/>
    <n v="157956.807"/>
    <n v="0"/>
    <n v="4367073.4697419703"/>
    <n v="1892702.92174145"/>
    <n v="36.067361435706957"/>
    <n v="55.000000000000007"/>
    <n v="581213.35631800001"/>
    <n v="710424.65544799995"/>
    <n v="1388506.195082"/>
    <n v="1027325.556963"/>
    <n v="462810.94899999996"/>
    <n v="1271528.996"/>
    <n v="-163033.96400000012"/>
    <n v="1271528.996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  <n v="75.965847648560668"/>
    <s v="4. Solvente (&gt;=70 y &lt;80)"/>
  </r>
  <r>
    <s v="13"/>
    <s v="13000"/>
    <x v="1"/>
    <s v="BOLIVAR"/>
    <n v="1"/>
    <s v="N/A"/>
    <n v="0"/>
    <n v="882892.19"/>
    <n v="1447648.2719999999"/>
    <n v="333637.21100000001"/>
    <n v="91039.894"/>
    <n v="1802694.5998940002"/>
    <n v="466368.63399999996"/>
    <n v="424677.10499999998"/>
    <n v="152641.75699999998"/>
    <n v="17592.559000000001"/>
    <n v="-170245.82799999998"/>
    <n v="62363.190999999999"/>
    <n v="0"/>
    <n v="4100619.4388272204"/>
    <n v="2610867.4273052597"/>
    <n v="49.834133477079533"/>
    <n v="55.000000000000007"/>
    <n v="268329.24463700003"/>
    <n v="347103.26202099997"/>
    <n v="1274823.122064"/>
    <n v="985274.23757799994"/>
    <n v="882892.19"/>
    <n v="1447648.2719999999"/>
    <n v="-90290.07799999998"/>
    <n v="1447648.2719999999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  <n v="56.849877568087607"/>
    <s v="2. Riesgo (&gt;=40 y &lt;60)"/>
  </r>
  <r>
    <s v="15"/>
    <s v="15000"/>
    <x v="1"/>
    <s v="BOYACÁ"/>
    <n v="1"/>
    <s v="N/A"/>
    <n v="9611.8389999999999"/>
    <n v="769485.47700000007"/>
    <n v="1217399.05"/>
    <n v="353477.13900000002"/>
    <n v="27468.102999999999"/>
    <n v="1085275.851062"/>
    <n v="153644.22700000001"/>
    <n v="392522.88700000005"/>
    <n v="224398.69100000005"/>
    <n v="5995.2690000000002"/>
    <n v="-7153.9679999998771"/>
    <n v="174000.791"/>
    <n v="0"/>
    <n v="4446077.2464549998"/>
    <n v="2968031.7643189998"/>
    <n v="40.66685409908078"/>
    <n v="55.000000000000007"/>
    <n v="307549.51351100003"/>
    <n v="358089.458086"/>
    <n v="1056933.2510520001"/>
    <n v="941109.47692799999"/>
    <n v="779097.31600000011"/>
    <n v="1217399.05"/>
    <n v="172842.09200000012"/>
    <n v="1217399.05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  <n v="57.508622733549423"/>
    <s v="2. Riesgo (&gt;=40 y &lt;60)"/>
  </r>
  <r>
    <s v="17"/>
    <s v="17000"/>
    <x v="1"/>
    <s v="CALDAS"/>
    <n v="2"/>
    <s v="N/A"/>
    <n v="3519.482"/>
    <n v="380461.48599999998"/>
    <n v="821791.06400000001"/>
    <n v="261305.258"/>
    <n v="37630.343000000001"/>
    <n v="701091.14795199991"/>
    <n v="172047.09995199999"/>
    <n v="305201.83600000001"/>
    <n v="167742.99299999999"/>
    <n v="2312.3440000000001"/>
    <n v="926.50800000003073"/>
    <n v="96826.956999999995"/>
    <n v="0"/>
    <n v="3109285.7673209999"/>
    <n v="1888736.4966210001"/>
    <n v="44.140619056275021"/>
    <n v="60"/>
    <n v="234928.10247899999"/>
    <n v="286278.31102899997"/>
    <n v="683405.71311300003"/>
    <n v="669919.91699499998"/>
    <n v="383980.96799999999"/>
    <n v="821791.06400000001"/>
    <n v="100065.80900000002"/>
    <n v="821791.0640000000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  <n v="63.593460729914398"/>
    <s v="3. Vulnerable (&gt;=60 y &lt;70)"/>
  </r>
  <r>
    <s v="18"/>
    <s v="18000"/>
    <x v="1"/>
    <s v="CAQUETA"/>
    <n v="4"/>
    <s v="N/A"/>
    <n v="3113.48"/>
    <n v="264830.68"/>
    <n v="367026.60800000001"/>
    <n v="64565.973000000005"/>
    <n v="21189.221000000001"/>
    <n v="361018.84820499999"/>
    <n v="27255.903055000002"/>
    <n v="89556.649000000005"/>
    <n v="40655.760999999999"/>
    <n v="51.527000000000001"/>
    <n v="4708.76800000004"/>
    <n v="60034.999000000003"/>
    <n v="0"/>
    <n v="1473933.3616869999"/>
    <n v="757411.93328400003"/>
    <n v="57.637590380653258"/>
    <n v="70"/>
    <n v="59263.258520000003"/>
    <n v="66806.191844000001"/>
    <n v="313447.81499799999"/>
    <n v="281128.199188"/>
    <n v="267944.15999999997"/>
    <n v="367026.60800000001"/>
    <n v="64795.294000000045"/>
    <n v="367026.6080000000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  <n v="48.242112877432511"/>
    <s v="2. Riesgo (&gt;=40 y &lt;60)"/>
  </r>
  <r>
    <s v="19"/>
    <s v="19000"/>
    <x v="1"/>
    <s v="CAUCA"/>
    <n v="3"/>
    <s v="N/A"/>
    <n v="0"/>
    <n v="1088713.8159999999"/>
    <n v="1394677.0459999999"/>
    <n v="135031.476"/>
    <n v="105602.66"/>
    <n v="1266578.9694400001"/>
    <n v="69160.597000000009"/>
    <n v="241487.06200000001"/>
    <n v="138207.12500000003"/>
    <n v="45.290999999999997"/>
    <n v="67443.680999999866"/>
    <n v="218383.46299999999"/>
    <n v="0"/>
    <n v="3279299.1611040002"/>
    <n v="1351266.651486"/>
    <n v="28.191374367510353"/>
    <n v="70"/>
    <n v="107253.130603"/>
    <n v="141658.62946500001"/>
    <n v="1221691.7315179999"/>
    <n v="1192998.3940870001"/>
    <n v="1088713.8159999999"/>
    <n v="1394677.0459999999"/>
    <n v="285872.43499999982"/>
    <n v="1394677.0459999999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  <n v="51.612100493011042"/>
    <s v="2. Riesgo (&gt;=40 y &lt;60)"/>
  </r>
  <r>
    <s v="20"/>
    <s v="20000"/>
    <x v="1"/>
    <s v="CESAR"/>
    <n v="2"/>
    <s v="N/A"/>
    <n v="295.87400000000002"/>
    <n v="669840.929"/>
    <n v="884970.554"/>
    <n v="145592.38299999997"/>
    <n v="42925.482000000004"/>
    <n v="933865.88940900005"/>
    <n v="302570.76826600003"/>
    <n v="189588.44699999999"/>
    <n v="103001.70999999998"/>
    <n v="1158.1320000000001"/>
    <n v="73075.476000000024"/>
    <n v="89241.324999999997"/>
    <n v="0"/>
    <n v="2544924.47834806"/>
    <n v="600163.80057234992"/>
    <n v="31.605596742907053"/>
    <n v="60"/>
    <n v="128384.815682"/>
    <n v="148495.29013000001"/>
    <n v="733304.70518599998"/>
    <n v="667645.42780800001"/>
    <n v="670136.80299999996"/>
    <n v="884970.554"/>
    <n v="163474.93300000002"/>
    <n v="884970.554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  <n v="68.377552000934728"/>
    <s v="3. Vulnerable (&gt;=60 y &lt;70)"/>
  </r>
  <r>
    <s v="23"/>
    <s v="23000"/>
    <x v="1"/>
    <s v="CORDOBA"/>
    <n v="2"/>
    <s v="N/A"/>
    <n v="2519.2620000000002"/>
    <n v="933148.47599999991"/>
    <n v="1219001.24"/>
    <n v="247624.878"/>
    <n v="8449.0810000000001"/>
    <n v="1254063.529441"/>
    <n v="247356.26832099998"/>
    <n v="259226.22"/>
    <n v="134195.11900000001"/>
    <n v="3009.9160000000002"/>
    <n v="-28868.820999999996"/>
    <n v="222555.17499999999"/>
    <n v="0"/>
    <n v="2586901.2414681897"/>
    <n v="2442794.8657883299"/>
    <n v="52.708362595786042"/>
    <n v="60"/>
    <n v="203704.50381900001"/>
    <n v="248252.299871"/>
    <n v="1123161.673092"/>
    <n v="1040058.443121"/>
    <n v="935667.7379999999"/>
    <n v="1219001.24"/>
    <n v="196696.27"/>
    <n v="1219001.24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  <n v="45.369880949041338"/>
    <s v="2. Riesgo (&gt;=40 y &lt;60)"/>
  </r>
  <r>
    <s v="25"/>
    <s v="25000"/>
    <x v="1"/>
    <s v="CUNDINAMARCA"/>
    <s v="ESP"/>
    <s v="N/A"/>
    <n v="0"/>
    <n v="1063021.0719999999"/>
    <n v="3006770.165"/>
    <n v="1591154.0919999999"/>
    <n v="285929.67199999996"/>
    <n v="2555574.7216389999"/>
    <n v="868879.14533099998"/>
    <n v="1878226.639"/>
    <n v="1367829.8530000001"/>
    <n v="27225.511999999999"/>
    <n v="-11860.236000000034"/>
    <n v="221617.26500000001"/>
    <n v="0"/>
    <n v="8565831.9599910006"/>
    <n v="6845744.8831230002"/>
    <n v="44.810485902071065"/>
    <n v="50"/>
    <n v="1339934.4525210001"/>
    <n v="1648897.5700020001"/>
    <n v="2519958.519266"/>
    <n v="2293416.860686"/>
    <n v="1063021.0719999999"/>
    <n v="3006770.165"/>
    <n v="236982.54099999997"/>
    <n v="3006770.165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  <n v="71.648254076249856"/>
    <s v="4. Solvente (&gt;=70 y &lt;80)"/>
  </r>
  <r>
    <s v="27"/>
    <s v="27000"/>
    <x v="1"/>
    <s v="CHOCO"/>
    <n v="4"/>
    <s v="N/A"/>
    <n v="10704.741"/>
    <n v="439380.97200000001"/>
    <n v="610313.68799999997"/>
    <n v="88527.983000000007"/>
    <n v="5528.9639999999999"/>
    <n v="592240.361424"/>
    <n v="104864.498865"/>
    <n v="104761.68800000001"/>
    <n v="27159.145999999993"/>
    <n v="2196.7139999999999"/>
    <n v="9040.841999999946"/>
    <n v="37725.678999999996"/>
    <n v="0"/>
    <n v="1760769.7670730602"/>
    <n v="610449.77051771001"/>
    <n v="67.478799311568636"/>
    <n v="70"/>
    <n v="78702.280257999999"/>
    <n v="88963.380858999997"/>
    <n v="486457.384234"/>
    <n v="429829.17858100001"/>
    <n v="450085.71299999999"/>
    <n v="610313.68799999997"/>
    <n v="48963.234999999942"/>
    <n v="610313.68799999997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  <n v="52.128463550265096"/>
    <s v="2. Riesgo (&gt;=40 y &lt;60)"/>
  </r>
  <r>
    <s v="41"/>
    <s v="41000"/>
    <x v="1"/>
    <s v="HUILA"/>
    <n v="2"/>
    <s v="N/A"/>
    <n v="15539.933999999999"/>
    <n v="565745.56000000006"/>
    <n v="899003.31500000006"/>
    <n v="197440.63"/>
    <n v="66040.289999999994"/>
    <n v="866397.77479599998"/>
    <n v="158134.223165"/>
    <n v="280924.82799999998"/>
    <n v="175415.86699999997"/>
    <n v="2380.9549999999999"/>
    <n v="106855.52899999998"/>
    <n v="92324.804999999993"/>
    <n v="0"/>
    <n v="2680386.9332253998"/>
    <n v="1552854.1150158301"/>
    <n v="30.687034228382153"/>
    <n v="60"/>
    <n v="135635.04224000001"/>
    <n v="198585.96017000001"/>
    <n v="690292.83153900004"/>
    <n v="622465.52866199997"/>
    <n v="581285.49400000006"/>
    <n v="899003.31500000006"/>
    <n v="201561.28899999999"/>
    <n v="899003.31500000006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  <n v="54.065159520126599"/>
    <s v="2. Riesgo (&gt;=40 y &lt;60)"/>
  </r>
  <r>
    <s v="44"/>
    <s v="44000"/>
    <x v="1"/>
    <s v="LA_GUAJIRA"/>
    <n v="4"/>
    <s v="N/A"/>
    <n v="581.46299999999997"/>
    <n v="460648.5039999999"/>
    <n v="625831.94299999997"/>
    <n v="116246.29699999999"/>
    <n v="3295.04"/>
    <n v="525421.18400000001"/>
    <n v="56307.485000000001"/>
    <n v="120122.79999999999"/>
    <n v="66774.037999999986"/>
    <n v="0"/>
    <n v="47061.996999999974"/>
    <n v="77759.767999999996"/>
    <n v="0"/>
    <n v="1849307.5297123501"/>
    <n v="763676.87493346992"/>
    <n v="34.03136278973772"/>
    <n v="70"/>
    <n v="74062.032865999994"/>
    <n v="117200.23901200001"/>
    <n v="526806.20623000001"/>
    <n v="474406.41069300001"/>
    <n v="461229.96699999989"/>
    <n v="625831.94299999997"/>
    <n v="124821.76499999997"/>
    <n v="625831.94299999997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  <n v="50.112734745348355"/>
    <s v="2. Riesgo (&gt;=40 y &lt;60)"/>
  </r>
  <r>
    <s v="47"/>
    <s v="47000"/>
    <x v="1"/>
    <s v="MAGDALENA"/>
    <n v="2"/>
    <s v="N/A"/>
    <n v="9931.3330000000005"/>
    <n v="673568.46"/>
    <n v="1105602.209"/>
    <n v="232386.77399999998"/>
    <n v="140929.54"/>
    <n v="851340.00199999998"/>
    <n v="176253.14499999999"/>
    <n v="383939.60000000003"/>
    <n v="214768.93600000005"/>
    <n v="2178.1149999999998"/>
    <n v="85091.543000000063"/>
    <n v="198186.02600000001"/>
    <n v="0"/>
    <n v="2210930.3720315602"/>
    <n v="1025792.7074581999"/>
    <n v="46.771648740936314"/>
    <n v="60"/>
    <n v="345282.92687700002"/>
    <n v="363625.97706800001"/>
    <n v="842212.17716299999"/>
    <n v="793135.45005600003"/>
    <n v="683499.79299999995"/>
    <n v="1105602.209"/>
    <n v="285455.68400000007"/>
    <n v="1105602.209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  <n v="58.026375816822082"/>
    <s v="2. Riesgo (&gt;=40 y &lt;60)"/>
  </r>
  <r>
    <s v="50"/>
    <s v="50000"/>
    <x v="1"/>
    <s v="META"/>
    <n v="1"/>
    <s v="N/A"/>
    <n v="1469.4960000000001"/>
    <n v="406290.05000000005"/>
    <n v="789069.40099999995"/>
    <n v="309258.15299999993"/>
    <n v="16453.125"/>
    <n v="618556.73"/>
    <n v="142162.821"/>
    <n v="332004.40899999993"/>
    <n v="186371.32399999991"/>
    <n v="8380.1790000000001"/>
    <n v="24879.58600000001"/>
    <n v="182495.11900000001"/>
    <n v="0"/>
    <n v="8151185.7173680002"/>
    <n v="1500266.4689730001"/>
    <n v="41.465562160010769"/>
    <n v="55.000000000000007"/>
    <n v="225554.81046499999"/>
    <n v="311967.03343100002"/>
    <n v="615161.18961700005"/>
    <n v="533139.54411400005"/>
    <n v="407759.54600000003"/>
    <n v="789069.40099999995"/>
    <n v="215754.88400000002"/>
    <n v="789069.40099999995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  <n v="63.346520051345749"/>
    <s v="3. Vulnerable (&gt;=60 y &lt;70)"/>
  </r>
  <r>
    <s v="52"/>
    <s v="52000"/>
    <x v="1"/>
    <s v="NARIÑO"/>
    <n v="1"/>
    <s v="N/A"/>
    <n v="229.60900000000001"/>
    <n v="798517.14399999985"/>
    <n v="1246873.0529999998"/>
    <n v="225865.05099999998"/>
    <n v="95343.696999999986"/>
    <n v="1087168.5599409998"/>
    <n v="197979.32070099999"/>
    <n v="322152.64699999994"/>
    <n v="191276.23999999993"/>
    <n v="0"/>
    <n v="101196.64899999998"/>
    <n v="175120.20499999999"/>
    <n v="0"/>
    <n v="3275623.10162109"/>
    <n v="2009304.9739025"/>
    <n v="33.426677924166611"/>
    <n v="55.000000000000007"/>
    <n v="122468.089301"/>
    <n v="163754.35043200001"/>
    <n v="1013771.780717"/>
    <n v="898978.21502799995"/>
    <n v="798746.75299999991"/>
    <n v="1246873.0529999998"/>
    <n v="276316.85399999993"/>
    <n v="1246873.0529999998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  <n v="52.548688707040263"/>
    <s v="2. Riesgo (&gt;=40 y &lt;60)"/>
  </r>
  <r>
    <s v="54"/>
    <s v="54000"/>
    <x v="1"/>
    <s v="NORTE_DE_SANTANDER"/>
    <n v="2"/>
    <s v="N/A"/>
    <n v="0"/>
    <n v="768307.95600000001"/>
    <n v="1120634.862"/>
    <n v="273737.95399999997"/>
    <n v="43139.614999999998"/>
    <n v="1330734.3631520001"/>
    <n v="223964.14199999999"/>
    <n v="318269.93699999998"/>
    <n v="186914.66199999995"/>
    <n v="6280.0640000000003"/>
    <n v="-17286.08200000017"/>
    <n v="130985.663"/>
    <n v="0"/>
    <n v="2500756.8452041298"/>
    <n v="1766594.6538104399"/>
    <n v="28.514562165730045"/>
    <n v="60"/>
    <n v="216662.97361399999"/>
    <n v="247291.909453"/>
    <n v="825168.83210300002"/>
    <n v="664118.78174100001"/>
    <n v="768307.95600000001"/>
    <n v="1120634.862"/>
    <n v="119979.64499999983"/>
    <n v="1120634.862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  <n v="57.772156887655584"/>
    <s v="2. Riesgo (&gt;=40 y &lt;60)"/>
  </r>
  <r>
    <s v="63"/>
    <s v="63000"/>
    <x v="1"/>
    <s v="QUINDIO"/>
    <n v="3"/>
    <s v="N/A"/>
    <n v="1411.366"/>
    <n v="208006.08899999998"/>
    <n v="400596.79"/>
    <n v="139838.891"/>
    <n v="40305.690999999999"/>
    <n v="284857.15756999998"/>
    <n v="31289.25661"/>
    <n v="182549.364"/>
    <n v="86366.70699999998"/>
    <n v="2655.99"/>
    <n v="21272.822999999975"/>
    <n v="46789.593000000001"/>
    <n v="0"/>
    <n v="1346328.2390123601"/>
    <n v="775789.47279531998"/>
    <n v="52.1457714458233"/>
    <n v="70"/>
    <n v="131344.59449600001"/>
    <n v="146897.12486400001"/>
    <n v="286065.23936200002"/>
    <n v="285435.94224399998"/>
    <n v="209417.45499999999"/>
    <n v="400596.79"/>
    <n v="70718.405999999974"/>
    <n v="400596.79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  <n v="61.468330179307671"/>
    <s v="3. Vulnerable (&gt;=60 y &lt;70)"/>
  </r>
  <r>
    <s v="66"/>
    <s v="66000"/>
    <x v="1"/>
    <s v="RISARALDA"/>
    <n v="2"/>
    <s v="N/A"/>
    <n v="0"/>
    <n v="249440.91699999999"/>
    <n v="582559.92200000002"/>
    <n v="209804.72600000002"/>
    <n v="82658.166000000012"/>
    <n v="477374.44612199999"/>
    <n v="60866.297000000006"/>
    <n v="292778.16200000007"/>
    <n v="192484.25100000005"/>
    <n v="1357.6859999999999"/>
    <n v="42815.082000000053"/>
    <n v="87820.456000000006"/>
    <n v="0"/>
    <n v="2417970.5466840002"/>
    <n v="1016066.001316"/>
    <n v="35.08552204243265"/>
    <n v="60"/>
    <n v="153351"/>
    <n v="246795.14448700001"/>
    <n v="440204.95085700002"/>
    <n v="411255.18237499997"/>
    <n v="249440.91699999999"/>
    <n v="582559.92200000002"/>
    <n v="131993.22400000005"/>
    <n v="582559.92200000002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  <n v="57.255454440138315"/>
    <s v="2. Riesgo (&gt;=40 y &lt;60)"/>
  </r>
  <r>
    <s v="68"/>
    <s v="68000"/>
    <x v="1"/>
    <s v="SANTANDER"/>
    <n v="1"/>
    <s v="N/A"/>
    <n v="0"/>
    <n v="783482.70700000005"/>
    <n v="1644599.0279999999"/>
    <n v="595735.01"/>
    <n v="45534.195"/>
    <n v="1636662.003951"/>
    <n v="553673.77966100001"/>
    <n v="644114.56699999992"/>
    <n v="303483.37099999993"/>
    <n v="20459.276999999998"/>
    <n v="-90529.967000000179"/>
    <n v="291452.31699999998"/>
    <n v="0"/>
    <n v="5823434.5536785899"/>
    <n v="5281189.8542640805"/>
    <n v="43.365976393781622"/>
    <n v="55.000000000000007"/>
    <n v="390766.88153200003"/>
    <n v="654863.10763300001"/>
    <n v="1380994.0904409999"/>
    <n v="1086477.0220290001"/>
    <n v="783482.70700000005"/>
    <n v="1644599.0279999999"/>
    <n v="221381.6269999998"/>
    <n v="1644599.0279999999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  <n v="56.797822593655226"/>
    <s v="2. Riesgo (&gt;=40 y &lt;60)"/>
  </r>
  <r>
    <s v="70"/>
    <s v="70000"/>
    <x v="1"/>
    <s v="SUCRE"/>
    <n v="3"/>
    <s v="N/A"/>
    <n v="2539.5500000000002"/>
    <n v="615305.37599999993"/>
    <n v="767668.16799999983"/>
    <n v="141086.42300000001"/>
    <n v="6956.6570000000002"/>
    <n v="771527.24511299981"/>
    <n v="125718.465"/>
    <n v="151433.67800000001"/>
    <n v="85922.378000000026"/>
    <n v="0"/>
    <n v="-56269.44299999997"/>
    <n v="109365.353"/>
    <n v="0"/>
    <n v="1601639.98055141"/>
    <n v="531411.47772359999"/>
    <n v="58.990685971755873"/>
    <n v="70"/>
    <n v="128870.256176"/>
    <n v="146239.20265799999"/>
    <n v="765691.46120999998"/>
    <n v="644987.21608599997"/>
    <n v="617844.92599999998"/>
    <n v="767668.16799999983"/>
    <n v="53095.910000000033"/>
    <n v="767668.16799999983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  <n v="70.327337918984554"/>
    <s v="4. Solvente (&gt;=70 y &lt;80)"/>
  </r>
  <r>
    <s v="73"/>
    <s v="73000"/>
    <x v="1"/>
    <s v="TOLIMA"/>
    <n v="2"/>
    <s v="N/A"/>
    <n v="6069.9350000000004"/>
    <n v="707352.897"/>
    <n v="1214613.713"/>
    <n v="265402.20600000001"/>
    <n v="71410.27"/>
    <n v="1183953.765259"/>
    <n v="327042.41334699997"/>
    <n v="345099.679"/>
    <n v="179199.76800000001"/>
    <n v="72.411000000000001"/>
    <n v="-106565.35900000017"/>
    <n v="134031.32999999999"/>
    <n v="0"/>
    <n v="2705198.1548449998"/>
    <n v="1913752.1812710001"/>
    <n v="24.04709669085338"/>
    <n v="60"/>
    <n v="243664.68812499999"/>
    <n v="280580.73980500002"/>
    <n v="1155279.1609489999"/>
    <n v="938629.32175300003"/>
    <n v="713422.83200000005"/>
    <n v="1214613.713"/>
    <n v="27538.381999999809"/>
    <n v="1214613.713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  <n v="69.457535515616172"/>
    <s v="3. Vulnerable (&gt;=60 y &lt;70)"/>
  </r>
  <r>
    <s v="76"/>
    <s v="76000"/>
    <x v="1"/>
    <s v="VALLE DEL CAUCA"/>
    <s v="ESP"/>
    <s v="N/A"/>
    <n v="2761.3649999999998"/>
    <n v="739573.49499999988"/>
    <n v="2377891.5599999996"/>
    <n v="1188201.8399999999"/>
    <n v="198856.56899999999"/>
    <n v="1995706.107843"/>
    <n v="562846.93999999994"/>
    <n v="1395266.6749999998"/>
    <n v="922974.61799999978"/>
    <n v="20263.793000000001"/>
    <n v="-68237.832000000402"/>
    <n v="536196.67099999997"/>
    <n v="0"/>
    <n v="6758418.8750999998"/>
    <n v="4924028.6024820004"/>
    <n v="31.822176244662703"/>
    <n v="50"/>
    <n v="949733.58363300003"/>
    <n v="1133158.693836"/>
    <n v="1965489.9293819999"/>
    <n v="1854046.51813"/>
    <n v="742334.85999999987"/>
    <n v="2377891.5599999996"/>
    <n v="488222.63199999958"/>
    <n v="2377891.5599999996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  <n v="69.686723042599894"/>
    <s v="3. Vulnerable (&gt;=60 y &lt;70)"/>
  </r>
  <r>
    <s v="81"/>
    <s v="81000"/>
    <x v="1"/>
    <s v="ARAUCA"/>
    <n v="4"/>
    <s v="N/A"/>
    <n v="20967.723999999998"/>
    <n v="263634.24"/>
    <n v="360487.20799999998"/>
    <n v="57533.785000000003"/>
    <n v="5152.0559999999996"/>
    <n v="402008.83312100003"/>
    <n v="56488.056423999995"/>
    <n v="87867.019"/>
    <n v="37769.505000000005"/>
    <n v="0"/>
    <n v="-76600.185000000056"/>
    <n v="130674.322"/>
    <n v="0"/>
    <n v="1305639.7396416599"/>
    <n v="600434.91266186"/>
    <n v="72.41082937899364"/>
    <n v="70"/>
    <n v="34506.343055999998"/>
    <n v="51526.663135000003"/>
    <n v="352279.26472400001"/>
    <n v="316320.27284200001"/>
    <n v="284601.96399999998"/>
    <n v="360487.20799999998"/>
    <n v="54074.136999999944"/>
    <n v="360487.20799999998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  <n v="40.293189955343266"/>
    <s v="2. Riesgo (&gt;=40 y &lt;60)"/>
  </r>
  <r>
    <s v="85"/>
    <s v="85000"/>
    <x v="1"/>
    <s v="CASANARE"/>
    <n v="3"/>
    <s v="N/A"/>
    <n v="21090.57"/>
    <n v="248698.57800000001"/>
    <n v="403300.58200000005"/>
    <n v="104427.276"/>
    <n v="8661.4120000000003"/>
    <n v="614568.4219800001"/>
    <n v="37498.904999999999"/>
    <n v="135810.65"/>
    <n v="56051.055999999997"/>
    <n v="0"/>
    <n v="-13041.184999999998"/>
    <n v="88023.207999999999"/>
    <n v="0"/>
    <n v="3041468.0490214801"/>
    <n v="580186.15381703002"/>
    <n v="65.909907839454078"/>
    <n v="70"/>
    <n v="72980.234796000004"/>
    <n v="112725.543488"/>
    <n v="337341.88578299998"/>
    <n v="317379.87992699997"/>
    <n v="269789.14799999999"/>
    <n v="403300.58200000005"/>
    <n v="74982.023000000001"/>
    <n v="403300.58200000005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  <n v="46.880264994213825"/>
    <s v="2. Riesgo (&gt;=40 y &lt;60)"/>
  </r>
  <r>
    <s v="86"/>
    <s v="86000"/>
    <x v="1"/>
    <s v="PUTUMAYO"/>
    <n v="4"/>
    <s v="N/A"/>
    <n v="26011.460999999999"/>
    <n v="354674.83100000001"/>
    <n v="478436.40500000003"/>
    <n v="47513.984000000004"/>
    <n v="19523.545000000002"/>
    <n v="431104.806324"/>
    <n v="54875.114323999995"/>
    <n v="93481.967000000004"/>
    <n v="35210.130000000005"/>
    <n v="0"/>
    <n v="8901.4580000000424"/>
    <n v="55515.32"/>
    <n v="0"/>
    <n v="1561976.96025574"/>
    <n v="395230.20788305998"/>
    <n v="59.615741400164893"/>
    <n v="70"/>
    <n v="47819.821390999998"/>
    <n v="49349.334778999997"/>
    <n v="414744.27569799998"/>
    <n v="355105.912044"/>
    <n v="380686.29200000002"/>
    <n v="478436.40500000003"/>
    <n v="64416.778000000042"/>
    <n v="478436.40500000003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  <n v="53.809124642813828"/>
    <s v="2. Riesgo (&gt;=40 y &lt;60)"/>
  </r>
  <r>
    <s v="88"/>
    <s v="88000"/>
    <x v="1"/>
    <s v="ARCHIPIELAGO DE SAN ANDRES, PROVIDENCIA Y SANTA CATALINA"/>
    <n v="3"/>
    <s v="N/A"/>
    <n v="119183.045"/>
    <n v="76595.913"/>
    <n v="498562.70899999997"/>
    <n v="49905.727999999996"/>
    <n v="138995.61499999999"/>
    <n v="199549.19900000002"/>
    <n v="10983.412"/>
    <n v="308084.38799999998"/>
    <n v="118795.01799999998"/>
    <n v="0"/>
    <n v="109724.13999999996"/>
    <n v="210539.201"/>
    <n v="0"/>
    <n v="1660618.82861182"/>
    <n v="344515.3892795"/>
    <n v="58.347152083063492"/>
    <n v="70"/>
    <n v="81126.589076999997"/>
    <n v="186678.763205"/>
    <n v="169323.41753999999"/>
    <n v="139618.61489999999"/>
    <n v="195778.95799999998"/>
    <n v="498562.70899999997"/>
    <n v="320263.34099999996"/>
    <n v="498562.70899999997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  <n v="45.630413474656187"/>
    <s v="2. Riesgo (&gt;=40 y &lt;60)"/>
  </r>
  <r>
    <s v="91"/>
    <s v="91000"/>
    <x v="1"/>
    <s v="AMAZONAS"/>
    <n v="4"/>
    <s v="N/A"/>
    <n v="27288.614000000001"/>
    <n v="154378.50199999998"/>
    <n v="205065.06299999997"/>
    <n v="16150.599999999999"/>
    <n v="459.76100000000002"/>
    <n v="161164.54700000002"/>
    <n v="16823.567000000003"/>
    <n v="44758.040999999997"/>
    <n v="17344.657999999996"/>
    <n v="0"/>
    <n v="16487.132999999943"/>
    <n v="42643.307000000001"/>
    <n v="0"/>
    <n v="966283.35043999995"/>
    <n v="333122.25690400001"/>
    <n v="62.909249342439566"/>
    <n v="70"/>
    <n v="14519.956894000001"/>
    <n v="16228.395227000001"/>
    <n v="163554.07363999999"/>
    <n v="146848.42225800001"/>
    <n v="181667.11599999998"/>
    <n v="205065.06299999997"/>
    <n v="59130.439999999944"/>
    <n v="205065.06299999997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  <n v="40.962653269645386"/>
    <s v="2. Riesgo (&gt;=40 y &lt;60)"/>
  </r>
  <r>
    <s v="94"/>
    <s v="94000"/>
    <x v="1"/>
    <s v="GUAINIA"/>
    <n v="4"/>
    <s v="N/A"/>
    <n v="27156.856"/>
    <n v="120511.557"/>
    <n v="204548.73100000003"/>
    <n v="24643.221000000001"/>
    <n v="677.125"/>
    <n v="247384.38265299998"/>
    <n v="105956.75165299998"/>
    <n v="52477.202000000005"/>
    <n v="33736.965000000004"/>
    <n v="0"/>
    <n v="11215.003000000055"/>
    <n v="52312.982000000004"/>
    <n v="0"/>
    <n v="934672.21466518997"/>
    <n v="206157.69083567002"/>
    <n v="54.610036395137115"/>
    <n v="70"/>
    <n v="13621.619476"/>
    <n v="37935.542221000003"/>
    <n v="174593.490785"/>
    <n v="128623.757178"/>
    <n v="147668.413"/>
    <n v="204548.73100000003"/>
    <n v="63527.985000000059"/>
    <n v="204548.73100000003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  <n v="56.60552922786259"/>
    <s v="2. Riesgo (&gt;=40 y &lt;60)"/>
  </r>
  <r>
    <s v="95"/>
    <s v="95000"/>
    <x v="1"/>
    <s v="GUAVIARE"/>
    <n v="4"/>
    <s v="N/A"/>
    <n v="23331.414000000001"/>
    <n v="128022.166"/>
    <n v="206644.58199999999"/>
    <n v="43068.071000000004"/>
    <n v="1984.1770000000001"/>
    <n v="266111.998135"/>
    <n v="114691.26356600001"/>
    <n v="68853.489000000001"/>
    <n v="36969.695000000007"/>
    <n v="198.33600000000001"/>
    <n v="855.30300000001444"/>
    <n v="30232.170999999998"/>
    <n v="0"/>
    <n v="886694.05316799995"/>
    <n v="168959.14295400001"/>
    <n v="54.326511938009403"/>
    <n v="70"/>
    <n v="23061.394586999999"/>
    <n v="43223.486043999997"/>
    <n v="169707.49721100001"/>
    <n v="157725.149554"/>
    <n v="151353.57999999999"/>
    <n v="206644.58199999999"/>
    <n v="31285.810000000012"/>
    <n v="206644.58199999999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  <n v="63.933533767117517"/>
    <s v="3. Vulnerable (&gt;=60 y &lt;70)"/>
  </r>
  <r>
    <s v="97"/>
    <s v="97000"/>
    <x v="1"/>
    <s v="VAUPES"/>
    <n v="4"/>
    <s v="N/A"/>
    <n v="24110.710999999999"/>
    <n v="86838.692999999999"/>
    <n v="133145.973"/>
    <n v="10889.958999999999"/>
    <n v="397.72800000000001"/>
    <n v="160089.75407200001"/>
    <n v="60733.424072000002"/>
    <n v="35445.463999999993"/>
    <n v="19130.557999999994"/>
    <n v="0"/>
    <n v="6325.8349999999919"/>
    <n v="57574.599000000002"/>
    <n v="0"/>
    <n v="661217.96552553005"/>
    <n v="63687.943693000001"/>
    <n v="38.857004192895666"/>
    <n v="70"/>
    <n v="8885.189531"/>
    <n v="10940.901218999999"/>
    <n v="110527.195011"/>
    <n v="90385.050529"/>
    <n v="110949.40399999999"/>
    <n v="133145.973"/>
    <n v="63900.433999999994"/>
    <n v="133145.973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  <n v="59.076647655798382"/>
    <s v="2. Riesgo (&gt;=40 y &lt;60)"/>
  </r>
  <r>
    <s v="99"/>
    <s v="99000"/>
    <x v="1"/>
    <s v="VICHADA"/>
    <n v="4"/>
    <s v="N/A"/>
    <n v="25553.024000000001"/>
    <n v="82785.123999999996"/>
    <n v="133068.20799999998"/>
    <n v="11517.588"/>
    <n v="264.56299999999999"/>
    <n v="123019.601"/>
    <n v="18589.568999999996"/>
    <n v="37393.707000000002"/>
    <n v="15817.618000000002"/>
    <n v="182.727"/>
    <n v="-11527.482000000018"/>
    <n v="32994.565999999999"/>
    <n v="0"/>
    <n v="669778.100293"/>
    <n v="138404.87291400001"/>
    <n v="38.146327061576649"/>
    <n v="70"/>
    <n v="11790.4"/>
    <n v="9787.6997850000007"/>
    <n v="128272.993307"/>
    <n v="108084.081314"/>
    <n v="108338.148"/>
    <n v="133068.20799999998"/>
    <n v="21649.81099999998"/>
    <n v="133068.20799999998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  <n v="53.010389526023644"/>
    <s v="2. Riesgo (&gt;=40 y &lt;60)"/>
  </r>
  <r>
    <s v="08"/>
    <s v="08000"/>
    <x v="2"/>
    <s v="ATLANTICO"/>
    <n v="1"/>
    <s v="N/A"/>
    <n v="0"/>
    <n v="436053.82109300001"/>
    <n v="1569969.3571200001"/>
    <n v="674382.50961499999"/>
    <n v="281475.84954800003"/>
    <n v="1587461.3580779999"/>
    <n v="174765.79506099998"/>
    <n v="956923.96782000002"/>
    <n v="619105.97923100006"/>
    <n v="45443.775835"/>
    <n v="-275774.40520599973"/>
    <n v="171328.126903"/>
    <n v="0"/>
    <n v="4509474.4042680897"/>
    <n v="2246925.24756794"/>
    <n v="22.942732727074912"/>
    <n v="55"/>
    <n v="787464.88290600001"/>
    <n v="852385.35538700002"/>
    <n v="1516215.9453499999"/>
    <n v="1066531.8900599999"/>
    <n v="436053.82109300001"/>
    <n v="1569969.3571200001"/>
    <n v="-59002.50246799973"/>
    <n v="1569969.357120000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  <n v="74.95498647627592"/>
    <s v="4. Solvente (&gt;=70 y &lt;80)"/>
  </r>
  <r>
    <s v="25"/>
    <s v="25000"/>
    <x v="2"/>
    <s v="CUNDINAMARCA"/>
    <s v="ESP"/>
    <s v="N/A"/>
    <n v="0"/>
    <n v="932557.15288399998"/>
    <n v="3554823.9348729998"/>
    <n v="1886324.9334750001"/>
    <n v="412735.705029"/>
    <n v="3333551.2341559995"/>
    <n v="388088.14334499999"/>
    <n v="2300641.8180999998"/>
    <n v="1639205.5287129998"/>
    <n v="72263.593798999995"/>
    <n v="-241175.02810899913"/>
    <n v="535719.33379099995"/>
    <n v="0"/>
    <n v="8767231.2337890007"/>
    <n v="7103861.2916949997"/>
    <n v="37.607161452806075"/>
    <n v="50"/>
    <n v="1473252.7549999999"/>
    <n v="1987670.1935650001"/>
    <n v="3134562.6735950001"/>
    <n v="2847453.544646"/>
    <n v="932557.15288399998"/>
    <n v="3554823.9348729998"/>
    <n v="366807.89948100084"/>
    <n v="3554823.9348729998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  <n v="71.937321253336677"/>
    <s v="4. Solvente (&gt;=70 y &lt;80)"/>
  </r>
  <r>
    <s v="70"/>
    <s v="70000"/>
    <x v="2"/>
    <s v="SUCRE"/>
    <n v="3"/>
    <s v="N/A"/>
    <n v="0"/>
    <n v="578699.46367799991"/>
    <n v="836404.30041499983"/>
    <n v="179740.51947500001"/>
    <n v="22124.968696"/>
    <n v="852754.52582199802"/>
    <n v="90245.483850999008"/>
    <n v="202983.26746999999"/>
    <n v="121778.08097700099"/>
    <n v="989.45435099999997"/>
    <n v="-64426.588871997199"/>
    <n v="137942.13736399999"/>
    <n v="0"/>
    <n v="1687581.5856451401"/>
    <n v="530734.74416770006"/>
    <n v="67.202289898686956"/>
    <n v="70"/>
    <n v="147710.40189000001"/>
    <n v="198297.62028999999"/>
    <n v="819625.70279400004"/>
    <n v="723977.27041300002"/>
    <n v="578699.46367799991"/>
    <n v="836404.30041499983"/>
    <n v="74505.002843002789"/>
    <n v="836404.30041499983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  <n v="68.205988113636295"/>
    <s v="3. Vulnerable (&gt;=60 y &lt;70)"/>
  </r>
  <r>
    <s v="50"/>
    <s v="50000"/>
    <x v="2"/>
    <s v="META"/>
    <n v="1"/>
    <s v="N/A"/>
    <n v="0"/>
    <n v="334261.29108099994"/>
    <n v="887838.80665799999"/>
    <n v="343144.55385000003"/>
    <n v="74181.047659999997"/>
    <n v="1311318.878393"/>
    <n v="270626.08982200001"/>
    <n v="423718.60675600002"/>
    <n v="215778.92516700001"/>
    <n v="11816.891799999999"/>
    <n v="48355.966997999814"/>
    <n v="159898.13665299999"/>
    <n v="0"/>
    <n v="8494587.3280650005"/>
    <n v="1496413.0753279999"/>
    <n v="49.238283033106924"/>
    <n v="55"/>
    <n v="365070.73131800001"/>
    <n v="373735.98364400002"/>
    <n v="631543.15807100001"/>
    <n v="559950.97079499997"/>
    <n v="334261.29108099994"/>
    <n v="887838.80665799999"/>
    <n v="220070.99545099982"/>
    <n v="887838.80665799999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  <n v="68.178979803432441"/>
    <s v="3. Vulnerable (&gt;=60 y &lt;70)"/>
  </r>
  <r>
    <s v="41"/>
    <s v="41000"/>
    <x v="2"/>
    <s v="HUILA"/>
    <n v="3"/>
    <s v="N/A"/>
    <n v="0"/>
    <n v="507781.275456"/>
    <n v="976823.20924400003"/>
    <n v="238032.43295400002"/>
    <n v="88097.546258000002"/>
    <n v="1233499.3546889999"/>
    <n v="116305.50101200001"/>
    <n v="327937.27965100005"/>
    <n v="200718.07497700004"/>
    <n v="4205.7967879999997"/>
    <n v="-78714.245823999867"/>
    <n v="195074.210273"/>
    <n v="0"/>
    <n v="2757635.8548494903"/>
    <n v="1751644.9545177601"/>
    <n v="34.088093512006296"/>
    <n v="70"/>
    <n v="183859.87119400001"/>
    <n v="249688.620494"/>
    <n v="928318.25039399997"/>
    <n v="812275.49421399995"/>
    <n v="507781.275456"/>
    <n v="976823.20924400003"/>
    <n v="120565.76123700014"/>
    <n v="976823.20924400003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  <n v="66.233994741658975"/>
    <s v="3. Vulnerable (&gt;=60 y &lt;70)"/>
  </r>
  <r>
    <s v="95"/>
    <s v="95000"/>
    <x v="2"/>
    <s v="GUAVIARE"/>
    <n v="4"/>
    <s v="N/A"/>
    <n v="23778.164551999998"/>
    <n v="103654.92590699998"/>
    <n v="194500.26311499998"/>
    <n v="35465.942702999993"/>
    <n v="11120.251118"/>
    <n v="165641.42309099899"/>
    <n v="31883.586985999002"/>
    <n v="70825.566270999989"/>
    <n v="35187.807159999989"/>
    <n v="525.85563400000001"/>
    <n v="-6778.919086998998"/>
    <n v="30096.76583"/>
    <n v="0"/>
    <n v="901488.60103200004"/>
    <n v="178039.29000199999"/>
    <n v="60.639893279458732"/>
    <n v="70"/>
    <n v="22970.051909000002"/>
    <n v="45353.246717000002"/>
    <n v="160396.72309099999"/>
    <n v="138308.607128"/>
    <n v="127433.09045899998"/>
    <n v="194500.26311499998"/>
    <n v="23843.702377001002"/>
    <n v="194500.26311499998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  <n v="65.529454179559906"/>
    <s v="3. Vulnerable (&gt;=60 y &lt;70)"/>
  </r>
  <r>
    <s v="05"/>
    <s v="05000"/>
    <x v="2"/>
    <s v="ANTIOQUIA"/>
    <s v="ESP"/>
    <s v="N/A"/>
    <n v="0"/>
    <n v="1548440.09916"/>
    <n v="5044817.4379440006"/>
    <n v="1748023.1876289998"/>
    <n v="1073334.1986080001"/>
    <n v="4336505.9294499997"/>
    <n v="338868.67157100001"/>
    <n v="2830271.5466410001"/>
    <n v="1932154.2197449999"/>
    <n v="145779.73674800002"/>
    <n v="85443.807489001192"/>
    <n v="751371.76904399996"/>
    <n v="0"/>
    <n v="13310231.460189"/>
    <n v="11006822.922897"/>
    <n v="20.080040978787288"/>
    <n v="50"/>
    <n v="1578074.8615590001"/>
    <n v="1902217.9787039999"/>
    <n v="4061256.3035590001"/>
    <n v="3623869.2646300001"/>
    <n v="1548440.09916"/>
    <n v="5044817.4379440006"/>
    <n v="982595.31328100117"/>
    <n v="5044817.4379440006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  <n v="63.706604590308586"/>
    <s v="3. Vulnerable (&gt;=60 y &lt;70)"/>
  </r>
  <r>
    <s v="76"/>
    <s v="76000"/>
    <x v="2"/>
    <s v="VALLE DEL CAUCA"/>
    <s v="ESP"/>
    <s v="N/A"/>
    <n v="0"/>
    <n v="607911.49011899997"/>
    <n v="2528949.9947520001"/>
    <n v="1120858.497376"/>
    <n v="484888.11108800001"/>
    <n v="2229780.7643549996"/>
    <n v="129486.148631"/>
    <n v="1612146.048838"/>
    <n v="1094887.861699"/>
    <n v="37948.436702999999"/>
    <n v="-150809.02241099952"/>
    <n v="568427.16128799994"/>
    <n v="0"/>
    <n v="6785306.6824190002"/>
    <n v="4568818.632797"/>
    <n v="40.420415029428575"/>
    <n v="50"/>
    <n v="1069439.5"/>
    <n v="1226817.013057"/>
    <n v="2162500.8300239998"/>
    <n v="2030272.4232399999"/>
    <n v="607911.49011899997"/>
    <n v="2528949.9947520001"/>
    <n v="455566.57558000041"/>
    <n v="2528949.994752000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  <n v="63.477218735238715"/>
    <s v="3. Vulnerable (&gt;=60 y &lt;70)"/>
  </r>
  <r>
    <s v="20"/>
    <s v="20000"/>
    <x v="2"/>
    <s v="CESAR"/>
    <n v="2"/>
    <s v="N/A"/>
    <n v="0"/>
    <n v="519202.52956399997"/>
    <n v="946737.18176499999"/>
    <n v="170013.47431299998"/>
    <n v="70819.290700000012"/>
    <n v="1751244.4582660003"/>
    <n v="996764.08921400004"/>
    <n v="241917.769034"/>
    <n v="143783.93098499998"/>
    <n v="3796.4052120000001"/>
    <n v="-408934.31969799998"/>
    <n v="126984.75463700001"/>
    <n v="0"/>
    <n v="2975264.3782754801"/>
    <n v="829394.55267201003"/>
    <n v="49.719730816383318"/>
    <n v="60"/>
    <n v="143080.90915399999"/>
    <n v="193315.49919999999"/>
    <n v="1257537.6634140001"/>
    <n v="733714.02175800002"/>
    <n v="519202.52956399997"/>
    <n v="946737.18176499999"/>
    <n v="-278153.15984899993"/>
    <n v="946737.18176499999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  <n v="62.088111579544844"/>
    <s v="3. Vulnerable (&gt;=60 y &lt;70)"/>
  </r>
  <r>
    <s v="17"/>
    <s v="17000"/>
    <x v="2"/>
    <s v="CALDAS"/>
    <n v="2"/>
    <s v="N/A"/>
    <n v="0"/>
    <n v="411042.57998799998"/>
    <n v="840770.33165999991"/>
    <n v="291864.594942"/>
    <n v="39614.497010000006"/>
    <n v="856208.96290699998"/>
    <n v="217450.579401"/>
    <n v="334419.22224799998"/>
    <n v="177878.96398999999"/>
    <n v="8920.4882379999999"/>
    <n v="-58626.739406000124"/>
    <n v="146780.726933"/>
    <n v="0"/>
    <n v="3217779.8682479998"/>
    <n v="1939962.3559049999"/>
    <n v="38.682199811748838"/>
    <n v="60"/>
    <n v="247665.88659000001"/>
    <n v="314010.073493"/>
    <n v="742856.81280800002"/>
    <n v="674388.63773399999"/>
    <n v="411042.57998799998"/>
    <n v="840770.33165999991"/>
    <n v="97074.475764999865"/>
    <n v="840770.3316599999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  <n v="60.504718834772305"/>
    <s v="3. Vulnerable (&gt;=60 y &lt;70)"/>
  </r>
  <r>
    <s v="88"/>
    <s v="88000"/>
    <x v="2"/>
    <s v="SAN ANDRES"/>
    <n v="3"/>
    <s v="N/A"/>
    <n v="10788.5359555"/>
    <n v="57466.396444999991"/>
    <n v="463777.38031149999"/>
    <n v="60644.703705"/>
    <n v="164407.157534"/>
    <n v="351927.14605599997"/>
    <n v="32999.921353999998"/>
    <n v="236180.3030175"/>
    <n v="346.93882149999263"/>
    <n v="0"/>
    <n v="-123983.12994049996"/>
    <n v="269964.59620199999"/>
    <n v="0"/>
    <n v="1762665.56195439"/>
    <n v="351589.29261950002"/>
    <n v="59.097711895223938"/>
    <n v="70"/>
    <n v="223280.57226099999"/>
    <n v="224679.49359699999"/>
    <n v="351927.14605600003"/>
    <n v="262051.619469"/>
    <n v="68254.932400499994"/>
    <n v="463777.38031149999"/>
    <n v="145981.46626150003"/>
    <n v="463777.38031149999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  <n v="60.385471887348842"/>
    <s v="3. Vulnerable (&gt;=60 y &lt;70)"/>
  </r>
  <r>
    <s v="73"/>
    <s v="73000"/>
    <x v="2"/>
    <s v="TOLIMA"/>
    <n v="2"/>
    <s v="N/A"/>
    <n v="0"/>
    <n v="692882.27621199994"/>
    <n v="1261784.0906759999"/>
    <n v="304529.42197199998"/>
    <n v="110845.179078"/>
    <n v="1365956.461968"/>
    <n v="50407.260083000001"/>
    <n v="432779.78275499999"/>
    <n v="243293.95307600001"/>
    <n v="1782.348608"/>
    <n v="-110256.55744700017"/>
    <n v="106371.77722800001"/>
    <n v="0"/>
    <n v="2689599.459551"/>
    <n v="2074614.567062"/>
    <n v="30.614211433518435"/>
    <n v="60"/>
    <n v="303718.35700000002"/>
    <n v="341476.618074"/>
    <n v="1182554.8184440001"/>
    <n v="1018414.8408680001"/>
    <n v="692882.27621199994"/>
    <n v="1261784.0906759999"/>
    <n v="-2102.4316110001673"/>
    <n v="1261784.0906759999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  <n v="58.088143128065255"/>
    <s v="2. Riesgo (&gt;=40 y &lt;60)"/>
  </r>
  <r>
    <s v="81"/>
    <s v="81000"/>
    <x v="2"/>
    <s v="ARAUCA"/>
    <n v="4"/>
    <s v="N/A"/>
    <n v="21414.164552000002"/>
    <n v="215129.86238300003"/>
    <n v="326175.23331700003"/>
    <n v="43860.944031999999"/>
    <n v="6798.347694"/>
    <n v="425840.12829900003"/>
    <n v="64948.269012000004"/>
    <n v="72823.034960999998"/>
    <n v="25493.615114709995"/>
    <n v="0"/>
    <n v="-14899.513952289999"/>
    <n v="62240.051906000001"/>
    <n v="0"/>
    <n v="1245328.5959431899"/>
    <n v="574021.31202359009"/>
    <n v="65.044221292995815"/>
    <n v="70"/>
    <n v="42368.197294999998"/>
    <n v="51054.691656000003"/>
    <n v="293745.32742300001"/>
    <n v="273357.917403"/>
    <n v="236544.02693500003"/>
    <n v="326175.23331700003"/>
    <n v="47340.537953710002"/>
    <n v="326175.23331700003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  <n v="57.300690480227615"/>
    <s v="2. Riesgo (&gt;=40 y &lt;60)"/>
  </r>
  <r>
    <s v="54"/>
    <s v="54000"/>
    <x v="2"/>
    <s v="NORTE_DE_SANTANDER"/>
    <n v="2"/>
    <s v="N/A"/>
    <n v="0"/>
    <n v="574389.423022"/>
    <n v="1219852.4850320001"/>
    <n v="287270.10701000004"/>
    <n v="67425.084814000002"/>
    <n v="1138734.0118140001"/>
    <n v="27279.170419999999"/>
    <n v="356431.93287400005"/>
    <n v="206786.49425200006"/>
    <n v="10961.530954"/>
    <n v="-68526.9654039999"/>
    <n v="146827.785753"/>
    <n v="0"/>
    <n v="2526590.06709813"/>
    <n v="1607305.2774115899"/>
    <n v="47.268782012456519"/>
    <n v="60"/>
    <n v="245595.33630900001"/>
    <n v="317317.02929899999"/>
    <n v="1138734.0118140001"/>
    <n v="908178.66924700001"/>
    <n v="574389.423022"/>
    <n v="1219852.4850320001"/>
    <n v="89262.351303000105"/>
    <n v="1219852.485032000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  <n v="54.812290357739414"/>
    <s v="2. Riesgo (&gt;=40 y &lt;60)"/>
  </r>
  <r>
    <s v="47"/>
    <s v="47000"/>
    <x v="2"/>
    <s v="MAGDALENA"/>
    <n v="3"/>
    <s v="N/A"/>
    <n v="0"/>
    <n v="689104.31501599995"/>
    <n v="1223324.3602209999"/>
    <n v="277499.74871899997"/>
    <n v="174340.826007"/>
    <n v="948841.02318099909"/>
    <n v="20858.243491999998"/>
    <n v="452777.67980399996"/>
    <n v="257576.32448299997"/>
    <n v="5193.8250440000002"/>
    <n v="79281.981719000731"/>
    <n v="281072.62861900002"/>
    <n v="0"/>
    <n v="2160031.4465727098"/>
    <n v="1023075.3640255901"/>
    <n v="44.81782840250181"/>
    <n v="70"/>
    <n v="368420.90929699998"/>
    <n v="438889.99632999999"/>
    <n v="948841.02318100003"/>
    <n v="872354.02603499999"/>
    <n v="689104.31501599995"/>
    <n v="1223324.3602209999"/>
    <n v="365548.43538200075"/>
    <n v="1223324.3602209999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  <n v="53.44153511269154"/>
    <s v="2. Riesgo (&gt;=40 y &lt;60)"/>
  </r>
  <r>
    <s v="86"/>
    <s v="86000"/>
    <x v="2"/>
    <s v="PUTUMAYO"/>
    <n v="4"/>
    <s v="N/A"/>
    <n v="21414.164553999999"/>
    <n v="327927.172265"/>
    <n v="465998.71775100002"/>
    <n v="53482.48141"/>
    <n v="21122.064774000002"/>
    <n v="443877.21294199902"/>
    <n v="26680.269411000001"/>
    <n v="96829.871471000006"/>
    <n v="30663.860529000012"/>
    <n v="0"/>
    <n v="-44044.506132999028"/>
    <n v="87767.825695000007"/>
    <n v="0"/>
    <n v="1543856.76087306"/>
    <n v="521413.19074354996"/>
    <n v="65.178204088456809"/>
    <n v="70"/>
    <n v="48951.438408000002"/>
    <n v="58685.461440999999"/>
    <n v="443877.21294200001"/>
    <n v="387355.24359899998"/>
    <n v="349341.33681900002"/>
    <n v="465998.71775100002"/>
    <n v="43723.319562000979"/>
    <n v="465998.71775100002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  <n v="52.085488236309267"/>
    <s v="2. Riesgo (&gt;=40 y &lt;60)"/>
  </r>
  <r>
    <s v="66"/>
    <s v="66000"/>
    <x v="2"/>
    <s v="RISARALDA"/>
    <n v="2"/>
    <s v="N/A"/>
    <n v="0"/>
    <n v="199020.24036300002"/>
    <n v="860399.06939900015"/>
    <n v="242057.36808500002"/>
    <n v="107499.11524800002"/>
    <n v="601440.35049500014"/>
    <n v="1855.853881"/>
    <n v="349895.58065100003"/>
    <n v="251838.82924000002"/>
    <n v="1620.61032"/>
    <n v="214440.68268600001"/>
    <n v="115694.27179699999"/>
    <n v="0"/>
    <n v="2736898.5714560002"/>
    <n v="1416198.8449800001"/>
    <n v="43.914829875049989"/>
    <n v="60"/>
    <n v="194681.85857899999"/>
    <n v="265178.13941800001"/>
    <n v="547901.63530199998"/>
    <n v="481051.01163199998"/>
    <n v="199020.24036300002"/>
    <n v="860399.06939900015"/>
    <n v="331755.56480300002"/>
    <n v="860399.06939900015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  <n v="51.656281202566419"/>
    <s v="2. Riesgo (&gt;=40 y &lt;60)"/>
  </r>
  <r>
    <s v="27"/>
    <s v="27000"/>
    <x v="2"/>
    <s v="CHOCO"/>
    <n v="4"/>
    <s v="N/A"/>
    <n v="0"/>
    <n v="462717.73322699999"/>
    <n v="599708.56495799997"/>
    <n v="90826.660070999991"/>
    <n v="8648.926508999999"/>
    <n v="570590.54774499906"/>
    <n v="35283.378062999996"/>
    <n v="99475.586579999988"/>
    <n v="16888.301557999977"/>
    <n v="1577.5975880000001"/>
    <n v="3001.2558540009195"/>
    <n v="49060.770587999999"/>
    <n v="0"/>
    <n v="1945097.42928372"/>
    <n v="618986.08825091005"/>
    <n v="65.999982578873343"/>
    <n v="70"/>
    <n v="102074.364124"/>
    <n v="92668.206894000003"/>
    <n v="481463.59428999998"/>
    <n v="431747.94697200001"/>
    <n v="462717.73322699999"/>
    <n v="599708.56495799997"/>
    <n v="53639.624030000923"/>
    <n v="599708.56495799997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  <n v="51.491295448780598"/>
    <s v="2. Riesgo (&gt;=40 y &lt;60)"/>
  </r>
  <r>
    <s v="68"/>
    <s v="68000"/>
    <x v="2"/>
    <s v="SANTANDER"/>
    <n v="1"/>
    <s v="N/A"/>
    <n v="0"/>
    <n v="695592.43047999998"/>
    <n v="1729681.4293709998"/>
    <n v="711150.01786499994"/>
    <n v="73389.315663000001"/>
    <n v="1703023.0995329989"/>
    <n v="159064.28687699902"/>
    <n v="785177.73752799991"/>
    <n v="374531.93435699993"/>
    <n v="16429.548910000001"/>
    <n v="-108580.74114799895"/>
    <n v="402482.58755400003"/>
    <n v="0"/>
    <n v="5145515.5677054394"/>
    <n v="4990902.4668351794"/>
    <n v="40.652017346596359"/>
    <n v="55"/>
    <n v="611108.64599999995"/>
    <n v="736211.01805800002"/>
    <n v="1427616.3673479999"/>
    <n v="1201680.943434"/>
    <n v="695592.43047999998"/>
    <n v="1729681.4293709998"/>
    <n v="310331.39531600109"/>
    <n v="1729681.4293709998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  <n v="51.349174625630468"/>
    <s v="2. Riesgo (&gt;=40 y &lt;60)"/>
  </r>
  <r>
    <s v="44"/>
    <s v="44000"/>
    <x v="2"/>
    <s v="LA_GUAJIRA"/>
    <n v="4"/>
    <s v="N/A"/>
    <n v="0"/>
    <n v="357451.35559999995"/>
    <n v="547267.03744099999"/>
    <n v="144048.90871000002"/>
    <n v="6760.5772550000002"/>
    <n v="503049.57647600002"/>
    <n v="27701.972943000001"/>
    <n v="151254.14069700002"/>
    <n v="95950.82526800003"/>
    <n v="0"/>
    <n v="-11085.854463999975"/>
    <n v="111976.148084"/>
    <n v="0"/>
    <n v="1643700.5991958599"/>
    <n v="853006.44674622"/>
    <n v="39.097334235174152"/>
    <n v="70"/>
    <n v="78235.328703000006"/>
    <n v="147287.91797800001"/>
    <n v="503049.57647600002"/>
    <n v="454146.20763899997"/>
    <n v="357451.35559999995"/>
    <n v="547267.03744099999"/>
    <n v="100890.29362000003"/>
    <n v="547267.03744099999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  <n v="50.417031254064376"/>
    <s v="2. Riesgo (&gt;=40 y &lt;60)"/>
  </r>
  <r>
    <s v="94"/>
    <s v="94000"/>
    <x v="2"/>
    <s v="GUAINIA"/>
    <n v="4"/>
    <s v="N/A"/>
    <n v="21203.164553999999"/>
    <n v="109508.94024699999"/>
    <n v="187148.714645"/>
    <n v="23696.350337"/>
    <n v="3070.645368"/>
    <n v="188624.65685500001"/>
    <n v="5342.921980000001"/>
    <n v="47970.160258999997"/>
    <n v="25710.889961000001"/>
    <n v="0"/>
    <n v="-23735.212507999997"/>
    <n v="65302.176076999996"/>
    <n v="0"/>
    <n v="1017379.44514829"/>
    <n v="204422.13386970002"/>
    <n v="50.678099567650357"/>
    <n v="70"/>
    <n v="19215.554644"/>
    <n v="26165.331584"/>
    <n v="188624.65685500001"/>
    <n v="137886.597962"/>
    <n v="130712.10480099999"/>
    <n v="187148.714645"/>
    <n v="41566.963569"/>
    <n v="187148.714645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  <n v="49.734335628775931"/>
    <s v="2. Riesgo (&gt;=40 y &lt;60)"/>
  </r>
  <r>
    <s v="18"/>
    <s v="18000"/>
    <x v="2"/>
    <s v="CAQUETA"/>
    <n v="4"/>
    <s v="N/A"/>
    <n v="0"/>
    <n v="241838.70787399999"/>
    <n v="376888.02044300002"/>
    <n v="68850.132134999993"/>
    <n v="30077.805372999999"/>
    <n v="403866.28250199993"/>
    <n v="6458.7650410000006"/>
    <n v="100031.46369799999"/>
    <n v="43886.518732999997"/>
    <n v="302.708752"/>
    <n v="-28381.571984999871"/>
    <n v="80571.011507000003"/>
    <n v="0"/>
    <n v="1150234.685698"/>
    <n v="517183.89894400002"/>
    <n v="61.160171155204182"/>
    <n v="70"/>
    <n v="58162.722000000002"/>
    <n v="72456.518056000001"/>
    <n v="349124.64746299997"/>
    <n v="316055.321719"/>
    <n v="241838.70787399999"/>
    <n v="376888.02044300002"/>
    <n v="52492.14827400013"/>
    <n v="376888.02044300002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  <n v="49.601751666582217"/>
    <s v="2. Riesgo (&gt;=40 y &lt;60)"/>
  </r>
  <r>
    <s v="97"/>
    <s v="97000"/>
    <x v="2"/>
    <s v="VAUPES"/>
    <n v="4"/>
    <s v="N/A"/>
    <n v="24448.164553999999"/>
    <n v="87975.558932"/>
    <n v="152298.114084"/>
    <n v="13674.786845000001"/>
    <n v="6242.9669690000001"/>
    <n v="151098.856246999"/>
    <n v="10863.183561999002"/>
    <n v="44438.794859000001"/>
    <n v="26944.791105000004"/>
    <n v="0"/>
    <n v="-16294.745916999003"/>
    <n v="74062.254142999998"/>
    <n v="0"/>
    <n v="683455.55801389995"/>
    <n v="68390.571605749996"/>
    <n v="39.780076251264006"/>
    <n v="70"/>
    <n v="11368.936368999999"/>
    <n v="17932.211865000001"/>
    <n v="151098.85624699999"/>
    <n v="123447.304775"/>
    <n v="112423.723486"/>
    <n v="152298.114084"/>
    <n v="57767.508226000995"/>
    <n v="152298.114084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  <n v="49.364132354043178"/>
    <s v="2. Riesgo (&gt;=40 y &lt;60)"/>
  </r>
  <r>
    <s v="85"/>
    <s v="85000"/>
    <x v="2"/>
    <s v="CASANARE"/>
    <n v="3"/>
    <s v="N/A"/>
    <n v="21414.164553999999"/>
    <n v="204418.17079199999"/>
    <n v="456087.67351399997"/>
    <n v="135227.122049"/>
    <n v="29152.457986000001"/>
    <n v="878544.21789800003"/>
    <n v="0"/>
    <n v="187460.669887"/>
    <n v="103225.843999"/>
    <n v="0"/>
    <n v="-39510.302674999984"/>
    <n v="95431.227178999994"/>
    <n v="0"/>
    <n v="2916766.6471600602"/>
    <n v="570195.25089145999"/>
    <n v="68.72220498254265"/>
    <n v="70"/>
    <n v="92449.080071999997"/>
    <n v="163265.83620600001"/>
    <n v="411363.15030099999"/>
    <n v="350125.29098300001"/>
    <n v="225832.33534599998"/>
    <n v="456087.67351399997"/>
    <n v="55920.92450400001"/>
    <n v="456087.67351399997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  <n v="49.3250610886939"/>
    <s v="2. Riesgo (&gt;=40 y &lt;60)"/>
  </r>
  <r>
    <s v="19"/>
    <s v="19000"/>
    <x v="2"/>
    <s v="CAUCA"/>
    <n v="3"/>
    <s v="N/A"/>
    <n v="0"/>
    <n v="1001504.451166"/>
    <n v="1402957.1760780001"/>
    <n v="148387.05001800001"/>
    <n v="114218.50507699999"/>
    <n v="1327799.3988300003"/>
    <n v="1027.1153749999999"/>
    <n v="263702.73362200003"/>
    <n v="146927.80170400103"/>
    <n v="1371.576468"/>
    <n v="73471.070431000786"/>
    <n v="275881.29616500001"/>
    <n v="0"/>
    <n v="3328135.1911249999"/>
    <n v="1384787.928692"/>
    <n v="46.114558996883325"/>
    <n v="70"/>
    <n v="122812.919532"/>
    <n v="161072.63925199999"/>
    <n v="1212711.1737289999"/>
    <n v="1178807.770673"/>
    <n v="1001504.451166"/>
    <n v="1402957.1760780001"/>
    <n v="350723.94306400081"/>
    <n v="1402957.176078000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  <n v="47.400745099247189"/>
    <s v="2. Riesgo (&gt;=40 y &lt;60)"/>
  </r>
  <r>
    <s v="52"/>
    <s v="52000"/>
    <x v="2"/>
    <s v="NARIÑO"/>
    <n v="2"/>
    <s v="N/A"/>
    <n v="0"/>
    <n v="727175.85146699997"/>
    <n v="1296323.6730729998"/>
    <n v="246455.63723999998"/>
    <n v="104368.300821"/>
    <n v="1229271.0733440004"/>
    <n v="94211.542596999992"/>
    <n v="355292.26555099996"/>
    <n v="209258.19138999996"/>
    <n v="0"/>
    <n v="50733.014281999553"/>
    <n v="234199.52967600001"/>
    <n v="0"/>
    <n v="3465952.4058371698"/>
    <n v="2303160.62849788"/>
    <n v="35.566961271585733"/>
    <n v="60"/>
    <n v="133375.67124699999"/>
    <n v="176621.18709799999"/>
    <n v="1060841.818407"/>
    <n v="953878.26940500003"/>
    <n v="727175.85146699997"/>
    <n v="1296323.6730729998"/>
    <n v="284932.54395799956"/>
    <n v="1296323.6730729998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  <n v="46.585275202102721"/>
    <s v="2. Riesgo (&gt;=40 y &lt;60)"/>
  </r>
  <r>
    <s v="15"/>
    <s v="15000"/>
    <x v="2"/>
    <s v="BOYACÁ"/>
    <n v="1"/>
    <s v="N/A"/>
    <n v="0"/>
    <n v="719740.04197200004"/>
    <n v="1291822.9808430001"/>
    <n v="403773.56935400009"/>
    <n v="38371.823922999996"/>
    <n v="1255995.2632489989"/>
    <n v="3259.221618"/>
    <n v="444596.07160800009"/>
    <n v="267347.62609500007"/>
    <n v="10637.919648999999"/>
    <n v="-11832.686692998977"/>
    <n v="262243.75168300001"/>
    <n v="0"/>
    <n v="4326882.6956350002"/>
    <n v="3072938.6689309999"/>
    <n v="34.899107685839823"/>
    <n v="55"/>
    <n v="346458.587"/>
    <n v="416971.42256699997"/>
    <n v="1126407.222023"/>
    <n v="992648.88413599995"/>
    <n v="719740.04197200004"/>
    <n v="1291822.9808430001"/>
    <n v="261048.98463900102"/>
    <n v="1291822.980843000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  <n v="44.625743579637593"/>
    <s v="2. Riesgo (&gt;=40 y &lt;60)"/>
  </r>
  <r>
    <s v="23"/>
    <s v="23000"/>
    <x v="2"/>
    <s v="CORDOBA"/>
    <n v="2"/>
    <s v="N/A"/>
    <n v="0"/>
    <n v="908501.80338100006"/>
    <n v="1374879.8797130003"/>
    <n v="289200.84723499999"/>
    <n v="25375.170160999998"/>
    <n v="1485072.416281"/>
    <n v="204969.961954"/>
    <n v="314971.69619699998"/>
    <n v="123479.564908"/>
    <n v="10849.335374"/>
    <n v="-41712.905881999759"/>
    <n v="236668.94558"/>
    <n v="0"/>
    <n v="2987369.2097149198"/>
    <n v="2370908.1765469201"/>
    <n v="52.689214060559351"/>
    <n v="60"/>
    <n v="239593.62985900001"/>
    <n v="300173.98116000002"/>
    <n v="1225100.6543060001"/>
    <n v="1083150.0963920001"/>
    <n v="908501.80338100006"/>
    <n v="1374879.8797130003"/>
    <n v="205805.37507200026"/>
    <n v="1374879.8797130003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  <n v="43.063566456892623"/>
    <s v="2. Riesgo (&gt;=40 y &lt;60)"/>
  </r>
  <r>
    <s v="91"/>
    <s v="91000"/>
    <x v="2"/>
    <s v="AMAZONAS"/>
    <n v="4"/>
    <s v="N/A"/>
    <n v="27484.375062999999"/>
    <n v="147377.69007300001"/>
    <n v="237060.88230500001"/>
    <n v="18643.743096999999"/>
    <n v="4467.7941929999997"/>
    <n v="211744.89240300001"/>
    <n v="0"/>
    <n v="50939.673945999995"/>
    <n v="20439.834503999999"/>
    <n v="0"/>
    <n v="-5183.8495399999956"/>
    <n v="62583.543255999997"/>
    <n v="0"/>
    <n v="1026020.419626"/>
    <n v="357726.83288100001"/>
    <n v="58.585303491843845"/>
    <n v="70"/>
    <n v="18079.069972000001"/>
    <n v="20048.682058999999"/>
    <n v="211744.89240300001"/>
    <n v="167261.16360599999"/>
    <n v="174862.06513599999"/>
    <n v="237060.88230500001"/>
    <n v="57399.693716000002"/>
    <n v="237060.8823050000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  <n v="42.011141900483068"/>
    <s v="2. Riesgo (&gt;=40 y &lt;60)"/>
  </r>
  <r>
    <s v="13"/>
    <s v="13000"/>
    <x v="2"/>
    <s v="BOLIVAR"/>
    <n v="1"/>
    <s v="N/A"/>
    <n v="0"/>
    <n v="827847.98440900003"/>
    <n v="1651003.351267"/>
    <n v="382618.33313899999"/>
    <n v="139073.58487799999"/>
    <n v="1773408.3013679991"/>
    <n v="0"/>
    <n v="521691.91801699996"/>
    <n v="191103.50160199997"/>
    <n v="14769.883715"/>
    <n v="103732.41791800107"/>
    <n v="191626.57978599999"/>
    <n v="0"/>
    <n v="4312832.9145214604"/>
    <n v="2581812.4645820302"/>
    <n v="52.814365072053427"/>
    <n v="55"/>
    <n v="371834.696772"/>
    <n v="404405.57156100002"/>
    <n v="1221682.516934"/>
    <n v="1046056.8068350001"/>
    <n v="827847.98440900003"/>
    <n v="1651003.351267"/>
    <n v="310128.88141900103"/>
    <n v="1651003.351267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  <n v="41.829241910614492"/>
    <s v="2. Riesgo (&gt;=40 y &lt;60)"/>
  </r>
  <r>
    <s v="99"/>
    <s v="99000"/>
    <x v="2"/>
    <s v="VICHADA"/>
    <n v="4"/>
    <s v="N/A"/>
    <n v="24145.021270000001"/>
    <n v="84870.922787999996"/>
    <n v="160606.444143"/>
    <n v="17212.860812999999"/>
    <n v="1934.698535"/>
    <n v="144619.84922099998"/>
    <n v="13.042388000000001"/>
    <n v="43418.356082999999"/>
    <n v="15302.119566199999"/>
    <n v="13.326851"/>
    <n v="-12129.641594799992"/>
    <n v="36466.284346"/>
    <n v="0"/>
    <n v="662768.51649099996"/>
    <n v="161440.65052299999"/>
    <n v="74.058560554216598"/>
    <n v="70"/>
    <n v="16175.418578999999"/>
    <n v="18038.871997999999"/>
    <n v="144619.84922100001"/>
    <n v="112813.766389"/>
    <n v="109015.94405799999"/>
    <n v="160606.444143"/>
    <n v="24349.969602200006"/>
    <n v="160606.444143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  <n v="41.649701610927316"/>
    <s v="2. Riesgo (&gt;=40 y &lt;60)"/>
  </r>
  <r>
    <s v="63"/>
    <s v="63000"/>
    <x v="2"/>
    <s v="QUINDIO"/>
    <n v="3"/>
    <s v="N/A"/>
    <n v="0"/>
    <n v="176128.55166600001"/>
    <n v="429799.70546700002"/>
    <n v="138152.63939"/>
    <n v="53918.444669999997"/>
    <n v="251139.80498400002"/>
    <n v="2978.8376850000004"/>
    <n v="193296.32545400001"/>
    <n v="103249.04642100001"/>
    <n v="1995.192669"/>
    <n v="97216.158131000004"/>
    <n v="85627.558885999999"/>
    <n v="0"/>
    <n v="1368282.3056876899"/>
    <n v="823558.50605547999"/>
    <n v="79.777609051135855"/>
    <n v="70"/>
    <n v="119436.538155"/>
    <n v="147249.97887600001"/>
    <n v="242536.26830299999"/>
    <n v="230938.234486"/>
    <n v="176128.55166600001"/>
    <n v="429799.70546700002"/>
    <n v="184838.909686"/>
    <n v="429799.70546700002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  <n v="40.171050290088061"/>
    <s v="2. Riesgo (&gt;=40 y &lt;60)"/>
  </r>
  <r>
    <s v="91"/>
    <s v="91000"/>
    <x v="3"/>
    <s v="AMAZONAS"/>
    <n v="4"/>
    <s v="N/A"/>
    <n v="34557.430219000002"/>
    <n v="168915.013336"/>
    <n v="245955.03864899999"/>
    <n v="16258.542930000001"/>
    <n v="4667.3536889999996"/>
    <n v="254174.61194199999"/>
    <n v="617.15029100000004"/>
    <n v="55775.180199000002"/>
    <n v="23766.996714000001"/>
    <n v="685.55854099999999"/>
    <n v="-40227.756777999981"/>
    <n v="56179.647369999999"/>
    <n v="7500"/>
    <n v="1105764.0715439999"/>
    <n v="359243.17229800002"/>
    <n v="51.589238217229607"/>
    <n v="70"/>
    <n v="21797.5"/>
    <n v="19306.410107"/>
    <n v="254174.61194199999"/>
    <n v="220409.96067500001"/>
    <n v="203472.44355500001"/>
    <n v="245955.03864899999"/>
    <n v="16637.449133000016"/>
    <n v="253455.03864899999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  <n v="51.952856310515187"/>
    <s v="2. Riesgo (&gt;=40 y &lt;60)"/>
  </r>
  <r>
    <s v="05"/>
    <s v="05000"/>
    <x v="3"/>
    <s v="ANTIOQUIA"/>
    <s v="ESP"/>
    <s v="N/A"/>
    <n v="0"/>
    <n v="1708148.793023"/>
    <n v="5664596.7314109998"/>
    <n v="1966806.0016119999"/>
    <n v="1246195.7623409999"/>
    <n v="4564607.303692"/>
    <n v="254340.86568200003"/>
    <n v="3225182.6409119996"/>
    <n v="1980997.5266229997"/>
    <n v="262444.20826400002"/>
    <n v="-39182.918036999181"/>
    <n v="943595.33242700004"/>
    <n v="450647.795942"/>
    <n v="14361624.727996999"/>
    <n v="10956548.592325"/>
    <n v="27.189236154129446"/>
    <n v="50"/>
    <n v="1792060.7955149999"/>
    <n v="2180396.2604109999"/>
    <n v="4459594.5351590002"/>
    <n v="4227348.3222249998"/>
    <n v="1708148.793023"/>
    <n v="5664596.7314109998"/>
    <n v="1166856.6226540008"/>
    <n v="6115244.5273529999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  <n v="68.843584130551861"/>
    <s v="3. Vulnerable (&gt;=60 y &lt;70)"/>
  </r>
  <r>
    <s v="81"/>
    <s v="81000"/>
    <x v="3"/>
    <s v="ARAUCA"/>
    <n v="4"/>
    <s v="N/A"/>
    <n v="30109.057852999998"/>
    <n v="244620.76264100001"/>
    <n v="370058.700901"/>
    <n v="49513.888716999994"/>
    <n v="8792.1599659999993"/>
    <n v="333259.83750200004"/>
    <n v="18501.991699999999"/>
    <n v="89284.392137999996"/>
    <n v="37605.030095999995"/>
    <n v="0"/>
    <n v="-14880.498643000028"/>
    <n v="56672.337827000003"/>
    <n v="0"/>
    <n v="1290623.2658160001"/>
    <n v="677132.26076900004"/>
    <n v="64.187469361036165"/>
    <n v="70"/>
    <n v="49324.494471999998"/>
    <n v="58822.049183000003"/>
    <n v="333353.27889399999"/>
    <n v="311804.13501899998"/>
    <n v="274729.82049399999"/>
    <n v="370058.700901"/>
    <n v="41791.839183999975"/>
    <n v="370058.70090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  <n v="51.186608356161841"/>
    <s v="2. Riesgo (&gt;=40 y &lt;60)"/>
  </r>
  <r>
    <s v="08"/>
    <s v="08000"/>
    <x v="3"/>
    <s v="ATLANTICO"/>
    <n v="1"/>
    <s v="N/A"/>
    <n v="0"/>
    <n v="481591.39182599995"/>
    <n v="1603683.2893439999"/>
    <n v="639026.43422399997"/>
    <n v="296363.20218499994"/>
    <n v="1607868.4976029999"/>
    <n v="25905.723109999999"/>
    <n v="936342.46884999995"/>
    <n v="555787.702819"/>
    <n v="113958.637302"/>
    <n v="-310647.51297100005"/>
    <n v="136837.24488700001"/>
    <n v="527712.31049599999"/>
    <n v="5003770.71215"/>
    <n v="2536165.0810890002"/>
    <n v="32.333513805782218"/>
    <n v="55"/>
    <n v="899465.62714"/>
    <n v="822926.98657199997"/>
    <n v="1549243.4210349999"/>
    <n v="1227197.63579"/>
    <n v="481591.39182599995"/>
    <n v="1603683.2893439999"/>
    <n v="-59851.630782000022"/>
    <n v="2131395.5998399998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  <n v="67.899974692601404"/>
    <s v="3. Vulnerable (&gt;=60 y &lt;70)"/>
  </r>
  <r>
    <s v="13"/>
    <s v="13000"/>
    <x v="3"/>
    <s v="BOLIVAR"/>
    <n v="1"/>
    <s v="N/A"/>
    <n v="0"/>
    <n v="913695.39040799998"/>
    <n v="1666732.3174399999"/>
    <n v="421059.49491000001"/>
    <n v="160789.46922299999"/>
    <n v="1622824.5231549998"/>
    <n v="961.45631100000003"/>
    <n v="581848.964133"/>
    <n v="216733.41467299999"/>
    <n v="51713.429916000001"/>
    <n v="-60513.404335999861"/>
    <n v="173209.12760599999"/>
    <n v="45000"/>
    <n v="3719552.3405789998"/>
    <n v="3258556.5031349999"/>
    <n v="61.617439621570469"/>
    <n v="55"/>
    <n v="474580.80184899998"/>
    <n v="450190.37723799999"/>
    <n v="1363635.791775"/>
    <n v="1181509.1197510001"/>
    <n v="913695.39040799998"/>
    <n v="1666732.3174399999"/>
    <n v="164409.15318600013"/>
    <n v="1711732.3174399999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  <n v="42.085960409147482"/>
    <s v="2. Riesgo (&gt;=40 y &lt;60)"/>
  </r>
  <r>
    <s v="15"/>
    <s v="15000"/>
    <x v="3"/>
    <s v="BOYACÁ"/>
    <n v="1"/>
    <s v="N/A"/>
    <n v="0"/>
    <n v="792473.63756200008"/>
    <n v="1420268.732081"/>
    <n v="404855.47992299998"/>
    <n v="43990.007371"/>
    <n v="1417519.699948"/>
    <n v="10674.980749999999"/>
    <n v="451441.32001299999"/>
    <n v="253509.68873699996"/>
    <n v="16085.080384999999"/>
    <n v="-70528.433475000085"/>
    <n v="222701.51098799999"/>
    <n v="31671.411477000001"/>
    <n v="4782029.6766579999"/>
    <n v="2336981.9760139999"/>
    <n v="43.501004097567922"/>
    <n v="55"/>
    <n v="419333.21735200001"/>
    <n v="417105.59775900003"/>
    <n v="1292865.53428"/>
    <n v="1139800.6235430001"/>
    <n v="792473.63756200008"/>
    <n v="1420268.732081"/>
    <n v="168258.15789799992"/>
    <n v="1451940.143558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  <n v="57.261420293666461"/>
    <s v="2. Riesgo (&gt;=40 y &lt;60)"/>
  </r>
  <r>
    <s v="17"/>
    <s v="17000"/>
    <x v="3"/>
    <s v="CALDAS"/>
    <n v="2"/>
    <s v="N/A"/>
    <n v="0"/>
    <n v="450286.99479899998"/>
    <n v="984962.23442300013"/>
    <n v="233923.67282499999"/>
    <n v="123832.357439"/>
    <n v="834837.01954600005"/>
    <n v="169075.44768500002"/>
    <n v="361659.43781600002"/>
    <n v="164886.484191"/>
    <n v="21753.611606999999"/>
    <n v="-6649.2221240000799"/>
    <n v="138264.37872099999"/>
    <n v="44237.847815000001"/>
    <n v="3529365.723183"/>
    <n v="2207580.019353"/>
    <n v="39.399462547470627"/>
    <n v="60"/>
    <n v="223151.64033600001"/>
    <n v="265962.122042"/>
    <n v="794838.50292200001"/>
    <n v="735214.10199999996"/>
    <n v="450286.99479899998"/>
    <n v="984962.23442300013"/>
    <n v="153368.76820399991"/>
    <n v="1029200.082238000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  <n v="61.555646180142674"/>
    <s v="3. Vulnerable (&gt;=60 y &lt;70)"/>
  </r>
  <r>
    <s v="18"/>
    <s v="18000"/>
    <x v="3"/>
    <s v="CAQUETA"/>
    <n v="4"/>
    <s v="N/A"/>
    <n v="0"/>
    <n v="268438.70236300002"/>
    <n v="417207.44781899999"/>
    <n v="77392.158637"/>
    <n v="27446.771142000001"/>
    <n v="393850.55815900001"/>
    <n v="3050.981683"/>
    <n v="105954.90638499999"/>
    <n v="38555.959730999995"/>
    <n v="841.21625500000005"/>
    <n v="-29150.735068000038"/>
    <n v="64940.249766000001"/>
    <n v="2500"/>
    <n v="1150291.720405"/>
    <n v="662833.46281499998"/>
    <n v="63.850091459608407"/>
    <n v="70"/>
    <n v="65088.055999999997"/>
    <n v="82206.178755999994"/>
    <n v="378959.236233"/>
    <n v="348813.037389"/>
    <n v="268438.70236300002"/>
    <n v="417207.44781899999"/>
    <n v="36630.730952999962"/>
    <n v="419707.44781899999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  <n v="48.971250622754766"/>
    <s v="2. Riesgo (&gt;=40 y &lt;60)"/>
  </r>
  <r>
    <s v="85"/>
    <s v="85000"/>
    <x v="3"/>
    <s v="CASANARE"/>
    <n v="3"/>
    <s v="N/A"/>
    <n v="30109.057851999998"/>
    <n v="228911.26804300002"/>
    <n v="553078.37683600001"/>
    <n v="158427.985507"/>
    <n v="50541.451228000005"/>
    <n v="1096573.1743999999"/>
    <n v="0"/>
    <n v="240786.19702600001"/>
    <n v="135206.35305400001"/>
    <n v="0"/>
    <n v="-563.64433600008488"/>
    <n v="68535.564731000006"/>
    <n v="0"/>
    <n v="3392284.5204039998"/>
    <n v="669984.83466499997"/>
    <n v="57.852022612366049"/>
    <n v="70"/>
    <n v="121316.393381"/>
    <n v="207675.249453"/>
    <n v="448062.17719999998"/>
    <n v="400751.83343399997"/>
    <n v="259020.32589500002"/>
    <n v="553078.37683600001"/>
    <n v="67971.920394999921"/>
    <n v="553078.3768360000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  <n v="55.796764264571728"/>
    <s v="2. Riesgo (&gt;=40 y &lt;60)"/>
  </r>
  <r>
    <s v="19"/>
    <s v="19000"/>
    <x v="3"/>
    <s v="CAUCA"/>
    <n v="3"/>
    <s v="N/A"/>
    <n v="0"/>
    <n v="1114309.8660890001"/>
    <n v="1539779.4888460003"/>
    <n v="148586.424994"/>
    <n v="119385.03152999999"/>
    <n v="1451083.9791770002"/>
    <n v="6274.7557669999997"/>
    <n v="269104.36723199999"/>
    <n v="129390.91616899997"/>
    <n v="3436.8677309999998"/>
    <n v="-6281.0528810000978"/>
    <n v="339729.42427900003"/>
    <n v="4634.6248189999997"/>
    <n v="3571240.4643020001"/>
    <n v="1337492.1441220001"/>
    <n v="48.266820190145872"/>
    <n v="70"/>
    <n v="156637.01415999999"/>
    <n v="163984.65431000001"/>
    <n v="1406347.090664"/>
    <n v="1310442.6065450001"/>
    <n v="1114309.8660890001"/>
    <n v="1539779.4888460003"/>
    <n v="336885.23912899994"/>
    <n v="1544414.1136650003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  <n v="49.134093336695301"/>
    <s v="2. Riesgo (&gt;=40 y &lt;60)"/>
  </r>
  <r>
    <s v="20"/>
    <s v="20000"/>
    <x v="3"/>
    <s v="CESAR"/>
    <n v="2"/>
    <s v="N/A"/>
    <n v="0"/>
    <n v="568496.49386499997"/>
    <n v="1057632.6996209999"/>
    <n v="221033.41530599998"/>
    <n v="98338.136108000006"/>
    <n v="1803062.6119929999"/>
    <n v="961268.41009000002"/>
    <n v="320364.55025099998"/>
    <n v="202046.06509399999"/>
    <n v="10757.321447"/>
    <n v="-55264.31556300004"/>
    <n v="163743.40888100001"/>
    <n v="46398"/>
    <n v="4477617.1364430003"/>
    <n v="1242687.811797"/>
    <n v="51.788428483941516"/>
    <n v="60"/>
    <n v="204462.58078300001"/>
    <n v="264984.52338899998"/>
    <n v="994578.56992499996"/>
    <n v="846432.20963699999"/>
    <n v="568496.49386499997"/>
    <n v="1057632.6996209999"/>
    <n v="119236.41476499996"/>
    <n v="1104030.6996209999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  <n v="73.040468377285023"/>
    <s v="4. Solvente (&gt;=70 y &lt;80)"/>
  </r>
  <r>
    <s v="27"/>
    <s v="27000"/>
    <x v="3"/>
    <s v="CHOCO"/>
    <n v="3"/>
    <s v="N/A"/>
    <n v="0"/>
    <n v="518697.60873800004"/>
    <n v="656112.21831000003"/>
    <n v="100633.80316"/>
    <n v="9516.3565689999978"/>
    <n v="598844.99029499991"/>
    <n v="13348.375322999998"/>
    <n v="110150.15972899999"/>
    <n v="32795.823357000001"/>
    <n v="4120.9272810000002"/>
    <n v="-20087.108356999815"/>
    <n v="56057.526241"/>
    <n v="3999.9996259999998"/>
    <n v="2226540.3175889999"/>
    <n v="618554.82496899995"/>
    <n v="68.497339794911397"/>
    <n v="70"/>
    <n v="102019.77401199999"/>
    <n v="102596.66250000001"/>
    <n v="598844.99029500003"/>
    <n v="522746.90524599998"/>
    <n v="518697.60873800004"/>
    <n v="656112.21831000003"/>
    <n v="40091.345165000181"/>
    <n v="660112.21793599997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  <n v="49.309712977695945"/>
    <s v="2. Riesgo (&gt;=40 y &lt;60)"/>
  </r>
  <r>
    <s v="23"/>
    <s v="23000"/>
    <x v="3"/>
    <s v="CORDOBA"/>
    <n v="1"/>
    <s v="N/A"/>
    <n v="0"/>
    <n v="978445.12108700001"/>
    <n v="1456149.1216790001"/>
    <n v="297648.30452199996"/>
    <n v="28289.356760999995"/>
    <n v="1477039.1428989999"/>
    <n v="168084.338192"/>
    <n v="327068.46887499996"/>
    <n v="96150.111237999954"/>
    <n v="21058.249906000001"/>
    <n v="-134771.30760299973"/>
    <n v="277637.59239300003"/>
    <n v="35966.985868000003"/>
    <n v="3474160.7841400001"/>
    <n v="2461583.4731490002"/>
    <n v="53.432429362089771"/>
    <n v="55"/>
    <n v="262658.07809199998"/>
    <n v="310692.86822800001"/>
    <n v="1360002.071645"/>
    <n v="1231526.206156"/>
    <n v="978445.12108700001"/>
    <n v="1456149.1216790001"/>
    <n v="163924.53469600028"/>
    <n v="1492116.107547000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  <n v="54.743139869469104"/>
    <s v="2. Riesgo (&gt;=40 y &lt;60)"/>
  </r>
  <r>
    <s v="25"/>
    <s v="25000"/>
    <x v="3"/>
    <s v="CUNDINAMARCA"/>
    <s v="ESP"/>
    <s v="N/A"/>
    <n v="0"/>
    <n v="1030276.7389849999"/>
    <n v="3890273.0365129998"/>
    <n v="2021570.7743540001"/>
    <n v="483032.25101999997"/>
    <n v="3679655.6525650001"/>
    <n v="65209.160143000001"/>
    <n v="2506279.2171089998"/>
    <n v="1643874.4981379998"/>
    <n v="151873.143553"/>
    <n v="-537294.77478800062"/>
    <n v="637762.48821099999"/>
    <n v="302881.69056700001"/>
    <n v="9858466.470005"/>
    <n v="6064243.4129560003"/>
    <n v="38.317461322288672"/>
    <n v="50"/>
    <n v="1922463.3929999999"/>
    <n v="2170041.9152560001"/>
    <n v="3565163.0923299999"/>
    <n v="3441575.7587660002"/>
    <n v="1030276.7389849999"/>
    <n v="3890273.0365129998"/>
    <n v="252340.85697599937"/>
    <n v="4193154.7270799996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  <n v="70.577998418508969"/>
    <s v="4. Solvente (&gt;=70 y &lt;80)"/>
  </r>
  <r>
    <s v="94"/>
    <s v="94000"/>
    <x v="3"/>
    <s v="GUAINIA"/>
    <n v="4"/>
    <s v="N/A"/>
    <n v="32052.834347"/>
    <n v="121758.90069400001"/>
    <n v="229426.096036"/>
    <n v="32052.448767999998"/>
    <n v="10662.393081"/>
    <n v="211980.30491799998"/>
    <n v="21277.377533999999"/>
    <n v="74767.676196"/>
    <n v="49399.980131000004"/>
    <n v="0"/>
    <n v="2327.8700890000036"/>
    <n v="57423.3"/>
    <n v="0"/>
    <n v="1190668.2160080001"/>
    <n v="210115.538382"/>
    <n v="39.905063745860033"/>
    <n v="70"/>
    <n v="25305.142346000001"/>
    <n v="42181.569073999999"/>
    <n v="201730.529882"/>
    <n v="169284.409526"/>
    <n v="153811.73504100001"/>
    <n v="229426.096036"/>
    <n v="59751.170089000007"/>
    <n v="229426.096036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  <n v="60.192762500214521"/>
    <s v="3. Vulnerable (&gt;=60 y &lt;70)"/>
  </r>
  <r>
    <s v="44"/>
    <s v="44000"/>
    <x v="3"/>
    <s v="GUAJIRA"/>
    <n v="4"/>
    <s v="N/A"/>
    <n v="0"/>
    <n v="432792.04677300004"/>
    <n v="659772.82426100003"/>
    <n v="149588.67584499999"/>
    <n v="6202.2442130000009"/>
    <n v="590639.87921599997"/>
    <n v="19963.567631999998"/>
    <n v="156183.56567099999"/>
    <n v="97733.370874999993"/>
    <n v="0"/>
    <n v="44708.357206999906"/>
    <n v="132664.319858"/>
    <n v="0"/>
    <n v="1843736.4700579999"/>
    <n v="970017.64069699997"/>
    <n v="54.858545092602739"/>
    <n v="70"/>
    <n v="169936.40880400001"/>
    <n v="151841.199964"/>
    <n v="556614.27225799998"/>
    <n v="506383.101104"/>
    <n v="432792.04677300004"/>
    <n v="659772.82426100003"/>
    <n v="177372.67706499991"/>
    <n v="659772.82426100003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  <n v="51.289648405266874"/>
    <s v="2. Riesgo (&gt;=40 y &lt;60)"/>
  </r>
  <r>
    <s v="95"/>
    <s v="95000"/>
    <x v="3"/>
    <s v="GUAVIARE"/>
    <n v="4"/>
    <s v="N/A"/>
    <n v="30109.057851999998"/>
    <n v="115904.68685700002"/>
    <n v="213747.46528800001"/>
    <n v="39885.399039999997"/>
    <n v="12972.119031999999"/>
    <n v="199091.13940800002"/>
    <n v="30446.000562999998"/>
    <n v="83555.023097999991"/>
    <n v="27939.247814999981"/>
    <n v="2023.8711129999999"/>
    <n v="-14336.350742000039"/>
    <n v="36566.169228999999"/>
    <n v="10336.739"/>
    <n v="1033793.912004"/>
    <n v="239034.512476"/>
    <n v="76.223272471524439"/>
    <n v="70"/>
    <n v="29629.268241000002"/>
    <n v="51606.82518"/>
    <n v="173275.300621"/>
    <n v="151020.09189499999"/>
    <n v="146013.74470900002"/>
    <n v="213747.46528800001"/>
    <n v="24253.689599999962"/>
    <n v="224084.2042880000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  <n v="54.703989321379105"/>
    <s v="2. Riesgo (&gt;=40 y &lt;60)"/>
  </r>
  <r>
    <s v="41"/>
    <s v="41000"/>
    <x v="3"/>
    <s v="HUILA"/>
    <n v="2"/>
    <s v="N/A"/>
    <n v="0"/>
    <n v="552386.17730700003"/>
    <n v="1072217.7698230001"/>
    <n v="242796.02807599999"/>
    <n v="99937.971677999987"/>
    <n v="1392260.4980540001"/>
    <n v="137666.498433"/>
    <n v="345242.59515000001"/>
    <n v="152099.53471400001"/>
    <n v="8785"/>
    <n v="-146184.68955200003"/>
    <n v="159765.89663599999"/>
    <n v="39664.536824000003"/>
    <n v="2592812.929238"/>
    <n v="1665205.7061040001"/>
    <n v="43.901676421073141"/>
    <n v="60"/>
    <n v="259314.56281599999"/>
    <n v="263296.37923600001"/>
    <n v="1025259.398939"/>
    <n v="896200.36975800002"/>
    <n v="552386.17730700003"/>
    <n v="1072217.7698230001"/>
    <n v="22366.207083999965"/>
    <n v="1111882.306647000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  <n v="59.115468161383646"/>
    <s v="2. Riesgo (&gt;=40 y &lt;60)"/>
  </r>
  <r>
    <s v="47"/>
    <s v="47000"/>
    <x v="3"/>
    <s v="MAGDALENA"/>
    <n v="2"/>
    <s v="N/A"/>
    <n v="0"/>
    <n v="769770.56024000002"/>
    <n v="1403563.094885"/>
    <n v="315338.45581700001"/>
    <n v="191139.329726"/>
    <n v="1290305.846896"/>
    <n v="139782.42813699998"/>
    <n v="508133.867264"/>
    <n v="260088.06254700001"/>
    <n v="11948.434433"/>
    <n v="-48598.716215000022"/>
    <n v="370610.926783"/>
    <n v="52000"/>
    <n v="2540860.1916809999"/>
    <n v="1148459.874636"/>
    <n v="56.190341891655848"/>
    <n v="60"/>
    <n v="467800.92988399998"/>
    <n v="491807.41420699999"/>
    <n v="1204116.0063829999"/>
    <n v="951819.28443999996"/>
    <n v="769770.56024000002"/>
    <n v="1403563.094885"/>
    <n v="333960.64500099997"/>
    <n v="1455563.094885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  <n v="47.286319359308919"/>
    <s v="2. Riesgo (&gt;=40 y &lt;60)"/>
  </r>
  <r>
    <s v="50"/>
    <s v="50000"/>
    <x v="3"/>
    <s v="META"/>
    <n v="1"/>
    <s v="N/A"/>
    <n v="0"/>
    <n v="367742.22785100003"/>
    <n v="1003491.107913"/>
    <n v="392754.42291100003"/>
    <n v="83630.413635999997"/>
    <n v="1036143.394596"/>
    <n v="1690.0210619999998"/>
    <n v="478357.34229000006"/>
    <n v="238175.20581000004"/>
    <n v="20531.735135999999"/>
    <n v="14013.970280000125"/>
    <n v="214831.07516099999"/>
    <n v="9589.5893020000003"/>
    <n v="9281976.9695849996"/>
    <n v="1517473.794581"/>
    <n v="47.133611605767292"/>
    <n v="55"/>
    <n v="396975.78305000003"/>
    <n v="428118.18178099999"/>
    <n v="749295.00115300005"/>
    <n v="699508.50942400005"/>
    <n v="367742.22785100003"/>
    <n v="1003491.107913"/>
    <n v="249376.78057700011"/>
    <n v="1013080.697215000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  <n v="57.850808436658269"/>
    <s v="2. Riesgo (&gt;=40 y &lt;60)"/>
  </r>
  <r>
    <s v="52"/>
    <s v="52000"/>
    <x v="3"/>
    <s v="NARIÑO"/>
    <n v="1"/>
    <s v="N/A"/>
    <n v="0"/>
    <n v="838042.98374599998"/>
    <n v="1418053.782226"/>
    <n v="262920.875451"/>
    <n v="112400.97011699998"/>
    <n v="1318807.2755100003"/>
    <n v="68129.740449000004"/>
    <n v="380352.763034"/>
    <n v="201675.24735200001"/>
    <n v="0"/>
    <n v="-24226.290997000178"/>
    <n v="307094.85618599999"/>
    <n v="0"/>
    <n v="3663680.8840509998"/>
    <n v="1839751.5539210001"/>
    <n v="40.974796783731129"/>
    <n v="55"/>
    <n v="169458.29485100001"/>
    <n v="241042.38814699999"/>
    <n v="1263602.557541"/>
    <n v="1058052.3178630001"/>
    <n v="838042.98374599998"/>
    <n v="1418053.782226"/>
    <n v="282868.56518899981"/>
    <n v="1418053.782226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  <n v="54.568742123437204"/>
    <s v="2. Riesgo (&gt;=40 y &lt;60)"/>
  </r>
  <r>
    <s v="54"/>
    <s v="54000"/>
    <x v="3"/>
    <s v="NORTE DE SANTANDER"/>
    <n v="2"/>
    <s v="N/A"/>
    <n v="0"/>
    <n v="657569.02635299996"/>
    <n v="1264450.177254"/>
    <n v="359782.37497800001"/>
    <n v="114017.61197199998"/>
    <n v="1278002.1065479999"/>
    <n v="19148.126222999999"/>
    <n v="475945.67609299999"/>
    <n v="267853.75635199994"/>
    <n v="28984.038911"/>
    <n v="-220493.13948399993"/>
    <n v="304822.466954"/>
    <n v="35000"/>
    <n v="2737803.3007220002"/>
    <n v="1531063.4872610001"/>
    <n v="47.293900337534566"/>
    <n v="60"/>
    <n v="316082.59749900002"/>
    <n v="406252.47766799998"/>
    <n v="1276851.3969970001"/>
    <n v="1039302.6069660001"/>
    <n v="657569.02635299996"/>
    <n v="1264450.177254"/>
    <n v="113313.36638100009"/>
    <n v="1299450.177254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  <n v="58.138669449431433"/>
    <s v="2. Riesgo (&gt;=40 y &lt;60)"/>
  </r>
  <r>
    <s v="86"/>
    <s v="86000"/>
    <x v="3"/>
    <s v="PUTUMAYO"/>
    <n v="4"/>
    <s v="N/A"/>
    <n v="30109.057853999999"/>
    <n v="361245.93584399996"/>
    <n v="532641.1586529999"/>
    <n v="59075.089930999995"/>
    <n v="28024.984209999991"/>
    <n v="496786.292197"/>
    <n v="53313.271164999998"/>
    <n v="117813.18519299998"/>
    <n v="41798.974231999979"/>
    <n v="757.12473299999999"/>
    <n v="-40159.344505000161"/>
    <n v="71100.773107000001"/>
    <n v="0"/>
    <n v="1589336.115431"/>
    <n v="432224.62767199997"/>
    <n v="64.818630015215476"/>
    <n v="70"/>
    <n v="52924.317827999999"/>
    <n v="68250.256492999993"/>
    <n v="496786.292197"/>
    <n v="437892.78838500002"/>
    <n v="391354.99369799998"/>
    <n v="532641.1586529999"/>
    <n v="31698.553334999837"/>
    <n v="532641.1586529999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  <n v="61.018549629217262"/>
    <s v="3. Vulnerable (&gt;=60 y &lt;70)"/>
  </r>
  <r>
    <s v="63"/>
    <s v="63000"/>
    <x v="3"/>
    <s v="QUINDIO"/>
    <n v="3"/>
    <s v="N/A"/>
    <n v="0"/>
    <n v="192184.54999000003"/>
    <n v="476193.105568"/>
    <n v="174488.99472399999"/>
    <n v="63919.002297999985"/>
    <n v="414232.60491700005"/>
    <n v="6599.0570420000004"/>
    <n v="245155.94325699998"/>
    <n v="122746.74656199997"/>
    <n v="2864.5663129999998"/>
    <n v="-47320.299210000027"/>
    <n v="96895.836473000003"/>
    <n v="14841"/>
    <n v="1478197.7244180001"/>
    <n v="875866.68843600003"/>
    <n v="70.70008694576758"/>
    <n v="70"/>
    <n v="157728.98678000001"/>
    <n v="191371.76823799999"/>
    <n v="399373.20808299998"/>
    <n v="367906.08167500002"/>
    <n v="192184.54999000003"/>
    <n v="476193.105568"/>
    <n v="52440.10357599998"/>
    <n v="491034.105568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  <n v="49.997613010596091"/>
    <s v="2. Riesgo (&gt;=40 y &lt;60)"/>
  </r>
  <r>
    <s v="66"/>
    <s v="66000"/>
    <x v="3"/>
    <s v="RISARALDA"/>
    <n v="2"/>
    <s v="N/A"/>
    <n v="0"/>
    <n v="225678.87617500001"/>
    <n v="751998.12486500002"/>
    <n v="266481.76376399997"/>
    <n v="117822.26447500002"/>
    <n v="657700.67057800002"/>
    <n v="7661.1679019999992"/>
    <n v="384683.95663000003"/>
    <n v="243460.19305200002"/>
    <n v="2125.2653949999999"/>
    <n v="-44206.707900000038"/>
    <n v="342417.71611699997"/>
    <n v="12540.445141"/>
    <n v="2928379.5990399998"/>
    <n v="1362417.347688"/>
    <n v="59.191628274728544"/>
    <n v="60"/>
    <n v="259071.10682399999"/>
    <n v="298277.47541200003"/>
    <n v="654981.06918700004"/>
    <n v="609097.87561800005"/>
    <n v="225678.87617500001"/>
    <n v="751998.12486500002"/>
    <n v="300336.27361199993"/>
    <n v="764538.57000599999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  <n v="46.727185051941774"/>
    <s v="2. Riesgo (&gt;=40 y &lt;60)"/>
  </r>
  <r>
    <s v="88"/>
    <s v="88000"/>
    <x v="3"/>
    <s v="SAN ANDRES"/>
    <n v="3"/>
    <s v="N/A"/>
    <n v="59527.163401999998"/>
    <n v="63826.354435000001"/>
    <n v="471556.57726699999"/>
    <n v="60685.420497999999"/>
    <n v="102286.42011799999"/>
    <n v="272635.160172"/>
    <n v="61789.106067000001"/>
    <n v="222983.817882"/>
    <n v="-18194.058334000001"/>
    <n v="0"/>
    <n v="-42256.459121000022"/>
    <n v="93363.497713999997"/>
    <n v="0"/>
    <n v="1885018.8876"/>
    <n v="358866.16067999997"/>
    <n v="83.494438600324543"/>
    <n v="70"/>
    <n v="233789.5"/>
    <n v="162889.64419299999"/>
    <n v="272635.160172"/>
    <n v="248155.70200700001"/>
    <n v="123353.51783699999"/>
    <n v="471556.57726699999"/>
    <n v="51107.038592999976"/>
    <n v="471556.57726699999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  <n v="61.035211188085682"/>
    <s v="3. Vulnerable (&gt;=60 y &lt;70)"/>
  </r>
  <r>
    <s v="68"/>
    <s v="68000"/>
    <x v="3"/>
    <s v="SANTANDER"/>
    <n v="1"/>
    <s v="N/A"/>
    <n v="0"/>
    <n v="760865.00191399991"/>
    <n v="1880718.7261239998"/>
    <n v="758862.68155999994"/>
    <n v="89511.249306000012"/>
    <n v="1755374.0170819999"/>
    <n v="224636.59049900001"/>
    <n v="851049.97987899999"/>
    <n v="357382.97740999999"/>
    <n v="39885.072628000002"/>
    <n v="-92915.5612420002"/>
    <n v="423910.55848800001"/>
    <n v="0"/>
    <n v="6204947.1158199999"/>
    <n v="5118431.6710839998"/>
    <n v="55.327929440342459"/>
    <n v="55"/>
    <n v="747914.07731199998"/>
    <n v="799197.89053800004"/>
    <n v="1479967.2848970001"/>
    <n v="1280178.212299"/>
    <n v="760865.00191399991"/>
    <n v="1880718.7261239998"/>
    <n v="370880.0698739998"/>
    <n v="1880718.7261239998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  <n v="54.728703106808155"/>
    <s v="2. Riesgo (&gt;=40 y &lt;60)"/>
  </r>
  <r>
    <s v="70"/>
    <s v="70000"/>
    <x v="3"/>
    <s v="SUCRE"/>
    <n v="3"/>
    <s v="N/A"/>
    <n v="0"/>
    <n v="622135.80472399993"/>
    <n v="874096.66727399989"/>
    <n v="193730.11619000003"/>
    <n v="25296.859053"/>
    <n v="1001046.6668789999"/>
    <n v="171697.10267699999"/>
    <n v="220152.42357800002"/>
    <n v="124817.00716700002"/>
    <n v="4364.0891140000003"/>
    <n v="-146021.2798919999"/>
    <n v="148676.87523400001"/>
    <n v="29741.495198000001"/>
    <n v="1827951.2538069999"/>
    <n v="643440.89253099996"/>
    <n v="68.509472017601155"/>
    <n v="70"/>
    <n v="161093.271656"/>
    <n v="215601.21788499999"/>
    <n v="924782.53075499996"/>
    <n v="831177.22487000003"/>
    <n v="622135.80472399993"/>
    <n v="874096.66727399989"/>
    <n v="7019.6844560001045"/>
    <n v="903838.16247199988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  <n v="67.505629872697114"/>
    <s v="3. Vulnerable (&gt;=60 y &lt;70)"/>
  </r>
  <r>
    <s v="73"/>
    <s v="73000"/>
    <x v="3"/>
    <s v="TOLIMA"/>
    <n v="2"/>
    <s v="N/A"/>
    <n v="0"/>
    <n v="781651.69561299996"/>
    <n v="1398515.6663210001"/>
    <n v="323801.35674800002"/>
    <n v="109464.46976399996"/>
    <n v="1309026.6474750002"/>
    <n v="38356.491267999998"/>
    <n v="449397.64377299999"/>
    <n v="163486.732953"/>
    <n v="11022.610366999999"/>
    <n v="-108118.2007360002"/>
    <n v="111357.31282399999"/>
    <n v="0"/>
    <n v="2903897.1383859999"/>
    <n v="2409190.2070439998"/>
    <n v="45.23033447574992"/>
    <n v="60"/>
    <n v="365408.52856300003"/>
    <n v="368856.357862"/>
    <n v="1220722.9562369999"/>
    <n v="1089822.754153"/>
    <n v="781651.69561299996"/>
    <n v="1398515.6663210001"/>
    <n v="14261.722454999792"/>
    <n v="1398515.666321000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  <n v="53.32915750967652"/>
    <s v="2. Riesgo (&gt;=40 y &lt;60)"/>
  </r>
  <r>
    <s v="76"/>
    <s v="76000"/>
    <x v="3"/>
    <s v="VALLE DEL CAUCA"/>
    <s v="ESP"/>
    <s v="N/A"/>
    <n v="0"/>
    <n v="666471.29688000004"/>
    <n v="2927856.9061650001"/>
    <n v="1255262.0270110001"/>
    <n v="536532.74213900021"/>
    <n v="2861466.0987970005"/>
    <n v="131006.24646900001"/>
    <n v="1799060.1740150002"/>
    <n v="1145701.8042320004"/>
    <n v="83466.884858000005"/>
    <n v="-456089.08877800032"/>
    <n v="656796.71949699998"/>
    <n v="282700"/>
    <n v="7642654.332711"/>
    <n v="5487223.3509569997"/>
    <n v="41.506255663648851"/>
    <n v="50"/>
    <n v="1337333.3999999999"/>
    <n v="1401963.2016739999"/>
    <n v="2735442.0966579998"/>
    <n v="2473164.8479860001"/>
    <n v="666471.29688000004"/>
    <n v="2927856.9061650001"/>
    <n v="284174.51557699963"/>
    <n v="3210556.906165000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  <n v="72.901944189514623"/>
    <s v="4. Solvente (&gt;=70 y &lt;80)"/>
  </r>
  <r>
    <s v="97"/>
    <s v="97000"/>
    <x v="3"/>
    <s v="VAUPES"/>
    <n v="4"/>
    <s v="N/A"/>
    <n v="33878.025674000004"/>
    <n v="93061.367834999997"/>
    <n v="171401.18383600001"/>
    <n v="16325.403121000001"/>
    <n v="6869.1605740000005"/>
    <n v="143151.347431"/>
    <n v="3685.1894430000002"/>
    <n v="57169.944511000009"/>
    <n v="37849.19728800001"/>
    <n v="0"/>
    <n v="8929.0891819999961"/>
    <n v="71354.469631999993"/>
    <n v="0"/>
    <n v="795563.97648800001"/>
    <n v="82848.783683999995"/>
    <n v="31.699567882771845"/>
    <n v="70"/>
    <n v="13923.240895000001"/>
    <n v="20907.741061000001"/>
    <n v="143151.347431"/>
    <n v="127383.235881"/>
    <n v="126939.393509"/>
    <n v="171401.18383600001"/>
    <n v="80283.558813999989"/>
    <n v="171401.1838360000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  <n v="49.247659183115147"/>
    <s v="2. Riesgo (&gt;=40 y &lt;60)"/>
  </r>
  <r>
    <s v="99"/>
    <s v="99000"/>
    <x v="3"/>
    <s v="VICHADA"/>
    <n v="4"/>
    <s v="N/A"/>
    <n v="31815.996584"/>
    <n v="92002.330484000006"/>
    <n v="186330.676661"/>
    <n v="25586.605261999997"/>
    <n v="3279.0660430000003"/>
    <n v="336885.50049100001"/>
    <n v="11241.129569000001"/>
    <n v="60736.314959999996"/>
    <n v="26145.160438999999"/>
    <n v="0"/>
    <n v="-19452.488021999976"/>
    <n v="42707.098946999999"/>
    <n v="0"/>
    <n v="777997.68094999995"/>
    <n v="142866.19673"/>
    <n v="60.751441670887942"/>
    <n v="70"/>
    <n v="18779.037500999999"/>
    <n v="28606.393351999999"/>
    <n v="171192.01016199999"/>
    <n v="144835.52415899999"/>
    <n v="123818.32706800001"/>
    <n v="186330.676661"/>
    <n v="23254.610925000023"/>
    <n v="186330.67666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  <n v="49.265135076260194"/>
    <s v="2. Riesgo (&gt;=40 y &lt;60)"/>
  </r>
  <r>
    <s v="85"/>
    <s v="85000"/>
    <x v="4"/>
    <s v="CASANARE"/>
    <n v="3"/>
    <n v="2"/>
    <n v="38395.44728"/>
    <n v="308281.44166700001"/>
    <n v="660627.00222100003"/>
    <n v="156752.284017"/>
    <n v="33766.266918000001"/>
    <n v="1585364.5364659999"/>
    <n v="763817.85988799995"/>
    <n v="231171.32487400001"/>
    <n v="124862.96584200002"/>
    <n v="0"/>
    <n v="23172.669216000126"/>
    <n v="77702.277233999994"/>
    <n v="0"/>
    <n v="3349108.0104901399"/>
    <n v="760401.17518092005"/>
    <n v="58.857956198107821"/>
    <n v="70"/>
    <n v="132141.89499299999"/>
    <n v="190518.55093500001"/>
    <n v="531145.97397299996"/>
    <n v="483908.63408400002"/>
    <n v="346676.88894700003"/>
    <n v="660627.00222100003"/>
    <n v="100874.94645000012"/>
    <n v="660627.00222100003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  <n v="70.904287562117048"/>
    <s v="4. Solvente (&gt;=70 y &lt;80)"/>
  </r>
  <r>
    <s v="20"/>
    <s v="20000"/>
    <x v="4"/>
    <s v="CESAR"/>
    <n v="2"/>
    <n v="1"/>
    <n v="0"/>
    <n v="733540.14494499995"/>
    <n v="1194410.662451"/>
    <n v="197634.02874699997"/>
    <n v="95108.676294000004"/>
    <n v="2247293.306084"/>
    <n v="1170419.7787840001"/>
    <n v="293817.31616699998"/>
    <n v="155223.90327099996"/>
    <n v="16430.388867999998"/>
    <n v="-140064.48679900006"/>
    <n v="264839.138033"/>
    <n v="0"/>
    <n v="4488299.4582816102"/>
    <n v="1128571.06672379"/>
    <n v="56.859487648151962"/>
    <n v="60"/>
    <n v="252189.04891300001"/>
    <n v="292742.70504099998"/>
    <n v="1195881.7363539999"/>
    <n v="981801.93388599996"/>
    <n v="733540.14494499995"/>
    <n v="1194410.662451"/>
    <n v="141205.04010199994"/>
    <n v="1194410.662451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  <n v="68.748150787999663"/>
    <s v="3. Vulnerable (&gt;=60 y &lt;70)"/>
  </r>
  <r>
    <s v="08"/>
    <s v="08000"/>
    <x v="4"/>
    <s v="ATLANTICO"/>
    <n v="1"/>
    <n v="1"/>
    <n v="0"/>
    <n v="613214.49442399992"/>
    <n v="1792448.22015"/>
    <n v="648804.75106299995"/>
    <n v="312951.84524999995"/>
    <n v="1508455.6662699997"/>
    <n v="80998.806712999998"/>
    <n v="963048.00407799997"/>
    <n v="700025.650884"/>
    <n v="249.866985"/>
    <n v="107792.87727400032"/>
    <n v="156154.243514"/>
    <n v="146588.59011799999"/>
    <n v="5939780.0461517097"/>
    <n v="3685234.1660671402"/>
    <n v="36.7992801202994"/>
    <n v="55"/>
    <n v="1033190.3746569999"/>
    <n v="961756.59631299996"/>
    <n v="1421632.9896819997"/>
    <n v="1108603.8555920001"/>
    <n v="613214.49442399992"/>
    <n v="1792448.22015"/>
    <n v="264196.98777300026"/>
    <n v="1939036.810268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  <n v="61.84893636683325"/>
    <s v="3. Vulnerable (&gt;=60 y &lt;70)"/>
  </r>
  <r>
    <s v="41"/>
    <s v="41000"/>
    <x v="4"/>
    <s v="HUILA"/>
    <n v="2"/>
    <n v="1"/>
    <n v="0"/>
    <n v="726090.31134199991"/>
    <n v="1261111.410192"/>
    <n v="249601.39709400001"/>
    <n v="104320.959225"/>
    <n v="1501813.0259969998"/>
    <n v="333724.66065000003"/>
    <n v="380551.81654100004"/>
    <n v="230279.28714900001"/>
    <n v="10892.071433999999"/>
    <n v="57069.969900999917"/>
    <n v="70168.469190999996"/>
    <n v="24006"/>
    <n v="2828675.3000359903"/>
    <n v="1992773.9845161699"/>
    <n v="42.378078734352705"/>
    <n v="60"/>
    <n v="346220.58923799999"/>
    <n v="353922.35631900001"/>
    <n v="1053768.910899"/>
    <n v="967476.52415800001"/>
    <n v="726090.31134199991"/>
    <n v="1261111.410192"/>
    <n v="138130.51052599991"/>
    <n v="1285117.410192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  <n v="60.742783661202992"/>
    <s v="3. Vulnerable (&gt;=60 y &lt;70)"/>
  </r>
  <r>
    <s v="70"/>
    <s v="70000"/>
    <x v="4"/>
    <s v="SUCRE"/>
    <n v="3"/>
    <n v="1"/>
    <n v="0"/>
    <n v="794600.99794000003"/>
    <n v="1121664.691475"/>
    <n v="189688.68285000004"/>
    <n v="23895.687479"/>
    <n v="1323859.7135429999"/>
    <n v="294338.07861099998"/>
    <n v="214811.89594000005"/>
    <n v="106073.52391500006"/>
    <n v="8134.6273789999996"/>
    <n v="-134788.34735699976"/>
    <n v="72577.641629999998"/>
    <n v="19696.618559999999"/>
    <n v="1914616.78390003"/>
    <n v="658527.88325849001"/>
    <n v="73.022087157755863"/>
    <n v="70"/>
    <n v="225915.89512299999"/>
    <n v="213584.37032900006"/>
    <n v="1147714.6668069998"/>
    <n v="912722.37294499995"/>
    <n v="794600.99794000003"/>
    <n v="1121664.691475"/>
    <n v="-54076.078347999763"/>
    <n v="1141361.3100350001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  <n v="60.525919514240925"/>
    <s v="3. Vulnerable (&gt;=60 y &lt;70)"/>
  </r>
  <r>
    <s v="81"/>
    <s v="81000"/>
    <x v="4"/>
    <s v="ARAUCA"/>
    <n v="4"/>
    <n v="3"/>
    <n v="38395.447283000001"/>
    <n v="334519.54699199996"/>
    <n v="470889.45357200003"/>
    <n v="46530.751636000001"/>
    <n v="7338.7985479999998"/>
    <n v="461033.86440700002"/>
    <n v="68984.892301999993"/>
    <n v="93143.385584000003"/>
    <n v="38973.168938000003"/>
    <n v="0"/>
    <n v="-28161.367277999932"/>
    <n v="49606.297112"/>
    <n v="0"/>
    <n v="1395880.8783835301"/>
    <n v="746298.07535215002"/>
    <n v="62.20677166019005"/>
    <n v="70"/>
    <n v="43614.66"/>
    <n v="53869.550184"/>
    <n v="444880.60420399997"/>
    <n v="396261.58978400001"/>
    <n v="372914.99427499995"/>
    <n v="470889.45357200003"/>
    <n v="21444.929834000068"/>
    <n v="470889.45357200003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  <n v="59.190463853359461"/>
    <s v="2. Riesgo (&gt;=40 y &lt;60)"/>
  </r>
  <r>
    <s v="95"/>
    <s v="95000"/>
    <x v="4"/>
    <s v="GUAVIARE"/>
    <n v="4"/>
    <n v="3"/>
    <n v="38395.447281000001"/>
    <n v="153598.708724"/>
    <n v="264537.82666999998"/>
    <n v="39890.196195000004"/>
    <n v="13253.501839999999"/>
    <n v="258662.48024799998"/>
    <n v="55051.211652999998"/>
    <n v="92109.642462999996"/>
    <n v="33377.357230000001"/>
    <n v="2713.6376319999999"/>
    <n v="9875.7509719999798"/>
    <n v="26459.691760000002"/>
    <n v="0"/>
    <n v="1055273.8893259999"/>
    <n v="229925.19654400001"/>
    <n v="64.189240597773178"/>
    <n v="70"/>
    <n v="31205.725396999998"/>
    <n v="53143.698035000001"/>
    <n v="195929.790465"/>
    <n v="183377.96952899999"/>
    <n v="191994.156005"/>
    <n v="264537.82666999998"/>
    <n v="39049.080363999979"/>
    <n v="264537.82666999998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  <n v="58.566767148313708"/>
    <s v="2. Riesgo (&gt;=40 y &lt;60)"/>
  </r>
  <r>
    <s v="99"/>
    <s v="99000"/>
    <x v="4"/>
    <s v="VICHADA"/>
    <n v="4"/>
    <n v="3"/>
    <n v="43789.647294000002"/>
    <n v="150808.18316300001"/>
    <n v="284467.94299100002"/>
    <n v="31602.745857000002"/>
    <n v="3565.9492529999998"/>
    <n v="381023.93484200002"/>
    <n v="86377.033859999996"/>
    <n v="79040.400446"/>
    <n v="44314.967016000002"/>
    <n v="0"/>
    <n v="63099.85115100001"/>
    <n v="58662.266529"/>
    <n v="0"/>
    <n v="799695.57270899997"/>
    <n v="183941.604567"/>
    <n v="49.148880312651386"/>
    <n v="70"/>
    <n v="22699.514874"/>
    <n v="35168.695110000001"/>
    <n v="186642.65841"/>
    <n v="162628.676385"/>
    <n v="194597.830457"/>
    <n v="284467.94299100002"/>
    <n v="121762.11768000001"/>
    <n v="284467.94299100002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  <n v="58.223626018736937"/>
    <s v="2. Riesgo (&gt;=40 y &lt;60)"/>
  </r>
  <r>
    <s v="17"/>
    <s v="17000"/>
    <x v="4"/>
    <s v="CALDAS"/>
    <n v="2"/>
    <n v="1"/>
    <n v="0"/>
    <n v="547697.65824500006"/>
    <n v="1108493.1248659999"/>
    <n v="255588.44728999998"/>
    <n v="131031.36120099999"/>
    <n v="991249.02254700009"/>
    <n v="199314.610128"/>
    <n v="390864.523254"/>
    <n v="179574.52416699997"/>
    <n v="23153.576560000001"/>
    <n v="-28744.894046000205"/>
    <n v="182715.21759799999"/>
    <n v="0"/>
    <n v="3763171.8214059998"/>
    <n v="2348179.566596"/>
    <n v="43.33356962532077"/>
    <n v="60"/>
    <n v="342822.15150400001"/>
    <n v="386619.80849099997"/>
    <n v="925948.01982500008"/>
    <n v="848491.87223600002"/>
    <n v="547697.65824500006"/>
    <n v="1108493.1248659999"/>
    <n v="177123.90011199977"/>
    <n v="1108493.1248659999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  <n v="57.887935182259362"/>
    <s v="2. Riesgo (&gt;=40 y &lt;60)"/>
  </r>
  <r>
    <s v="44"/>
    <s v="44000"/>
    <x v="4"/>
    <s v="GUAJIRA"/>
    <n v="4"/>
    <n v="2"/>
    <n v="0"/>
    <n v="529266.39564200002"/>
    <n v="787928.97170700005"/>
    <n v="178577.22758599999"/>
    <n v="11270.064468"/>
    <n v="923482.92813000013"/>
    <n v="71587.703214000008"/>
    <n v="190214.12937399998"/>
    <n v="120400.45204799998"/>
    <n v="0"/>
    <n v="-8242.9542510000756"/>
    <n v="97771.430519999994"/>
    <n v="0"/>
    <n v="1882358.3930086598"/>
    <n v="919864.11451718991"/>
    <n v="56.121867755665754"/>
    <n v="70"/>
    <n v="163725.741197"/>
    <n v="189847.29205399999"/>
    <n v="726358.24863200018"/>
    <n v="663560.28995600005"/>
    <n v="529266.39564200002"/>
    <n v="787928.97170700005"/>
    <n v="89528.476268999919"/>
    <n v="787928.97170700005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  <n v="57.419127374306115"/>
    <s v="2. Riesgo (&gt;=40 y &lt;60)"/>
  </r>
  <r>
    <s v="86"/>
    <s v="86000"/>
    <x v="4"/>
    <s v="PUTUMAYO"/>
    <n v="4"/>
    <n v="3"/>
    <n v="38395.447281000001"/>
    <n v="475545.15639999998"/>
    <n v="670136.59288899996"/>
    <n v="56749.077140999994"/>
    <n v="33669.962288000002"/>
    <n v="580983.7935400001"/>
    <n v="34895.123702000004"/>
    <n v="129625.05613099999"/>
    <n v="42785.293429999991"/>
    <n v="705.011619"/>
    <n v="2313.036647999892"/>
    <n v="42288.558229000002"/>
    <n v="0"/>
    <n v="1608240.8868507301"/>
    <n v="438661.56260007003"/>
    <n v="59.63003613516539"/>
    <n v="70"/>
    <n v="76452.411703000005"/>
    <n v="90419.039428999997"/>
    <n v="580983.7935400001"/>
    <n v="546872.92164700001"/>
    <n v="513940.60368099995"/>
    <n v="670136.59288899996"/>
    <n v="45306.606495999891"/>
    <n v="670136.59288899996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  <n v="56.380107254116687"/>
    <s v="2. Riesgo (&gt;=40 y &lt;60)"/>
  </r>
  <r>
    <s v="94"/>
    <s v="94000"/>
    <x v="4"/>
    <s v="GUAINIA"/>
    <n v="4"/>
    <n v="3"/>
    <n v="47578.505463000001"/>
    <n v="130245.510431"/>
    <n v="279469.08718999999"/>
    <n v="37811.921450000002"/>
    <n v="4357.0553110000001"/>
    <n v="261857.78476099996"/>
    <n v="7577.3214749999997"/>
    <n v="89747.482224000007"/>
    <n v="61049.601786000007"/>
    <n v="0"/>
    <n v="16597.179263000027"/>
    <n v="76474.107325000004"/>
    <n v="0"/>
    <n v="1344687.6497638898"/>
    <n v="202090.99397945998"/>
    <n v="40.579655239987225"/>
    <n v="70"/>
    <n v="36985.625482000003"/>
    <n v="42168.976760999998"/>
    <n v="234174.02748899997"/>
    <n v="179960.41031000001"/>
    <n v="177824.01589400001"/>
    <n v="279469.08718999999"/>
    <n v="93071.286588000032"/>
    <n v="279469.08718999999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  <n v="55.457030868659032"/>
    <s v="2. Riesgo (&gt;=40 y &lt;60)"/>
  </r>
  <r>
    <s v="66"/>
    <s v="66000"/>
    <x v="4"/>
    <s v="RISARALDA"/>
    <n v="2"/>
    <n v="1"/>
    <n v="0"/>
    <n v="284735.83281400002"/>
    <n v="778410.57756100013"/>
    <n v="284209.30659400002"/>
    <n v="131837.036081"/>
    <n v="737223.13341199991"/>
    <n v="24542.074837"/>
    <n v="416624.24691000005"/>
    <n v="282832.13774800004"/>
    <n v="6730.276347"/>
    <n v="-63123.581061999896"/>
    <n v="302952.38820300001"/>
    <n v="0"/>
    <n v="2827515.7054590001"/>
    <n v="1489406.265048"/>
    <n v="38.100670362076649"/>
    <n v="60"/>
    <n v="366587.07485700003"/>
    <n v="416046.34267500002"/>
    <n v="707742.04946100002"/>
    <n v="646992.22171800002"/>
    <n v="284735.83281400002"/>
    <n v="778410.57756100013"/>
    <n v="246559.08348800012"/>
    <n v="778410.5775610001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  <n v="54.74197396775984"/>
    <s v="2. Riesgo (&gt;=40 y &lt;60)"/>
  </r>
  <r>
    <s v="97"/>
    <s v="97000"/>
    <x v="4"/>
    <s v="VAUPES"/>
    <n v="4"/>
    <n v="3"/>
    <n v="39243.516512000002"/>
    <n v="114381.297871"/>
    <n v="219720.16740199999"/>
    <n v="14204.409812999998"/>
    <n v="2468.894659"/>
    <n v="215313.48372300004"/>
    <n v="9940.8798700000007"/>
    <n v="56050.031894"/>
    <n v="33164.851843999997"/>
    <n v="0"/>
    <n v="-18478.496371000045"/>
    <n v="94494.120458000005"/>
    <n v="0"/>
    <n v="904982.18007643009"/>
    <n v="155716.04743124"/>
    <n v="35.673340508708584"/>
    <n v="70"/>
    <n v="15324.035715"/>
    <n v="16673.304472"/>
    <n v="215313.48372300004"/>
    <n v="172557.74295399999"/>
    <n v="153624.81438300002"/>
    <n v="219720.16740199999"/>
    <n v="76015.62408699996"/>
    <n v="219720.16740199999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  <n v="52.785252102588885"/>
    <s v="2. Riesgo (&gt;=40 y &lt;60)"/>
  </r>
  <r>
    <s v="27"/>
    <s v="27000"/>
    <x v="4"/>
    <s v="CHOCO"/>
    <n v="3"/>
    <n v="3"/>
    <n v="0"/>
    <n v="697181.19780099997"/>
    <n v="884464.58065999998"/>
    <n v="108414.43075599999"/>
    <n v="14041.734782"/>
    <n v="795101.06739600003"/>
    <n v="14099.388326999999"/>
    <n v="122585.24121999998"/>
    <n v="43437.606785999975"/>
    <n v="0"/>
    <n v="10215.878829999943"/>
    <n v="56804.907994000001"/>
    <n v="0"/>
    <n v="2415160.61956756"/>
    <n v="587798.06815544993"/>
    <n v="65.607177278687956"/>
    <n v="70"/>
    <n v="106739.682441"/>
    <n v="122456.16553799999"/>
    <n v="795101.06739600003"/>
    <n v="635898.94187400001"/>
    <n v="697181.19780099997"/>
    <n v="884464.58065999998"/>
    <n v="67020.786823999952"/>
    <n v="884464.58065999998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  <n v="52.449158484693996"/>
    <s v="2. Riesgo (&gt;=40 y &lt;60)"/>
  </r>
  <r>
    <s v="19"/>
    <s v="19000"/>
    <x v="4"/>
    <s v="CAUCA"/>
    <n v="3"/>
    <n v="2"/>
    <n v="0"/>
    <n v="1427772.6895050001"/>
    <n v="1853197.0564049999"/>
    <n v="164768.36675799999"/>
    <n v="120786.640801"/>
    <n v="1748202.1074060001"/>
    <n v="20032.813782999998"/>
    <n v="286731.92538099998"/>
    <n v="143500.05002099997"/>
    <n v="3336.9935070000001"/>
    <n v="46995.985376999946"/>
    <n v="283471.02739200002"/>
    <n v="0"/>
    <n v="3600160.6356799998"/>
    <n v="1217557.4699810001"/>
    <n v="40.362800755076059"/>
    <n v="70"/>
    <n v="296348.40035700001"/>
    <n v="285555.00755899999"/>
    <n v="1662969.195668"/>
    <n v="1627602.724533"/>
    <n v="1427772.6895050001"/>
    <n v="1853197.0564049999"/>
    <n v="333804.00627599994"/>
    <n v="1853197.0564049999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  <n v="52.242421503037733"/>
    <s v="2. Riesgo (&gt;=40 y &lt;60)"/>
  </r>
  <r>
    <s v="05"/>
    <s v="05000"/>
    <x v="4"/>
    <s v="ANTIOQUIA"/>
    <s v="ESP"/>
    <n v="1"/>
    <n v="0"/>
    <n v="2185756.971653"/>
    <n v="6362170.0811090004"/>
    <n v="2105396.8552489998"/>
    <n v="1262248.3300910001"/>
    <n v="5557896.2575310012"/>
    <n v="235150.95785900002"/>
    <n v="3392717.2894199998"/>
    <n v="2174780.558923"/>
    <n v="267602.986661"/>
    <n v="-176685.35771200061"/>
    <n v="1110806.930898"/>
    <n v="295876.12081400002"/>
    <n v="16095790.780893"/>
    <n v="13366808.623283001"/>
    <n v="22.328067188505255"/>
    <n v="50"/>
    <n v="3062505.434471"/>
    <n v="3367645.1853399999"/>
    <n v="5320918.7083240012"/>
    <n v="4228125.5784480004"/>
    <n v="2185756.971653"/>
    <n v="6362170.0811090004"/>
    <n v="1201724.5598469994"/>
    <n v="6658046.2019230006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  <n v="51.715650716131883"/>
    <s v="2. Riesgo (&gt;=40 y &lt;60)"/>
  </r>
  <r>
    <s v="76"/>
    <s v="76000"/>
    <x v="4"/>
    <s v="VALLE DEL CAUCA"/>
    <s v="ESP"/>
    <n v="1"/>
    <n v="0"/>
    <n v="844229.16659100004"/>
    <n v="3135605.3948600003"/>
    <n v="1352480.6639190002"/>
    <n v="536270.10542299994"/>
    <n v="2610293.7489539995"/>
    <n v="139266.69566999999"/>
    <n v="1898684.7041500001"/>
    <n v="1164245.1855330002"/>
    <n v="104937.465207"/>
    <n v="-137093.01294099959"/>
    <n v="536851.578645"/>
    <n v="99026.817550000007"/>
    <n v="7801580.7395869996"/>
    <n v="7030761.6766950004"/>
    <n v="36.923552388861985"/>
    <n v="50"/>
    <n v="2079941.328216"/>
    <n v="1888750.7693420001"/>
    <n v="2538258.889184"/>
    <n v="2072622.598911"/>
    <n v="844229.16659100004"/>
    <n v="3135605.3948600003"/>
    <n v="504696.03091100045"/>
    <n v="3234632.2124100002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  <n v="51.338436603757202"/>
    <s v="2. Riesgo (&gt;=40 y &lt;60)"/>
  </r>
  <r>
    <s v="63"/>
    <s v="63000"/>
    <x v="4"/>
    <s v="QUINDIO"/>
    <n v="3"/>
    <n v="1"/>
    <n v="0"/>
    <n v="247915.077942"/>
    <n v="570595.63944100006"/>
    <n v="182889.382514"/>
    <n v="70655.147545"/>
    <n v="467817.60280400002"/>
    <n v="19002.664891"/>
    <n v="262696.91963700001"/>
    <n v="125312.79227000001"/>
    <n v="4780.9623449999999"/>
    <n v="-21218.394548999961"/>
    <n v="86608.220205999998"/>
    <n v="9992"/>
    <n v="1486724.1470891498"/>
    <n v="1033831.26306513"/>
    <n v="65.957669876017576"/>
    <n v="70"/>
    <n v="247840.51360000001"/>
    <n v="253544.53005900001"/>
    <n v="454429.90662299999"/>
    <n v="406866.05854300002"/>
    <n v="247915.077942"/>
    <n v="570595.63944100006"/>
    <n v="70170.788002000045"/>
    <n v="580587.63944100006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  <n v="51.266435649482084"/>
    <s v="2. Riesgo (&gt;=40 y &lt;60)"/>
  </r>
  <r>
    <s v="73"/>
    <s v="73000"/>
    <x v="4"/>
    <s v="TOLIMA"/>
    <n v="2"/>
    <n v="1"/>
    <n v="0"/>
    <n v="922607.49961099995"/>
    <n v="1533876.1647489998"/>
    <n v="339427.799467"/>
    <n v="120173.889303"/>
    <n v="1425343.4202559998"/>
    <n v="139679.12536199999"/>
    <n v="467996.62284900004"/>
    <n v="178381.20920400007"/>
    <n v="16515.602675999999"/>
    <n v="-35388.975594000192"/>
    <n v="75028.139406000002"/>
    <n v="25478.654648"/>
    <n v="2954459.2630480002"/>
    <n v="2546607.419522"/>
    <n v="54.018930330181824"/>
    <n v="60"/>
    <n v="438338.94099999999"/>
    <n v="459601.68877000001"/>
    <n v="1279649.726698"/>
    <n v="1107732.043514"/>
    <n v="922607.49961099995"/>
    <n v="1533876.1647489998"/>
    <n v="56154.766487999805"/>
    <n v="1559354.8193969997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  <n v="51.019049352857991"/>
    <s v="2. Riesgo (&gt;=40 y &lt;60)"/>
  </r>
  <r>
    <s v="15"/>
    <s v="15000"/>
    <x v="4"/>
    <s v="BOYACA"/>
    <n v="1"/>
    <n v="1"/>
    <n v="0"/>
    <n v="1037404.513596"/>
    <n v="1718143.27141"/>
    <n v="414084.73140799999"/>
    <n v="49767.182120000005"/>
    <n v="1808245.4589729998"/>
    <n v="82140.49567199999"/>
    <n v="466883.425468"/>
    <n v="193972.74046100001"/>
    <n v="15531.916338000001"/>
    <n v="-52567.197331999894"/>
    <n v="228876.6557"/>
    <n v="12988"/>
    <n v="4790164.257278"/>
    <n v="3144837.2145699998"/>
    <n v="47.421976111362262"/>
    <n v="55"/>
    <n v="474729.390266"/>
    <n v="463851.913528"/>
    <n v="1497799.7837349998"/>
    <n v="1358590.5652989999"/>
    <n v="1037404.513596"/>
    <n v="1718143.27141"/>
    <n v="191841.37470600012"/>
    <n v="1731131.27141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  <n v="50.830507842121456"/>
    <s v="2. Riesgo (&gt;=40 y &lt;60)"/>
  </r>
  <r>
    <s v="47"/>
    <s v="47000"/>
    <x v="4"/>
    <s v="MAGDALENA"/>
    <n v="2"/>
    <n v="2"/>
    <n v="0"/>
    <n v="978405.80939200008"/>
    <n v="1728010.500585"/>
    <n v="361342.20928299997"/>
    <n v="217174.20707800001"/>
    <n v="1372639.4936800001"/>
    <n v="73689.641975999999"/>
    <n v="579953.18987899995"/>
    <n v="340315.85727799998"/>
    <n v="14624.313248"/>
    <n v="119629.54046599986"/>
    <n v="365813.96740099997"/>
    <n v="0"/>
    <n v="2384504.73148567"/>
    <n v="1061797.99948857"/>
    <n v="53.84333155105454"/>
    <n v="60"/>
    <n v="524388.88300100004"/>
    <n v="578516.41636099992"/>
    <n v="1368743.6275180001"/>
    <n v="1239754.137197"/>
    <n v="978405.80939200008"/>
    <n v="1728010.500585"/>
    <n v="500067.82111499982"/>
    <n v="1728010.500585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  <n v="50.456294378068634"/>
    <s v="2. Riesgo (&gt;=40 y &lt;60)"/>
  </r>
  <r>
    <s v="25"/>
    <s v="25000"/>
    <x v="4"/>
    <s v="CUNDINAMARCA"/>
    <s v="ESP"/>
    <n v="1"/>
    <n v="0"/>
    <n v="1372393.2780589999"/>
    <n v="4381426.5535510005"/>
    <n v="2125447.5530950003"/>
    <n v="488665.80982800003"/>
    <n v="3494692.3127859989"/>
    <n v="52161.21211800001"/>
    <n v="2616224.3748760005"/>
    <n v="1694866.3834730005"/>
    <n v="155747.80640199999"/>
    <n v="230843.84234100161"/>
    <n v="322741.12662599998"/>
    <n v="50000"/>
    <n v="11329020.975275001"/>
    <n v="8129267.4261490004"/>
    <n v="40.708009130634657"/>
    <n v="50"/>
    <n v="2513830.5830000001"/>
    <n v="2614113.3629230005"/>
    <n v="3229224.719806999"/>
    <n v="2376036.9288110002"/>
    <n v="1372393.2780589999"/>
    <n v="4381426.5535510005"/>
    <n v="709332.77536900167"/>
    <n v="4431426.5535510005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  <n v="50.213012769362919"/>
    <s v="2. Riesgo (&gt;=40 y &lt;60)"/>
  </r>
  <r>
    <s v="50"/>
    <s v="50000"/>
    <x v="4"/>
    <s v="META"/>
    <n v="1"/>
    <n v="2"/>
    <n v="0"/>
    <n v="477741.64059000002"/>
    <n v="1168811.3508339999"/>
    <n v="440063.11970799998"/>
    <n v="101478.55342"/>
    <n v="2097596.0306840003"/>
    <n v="108820.29268299999"/>
    <n v="543919.80503599998"/>
    <n v="276614.34844799998"/>
    <n v="16503.389425000001"/>
    <n v="108323.59092899971"/>
    <n v="229792.64669699999"/>
    <n v="1055.3461460000001"/>
    <n v="9793544.5702299997"/>
    <n v="1684628.5061890001"/>
    <n v="54.086360895312524"/>
    <n v="55"/>
    <n v="507315.76708199998"/>
    <n v="541541.67312799999"/>
    <n v="793182.30331700016"/>
    <n v="750403.41817700001"/>
    <n v="477741.64059000002"/>
    <n v="1168811.3508339999"/>
    <n v="354619.62705099973"/>
    <n v="1169866.69698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  <n v="49.869589935637997"/>
    <s v="2. Riesgo (&gt;=40 y &lt;60)"/>
  </r>
  <r>
    <s v="54"/>
    <s v="54000"/>
    <x v="4"/>
    <s v="NORTE DE SANTANDER"/>
    <n v="2"/>
    <n v="1"/>
    <n v="0"/>
    <n v="821121.2143179999"/>
    <n v="1494513.9546359999"/>
    <n v="411675.92043200007"/>
    <n v="94670.163279"/>
    <n v="1333218.9906040002"/>
    <n v="2456.1210999999998"/>
    <n v="508857.88486100006"/>
    <n v="273233.00115500006"/>
    <n v="27607.295819999999"/>
    <n v="-74329.919674000237"/>
    <n v="240354.87521100001"/>
    <n v="0"/>
    <n v="2875029.5734281098"/>
    <n v="1813946.13598935"/>
    <n v="49.937109007232792"/>
    <n v="60"/>
    <n v="419962.4"/>
    <n v="506346.08371100004"/>
    <n v="1333218.9906040002"/>
    <n v="1061863.448911"/>
    <n v="821121.2143179999"/>
    <n v="1494513.9546359999"/>
    <n v="193632.25135699977"/>
    <n v="1494513.9546359999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  <n v="49.750536717839175"/>
    <s v="2. Riesgo (&gt;=40 y &lt;60)"/>
  </r>
  <r>
    <s v="52"/>
    <s v="52000"/>
    <x v="4"/>
    <s v="NARIÑO"/>
    <n v="1"/>
    <n v="2"/>
    <n v="0"/>
    <n v="1074895.592919"/>
    <n v="1735087.2208159999"/>
    <n v="278240.79785899998"/>
    <n v="122600.39119900001"/>
    <n v="1437365.58791"/>
    <n v="52120.322970000001"/>
    <n v="402969.31321499997"/>
    <n v="192102.62461199996"/>
    <n v="0"/>
    <n v="156443.9962259999"/>
    <n v="243325.765235"/>
    <n v="0"/>
    <n v="3883445.1724989"/>
    <n v="2025692.5013949398"/>
    <n v="48.596816439583918"/>
    <n v="55"/>
    <n v="356107.267146"/>
    <n v="400841.18905799999"/>
    <n v="1367776.535987"/>
    <n v="1260477.7350910001"/>
    <n v="1074895.592919"/>
    <n v="1735087.2208159999"/>
    <n v="399769.7614609999"/>
    <n v="1735087.2208159999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  <n v="48.962741969314941"/>
    <s v="2. Riesgo (&gt;=40 y &lt;60)"/>
  </r>
  <r>
    <s v="91"/>
    <s v="91000"/>
    <x v="4"/>
    <s v="AMAZONAS"/>
    <n v="4"/>
    <n v="3"/>
    <n v="43197.547280999999"/>
    <n v="219355.65895299998"/>
    <n v="443840.16529599996"/>
    <n v="21279.93273"/>
    <n v="6135.4171969999998"/>
    <n v="289427.98662800004"/>
    <n v="0"/>
    <n v="70685.802807999993"/>
    <n v="35151.312221999986"/>
    <n v="656.08729100000005"/>
    <n v="118877.68808199989"/>
    <n v="46262.843449"/>
    <n v="0"/>
    <n v="1244982.1268081001"/>
    <n v="382819.50730571995"/>
    <n v="45.961654547627532"/>
    <n v="70"/>
    <n v="24515.865849000002"/>
    <n v="27415.349926999999"/>
    <n v="289427.98662800004"/>
    <n v="239689.44572399999"/>
    <n v="262553.20623399998"/>
    <n v="443840.16529599996"/>
    <n v="165796.6188219999"/>
    <n v="443840.16529599996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  <n v="47.48204325840198"/>
    <s v="2. Riesgo (&gt;=40 y &lt;60)"/>
  </r>
  <r>
    <s v="18"/>
    <s v="18000"/>
    <x v="4"/>
    <s v="CAQUETA"/>
    <n v="4"/>
    <n v="3"/>
    <n v="0"/>
    <n v="346295.09583499999"/>
    <n v="512439.10241000005"/>
    <n v="76704.725252000004"/>
    <n v="31243.289968000001"/>
    <n v="464746.88172500004"/>
    <n v="11276.177185999999"/>
    <n v="109070.695653"/>
    <n v="37149.191204000002"/>
    <n v="741.59935900000005"/>
    <n v="-9881.6285200000275"/>
    <n v="44838.909568000003"/>
    <n v="0"/>
    <n v="1130115.7486920001"/>
    <n v="573079.88855100004"/>
    <n v="69.830555858556821"/>
    <n v="70"/>
    <n v="90116.532999999996"/>
    <n v="107948.01522"/>
    <n v="450399.22648100008"/>
    <n v="414674.78165800002"/>
    <n v="346295.09583499999"/>
    <n v="512439.10241000005"/>
    <n v="35698.880406999975"/>
    <n v="512439.10241000005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  <n v="47.389088088997127"/>
    <s v="2. Riesgo (&gt;=40 y &lt;60)"/>
  </r>
  <r>
    <s v="68"/>
    <s v="68000"/>
    <x v="4"/>
    <s v="SANTANDER"/>
    <n v="1"/>
    <n v="1"/>
    <n v="0"/>
    <n v="981141.04008299997"/>
    <n v="2168607.0863290001"/>
    <n v="790653.72198299994"/>
    <n v="99969.87268"/>
    <n v="2107393.4342459999"/>
    <n v="280205.03399199998"/>
    <n v="894550.53268299997"/>
    <n v="367827.11225100001"/>
    <n v="38694.384578999998"/>
    <n v="67402.894890000112"/>
    <n v="342455.01967499999"/>
    <n v="0"/>
    <n v="5660699.5281680599"/>
    <n v="4303516.3952991096"/>
    <n v="46.246537109720173"/>
    <n v="55"/>
    <n v="851059.53658900002"/>
    <n v="890623.59466299997"/>
    <n v="1574480.771007"/>
    <n v="1347817.5299120001"/>
    <n v="981141.04008299997"/>
    <n v="2168607.0863290001"/>
    <n v="448552.29914400011"/>
    <n v="2168607.0863290001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  <n v="46.548663847397748"/>
    <s v="2. Riesgo (&gt;=40 y &lt;60)"/>
  </r>
  <r>
    <s v="13"/>
    <s v="13000"/>
    <x v="4"/>
    <s v="BOLIVAR"/>
    <n v="1"/>
    <n v="2"/>
    <n v="0"/>
    <n v="1159246.36628"/>
    <n v="2022516.7571640001"/>
    <n v="436822.22398699995"/>
    <n v="157991.862765"/>
    <n v="1635626.4830200002"/>
    <n v="106741.799318"/>
    <n v="595630.81067699997"/>
    <n v="230903.57934900001"/>
    <n v="34365.753580999997"/>
    <n v="22163.042816000059"/>
    <n v="50187.822085"/>
    <n v="30895.036613"/>
    <n v="3759587.7510910803"/>
    <n v="2951064.84132643"/>
    <n v="54.590696890531589"/>
    <n v="55"/>
    <n v="641950.70112600003"/>
    <n v="594814.08675199992"/>
    <n v="1635626.4830200002"/>
    <n v="1390535.3890539999"/>
    <n v="1159246.36628"/>
    <n v="2022516.7571640001"/>
    <n v="106716.61848200005"/>
    <n v="2053411.7937770002"/>
    <n v="57.317021585794457"/>
    <n v="42.682978414205543"/>
    <n v="6.5260498302102139"/>
    <n v="13.545333917096823"/>
    <n v="78.494373232011753"/>
    <n v="21.505626767988247"/>
    <n v="38.766224851020162"/>
    <n v="50"/>
    <n v="5.1970393276892537"/>
    <n v="80"/>
    <n v="41.546787819858125"/>
    <n v="33.237430255886501"/>
    <n v="0.40930310946841075"/>
    <n v="6.0245522025240197"/>
    <n v="92.65728438471659"/>
    <n v="100"/>
    <n v="85.015460650070466"/>
    <n v="80"/>
    <n v="0"/>
    <n v="62.008184067508012"/>
    <n v="62.008184067508012"/>
    <n v="12.401636813501604"/>
    <n v="45.639067069388105"/>
    <n v="45.639067069388105"/>
    <s v="2. Riesgo (&gt;=40 y &lt;60)"/>
  </r>
  <r>
    <s v="23"/>
    <s v="23000"/>
    <x v="4"/>
    <s v="CORDOBA"/>
    <n v="1"/>
    <n v="2"/>
    <n v="0"/>
    <n v="1267892.8720769999"/>
    <n v="1688939.070971"/>
    <n v="306864.25913199998"/>
    <n v="27991.742260999999"/>
    <n v="1620861.9288910001"/>
    <n v="98004.888548000003"/>
    <n v="336201.20583599998"/>
    <n v="111814.69951299997"/>
    <n v="22769.443092000001"/>
    <n v="7887.4140069999266"/>
    <n v="292520.80486999999"/>
    <n v="0"/>
    <n v="3728887.3772898503"/>
    <n v="2624252.7756138998"/>
    <n v="49.700909574798821"/>
    <n v="55"/>
    <n v="315399.38257999998"/>
    <n v="334856.00139299995"/>
    <n v="1456665.1506410001"/>
    <n v="1319302.391914"/>
    <n v="1267892.8720769999"/>
    <n v="1688939.070971"/>
    <n v="323177.66196899989"/>
    <n v="1688939.070971"/>
    <n v="75.070373696078121"/>
    <n v="24.929626303921879"/>
    <n v="6.0464674258254263"/>
    <n v="12.549922607473576"/>
    <n v="70.376294859331551"/>
    <n v="29.623705140668449"/>
    <n v="33.258268433321305"/>
    <n v="40"/>
    <n v="19.134950900460815"/>
    <n v="40"/>
    <n v="29.420650810412781"/>
    <n v="23.536520648330225"/>
    <n v="5.2990904252011788"/>
    <n v="77.997567460414288"/>
    <n v="106.16888297429209"/>
    <n v="100"/>
    <n v="90.570052515737459"/>
    <n v="100"/>
    <n v="0"/>
    <n v="92.665855820138106"/>
    <n v="92.665855820138106"/>
    <n v="18.533171164027621"/>
    <n v="42.069691812357846"/>
    <n v="42.069691812357846"/>
    <s v="2. Riesgo (&gt;=40 y &lt;60)"/>
  </r>
  <r>
    <s v="88"/>
    <s v="88000"/>
    <x v="4"/>
    <s v="SAN ANDRES"/>
    <n v="3"/>
    <n v="2"/>
    <n v="64182.671283000003"/>
    <n v="76521.985648000002"/>
    <n v="553561.25647799997"/>
    <n v="64177.966451"/>
    <n v="140908.93278499998"/>
    <n v="296146.51876000001"/>
    <n v="44269.375993000001"/>
    <n v="269913.48247199995"/>
    <n v="28755.074349999952"/>
    <n v="0"/>
    <n v="17613.17959399987"/>
    <n v="232673.12981899999"/>
    <n v="0"/>
    <n v="2134466.0723258201"/>
    <n v="351789.45838272996"/>
    <n v="75.262770292805868"/>
    <n v="70"/>
    <n v="16528.202331"/>
    <n v="205086.89923599997"/>
    <n v="294789.66876200004"/>
    <n v="210024.891764"/>
    <n v="140704.656931"/>
    <n v="553561.25647799997"/>
    <n v="250286.30941299986"/>
    <n v="553561.25647799997"/>
    <n v="25.418082512895658"/>
    <n v="74.581917487104334"/>
    <n v="14.948470837462835"/>
    <n v="31.026736588202823"/>
    <n v="16.48137972038144"/>
    <n v="83.51862027961856"/>
    <n v="10.653441275569818"/>
    <n v="20"/>
    <n v="45.213841554850021"/>
    <n v="0"/>
    <n v="41.825454870985141"/>
    <n v="33.460363896788117"/>
    <n v="0"/>
    <n v="0"/>
    <n v="1240.8300378277838"/>
    <n v="0"/>
    <n v="71.245675822365627"/>
    <n v="70"/>
    <n v="0"/>
    <n v="23.333333333333332"/>
    <n v="23.333333333333332"/>
    <n v="4.666666666666667"/>
    <n v="38.127030563454781"/>
    <n v="38.127030563454781"/>
    <s v="1. Deterioro (&lt;40)"/>
  </r>
  <r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91"/>
    <s v="91000"/>
    <x v="0"/>
    <s v=" AMAZONAS"/>
    <s v="4"/>
    <s v="N/A"/>
    <x v="0"/>
    <n v="0"/>
    <n v="130959.10188"/>
    <n v="174009.20267700002"/>
    <m/>
    <m/>
    <n v="161167.91017700001"/>
    <n v="21438.246735000001"/>
    <n v="39576.982459000006"/>
    <n v="14620.794825000004"/>
    <n v="0"/>
    <n v="12278.558688999998"/>
    <n v="26890.689661"/>
    <n v="259.64236599999998"/>
    <n v="863395.92108100001"/>
    <n v="295765.82177400001"/>
    <n v="0.59281022494314861"/>
    <n v="70"/>
    <n v="17832.686947269998"/>
    <n v="14232.522504549999"/>
    <n v="136774.45635260001"/>
    <n v="136774.45635260001"/>
    <m/>
    <m/>
    <m/>
    <m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  <n v="43.715147709610889"/>
    <x v="0"/>
  </r>
  <r>
    <s v="05"/>
    <s v="05000"/>
    <x v="0"/>
    <s v=" ANTIOQUIA"/>
    <s v="ESPECIAL"/>
    <s v="N/A"/>
    <x v="1"/>
    <n v="0"/>
    <n v="1823047.055957"/>
    <n v="4090738.5152229993"/>
    <m/>
    <m/>
    <n v="3571604.038923"/>
    <n v="1222873.4755569999"/>
    <n v="1824093.1233649997"/>
    <n v="818518.62523999962"/>
    <n v="64011.114753000002"/>
    <n v="-371175.35987000074"/>
    <n v="665405.92350799998"/>
    <n v="171872.829203"/>
    <n v="13508051.740302"/>
    <n v="10477575.290440001"/>
    <n v="0.41196507317030118"/>
    <n v="50"/>
    <n v="2310752.6415400002"/>
    <n v="1590618.429792"/>
    <n v="3456339.3769680001"/>
    <n v="3143551.0794009999"/>
    <m/>
    <m/>
    <m/>
    <m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  <n v="65.636264881346705"/>
    <x v="1"/>
  </r>
  <r>
    <s v="81"/>
    <s v="81000"/>
    <x v="0"/>
    <s v=" ARAUCA"/>
    <s v="4"/>
    <s v="N/A"/>
    <x v="2"/>
    <n v="0"/>
    <n v="233214.514383"/>
    <n v="327076.537427"/>
    <m/>
    <m/>
    <n v="414671.794261"/>
    <n v="130231.497038"/>
    <n v="74222.102974000009"/>
    <n v="10364.976889000012"/>
    <n v="0"/>
    <n v="-27648.757681999938"/>
    <n v="88513.885553"/>
    <n v="0"/>
    <n v="1381738.19763729"/>
    <n v="675001.22452742001"/>
    <n v="0.71323396395455096"/>
    <n v="70"/>
    <n v="40045.367928"/>
    <n v="46354.786591689997"/>
    <n v="290868.1690209501"/>
    <n v="268874.40893251001"/>
    <m/>
    <m/>
    <m/>
    <m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  <n v="42.89064869585853"/>
    <x v="0"/>
  </r>
  <r>
    <s v="08"/>
    <s v="08000"/>
    <x v="0"/>
    <s v=" ATLANTICO"/>
    <s v="1"/>
    <s v="N/A"/>
    <x v="3"/>
    <n v="0"/>
    <n v="423897.05522500002"/>
    <n v="1108479.265132"/>
    <m/>
    <m/>
    <n v="959862.66274099995"/>
    <n v="207032.22905300002"/>
    <n v="641055.65673399996"/>
    <n v="436577.13126299996"/>
    <n v="20336.436952"/>
    <n v="-12199.531743000029"/>
    <n v="180126.67610800001"/>
    <n v="0"/>
    <n v="4136488.5105571202"/>
    <n v="1773273.4676698798"/>
    <n v="0.2664599280874963"/>
    <n v="55"/>
    <n v="680934.75025499996"/>
    <n v="625841.27555100003"/>
    <n v="916200.27140354994"/>
    <n v="711308.74987504003"/>
    <m/>
    <m/>
    <m/>
    <m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  <n v="65.270209361179894"/>
    <x v="1"/>
  </r>
  <r>
    <s v="13"/>
    <s v="13000"/>
    <x v="0"/>
    <s v=" BOLIVAR"/>
    <s v="1"/>
    <s v="N/A"/>
    <x v="3"/>
    <n v="0"/>
    <n v="849541.72838999995"/>
    <n v="1304675.519106"/>
    <m/>
    <m/>
    <n v="982722.09742600005"/>
    <n v="126866.03378100001"/>
    <n v="312476.20075199998"/>
    <n v="136689.626598"/>
    <n v="3957.7625739999999"/>
    <n v="156582.53782800003"/>
    <n v="39332.010616"/>
    <n v="0"/>
    <n v="3639178.1014322499"/>
    <n v="2508647.4591360199"/>
    <n v="0.41767080335769385"/>
    <n v="55"/>
    <n v="429944.91303900001"/>
    <n v="308887.05293399998"/>
    <n v="972306.40712400002"/>
    <n v="899886.27521500003"/>
    <m/>
    <m/>
    <m/>
    <m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  <n v="46.408403775507892"/>
    <x v="0"/>
  </r>
  <r>
    <s v="15"/>
    <s v="15000"/>
    <x v="0"/>
    <s v="BOYACÁ"/>
    <s v="1"/>
    <s v="N/A"/>
    <x v="4"/>
    <n v="0"/>
    <n v="735513.793772"/>
    <n v="1174448.7941949998"/>
    <m/>
    <m/>
    <n v="1053987.7997849998"/>
    <n v="197900.91534599999"/>
    <n v="305347.96344599995"/>
    <n v="127383.26872099994"/>
    <n v="6239.9699049999999"/>
    <n v="-6286.9507900001481"/>
    <n v="169419.93925200001"/>
    <n v="15164.550905"/>
    <n v="4425569.8076839997"/>
    <n v="2864148.5348410001"/>
    <n v="0.59334038548744361"/>
    <n v="55"/>
    <n v="338416.14628500002"/>
    <n v="278845.42071600002"/>
    <n v="969587.96775900002"/>
    <n v="851469.39978700003"/>
    <m/>
    <m/>
    <m/>
    <m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  <n v="44.924049321577627"/>
    <x v="0"/>
  </r>
  <r>
    <s v="17"/>
    <s v="17000"/>
    <x v="0"/>
    <s v=" CALDAS"/>
    <s v="2"/>
    <s v="N/A"/>
    <x v="1"/>
    <n v="0"/>
    <n v="374801.11080600001"/>
    <n v="721781.86418500007"/>
    <m/>
    <m/>
    <n v="701520.33515699999"/>
    <n v="197199.462481"/>
    <n v="235883.72903300001"/>
    <n v="119285.541243"/>
    <n v="3590.284302"/>
    <n v="30719.233647000161"/>
    <n v="61709.876664000003"/>
    <n v="14815.686782999999"/>
    <n v="2979685.0001210002"/>
    <n v="1729145.078578"/>
    <n v="0.51439540277856366"/>
    <n v="60"/>
    <n v="251197.860888"/>
    <n v="168877.847668"/>
    <n v="574464.44274800003"/>
    <n v="561980.301675"/>
    <m/>
    <m/>
    <m/>
    <m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  <n v="66.657356765300747"/>
    <x v="1"/>
  </r>
  <r>
    <s v="18"/>
    <s v="18000"/>
    <x v="0"/>
    <s v=" CAQUETA"/>
    <s v="4"/>
    <s v="N/A"/>
    <x v="0"/>
    <n v="0"/>
    <n v="252365.23491500001"/>
    <n v="336102.64341800002"/>
    <m/>
    <m/>
    <n v="423552.08822099998"/>
    <n v="149634.41928199999"/>
    <n v="66859.528201000008"/>
    <n v="24490.540512000007"/>
    <n v="0"/>
    <n v="20350.129827000026"/>
    <n v="30290.510962"/>
    <n v="0"/>
    <n v="1396255.0511729999"/>
    <n v="601675.13314799999"/>
    <n v="0.69405814467109539"/>
    <n v="70"/>
    <n v="74414.829500000007"/>
    <n v="55594.785823190003"/>
    <n v="273383.52590228"/>
    <n v="248564.72516834"/>
    <m/>
    <m/>
    <m/>
    <m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  <n v="49.806224210797701"/>
    <x v="0"/>
  </r>
  <r>
    <s v="85"/>
    <s v="85000"/>
    <x v="0"/>
    <s v=" CASANARE"/>
    <s v="3"/>
    <s v="N/A"/>
    <x v="2"/>
    <n v="0"/>
    <n v="224995.20421699999"/>
    <n v="385441.68354300002"/>
    <m/>
    <m/>
    <n v="367159.54338599998"/>
    <n v="65751.814072000008"/>
    <n v="125612.30413100001"/>
    <n v="58847.265349000008"/>
    <n v="0"/>
    <n v="-10582.229074999981"/>
    <n v="96772.200689999998"/>
    <n v="0"/>
    <n v="2844797.3708309601"/>
    <n v="511187.27396492998"/>
    <n v="0.81349048199814245"/>
    <n v="70"/>
    <n v="81344.475000000006"/>
    <n v="103091.38121944001"/>
    <n v="329258.87383333"/>
    <n v="285450.59743055998"/>
    <m/>
    <m/>
    <m/>
    <m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  <n v="52.074856875075852"/>
    <x v="0"/>
  </r>
  <r>
    <s v="19"/>
    <s v="19000"/>
    <x v="0"/>
    <s v=" CAUCA"/>
    <s v="3"/>
    <s v="N/A"/>
    <x v="5"/>
    <n v="0"/>
    <n v="974101.54360900004"/>
    <n v="1213453.361484"/>
    <m/>
    <m/>
    <n v="1197656.859008"/>
    <n v="164159.27259000001"/>
    <n v="201455.879499"/>
    <n v="114898.16617200001"/>
    <n v="243.877792"/>
    <n v="75816.92493800004"/>
    <n v="168863.30061899999"/>
    <n v="0"/>
    <n v="2978719.401238"/>
    <n v="1127163.8204940001"/>
    <n v="0.37647592551665665"/>
    <n v="70"/>
    <n v="190719.59179899999"/>
    <n v="174847.58821410997"/>
    <n v="1051078.723216"/>
    <n v="1025589.0454169499"/>
    <m/>
    <m/>
    <m/>
    <m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  <n v="55.642418596543294"/>
    <x v="0"/>
  </r>
  <r>
    <s v="20"/>
    <s v="20000"/>
    <x v="0"/>
    <s v=" CESAR"/>
    <s v="2"/>
    <s v="N/A"/>
    <x v="3"/>
    <n v="0"/>
    <n v="559175.75741800002"/>
    <n v="755093.39081400004"/>
    <m/>
    <m/>
    <n v="876700.96031100012"/>
    <n v="232071.064354"/>
    <n v="153895.765506"/>
    <n v="69627.708136000001"/>
    <n v="3722.0527910000001"/>
    <n v="-10913.576682999963"/>
    <n v="99013.684110000002"/>
    <n v="13000"/>
    <n v="2180519.67222013"/>
    <n v="633534.64266595"/>
    <n v="0.57757376607177258"/>
    <n v="60"/>
    <n v="177222.21504400001"/>
    <n v="140615.02988583999"/>
    <n v="681738.91012462985"/>
    <n v="637118.73170350993"/>
    <m/>
    <m/>
    <m/>
    <m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  <n v="63.964067437015117"/>
    <x v="1"/>
  </r>
  <r>
    <s v="27"/>
    <s v="27000"/>
    <x v="0"/>
    <s v=" CHOCO"/>
    <s v="4"/>
    <s v="N/A"/>
    <x v="5"/>
    <n v="0"/>
    <n v="424722.98897000001"/>
    <n v="516648.89210500004"/>
    <m/>
    <m/>
    <n v="636935.97236700007"/>
    <n v="140773.324777"/>
    <n v="72867.392906000008"/>
    <n v="14644.675380000008"/>
    <n v="293.445919"/>
    <n v="21354.708864000044"/>
    <n v="33464.458760000001"/>
    <n v="4000"/>
    <n v="1552859.41135975"/>
    <n v="594427.68954999"/>
    <n v="1.058443034490989"/>
    <n v="70"/>
    <n v="78933.666659179988"/>
    <n v="63987.925201760001"/>
    <n v="402354.69556309999"/>
    <n v="371898.77206799999"/>
    <m/>
    <m/>
    <m/>
    <m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  <n v="45.760693331786591"/>
    <x v="0"/>
  </r>
  <r>
    <s v="23"/>
    <s v="23000"/>
    <x v="0"/>
    <s v="CORDOBA"/>
    <s v="2"/>
    <s v="N/A"/>
    <x v="3"/>
    <n v="0"/>
    <n v="882592.33642299997"/>
    <n v="1165846.91812"/>
    <m/>
    <m/>
    <n v="1044683.213843"/>
    <n v="120148.791495"/>
    <n v="196850.63401200002"/>
    <n v="84211.583615000025"/>
    <n v="3201.6202309999999"/>
    <n v="44648.063164000167"/>
    <n v="171264.06792500001"/>
    <n v="0"/>
    <n v="2582211.8734305296"/>
    <n v="2406960.35024171"/>
    <n v="0.53927972187682582"/>
    <n v="60"/>
    <n v="223416.039193"/>
    <n v="184173.99381056"/>
    <n v="1008559.8045589501"/>
    <n v="954060.80530889006"/>
    <m/>
    <m/>
    <m/>
    <m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  <n v="41.337772468065161"/>
    <x v="0"/>
  </r>
  <r>
    <s v="25"/>
    <s v="25000"/>
    <x v="0"/>
    <s v=" CUNDINAMARCA"/>
    <s v="ESP"/>
    <s v="N/A"/>
    <x v="4"/>
    <n v="0"/>
    <n v="950747.97744399996"/>
    <n v="2336013.7325019999"/>
    <m/>
    <m/>
    <n v="2057403.8309760001"/>
    <n v="585827.30839400005"/>
    <n v="1324128.6298500001"/>
    <n v="902995.13054100005"/>
    <n v="34666.064218"/>
    <n v="-24875.484263000078"/>
    <n v="209487.14686899999"/>
    <n v="0"/>
    <n v="8161084.1474679997"/>
    <n v="6468882.7715290003"/>
    <n v="0.39491318375409079"/>
    <n v="50"/>
    <n v="1358007.5911969999"/>
    <n v="1229742.464799"/>
    <n v="1939755.7174559999"/>
    <n v="1673223.2069969999"/>
    <m/>
    <m/>
    <m/>
    <m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  <n v="73.550686132216313"/>
    <x v="2"/>
  </r>
  <r>
    <s v="94"/>
    <s v="94000"/>
    <x v="0"/>
    <s v=" GUAINIA"/>
    <s v="4"/>
    <s v="N/A"/>
    <x v="2"/>
    <n v="0"/>
    <n v="104184.44317"/>
    <n v="157095.44714100001"/>
    <m/>
    <m/>
    <n v="135991.64415599999"/>
    <n v="20350.627668000001"/>
    <n v="46649.638294000004"/>
    <n v="30007.966993000005"/>
    <n v="0"/>
    <n v="26614.593535000007"/>
    <n v="33191.025887999996"/>
    <n v="0"/>
    <n v="818597.90998776001"/>
    <n v="173205.72895945"/>
    <n v="0.35481372943872053"/>
    <n v="70"/>
    <n v="14430.641718999999"/>
    <n v="17693.46600891"/>
    <n v="113839.18230268"/>
    <n v="97905.799540369961"/>
    <m/>
    <m/>
    <m/>
    <m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  <n v="49.160811019794494"/>
    <x v="0"/>
  </r>
  <r>
    <s v="44"/>
    <s v="44000"/>
    <x v="0"/>
    <s v="LA_GUAJIRA"/>
    <s v="4"/>
    <s v="N/A"/>
    <x v="3"/>
    <n v="0"/>
    <n v="344698.20102099999"/>
    <n v="446730.51522599999"/>
    <m/>
    <m/>
    <n v="440477.41382700001"/>
    <n v="64024.855408999996"/>
    <n v="93704.114190000008"/>
    <n v="34476.511654000009"/>
    <n v="10639.576517"/>
    <n v="30235.19596599997"/>
    <n v="58418.589479000002"/>
    <n v="0"/>
    <n v="1855321.6650371298"/>
    <n v="763969.32662099996"/>
    <n v="0.55353444553340025"/>
    <n v="70"/>
    <n v="80626.019835399988"/>
    <n v="79173.134896790012"/>
    <n v="357267.71672085999"/>
    <n v="334868.79826294008"/>
    <m/>
    <m/>
    <m/>
    <m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  <n v="48.366540661532483"/>
    <x v="0"/>
  </r>
  <r>
    <s v="95"/>
    <s v="95000"/>
    <x v="0"/>
    <s v=" GUAVIARE"/>
    <s v="4"/>
    <s v="N/A"/>
    <x v="2"/>
    <n v="0"/>
    <n v="102708.161672"/>
    <n v="167443.71766900001"/>
    <m/>
    <m/>
    <n v="203759.442274"/>
    <n v="83569.350884999993"/>
    <n v="59244.894110000001"/>
    <n v="31991.052969000004"/>
    <n v="413.20304900000002"/>
    <n v="12631.379937999998"/>
    <n v="19659.574336000001"/>
    <n v="0"/>
    <n v="681034.67078000004"/>
    <n v="148480.80463299999"/>
    <n v="0.54403489873255206"/>
    <n v="70"/>
    <n v="22498.63318664"/>
    <n v="33105.063004750002"/>
    <n v="127558.49658492999"/>
    <n v="115089.43563832001"/>
    <m/>
    <m/>
    <m/>
    <m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  <n v="63.17562430207812"/>
    <x v="1"/>
  </r>
  <r>
    <s v="41"/>
    <s v="41000"/>
    <x v="0"/>
    <s v=" HUILA"/>
    <s v="2"/>
    <s v="N/A"/>
    <x v="0"/>
    <n v="0"/>
    <n v="562989.15482099995"/>
    <n v="851534.13150199992"/>
    <m/>
    <m/>
    <n v="764808.44419099996"/>
    <n v="121772.57840300001"/>
    <n v="184518.46966200002"/>
    <n v="68403.973279000027"/>
    <n v="2479.2347570000002"/>
    <n v="20800.604985999875"/>
    <n v="77122.455176000003"/>
    <n v="6750"/>
    <n v="2538160.34934283"/>
    <n v="1665734.3336429"/>
    <n v="0.613201677855436"/>
    <n v="60"/>
    <n v="209313.84672500001"/>
    <n v="182834.80452449"/>
    <n v="714619.03013009008"/>
    <n v="646554.31719686009"/>
    <m/>
    <m/>
    <m/>
    <m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  <n v="49.583799127966493"/>
    <x v="0"/>
  </r>
  <r>
    <s v="47"/>
    <s v="47000"/>
    <x v="0"/>
    <s v=" MAGDALENA"/>
    <s v="2"/>
    <s v="N/A"/>
    <x v="3"/>
    <n v="0"/>
    <n v="668278.09243399999"/>
    <n v="1030817.15071"/>
    <m/>
    <m/>
    <n v="908020.57822500006"/>
    <n v="121462.52815499999"/>
    <n v="300073.892903"/>
    <n v="146567.57591400002"/>
    <n v="2582.1207410000002"/>
    <n v="57544.821568999905"/>
    <n v="182184.576332"/>
    <n v="0"/>
    <n v="2065432.6019137199"/>
    <n v="1032544.22965119"/>
    <n v="0.53666286338769709"/>
    <n v="60"/>
    <n v="331272.38416800002"/>
    <n v="195845.96638999999"/>
    <n v="819766.01215199998"/>
    <n v="778918.51969900005"/>
    <m/>
    <m/>
    <m/>
    <m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  <n v="49.083229626987901"/>
    <x v="0"/>
  </r>
  <r>
    <s v="50"/>
    <s v="50000"/>
    <x v="0"/>
    <s v=" META"/>
    <s v="1"/>
    <s v="N/A"/>
    <x v="2"/>
    <n v="0"/>
    <n v="360076.01153600001"/>
    <n v="741598.89948699996"/>
    <m/>
    <m/>
    <n v="1248596.9768079999"/>
    <n v="736790.88059199997"/>
    <n v="276715.52591299999"/>
    <n v="151089.54109499999"/>
    <n v="4816.6335079999999"/>
    <n v="66868.809026999981"/>
    <n v="79419.181328999999"/>
    <n v="20725.953559000001"/>
    <n v="7793274.7629720001"/>
    <n v="1494779.557911"/>
    <n v="0.48319036212016719"/>
    <n v="55"/>
    <n v="291835.07135099999"/>
    <n v="233568.081718"/>
    <n v="549104.10564199998"/>
    <n v="424793.077536"/>
    <m/>
    <m/>
    <m/>
    <m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  <n v="69.305292237245908"/>
    <x v="1"/>
  </r>
  <r>
    <s v="52"/>
    <s v="52000"/>
    <x v="0"/>
    <s v="NARIÑO"/>
    <s v="1"/>
    <s v="N/A"/>
    <x v="5"/>
    <n v="0"/>
    <n v="756646.46359199996"/>
    <n v="1095642.9863399998"/>
    <m/>
    <m/>
    <n v="1001888.249933"/>
    <n v="97706.16294699999"/>
    <n v="275382.14987999998"/>
    <n v="151995.07492899999"/>
    <n v="0"/>
    <n v="37643.559714999981"/>
    <n v="186779.04984699999"/>
    <n v="0"/>
    <n v="2909535.9600492101"/>
    <n v="1872202.18830317"/>
    <n v="0.582111213543692"/>
    <n v="55"/>
    <n v="243880.511906"/>
    <n v="200224.188471"/>
    <n v="934612.35167400003"/>
    <n v="840373.27021700004"/>
    <m/>
    <m/>
    <m/>
    <m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  <n v="39.95960805769748"/>
    <x v="3"/>
  </r>
  <r>
    <s v="54"/>
    <s v="54000"/>
    <x v="0"/>
    <s v=" NORTE DE SANTANDER"/>
    <s v="2"/>
    <s v="N/A"/>
    <x v="4"/>
    <n v="0"/>
    <n v="566539.49374800001"/>
    <n v="890398.54063000006"/>
    <m/>
    <m/>
    <n v="869851.88189800002"/>
    <n v="173927.94392300001"/>
    <n v="261448.72087599998"/>
    <n v="141559.80219799996"/>
    <n v="8066.8577070000001"/>
    <n v="29858.984903000062"/>
    <n v="89894.795478999993"/>
    <n v="0"/>
    <n v="2312368.0840334799"/>
    <n v="1566736.1440166398"/>
    <n v="0.38609805823879106"/>
    <n v="60"/>
    <n v="260577.63392200001"/>
    <n v="240879.52262762"/>
    <n v="740650.63704846974"/>
    <n v="701367.59100686992"/>
    <m/>
    <m/>
    <m/>
    <m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  <n v="63.014608726090536"/>
    <x v="1"/>
  </r>
  <r>
    <s v="86"/>
    <s v="86000"/>
    <x v="0"/>
    <s v=" PUTUMAYO"/>
    <s v="4"/>
    <s v="N/A"/>
    <x v="0"/>
    <n v="0"/>
    <n v="338612.71387500002"/>
    <n v="455805.53979499999"/>
    <m/>
    <m/>
    <n v="478255.53993299999"/>
    <n v="79774.325607000006"/>
    <n v="85042.273524999997"/>
    <n v="32864.207079999993"/>
    <n v="0"/>
    <n v="2644.798982999986"/>
    <n v="56764.36"/>
    <n v="0"/>
    <n v="1439639.68213533"/>
    <n v="409930.90668413002"/>
    <n v="0.59613483149630442"/>
    <n v="70"/>
    <n v="49981.353394429992"/>
    <n v="54812.265347630004"/>
    <n v="400982.67436296993"/>
    <n v="343674.06447849999"/>
    <m/>
    <m/>
    <m/>
    <m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  <n v="54.034752283540165"/>
    <x v="0"/>
  </r>
  <r>
    <s v="63"/>
    <s v="63000"/>
    <x v="0"/>
    <s v=" QUINDIO"/>
    <s v="3"/>
    <s v="N/A"/>
    <x v="1"/>
    <n v="0"/>
    <n v="187122.14556400001"/>
    <n v="338837.17063800001"/>
    <m/>
    <m/>
    <n v="250206.95155299999"/>
    <n v="18397.167957000001"/>
    <n v="139493.730503"/>
    <n v="49778.321547"/>
    <n v="864.33332499999995"/>
    <n v="14790.701690000016"/>
    <n v="39765.666732999998"/>
    <n v="0"/>
    <n v="1331899.90950634"/>
    <n v="944653.10955903004"/>
    <n v="0.48391270433525868"/>
    <n v="70"/>
    <n v="148755.03251300001"/>
    <n v="112182.44490421"/>
    <n v="234331.05999179999"/>
    <n v="231838.15665761995"/>
    <m/>
    <m/>
    <m/>
    <m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  <n v="47.698702968366817"/>
    <x v="0"/>
  </r>
  <r>
    <s v="66"/>
    <s v="66000"/>
    <x v="0"/>
    <s v=" RISARALDA"/>
    <s v="2"/>
    <s v="N/A"/>
    <x v="1"/>
    <n v="0"/>
    <n v="216383.15373399999"/>
    <n v="487018.19393000007"/>
    <m/>
    <m/>
    <n v="479900.47848399996"/>
    <n v="114125.61822400001"/>
    <n v="230482.61197800006"/>
    <n v="111157.78105000006"/>
    <n v="2162.1927249999999"/>
    <n v="17583.184501000098"/>
    <n v="72991.799161000003"/>
    <n v="0"/>
    <n v="2371953.4851509999"/>
    <n v="920343.820159"/>
    <n v="0.39382462497839482"/>
    <n v="60"/>
    <n v="245150.95673000001"/>
    <n v="207134.44722999999"/>
    <n v="350110.17850099999"/>
    <n v="337286.38093599997"/>
    <m/>
    <m/>
    <m/>
    <m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  <n v="68.351578140937121"/>
    <x v="1"/>
  </r>
  <r>
    <s v="88"/>
    <s v="88000"/>
    <x v="0"/>
    <s v="SAN ANDRES"/>
    <s v="3"/>
    <s v="N/A"/>
    <x v="3"/>
    <n v="0"/>
    <n v="58123.463732999997"/>
    <n v="335416.83405"/>
    <m/>
    <m/>
    <n v="190186.46202200002"/>
    <n v="23034.527378999999"/>
    <n v="188497.18811300001"/>
    <n v="36074.162771000003"/>
    <n v="0"/>
    <n v="9017.7205709999544"/>
    <n v="174201.57258599999"/>
    <n v="0"/>
    <n v="1495340.2385750301"/>
    <n v="346387.66401549999"/>
    <n v="0.64900471999163301"/>
    <n v="70"/>
    <n v="179595.28959999999"/>
    <n v="76338.491081999993"/>
    <n v="173976.08813700001"/>
    <n v="137657.619828"/>
    <m/>
    <m/>
    <m/>
    <m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  <n v="38.857279272800881"/>
    <x v="3"/>
  </r>
  <r>
    <s v="68"/>
    <s v="68000"/>
    <x v="0"/>
    <s v=" SANTANDER"/>
    <s v="1"/>
    <s v="N/A"/>
    <x v="4"/>
    <n v="0"/>
    <n v="709121.95640000002"/>
    <n v="1324654.178688"/>
    <m/>
    <m/>
    <n v="1069481.365798"/>
    <n v="211246.996655"/>
    <n v="527660.78804499994"/>
    <n v="175878.63406299992"/>
    <n v="6419.5406620000003"/>
    <n v="-68555.57795600011"/>
    <n v="264929.48184999998"/>
    <n v="0"/>
    <n v="6123002.0014306903"/>
    <n v="3993245.8073587404"/>
    <n v="0.46877286476132218"/>
    <n v="55"/>
    <n v="546942.9922637"/>
    <n v="459509.69311829004"/>
    <n v="1041427.6026574498"/>
    <n v="884132.57800323993"/>
    <m/>
    <m/>
    <m/>
    <m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  <n v="47.508048714852137"/>
    <x v="0"/>
  </r>
  <r>
    <s v="70"/>
    <s v="70000"/>
    <x v="0"/>
    <s v=" SUCRE"/>
    <s v="3"/>
    <s v="N/A"/>
    <x v="3"/>
    <n v="0"/>
    <n v="595221.41052100004"/>
    <n v="782215.92260300007"/>
    <m/>
    <m/>
    <n v="870104.29049499996"/>
    <n v="284341.316291"/>
    <n v="105144.66100800001"/>
    <n v="47438.267169000006"/>
    <n v="0"/>
    <n v="39604.238794000004"/>
    <n v="99140.043518000006"/>
    <n v="0"/>
    <n v="1440859.79971439"/>
    <n v="442699.68105716998"/>
    <n v="0.75465378107201009"/>
    <n v="70"/>
    <n v="126926.62852300001"/>
    <n v="104411.720457"/>
    <n v="684905.28997000004"/>
    <n v="668440.10274400003"/>
    <m/>
    <m/>
    <m/>
    <m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  <n v="60.508968436902947"/>
    <x v="1"/>
  </r>
  <r>
    <s v="73"/>
    <s v="73000"/>
    <x v="0"/>
    <s v=" TOLIMA"/>
    <s v="2"/>
    <s v="N/A"/>
    <x v="0"/>
    <n v="0"/>
    <n v="661063.71440299996"/>
    <n v="1090749.046169"/>
    <m/>
    <m/>
    <n v="952539.47547599999"/>
    <n v="210149.00664199999"/>
    <n v="264258.95436600002"/>
    <n v="98140.442016000015"/>
    <n v="479.25375000000003"/>
    <n v="69826.509204000002"/>
    <n v="68108.638932999995"/>
    <n v="0"/>
    <n v="2143643.397508"/>
    <n v="1735599.659467"/>
    <n v="0.32039232771794712"/>
    <n v="60"/>
    <n v="286914.58299999998"/>
    <n v="233234.11642807996"/>
    <n v="854804.02461303968"/>
    <n v="793630.46288964979"/>
    <m/>
    <m/>
    <m/>
    <m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  <n v="58.122281149187231"/>
    <x v="0"/>
  </r>
  <r>
    <s v="76"/>
    <s v="76000"/>
    <x v="0"/>
    <s v=" VALLE DEL CAUCA"/>
    <s v="ESPECIAL"/>
    <s v="N/A"/>
    <x v="5"/>
    <n v="0"/>
    <n v="801933.00294200005"/>
    <n v="2376427.5186029999"/>
    <m/>
    <m/>
    <n v="1844386.9018139997"/>
    <n v="449118.76698199997"/>
    <n v="1200166.2014500001"/>
    <n v="780147.7692770001"/>
    <n v="12528.06885"/>
    <n v="130959.80646899994"/>
    <n v="345189.47594899999"/>
    <n v="39053.721640000003"/>
    <n v="6951931.8646999998"/>
    <n v="5406010.7802100005"/>
    <n v="0.38479524477315413"/>
    <n v="50"/>
    <n v="1238478.9450089999"/>
    <n v="1095325.2689110001"/>
    <n v="1824772.779961"/>
    <n v="1694691.986214"/>
    <m/>
    <m/>
    <m/>
    <m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  <n v="63.404561137728138"/>
    <x v="1"/>
  </r>
  <r>
    <s v="97"/>
    <s v="97000"/>
    <x v="0"/>
    <s v=" VAUPES"/>
    <s v="4"/>
    <s v="N/A"/>
    <x v="2"/>
    <n v="0"/>
    <n v="81044.919661000007"/>
    <n v="123076.37778100002"/>
    <m/>
    <m/>
    <n v="194037.12340300001"/>
    <n v="101439.905994"/>
    <n v="36135.284913000003"/>
    <n v="19748.181658000001"/>
    <n v="0"/>
    <n v="28186.638705999998"/>
    <n v="30331.152119999999"/>
    <n v="0"/>
    <n v="580941.3459033299"/>
    <n v="58513.208935339993"/>
    <n v="0.42714140172301496"/>
    <n v="70"/>
    <n v="5910.0770599999996"/>
    <n v="11547.125066000001"/>
    <n v="78469.145688999997"/>
    <n v="66704.330625999995"/>
    <m/>
    <m/>
    <m/>
    <m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  <n v="55.908880672398453"/>
    <x v="0"/>
  </r>
  <r>
    <s v="99"/>
    <s v="99000"/>
    <x v="0"/>
    <s v=" VICHADA"/>
    <s v="4"/>
    <s v="N/A"/>
    <x v="2"/>
    <n v="0"/>
    <n v="81388.049786999996"/>
    <n v="134318.118888"/>
    <m/>
    <m/>
    <n v="98588.905532000004"/>
    <n v="6668.1085739999999"/>
    <n v="38976.034129"/>
    <n v="20187.909470999999"/>
    <n v="0"/>
    <n v="22095.389936999985"/>
    <n v="19418.080136"/>
    <n v="0"/>
    <n v="558510.07537600002"/>
    <n v="138505.00026100001"/>
    <n v="0.39687618062935293"/>
    <n v="70"/>
    <n v="15711.788"/>
    <n v="12718.48170423"/>
    <n v="93434.604292350006"/>
    <n v="84156.781821830009"/>
    <m/>
    <m/>
    <m/>
    <m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  <n v="47.160425682469537"/>
    <x v="0"/>
  </r>
  <r>
    <s v="05"/>
    <s v="05000"/>
    <x v="1"/>
    <s v="ANTIOQUIA"/>
    <s v="ESP"/>
    <s v="N/A"/>
    <x v="1"/>
    <n v="0"/>
    <n v="1709401.2830000001"/>
    <n v="4592679.4110000003"/>
    <n v="1559056.101"/>
    <n v="926098.66299999994"/>
    <n v="3635276.6460159998"/>
    <n v="1041270.6330000001"/>
    <n v="2496946.9780000001"/>
    <n v="1552525.4240000001"/>
    <n v="87868.123999999996"/>
    <n v="52088.412000000477"/>
    <n v="457101.00599999999"/>
    <n v="0"/>
    <n v="13610541.498312"/>
    <n v="10408840.132896001"/>
    <n v="20.377259040043448"/>
    <n v="50"/>
    <n v="1398513.6009519999"/>
    <n v="1664061.5847759999"/>
    <n v="3596155.6391790002"/>
    <n v="3227210.3036949998"/>
    <n v="1709401.2830000001"/>
    <n v="4592679.4110000003"/>
    <n v="597057.54200000048"/>
    <n v="4592679.4110000003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  <n v="67.021451072467954"/>
    <x v="1"/>
  </r>
  <r>
    <s v="08"/>
    <s v="08000"/>
    <x v="1"/>
    <s v="ATLANTICO"/>
    <n v="1"/>
    <s v="N/A"/>
    <x v="3"/>
    <n v="1147.6300000000001"/>
    <n v="461663.31899999996"/>
    <n v="1271528.996"/>
    <n v="555954.07499999995"/>
    <n v="236938.87299999999"/>
    <n v="1407695.5684249999"/>
    <n v="450142.11042500002"/>
    <n v="795112.88"/>
    <n v="570037.55000000005"/>
    <n v="13174.616"/>
    <n v="-334165.3870000001"/>
    <n v="157956.807"/>
    <n v="0"/>
    <n v="4367073.4697419703"/>
    <n v="1892702.92174145"/>
    <n v="36.067361435706957"/>
    <n v="55.000000000000007"/>
    <n v="581213.35631800001"/>
    <n v="710424.65544799995"/>
    <n v="1388506.195082"/>
    <n v="1027325.556963"/>
    <n v="462810.94899999996"/>
    <n v="1271528.996"/>
    <n v="-163033.96400000012"/>
    <n v="1271528.996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  <n v="75.965847648560668"/>
    <x v="2"/>
  </r>
  <r>
    <s v="13"/>
    <s v="13000"/>
    <x v="1"/>
    <s v="BOLIVAR"/>
    <n v="1"/>
    <s v="N/A"/>
    <x v="3"/>
    <n v="0"/>
    <n v="882892.19"/>
    <n v="1447648.2719999999"/>
    <n v="333637.21100000001"/>
    <n v="91039.894"/>
    <n v="1802694.5998940002"/>
    <n v="466368.63399999996"/>
    <n v="424677.10499999998"/>
    <n v="152641.75699999998"/>
    <n v="17592.559000000001"/>
    <n v="-170245.82799999998"/>
    <n v="62363.190999999999"/>
    <n v="0"/>
    <n v="4100619.4388272204"/>
    <n v="2610867.4273052597"/>
    <n v="49.834133477079533"/>
    <n v="55.000000000000007"/>
    <n v="268329.24463700003"/>
    <n v="347103.26202099997"/>
    <n v="1274823.122064"/>
    <n v="985274.23757799994"/>
    <n v="882892.19"/>
    <n v="1447648.2719999999"/>
    <n v="-90290.07799999998"/>
    <n v="1447648.2719999999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  <n v="56.849877568087607"/>
    <x v="0"/>
  </r>
  <r>
    <s v="15"/>
    <s v="15000"/>
    <x v="1"/>
    <s v="BOYACÁ"/>
    <n v="1"/>
    <s v="N/A"/>
    <x v="4"/>
    <n v="9611.8389999999999"/>
    <n v="769485.47700000007"/>
    <n v="1217399.05"/>
    <n v="353477.13900000002"/>
    <n v="27468.102999999999"/>
    <n v="1085275.851062"/>
    <n v="153644.22700000001"/>
    <n v="392522.88700000005"/>
    <n v="224398.69100000005"/>
    <n v="5995.2690000000002"/>
    <n v="-7153.9679999998771"/>
    <n v="174000.791"/>
    <n v="0"/>
    <n v="4446077.2464549998"/>
    <n v="2968031.7643189998"/>
    <n v="40.66685409908078"/>
    <n v="55.000000000000007"/>
    <n v="307549.51351100003"/>
    <n v="358089.458086"/>
    <n v="1056933.2510520001"/>
    <n v="941109.47692799999"/>
    <n v="779097.31600000011"/>
    <n v="1217399.05"/>
    <n v="172842.09200000012"/>
    <n v="1217399.05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  <n v="57.508622733549423"/>
    <x v="0"/>
  </r>
  <r>
    <s v="17"/>
    <s v="17000"/>
    <x v="1"/>
    <s v="CALDAS"/>
    <n v="2"/>
    <s v="N/A"/>
    <x v="1"/>
    <n v="3519.482"/>
    <n v="380461.48599999998"/>
    <n v="821791.06400000001"/>
    <n v="261305.258"/>
    <n v="37630.343000000001"/>
    <n v="701091.14795199991"/>
    <n v="172047.09995199999"/>
    <n v="305201.83600000001"/>
    <n v="167742.99299999999"/>
    <n v="2312.3440000000001"/>
    <n v="926.50800000003073"/>
    <n v="96826.956999999995"/>
    <n v="0"/>
    <n v="3109285.7673209999"/>
    <n v="1888736.4966210001"/>
    <n v="44.140619056275021"/>
    <n v="60"/>
    <n v="234928.10247899999"/>
    <n v="286278.31102899997"/>
    <n v="683405.71311300003"/>
    <n v="669919.91699499998"/>
    <n v="383980.96799999999"/>
    <n v="821791.06400000001"/>
    <n v="100065.80900000002"/>
    <n v="821791.0640000000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  <n v="63.593460729914398"/>
    <x v="1"/>
  </r>
  <r>
    <s v="18"/>
    <s v="18000"/>
    <x v="1"/>
    <s v="CAQUETA"/>
    <n v="4"/>
    <s v="N/A"/>
    <x v="0"/>
    <n v="3113.48"/>
    <n v="264830.68"/>
    <n v="367026.60800000001"/>
    <n v="64565.973000000005"/>
    <n v="21189.221000000001"/>
    <n v="361018.84820499999"/>
    <n v="27255.903055000002"/>
    <n v="89556.649000000005"/>
    <n v="40655.760999999999"/>
    <n v="51.527000000000001"/>
    <n v="4708.76800000004"/>
    <n v="60034.999000000003"/>
    <n v="0"/>
    <n v="1473933.3616869999"/>
    <n v="757411.93328400003"/>
    <n v="57.637590380653258"/>
    <n v="70"/>
    <n v="59263.258520000003"/>
    <n v="66806.191844000001"/>
    <n v="313447.81499799999"/>
    <n v="281128.199188"/>
    <n v="267944.15999999997"/>
    <n v="367026.60800000001"/>
    <n v="64795.294000000045"/>
    <n v="367026.6080000000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  <n v="48.242112877432511"/>
    <x v="0"/>
  </r>
  <r>
    <s v="19"/>
    <s v="19000"/>
    <x v="1"/>
    <s v="CAUCA"/>
    <n v="3"/>
    <s v="N/A"/>
    <x v="5"/>
    <n v="0"/>
    <n v="1088713.8159999999"/>
    <n v="1394677.0459999999"/>
    <n v="135031.476"/>
    <n v="105602.66"/>
    <n v="1266578.9694400001"/>
    <n v="69160.597000000009"/>
    <n v="241487.06200000001"/>
    <n v="138207.12500000003"/>
    <n v="45.290999999999997"/>
    <n v="67443.680999999866"/>
    <n v="218383.46299999999"/>
    <n v="0"/>
    <n v="3279299.1611040002"/>
    <n v="1351266.651486"/>
    <n v="28.191374367510353"/>
    <n v="70"/>
    <n v="107253.130603"/>
    <n v="141658.62946500001"/>
    <n v="1221691.7315179999"/>
    <n v="1192998.3940870001"/>
    <n v="1088713.8159999999"/>
    <n v="1394677.0459999999"/>
    <n v="285872.43499999982"/>
    <n v="1394677.0459999999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  <n v="51.612100493011042"/>
    <x v="0"/>
  </r>
  <r>
    <s v="20"/>
    <s v="20000"/>
    <x v="1"/>
    <s v="CESAR"/>
    <n v="2"/>
    <s v="N/A"/>
    <x v="3"/>
    <n v="295.87400000000002"/>
    <n v="669840.929"/>
    <n v="884970.554"/>
    <n v="145592.38299999997"/>
    <n v="42925.482000000004"/>
    <n v="933865.88940900005"/>
    <n v="302570.76826600003"/>
    <n v="189588.44699999999"/>
    <n v="103001.70999999998"/>
    <n v="1158.1320000000001"/>
    <n v="73075.476000000024"/>
    <n v="89241.324999999997"/>
    <n v="0"/>
    <n v="2544924.47834806"/>
    <n v="600163.80057234992"/>
    <n v="31.605596742907053"/>
    <n v="60"/>
    <n v="128384.815682"/>
    <n v="148495.29013000001"/>
    <n v="733304.70518599998"/>
    <n v="667645.42780800001"/>
    <n v="670136.80299999996"/>
    <n v="884970.554"/>
    <n v="163474.93300000002"/>
    <n v="884970.554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  <n v="68.377552000934728"/>
    <x v="1"/>
  </r>
  <r>
    <s v="23"/>
    <s v="23000"/>
    <x v="1"/>
    <s v="CORDOBA"/>
    <n v="2"/>
    <s v="N/A"/>
    <x v="3"/>
    <n v="2519.2620000000002"/>
    <n v="933148.47599999991"/>
    <n v="1219001.24"/>
    <n v="247624.878"/>
    <n v="8449.0810000000001"/>
    <n v="1254063.529441"/>
    <n v="247356.26832099998"/>
    <n v="259226.22"/>
    <n v="134195.11900000001"/>
    <n v="3009.9160000000002"/>
    <n v="-28868.820999999996"/>
    <n v="222555.17499999999"/>
    <n v="0"/>
    <n v="2586901.2414681897"/>
    <n v="2442794.8657883299"/>
    <n v="52.708362595786042"/>
    <n v="60"/>
    <n v="203704.50381900001"/>
    <n v="248252.299871"/>
    <n v="1123161.673092"/>
    <n v="1040058.443121"/>
    <n v="935667.7379999999"/>
    <n v="1219001.24"/>
    <n v="196696.27"/>
    <n v="1219001.24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  <n v="45.369880949041338"/>
    <x v="0"/>
  </r>
  <r>
    <s v="25"/>
    <s v="25000"/>
    <x v="1"/>
    <s v="CUNDINAMARCA"/>
    <s v="ESP"/>
    <s v="N/A"/>
    <x v="4"/>
    <n v="0"/>
    <n v="1063021.0719999999"/>
    <n v="3006770.165"/>
    <n v="1591154.0919999999"/>
    <n v="285929.67199999996"/>
    <n v="2555574.7216389999"/>
    <n v="868879.14533099998"/>
    <n v="1878226.639"/>
    <n v="1367829.8530000001"/>
    <n v="27225.511999999999"/>
    <n v="-11860.236000000034"/>
    <n v="221617.26500000001"/>
    <n v="0"/>
    <n v="8565831.9599910006"/>
    <n v="6845744.8831230002"/>
    <n v="44.810485902071065"/>
    <n v="50"/>
    <n v="1339934.4525210001"/>
    <n v="1648897.5700020001"/>
    <n v="2519958.519266"/>
    <n v="2293416.860686"/>
    <n v="1063021.0719999999"/>
    <n v="3006770.165"/>
    <n v="236982.54099999997"/>
    <n v="3006770.165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  <n v="71.648254076249856"/>
    <x v="2"/>
  </r>
  <r>
    <s v="27"/>
    <s v="27000"/>
    <x v="1"/>
    <s v="CHOCO"/>
    <n v="4"/>
    <s v="N/A"/>
    <x v="5"/>
    <n v="10704.741"/>
    <n v="439380.97200000001"/>
    <n v="610313.68799999997"/>
    <n v="88527.983000000007"/>
    <n v="5528.9639999999999"/>
    <n v="592240.361424"/>
    <n v="104864.498865"/>
    <n v="104761.68800000001"/>
    <n v="27159.145999999993"/>
    <n v="2196.7139999999999"/>
    <n v="9040.841999999946"/>
    <n v="37725.678999999996"/>
    <n v="0"/>
    <n v="1760769.7670730602"/>
    <n v="610449.77051771001"/>
    <n v="67.478799311568636"/>
    <n v="70"/>
    <n v="78702.280257999999"/>
    <n v="88963.380858999997"/>
    <n v="486457.384234"/>
    <n v="429829.17858100001"/>
    <n v="450085.71299999999"/>
    <n v="610313.68799999997"/>
    <n v="48963.234999999942"/>
    <n v="610313.68799999997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  <n v="52.128463550265096"/>
    <x v="0"/>
  </r>
  <r>
    <s v="41"/>
    <s v="41000"/>
    <x v="1"/>
    <s v="HUILA"/>
    <n v="2"/>
    <s v="N/A"/>
    <x v="0"/>
    <n v="15539.933999999999"/>
    <n v="565745.56000000006"/>
    <n v="899003.31500000006"/>
    <n v="197440.63"/>
    <n v="66040.289999999994"/>
    <n v="866397.77479599998"/>
    <n v="158134.223165"/>
    <n v="280924.82799999998"/>
    <n v="175415.86699999997"/>
    <n v="2380.9549999999999"/>
    <n v="106855.52899999998"/>
    <n v="92324.804999999993"/>
    <n v="0"/>
    <n v="2680386.9332253998"/>
    <n v="1552854.1150158301"/>
    <n v="30.687034228382153"/>
    <n v="60"/>
    <n v="135635.04224000001"/>
    <n v="198585.96017000001"/>
    <n v="690292.83153900004"/>
    <n v="622465.52866199997"/>
    <n v="581285.49400000006"/>
    <n v="899003.31500000006"/>
    <n v="201561.28899999999"/>
    <n v="899003.31500000006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  <n v="54.065159520126599"/>
    <x v="0"/>
  </r>
  <r>
    <s v="44"/>
    <s v="44000"/>
    <x v="1"/>
    <s v="LA_GUAJIRA"/>
    <n v="4"/>
    <s v="N/A"/>
    <x v="3"/>
    <n v="581.46299999999997"/>
    <n v="460648.5039999999"/>
    <n v="625831.94299999997"/>
    <n v="116246.29699999999"/>
    <n v="3295.04"/>
    <n v="525421.18400000001"/>
    <n v="56307.485000000001"/>
    <n v="120122.79999999999"/>
    <n v="66774.037999999986"/>
    <n v="0"/>
    <n v="47061.996999999974"/>
    <n v="77759.767999999996"/>
    <n v="0"/>
    <n v="1849307.5297123501"/>
    <n v="763676.87493346992"/>
    <n v="34.03136278973772"/>
    <n v="70"/>
    <n v="74062.032865999994"/>
    <n v="117200.23901200001"/>
    <n v="526806.20623000001"/>
    <n v="474406.41069300001"/>
    <n v="461229.96699999989"/>
    <n v="625831.94299999997"/>
    <n v="124821.76499999997"/>
    <n v="625831.94299999997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  <n v="50.112734745348355"/>
    <x v="0"/>
  </r>
  <r>
    <s v="47"/>
    <s v="47000"/>
    <x v="1"/>
    <s v="MAGDALENA"/>
    <n v="2"/>
    <s v="N/A"/>
    <x v="3"/>
    <n v="9931.3330000000005"/>
    <n v="673568.46"/>
    <n v="1105602.209"/>
    <n v="232386.77399999998"/>
    <n v="140929.54"/>
    <n v="851340.00199999998"/>
    <n v="176253.14499999999"/>
    <n v="383939.60000000003"/>
    <n v="214768.93600000005"/>
    <n v="2178.1149999999998"/>
    <n v="85091.543000000063"/>
    <n v="198186.02600000001"/>
    <n v="0"/>
    <n v="2210930.3720315602"/>
    <n v="1025792.7074581999"/>
    <n v="46.771648740936314"/>
    <n v="60"/>
    <n v="345282.92687700002"/>
    <n v="363625.97706800001"/>
    <n v="842212.17716299999"/>
    <n v="793135.45005600003"/>
    <n v="683499.79299999995"/>
    <n v="1105602.209"/>
    <n v="285455.68400000007"/>
    <n v="1105602.209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  <n v="58.026375816822082"/>
    <x v="0"/>
  </r>
  <r>
    <s v="50"/>
    <s v="50000"/>
    <x v="1"/>
    <s v="META"/>
    <n v="1"/>
    <s v="N/A"/>
    <x v="2"/>
    <n v="1469.4960000000001"/>
    <n v="406290.05000000005"/>
    <n v="789069.40099999995"/>
    <n v="309258.15299999993"/>
    <n v="16453.125"/>
    <n v="618556.73"/>
    <n v="142162.821"/>
    <n v="332004.40899999993"/>
    <n v="186371.32399999991"/>
    <n v="8380.1790000000001"/>
    <n v="24879.58600000001"/>
    <n v="182495.11900000001"/>
    <n v="0"/>
    <n v="8151185.7173680002"/>
    <n v="1500266.4689730001"/>
    <n v="41.465562160010769"/>
    <n v="55.000000000000007"/>
    <n v="225554.81046499999"/>
    <n v="311967.03343100002"/>
    <n v="615161.18961700005"/>
    <n v="533139.54411400005"/>
    <n v="407759.54600000003"/>
    <n v="789069.40099999995"/>
    <n v="215754.88400000002"/>
    <n v="789069.40099999995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  <n v="63.346520051345749"/>
    <x v="1"/>
  </r>
  <r>
    <s v="52"/>
    <s v="52000"/>
    <x v="1"/>
    <s v="NARIÑO"/>
    <n v="1"/>
    <s v="N/A"/>
    <x v="5"/>
    <n v="229.60900000000001"/>
    <n v="798517.14399999985"/>
    <n v="1246873.0529999998"/>
    <n v="225865.05099999998"/>
    <n v="95343.696999999986"/>
    <n v="1087168.5599409998"/>
    <n v="197979.32070099999"/>
    <n v="322152.64699999994"/>
    <n v="191276.23999999993"/>
    <n v="0"/>
    <n v="101196.64899999998"/>
    <n v="175120.20499999999"/>
    <n v="0"/>
    <n v="3275623.10162109"/>
    <n v="2009304.9739025"/>
    <n v="33.426677924166611"/>
    <n v="55.000000000000007"/>
    <n v="122468.089301"/>
    <n v="163754.35043200001"/>
    <n v="1013771.780717"/>
    <n v="898978.21502799995"/>
    <n v="798746.75299999991"/>
    <n v="1246873.0529999998"/>
    <n v="276316.85399999993"/>
    <n v="1246873.0529999998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  <n v="52.548688707040263"/>
    <x v="0"/>
  </r>
  <r>
    <s v="54"/>
    <s v="54000"/>
    <x v="1"/>
    <s v="NORTE_DE_SANTANDER"/>
    <n v="2"/>
    <s v="N/A"/>
    <x v="4"/>
    <n v="0"/>
    <n v="768307.95600000001"/>
    <n v="1120634.862"/>
    <n v="273737.95399999997"/>
    <n v="43139.614999999998"/>
    <n v="1330734.3631520001"/>
    <n v="223964.14199999999"/>
    <n v="318269.93699999998"/>
    <n v="186914.66199999995"/>
    <n v="6280.0640000000003"/>
    <n v="-17286.08200000017"/>
    <n v="130985.663"/>
    <n v="0"/>
    <n v="2500756.8452041298"/>
    <n v="1766594.6538104399"/>
    <n v="28.514562165730045"/>
    <n v="60"/>
    <n v="216662.97361399999"/>
    <n v="247291.909453"/>
    <n v="825168.83210300002"/>
    <n v="664118.78174100001"/>
    <n v="768307.95600000001"/>
    <n v="1120634.862"/>
    <n v="119979.64499999983"/>
    <n v="1120634.862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  <n v="57.772156887655584"/>
    <x v="0"/>
  </r>
  <r>
    <s v="63"/>
    <s v="63000"/>
    <x v="1"/>
    <s v="QUINDIO"/>
    <n v="3"/>
    <s v="N/A"/>
    <x v="1"/>
    <n v="1411.366"/>
    <n v="208006.08899999998"/>
    <n v="400596.79"/>
    <n v="139838.891"/>
    <n v="40305.690999999999"/>
    <n v="284857.15756999998"/>
    <n v="31289.25661"/>
    <n v="182549.364"/>
    <n v="86366.70699999998"/>
    <n v="2655.99"/>
    <n v="21272.822999999975"/>
    <n v="46789.593000000001"/>
    <n v="0"/>
    <n v="1346328.2390123601"/>
    <n v="775789.47279531998"/>
    <n v="52.1457714458233"/>
    <n v="70"/>
    <n v="131344.59449600001"/>
    <n v="146897.12486400001"/>
    <n v="286065.23936200002"/>
    <n v="285435.94224399998"/>
    <n v="209417.45499999999"/>
    <n v="400596.79"/>
    <n v="70718.405999999974"/>
    <n v="400596.79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  <n v="61.468330179307671"/>
    <x v="1"/>
  </r>
  <r>
    <s v="66"/>
    <s v="66000"/>
    <x v="1"/>
    <s v="RISARALDA"/>
    <n v="2"/>
    <s v="N/A"/>
    <x v="1"/>
    <n v="0"/>
    <n v="249440.91699999999"/>
    <n v="582559.92200000002"/>
    <n v="209804.72600000002"/>
    <n v="82658.166000000012"/>
    <n v="477374.44612199999"/>
    <n v="60866.297000000006"/>
    <n v="292778.16200000007"/>
    <n v="192484.25100000005"/>
    <n v="1357.6859999999999"/>
    <n v="42815.082000000053"/>
    <n v="87820.456000000006"/>
    <n v="0"/>
    <n v="2417970.5466840002"/>
    <n v="1016066.001316"/>
    <n v="35.08552204243265"/>
    <n v="60"/>
    <n v="153351"/>
    <n v="246795.14448700001"/>
    <n v="440204.95085700002"/>
    <n v="411255.18237499997"/>
    <n v="249440.91699999999"/>
    <n v="582559.92200000002"/>
    <n v="131993.22400000005"/>
    <n v="582559.92200000002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  <n v="57.255454440138315"/>
    <x v="0"/>
  </r>
  <r>
    <s v="68"/>
    <s v="68000"/>
    <x v="1"/>
    <s v="SANTANDER"/>
    <n v="1"/>
    <s v="N/A"/>
    <x v="4"/>
    <n v="0"/>
    <n v="783482.70700000005"/>
    <n v="1644599.0279999999"/>
    <n v="595735.01"/>
    <n v="45534.195"/>
    <n v="1636662.003951"/>
    <n v="553673.77966100001"/>
    <n v="644114.56699999992"/>
    <n v="303483.37099999993"/>
    <n v="20459.276999999998"/>
    <n v="-90529.967000000179"/>
    <n v="291452.31699999998"/>
    <n v="0"/>
    <n v="5823434.5536785899"/>
    <n v="5281189.8542640805"/>
    <n v="43.365976393781622"/>
    <n v="55.000000000000007"/>
    <n v="390766.88153200003"/>
    <n v="654863.10763300001"/>
    <n v="1380994.0904409999"/>
    <n v="1086477.0220290001"/>
    <n v="783482.70700000005"/>
    <n v="1644599.0279999999"/>
    <n v="221381.6269999998"/>
    <n v="1644599.0279999999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  <n v="56.797822593655226"/>
    <x v="0"/>
  </r>
  <r>
    <s v="70"/>
    <s v="70000"/>
    <x v="1"/>
    <s v="SUCRE"/>
    <n v="3"/>
    <s v="N/A"/>
    <x v="3"/>
    <n v="2539.5500000000002"/>
    <n v="615305.37599999993"/>
    <n v="767668.16799999983"/>
    <n v="141086.42300000001"/>
    <n v="6956.6570000000002"/>
    <n v="771527.24511299981"/>
    <n v="125718.465"/>
    <n v="151433.67800000001"/>
    <n v="85922.378000000026"/>
    <n v="0"/>
    <n v="-56269.44299999997"/>
    <n v="109365.353"/>
    <n v="0"/>
    <n v="1601639.98055141"/>
    <n v="531411.47772359999"/>
    <n v="58.990685971755873"/>
    <n v="70"/>
    <n v="128870.256176"/>
    <n v="146239.20265799999"/>
    <n v="765691.46120999998"/>
    <n v="644987.21608599997"/>
    <n v="617844.92599999998"/>
    <n v="767668.16799999983"/>
    <n v="53095.910000000033"/>
    <n v="767668.16799999983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  <n v="70.327337918984554"/>
    <x v="2"/>
  </r>
  <r>
    <s v="73"/>
    <s v="73000"/>
    <x v="1"/>
    <s v="TOLIMA"/>
    <n v="2"/>
    <s v="N/A"/>
    <x v="0"/>
    <n v="6069.9350000000004"/>
    <n v="707352.897"/>
    <n v="1214613.713"/>
    <n v="265402.20600000001"/>
    <n v="71410.27"/>
    <n v="1183953.765259"/>
    <n v="327042.41334699997"/>
    <n v="345099.679"/>
    <n v="179199.76800000001"/>
    <n v="72.411000000000001"/>
    <n v="-106565.35900000017"/>
    <n v="134031.32999999999"/>
    <n v="0"/>
    <n v="2705198.1548449998"/>
    <n v="1913752.1812710001"/>
    <n v="24.04709669085338"/>
    <n v="60"/>
    <n v="243664.68812499999"/>
    <n v="280580.73980500002"/>
    <n v="1155279.1609489999"/>
    <n v="938629.32175300003"/>
    <n v="713422.83200000005"/>
    <n v="1214613.713"/>
    <n v="27538.381999999809"/>
    <n v="1214613.713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  <n v="69.457535515616172"/>
    <x v="1"/>
  </r>
  <r>
    <s v="76"/>
    <s v="76000"/>
    <x v="1"/>
    <s v="VALLE DEL CAUCA"/>
    <s v="ESP"/>
    <s v="N/A"/>
    <x v="5"/>
    <n v="2761.3649999999998"/>
    <n v="739573.49499999988"/>
    <n v="2377891.5599999996"/>
    <n v="1188201.8399999999"/>
    <n v="198856.56899999999"/>
    <n v="1995706.107843"/>
    <n v="562846.93999999994"/>
    <n v="1395266.6749999998"/>
    <n v="922974.61799999978"/>
    <n v="20263.793000000001"/>
    <n v="-68237.832000000402"/>
    <n v="536196.67099999997"/>
    <n v="0"/>
    <n v="6758418.8750999998"/>
    <n v="4924028.6024820004"/>
    <n v="31.822176244662703"/>
    <n v="50"/>
    <n v="949733.58363300003"/>
    <n v="1133158.693836"/>
    <n v="1965489.9293819999"/>
    <n v="1854046.51813"/>
    <n v="742334.85999999987"/>
    <n v="2377891.5599999996"/>
    <n v="488222.63199999958"/>
    <n v="2377891.5599999996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  <n v="69.686723042599894"/>
    <x v="1"/>
  </r>
  <r>
    <s v="81"/>
    <s v="81000"/>
    <x v="1"/>
    <s v="ARAUCA"/>
    <n v="4"/>
    <s v="N/A"/>
    <x v="2"/>
    <n v="20967.723999999998"/>
    <n v="263634.24"/>
    <n v="360487.20799999998"/>
    <n v="57533.785000000003"/>
    <n v="5152.0559999999996"/>
    <n v="402008.83312100003"/>
    <n v="56488.056423999995"/>
    <n v="87867.019"/>
    <n v="37769.505000000005"/>
    <n v="0"/>
    <n v="-76600.185000000056"/>
    <n v="130674.322"/>
    <n v="0"/>
    <n v="1305639.7396416599"/>
    <n v="600434.91266186"/>
    <n v="72.41082937899364"/>
    <n v="70"/>
    <n v="34506.343055999998"/>
    <n v="51526.663135000003"/>
    <n v="352279.26472400001"/>
    <n v="316320.27284200001"/>
    <n v="284601.96399999998"/>
    <n v="360487.20799999998"/>
    <n v="54074.136999999944"/>
    <n v="360487.20799999998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  <n v="40.293189955343266"/>
    <x v="0"/>
  </r>
  <r>
    <s v="85"/>
    <s v="85000"/>
    <x v="1"/>
    <s v="CASANARE"/>
    <n v="3"/>
    <s v="N/A"/>
    <x v="2"/>
    <n v="21090.57"/>
    <n v="248698.57800000001"/>
    <n v="403300.58200000005"/>
    <n v="104427.276"/>
    <n v="8661.4120000000003"/>
    <n v="614568.4219800001"/>
    <n v="37498.904999999999"/>
    <n v="135810.65"/>
    <n v="56051.055999999997"/>
    <n v="0"/>
    <n v="-13041.184999999998"/>
    <n v="88023.207999999999"/>
    <n v="0"/>
    <n v="3041468.0490214801"/>
    <n v="580186.15381703002"/>
    <n v="65.909907839454078"/>
    <n v="70"/>
    <n v="72980.234796000004"/>
    <n v="112725.543488"/>
    <n v="337341.88578299998"/>
    <n v="317379.87992699997"/>
    <n v="269789.14799999999"/>
    <n v="403300.58200000005"/>
    <n v="74982.023000000001"/>
    <n v="403300.58200000005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  <n v="46.880264994213825"/>
    <x v="0"/>
  </r>
  <r>
    <s v="86"/>
    <s v="86000"/>
    <x v="1"/>
    <s v="PUTUMAYO"/>
    <n v="4"/>
    <s v="N/A"/>
    <x v="0"/>
    <n v="26011.460999999999"/>
    <n v="354674.83100000001"/>
    <n v="478436.40500000003"/>
    <n v="47513.984000000004"/>
    <n v="19523.545000000002"/>
    <n v="431104.806324"/>
    <n v="54875.114323999995"/>
    <n v="93481.967000000004"/>
    <n v="35210.130000000005"/>
    <n v="0"/>
    <n v="8901.4580000000424"/>
    <n v="55515.32"/>
    <n v="0"/>
    <n v="1561976.96025574"/>
    <n v="395230.20788305998"/>
    <n v="59.615741400164893"/>
    <n v="70"/>
    <n v="47819.821390999998"/>
    <n v="49349.334778999997"/>
    <n v="414744.27569799998"/>
    <n v="355105.912044"/>
    <n v="380686.29200000002"/>
    <n v="478436.40500000003"/>
    <n v="64416.778000000042"/>
    <n v="478436.40500000003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  <n v="53.809124642813828"/>
    <x v="0"/>
  </r>
  <r>
    <s v="88"/>
    <s v="88000"/>
    <x v="1"/>
    <s v="SAN ANDRES"/>
    <n v="3"/>
    <s v="N/A"/>
    <x v="3"/>
    <n v="119183.045"/>
    <n v="76595.913"/>
    <n v="498562.70899999997"/>
    <n v="49905.727999999996"/>
    <n v="138995.61499999999"/>
    <n v="199549.19900000002"/>
    <n v="10983.412"/>
    <n v="308084.38799999998"/>
    <n v="118795.01799999998"/>
    <n v="0"/>
    <n v="109724.13999999996"/>
    <n v="210539.201"/>
    <n v="0"/>
    <n v="1660618.82861182"/>
    <n v="344515.3892795"/>
    <n v="58.347152083063492"/>
    <n v="70"/>
    <n v="81126.589076999997"/>
    <n v="186678.763205"/>
    <n v="169323.41753999999"/>
    <n v="139618.61489999999"/>
    <n v="195778.95799999998"/>
    <n v="498562.70899999997"/>
    <n v="320263.34099999996"/>
    <n v="498562.70899999997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  <n v="45.630413474656187"/>
    <x v="0"/>
  </r>
  <r>
    <s v="91"/>
    <s v="91000"/>
    <x v="1"/>
    <s v="AMAZONAS"/>
    <n v="4"/>
    <s v="N/A"/>
    <x v="0"/>
    <n v="27288.614000000001"/>
    <n v="154378.50199999998"/>
    <n v="205065.06299999997"/>
    <n v="16150.599999999999"/>
    <n v="459.76100000000002"/>
    <n v="161164.54700000002"/>
    <n v="16823.567000000003"/>
    <n v="44758.040999999997"/>
    <n v="17344.657999999996"/>
    <n v="0"/>
    <n v="16487.132999999943"/>
    <n v="42643.307000000001"/>
    <n v="0"/>
    <n v="966283.35043999995"/>
    <n v="333122.25690400001"/>
    <n v="62.909249342439566"/>
    <n v="70"/>
    <n v="14519.956894000001"/>
    <n v="16228.395227000001"/>
    <n v="163554.07363999999"/>
    <n v="146848.42225800001"/>
    <n v="181667.11599999998"/>
    <n v="205065.06299999997"/>
    <n v="59130.439999999944"/>
    <n v="205065.06299999997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  <n v="40.962653269645386"/>
    <x v="0"/>
  </r>
  <r>
    <s v="94"/>
    <s v="94000"/>
    <x v="1"/>
    <s v="GUAINIA"/>
    <n v="4"/>
    <s v="N/A"/>
    <x v="2"/>
    <n v="27156.856"/>
    <n v="120511.557"/>
    <n v="204548.73100000003"/>
    <n v="24643.221000000001"/>
    <n v="677.125"/>
    <n v="247384.38265299998"/>
    <n v="105956.75165299998"/>
    <n v="52477.202000000005"/>
    <n v="33736.965000000004"/>
    <n v="0"/>
    <n v="11215.003000000055"/>
    <n v="52312.982000000004"/>
    <n v="0"/>
    <n v="934672.21466518997"/>
    <n v="206157.69083567002"/>
    <n v="54.610036395137115"/>
    <n v="70"/>
    <n v="13621.619476"/>
    <n v="37935.542221000003"/>
    <n v="174593.490785"/>
    <n v="128623.757178"/>
    <n v="147668.413"/>
    <n v="204548.73100000003"/>
    <n v="63527.985000000059"/>
    <n v="204548.73100000003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  <n v="56.60552922786259"/>
    <x v="0"/>
  </r>
  <r>
    <s v="95"/>
    <s v="95000"/>
    <x v="1"/>
    <s v="GUAVIARE"/>
    <n v="4"/>
    <s v="N/A"/>
    <x v="2"/>
    <n v="23331.414000000001"/>
    <n v="128022.166"/>
    <n v="206644.58199999999"/>
    <n v="43068.071000000004"/>
    <n v="1984.1770000000001"/>
    <n v="266111.998135"/>
    <n v="114691.26356600001"/>
    <n v="68853.489000000001"/>
    <n v="36969.695000000007"/>
    <n v="198.33600000000001"/>
    <n v="855.30300000001444"/>
    <n v="30232.170999999998"/>
    <n v="0"/>
    <n v="886694.05316799995"/>
    <n v="168959.14295400001"/>
    <n v="54.326511938009403"/>
    <n v="70"/>
    <n v="23061.394586999999"/>
    <n v="43223.486043999997"/>
    <n v="169707.49721100001"/>
    <n v="157725.149554"/>
    <n v="151353.57999999999"/>
    <n v="206644.58199999999"/>
    <n v="31285.810000000012"/>
    <n v="206644.58199999999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  <n v="63.933533767117517"/>
    <x v="1"/>
  </r>
  <r>
    <s v="97"/>
    <s v="97000"/>
    <x v="1"/>
    <s v="VAUPES"/>
    <n v="4"/>
    <s v="N/A"/>
    <x v="2"/>
    <n v="24110.710999999999"/>
    <n v="86838.692999999999"/>
    <n v="133145.973"/>
    <n v="10889.958999999999"/>
    <n v="397.72800000000001"/>
    <n v="160089.75407200001"/>
    <n v="60733.424072000002"/>
    <n v="35445.463999999993"/>
    <n v="19130.557999999994"/>
    <n v="0"/>
    <n v="6325.8349999999919"/>
    <n v="57574.599000000002"/>
    <n v="0"/>
    <n v="661217.96552553005"/>
    <n v="63687.943693000001"/>
    <n v="38.857004192895666"/>
    <n v="70"/>
    <n v="8885.189531"/>
    <n v="10940.901218999999"/>
    <n v="110527.195011"/>
    <n v="90385.050529"/>
    <n v="110949.40399999999"/>
    <n v="133145.973"/>
    <n v="63900.433999999994"/>
    <n v="133145.973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  <n v="59.076647655798382"/>
    <x v="0"/>
  </r>
  <r>
    <s v="99"/>
    <s v="99000"/>
    <x v="1"/>
    <s v="VICHADA"/>
    <n v="4"/>
    <s v="N/A"/>
    <x v="2"/>
    <n v="25553.024000000001"/>
    <n v="82785.123999999996"/>
    <n v="133068.20799999998"/>
    <n v="11517.588"/>
    <n v="264.56299999999999"/>
    <n v="123019.601"/>
    <n v="18589.568999999996"/>
    <n v="37393.707000000002"/>
    <n v="15817.618000000002"/>
    <n v="182.727"/>
    <n v="-11527.482000000018"/>
    <n v="32994.565999999999"/>
    <n v="0"/>
    <n v="669778.100293"/>
    <n v="138404.87291400001"/>
    <n v="38.146327061576649"/>
    <n v="70"/>
    <n v="11790.4"/>
    <n v="9787.6997850000007"/>
    <n v="128272.993307"/>
    <n v="108084.081314"/>
    <n v="108338.148"/>
    <n v="133068.20799999998"/>
    <n v="21649.81099999998"/>
    <n v="133068.20799999998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  <n v="53.010389526023644"/>
    <x v="0"/>
  </r>
  <r>
    <s v="08"/>
    <s v="08000"/>
    <x v="2"/>
    <s v="ATLANTICO"/>
    <n v="1"/>
    <s v="N/A"/>
    <x v="3"/>
    <n v="0"/>
    <n v="436053.82109300001"/>
    <n v="1569969.3571200001"/>
    <n v="674382.50961499999"/>
    <n v="281475.84954800003"/>
    <n v="1587461.3580779999"/>
    <n v="174765.79506099998"/>
    <n v="956923.96782000002"/>
    <n v="619105.97923100006"/>
    <n v="45443.775835"/>
    <n v="-275774.40520599973"/>
    <n v="171328.126903"/>
    <n v="0"/>
    <n v="4509474.4042680897"/>
    <n v="2246925.24756794"/>
    <n v="22.942732727074912"/>
    <n v="55"/>
    <n v="787464.88290600001"/>
    <n v="852385.35538700002"/>
    <n v="1516215.9453499999"/>
    <n v="1066531.8900599999"/>
    <n v="436053.82109300001"/>
    <n v="1569969.3571200001"/>
    <n v="-59002.50246799973"/>
    <n v="1569969.357120000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  <n v="74.95498647627592"/>
    <x v="2"/>
  </r>
  <r>
    <s v="25"/>
    <s v="25000"/>
    <x v="2"/>
    <s v="CUNDINAMARCA"/>
    <s v="ESP"/>
    <s v="N/A"/>
    <x v="4"/>
    <n v="0"/>
    <n v="932557.15288399998"/>
    <n v="3554823.9348729998"/>
    <n v="1886324.9334750001"/>
    <n v="412735.705029"/>
    <n v="3333551.2341559995"/>
    <n v="388088.14334499999"/>
    <n v="2300641.8180999998"/>
    <n v="1639205.5287129998"/>
    <n v="72263.593798999995"/>
    <n v="-241175.02810899913"/>
    <n v="535719.33379099995"/>
    <n v="0"/>
    <n v="8767231.2337890007"/>
    <n v="7103861.2916949997"/>
    <n v="37.607161452806075"/>
    <n v="50"/>
    <n v="1473252.7549999999"/>
    <n v="1987670.1935650001"/>
    <n v="3134562.6735950001"/>
    <n v="2847453.544646"/>
    <n v="932557.15288399998"/>
    <n v="3554823.9348729998"/>
    <n v="366807.89948100084"/>
    <n v="3554823.9348729998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  <n v="71.937321253336677"/>
    <x v="2"/>
  </r>
  <r>
    <s v="70"/>
    <s v="70000"/>
    <x v="2"/>
    <s v="SUCRE"/>
    <n v="3"/>
    <s v="N/A"/>
    <x v="3"/>
    <n v="0"/>
    <n v="578699.46367799991"/>
    <n v="836404.30041499983"/>
    <n v="179740.51947500001"/>
    <n v="22124.968696"/>
    <n v="852754.52582199802"/>
    <n v="90245.483850999008"/>
    <n v="202983.26746999999"/>
    <n v="121778.08097700099"/>
    <n v="989.45435099999997"/>
    <n v="-64426.588871997199"/>
    <n v="137942.13736399999"/>
    <n v="0"/>
    <n v="1687581.5856451401"/>
    <n v="530734.74416770006"/>
    <n v="67.202289898686956"/>
    <n v="70"/>
    <n v="147710.40189000001"/>
    <n v="198297.62028999999"/>
    <n v="819625.70279400004"/>
    <n v="723977.27041300002"/>
    <n v="578699.46367799991"/>
    <n v="836404.30041499983"/>
    <n v="74505.002843002789"/>
    <n v="836404.30041499983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  <n v="68.205988113636295"/>
    <x v="1"/>
  </r>
  <r>
    <s v="50"/>
    <s v="50000"/>
    <x v="2"/>
    <s v="META"/>
    <n v="1"/>
    <s v="N/A"/>
    <x v="2"/>
    <n v="0"/>
    <n v="334261.29108099994"/>
    <n v="887838.80665799999"/>
    <n v="343144.55385000003"/>
    <n v="74181.047659999997"/>
    <n v="1311318.878393"/>
    <n v="270626.08982200001"/>
    <n v="423718.60675600002"/>
    <n v="215778.92516700001"/>
    <n v="11816.891799999999"/>
    <n v="48355.966997999814"/>
    <n v="159898.13665299999"/>
    <n v="0"/>
    <n v="8494587.3280650005"/>
    <n v="1496413.0753279999"/>
    <n v="49.238283033106924"/>
    <n v="55"/>
    <n v="365070.73131800001"/>
    <n v="373735.98364400002"/>
    <n v="631543.15807100001"/>
    <n v="559950.97079499997"/>
    <n v="334261.29108099994"/>
    <n v="887838.80665799999"/>
    <n v="220070.99545099982"/>
    <n v="887838.80665799999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  <n v="68.178979803432441"/>
    <x v="1"/>
  </r>
  <r>
    <s v="41"/>
    <s v="41000"/>
    <x v="2"/>
    <s v="HUILA"/>
    <n v="3"/>
    <s v="N/A"/>
    <x v="0"/>
    <n v="0"/>
    <n v="507781.275456"/>
    <n v="976823.20924400003"/>
    <n v="238032.43295400002"/>
    <n v="88097.546258000002"/>
    <n v="1233499.3546889999"/>
    <n v="116305.50101200001"/>
    <n v="327937.27965100005"/>
    <n v="200718.07497700004"/>
    <n v="4205.7967879999997"/>
    <n v="-78714.245823999867"/>
    <n v="195074.210273"/>
    <n v="0"/>
    <n v="2757635.8548494903"/>
    <n v="1751644.9545177601"/>
    <n v="34.088093512006296"/>
    <n v="70"/>
    <n v="183859.87119400001"/>
    <n v="249688.620494"/>
    <n v="928318.25039399997"/>
    <n v="812275.49421399995"/>
    <n v="507781.275456"/>
    <n v="976823.20924400003"/>
    <n v="120565.76123700014"/>
    <n v="976823.20924400003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  <n v="66.233994741658975"/>
    <x v="1"/>
  </r>
  <r>
    <s v="95"/>
    <s v="95000"/>
    <x v="2"/>
    <s v="GUAVIARE"/>
    <n v="4"/>
    <s v="N/A"/>
    <x v="2"/>
    <n v="23778.164551999998"/>
    <n v="103654.92590699998"/>
    <n v="194500.26311499998"/>
    <n v="35465.942702999993"/>
    <n v="11120.251118"/>
    <n v="165641.42309099899"/>
    <n v="31883.586985999002"/>
    <n v="70825.566270999989"/>
    <n v="35187.807159999989"/>
    <n v="525.85563400000001"/>
    <n v="-6778.919086998998"/>
    <n v="30096.76583"/>
    <n v="0"/>
    <n v="901488.60103200004"/>
    <n v="178039.29000199999"/>
    <n v="60.639893279458732"/>
    <n v="70"/>
    <n v="22970.051909000002"/>
    <n v="45353.246717000002"/>
    <n v="160396.72309099999"/>
    <n v="138308.607128"/>
    <n v="127433.09045899998"/>
    <n v="194500.26311499998"/>
    <n v="23843.702377001002"/>
    <n v="194500.26311499998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  <n v="65.529454179559906"/>
    <x v="1"/>
  </r>
  <r>
    <s v="05"/>
    <s v="05000"/>
    <x v="2"/>
    <s v="ANTIOQUIA"/>
    <s v="ESP"/>
    <s v="N/A"/>
    <x v="1"/>
    <n v="0"/>
    <n v="1548440.09916"/>
    <n v="5044817.4379440006"/>
    <n v="1748023.1876289998"/>
    <n v="1073334.1986080001"/>
    <n v="4336505.9294499997"/>
    <n v="338868.67157100001"/>
    <n v="2830271.5466410001"/>
    <n v="1932154.2197449999"/>
    <n v="145779.73674800002"/>
    <n v="85443.807489001192"/>
    <n v="751371.76904399996"/>
    <n v="0"/>
    <n v="13310231.460189"/>
    <n v="11006822.922897"/>
    <n v="20.080040978787288"/>
    <n v="50"/>
    <n v="1578074.8615590001"/>
    <n v="1902217.9787039999"/>
    <n v="4061256.3035590001"/>
    <n v="3623869.2646300001"/>
    <n v="1548440.09916"/>
    <n v="5044817.4379440006"/>
    <n v="982595.31328100117"/>
    <n v="5044817.4379440006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  <n v="63.706604590308586"/>
    <x v="1"/>
  </r>
  <r>
    <s v="76"/>
    <s v="76000"/>
    <x v="2"/>
    <s v="VALLE DEL CAUCA"/>
    <s v="ESP"/>
    <s v="N/A"/>
    <x v="5"/>
    <n v="0"/>
    <n v="607911.49011899997"/>
    <n v="2528949.9947520001"/>
    <n v="1120858.497376"/>
    <n v="484888.11108800001"/>
    <n v="2229780.7643549996"/>
    <n v="129486.148631"/>
    <n v="1612146.048838"/>
    <n v="1094887.861699"/>
    <n v="37948.436702999999"/>
    <n v="-150809.02241099952"/>
    <n v="568427.16128799994"/>
    <n v="0"/>
    <n v="6785306.6824190002"/>
    <n v="4568818.632797"/>
    <n v="40.420415029428575"/>
    <n v="50"/>
    <n v="1069439.5"/>
    <n v="1226817.013057"/>
    <n v="2162500.8300239998"/>
    <n v="2030272.4232399999"/>
    <n v="607911.49011899997"/>
    <n v="2528949.9947520001"/>
    <n v="455566.57558000041"/>
    <n v="2528949.994752000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  <n v="63.477218735238715"/>
    <x v="1"/>
  </r>
  <r>
    <s v="20"/>
    <s v="20000"/>
    <x v="2"/>
    <s v="CESAR"/>
    <n v="2"/>
    <s v="N/A"/>
    <x v="3"/>
    <n v="0"/>
    <n v="519202.52956399997"/>
    <n v="946737.18176499999"/>
    <n v="170013.47431299998"/>
    <n v="70819.290700000012"/>
    <n v="1751244.4582660003"/>
    <n v="996764.08921400004"/>
    <n v="241917.769034"/>
    <n v="143783.93098499998"/>
    <n v="3796.4052120000001"/>
    <n v="-408934.31969799998"/>
    <n v="126984.75463700001"/>
    <n v="0"/>
    <n v="2975264.3782754801"/>
    <n v="829394.55267201003"/>
    <n v="49.719730816383318"/>
    <n v="60"/>
    <n v="143080.90915399999"/>
    <n v="193315.49919999999"/>
    <n v="1257537.6634140001"/>
    <n v="733714.02175800002"/>
    <n v="519202.52956399997"/>
    <n v="946737.18176499999"/>
    <n v="-278153.15984899993"/>
    <n v="946737.18176499999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  <n v="62.088111579544844"/>
    <x v="1"/>
  </r>
  <r>
    <s v="17"/>
    <s v="17000"/>
    <x v="2"/>
    <s v="CALDAS"/>
    <n v="2"/>
    <s v="N/A"/>
    <x v="1"/>
    <n v="0"/>
    <n v="411042.57998799998"/>
    <n v="840770.33165999991"/>
    <n v="291864.594942"/>
    <n v="39614.497010000006"/>
    <n v="856208.96290699998"/>
    <n v="217450.579401"/>
    <n v="334419.22224799998"/>
    <n v="177878.96398999999"/>
    <n v="8920.4882379999999"/>
    <n v="-58626.739406000124"/>
    <n v="146780.726933"/>
    <n v="0"/>
    <n v="3217779.8682479998"/>
    <n v="1939962.3559049999"/>
    <n v="38.682199811748838"/>
    <n v="60"/>
    <n v="247665.88659000001"/>
    <n v="314010.073493"/>
    <n v="742856.81280800002"/>
    <n v="674388.63773399999"/>
    <n v="411042.57998799998"/>
    <n v="840770.33165999991"/>
    <n v="97074.475764999865"/>
    <n v="840770.3316599999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  <n v="60.504718834772305"/>
    <x v="1"/>
  </r>
  <r>
    <s v="88"/>
    <s v="88000"/>
    <x v="2"/>
    <s v="SAN ANDRES"/>
    <n v="3"/>
    <s v="N/A"/>
    <x v="3"/>
    <n v="10788.5359555"/>
    <n v="57466.396444999991"/>
    <n v="463777.38031149999"/>
    <n v="60644.703705"/>
    <n v="164407.157534"/>
    <n v="351927.14605599997"/>
    <n v="32999.921353999998"/>
    <n v="236180.3030175"/>
    <n v="346.93882149999263"/>
    <n v="0"/>
    <n v="-123983.12994049996"/>
    <n v="269964.59620199999"/>
    <n v="0"/>
    <n v="1762665.56195439"/>
    <n v="351589.29261950002"/>
    <n v="59.097711895223938"/>
    <n v="70"/>
    <n v="223280.57226099999"/>
    <n v="224679.49359699999"/>
    <n v="351927.14605600003"/>
    <n v="262051.619469"/>
    <n v="68254.932400499994"/>
    <n v="463777.38031149999"/>
    <n v="145981.46626150003"/>
    <n v="463777.38031149999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  <n v="60.385471887348842"/>
    <x v="1"/>
  </r>
  <r>
    <s v="73"/>
    <s v="73000"/>
    <x v="2"/>
    <s v="TOLIMA"/>
    <n v="2"/>
    <s v="N/A"/>
    <x v="0"/>
    <n v="0"/>
    <n v="692882.27621199994"/>
    <n v="1261784.0906759999"/>
    <n v="304529.42197199998"/>
    <n v="110845.179078"/>
    <n v="1365956.461968"/>
    <n v="50407.260083000001"/>
    <n v="432779.78275499999"/>
    <n v="243293.95307600001"/>
    <n v="1782.348608"/>
    <n v="-110256.55744700017"/>
    <n v="106371.77722800001"/>
    <n v="0"/>
    <n v="2689599.459551"/>
    <n v="2074614.567062"/>
    <n v="30.614211433518435"/>
    <n v="60"/>
    <n v="303718.35700000002"/>
    <n v="341476.618074"/>
    <n v="1182554.8184440001"/>
    <n v="1018414.8408680001"/>
    <n v="692882.27621199994"/>
    <n v="1261784.0906759999"/>
    <n v="-2102.4316110001673"/>
    <n v="1261784.0906759999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  <n v="58.088143128065255"/>
    <x v="0"/>
  </r>
  <r>
    <s v="81"/>
    <s v="81000"/>
    <x v="2"/>
    <s v="ARAUCA"/>
    <n v="4"/>
    <s v="N/A"/>
    <x v="2"/>
    <n v="21414.164552000002"/>
    <n v="215129.86238300003"/>
    <n v="326175.23331700003"/>
    <n v="43860.944031999999"/>
    <n v="6798.347694"/>
    <n v="425840.12829900003"/>
    <n v="64948.269012000004"/>
    <n v="72823.034960999998"/>
    <n v="25493.615114709995"/>
    <n v="0"/>
    <n v="-14899.513952289999"/>
    <n v="62240.051906000001"/>
    <n v="0"/>
    <n v="1245328.5959431899"/>
    <n v="574021.31202359009"/>
    <n v="65.044221292995815"/>
    <n v="70"/>
    <n v="42368.197294999998"/>
    <n v="51054.691656000003"/>
    <n v="293745.32742300001"/>
    <n v="273357.917403"/>
    <n v="236544.02693500003"/>
    <n v="326175.23331700003"/>
    <n v="47340.537953710002"/>
    <n v="326175.23331700003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  <n v="57.300690480227615"/>
    <x v="0"/>
  </r>
  <r>
    <s v="54"/>
    <s v="54000"/>
    <x v="2"/>
    <s v="NORTE_DE_SANTANDER"/>
    <n v="2"/>
    <s v="N/A"/>
    <x v="4"/>
    <n v="0"/>
    <n v="574389.423022"/>
    <n v="1219852.4850320001"/>
    <n v="287270.10701000004"/>
    <n v="67425.084814000002"/>
    <n v="1138734.0118140001"/>
    <n v="27279.170419999999"/>
    <n v="356431.93287400005"/>
    <n v="206786.49425200006"/>
    <n v="10961.530954"/>
    <n v="-68526.9654039999"/>
    <n v="146827.785753"/>
    <n v="0"/>
    <n v="2526590.06709813"/>
    <n v="1607305.2774115899"/>
    <n v="47.268782012456519"/>
    <n v="60"/>
    <n v="245595.33630900001"/>
    <n v="317317.02929899999"/>
    <n v="1138734.0118140001"/>
    <n v="908178.66924700001"/>
    <n v="574389.423022"/>
    <n v="1219852.4850320001"/>
    <n v="89262.351303000105"/>
    <n v="1219852.485032000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  <n v="54.812290357739414"/>
    <x v="0"/>
  </r>
  <r>
    <s v="47"/>
    <s v="47000"/>
    <x v="2"/>
    <s v="MAGDALENA"/>
    <n v="3"/>
    <s v="N/A"/>
    <x v="3"/>
    <n v="0"/>
    <n v="689104.31501599995"/>
    <n v="1223324.3602209999"/>
    <n v="277499.74871899997"/>
    <n v="174340.826007"/>
    <n v="948841.02318099909"/>
    <n v="20858.243491999998"/>
    <n v="452777.67980399996"/>
    <n v="257576.32448299997"/>
    <n v="5193.8250440000002"/>
    <n v="79281.981719000731"/>
    <n v="281072.62861900002"/>
    <n v="0"/>
    <n v="2160031.4465727098"/>
    <n v="1023075.3640255901"/>
    <n v="44.81782840250181"/>
    <n v="70"/>
    <n v="368420.90929699998"/>
    <n v="438889.99632999999"/>
    <n v="948841.02318100003"/>
    <n v="872354.02603499999"/>
    <n v="689104.31501599995"/>
    <n v="1223324.3602209999"/>
    <n v="365548.43538200075"/>
    <n v="1223324.3602209999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  <n v="53.44153511269154"/>
    <x v="0"/>
  </r>
  <r>
    <s v="86"/>
    <s v="86000"/>
    <x v="2"/>
    <s v="PUTUMAYO"/>
    <n v="4"/>
    <s v="N/A"/>
    <x v="0"/>
    <n v="21414.164553999999"/>
    <n v="327927.172265"/>
    <n v="465998.71775100002"/>
    <n v="53482.48141"/>
    <n v="21122.064774000002"/>
    <n v="443877.21294199902"/>
    <n v="26680.269411000001"/>
    <n v="96829.871471000006"/>
    <n v="30663.860529000012"/>
    <n v="0"/>
    <n v="-44044.506132999028"/>
    <n v="87767.825695000007"/>
    <n v="0"/>
    <n v="1543856.76087306"/>
    <n v="521413.19074354996"/>
    <n v="65.178204088456809"/>
    <n v="70"/>
    <n v="48951.438408000002"/>
    <n v="58685.461440999999"/>
    <n v="443877.21294200001"/>
    <n v="387355.24359899998"/>
    <n v="349341.33681900002"/>
    <n v="465998.71775100002"/>
    <n v="43723.319562000979"/>
    <n v="465998.71775100002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  <n v="52.085488236309267"/>
    <x v="0"/>
  </r>
  <r>
    <s v="66"/>
    <s v="66000"/>
    <x v="2"/>
    <s v="RISARALDA"/>
    <n v="2"/>
    <s v="N/A"/>
    <x v="1"/>
    <n v="0"/>
    <n v="199020.24036300002"/>
    <n v="860399.06939900015"/>
    <n v="242057.36808500002"/>
    <n v="107499.11524800002"/>
    <n v="601440.35049500014"/>
    <n v="1855.853881"/>
    <n v="349895.58065100003"/>
    <n v="251838.82924000002"/>
    <n v="1620.61032"/>
    <n v="214440.68268600001"/>
    <n v="115694.27179699999"/>
    <n v="0"/>
    <n v="2736898.5714560002"/>
    <n v="1416198.8449800001"/>
    <n v="43.914829875049989"/>
    <n v="60"/>
    <n v="194681.85857899999"/>
    <n v="265178.13941800001"/>
    <n v="547901.63530199998"/>
    <n v="481051.01163199998"/>
    <n v="199020.24036300002"/>
    <n v="860399.06939900015"/>
    <n v="331755.56480300002"/>
    <n v="860399.06939900015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  <n v="51.656281202566419"/>
    <x v="0"/>
  </r>
  <r>
    <s v="27"/>
    <s v="27000"/>
    <x v="2"/>
    <s v="CHOCO"/>
    <n v="4"/>
    <s v="N/A"/>
    <x v="5"/>
    <n v="0"/>
    <n v="462717.73322699999"/>
    <n v="599708.56495799997"/>
    <n v="90826.660070999991"/>
    <n v="8648.926508999999"/>
    <n v="570590.54774499906"/>
    <n v="35283.378062999996"/>
    <n v="99475.586579999988"/>
    <n v="16888.301557999977"/>
    <n v="1577.5975880000001"/>
    <n v="3001.2558540009195"/>
    <n v="49060.770587999999"/>
    <n v="0"/>
    <n v="1945097.42928372"/>
    <n v="618986.08825091005"/>
    <n v="65.999982578873343"/>
    <n v="70"/>
    <n v="102074.364124"/>
    <n v="92668.206894000003"/>
    <n v="481463.59428999998"/>
    <n v="431747.94697200001"/>
    <n v="462717.73322699999"/>
    <n v="599708.56495799997"/>
    <n v="53639.624030000923"/>
    <n v="599708.56495799997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  <n v="51.491295448780598"/>
    <x v="0"/>
  </r>
  <r>
    <s v="68"/>
    <s v="68000"/>
    <x v="2"/>
    <s v="SANTANDER"/>
    <n v="1"/>
    <s v="N/A"/>
    <x v="4"/>
    <n v="0"/>
    <n v="695592.43047999998"/>
    <n v="1729681.4293709998"/>
    <n v="711150.01786499994"/>
    <n v="73389.315663000001"/>
    <n v="1703023.0995329989"/>
    <n v="159064.28687699902"/>
    <n v="785177.73752799991"/>
    <n v="374531.93435699993"/>
    <n v="16429.548910000001"/>
    <n v="-108580.74114799895"/>
    <n v="402482.58755400003"/>
    <n v="0"/>
    <n v="5145515.5677054394"/>
    <n v="4990902.4668351794"/>
    <n v="40.652017346596359"/>
    <n v="55"/>
    <n v="611108.64599999995"/>
    <n v="736211.01805800002"/>
    <n v="1427616.3673479999"/>
    <n v="1201680.943434"/>
    <n v="695592.43047999998"/>
    <n v="1729681.4293709998"/>
    <n v="310331.39531600109"/>
    <n v="1729681.4293709998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  <n v="51.349174625630468"/>
    <x v="0"/>
  </r>
  <r>
    <s v="44"/>
    <s v="44000"/>
    <x v="2"/>
    <s v="LA_GUAJIRA"/>
    <n v="4"/>
    <s v="N/A"/>
    <x v="3"/>
    <n v="0"/>
    <n v="357451.35559999995"/>
    <n v="547267.03744099999"/>
    <n v="144048.90871000002"/>
    <n v="6760.5772550000002"/>
    <n v="503049.57647600002"/>
    <n v="27701.972943000001"/>
    <n v="151254.14069700002"/>
    <n v="95950.82526800003"/>
    <n v="0"/>
    <n v="-11085.854463999975"/>
    <n v="111976.148084"/>
    <n v="0"/>
    <n v="1643700.5991958599"/>
    <n v="853006.44674622"/>
    <n v="39.097334235174152"/>
    <n v="70"/>
    <n v="78235.328703000006"/>
    <n v="147287.91797800001"/>
    <n v="503049.57647600002"/>
    <n v="454146.20763899997"/>
    <n v="357451.35559999995"/>
    <n v="547267.03744099999"/>
    <n v="100890.29362000003"/>
    <n v="547267.03744099999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  <n v="50.417031254064376"/>
    <x v="0"/>
  </r>
  <r>
    <s v="94"/>
    <s v="94000"/>
    <x v="2"/>
    <s v="GUAINIA"/>
    <n v="4"/>
    <s v="N/A"/>
    <x v="2"/>
    <n v="21203.164553999999"/>
    <n v="109508.94024699999"/>
    <n v="187148.714645"/>
    <n v="23696.350337"/>
    <n v="3070.645368"/>
    <n v="188624.65685500001"/>
    <n v="5342.921980000001"/>
    <n v="47970.160258999997"/>
    <n v="25710.889961000001"/>
    <n v="0"/>
    <n v="-23735.212507999997"/>
    <n v="65302.176076999996"/>
    <n v="0"/>
    <n v="1017379.44514829"/>
    <n v="204422.13386970002"/>
    <n v="50.678099567650357"/>
    <n v="70"/>
    <n v="19215.554644"/>
    <n v="26165.331584"/>
    <n v="188624.65685500001"/>
    <n v="137886.597962"/>
    <n v="130712.10480099999"/>
    <n v="187148.714645"/>
    <n v="41566.963569"/>
    <n v="187148.714645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  <n v="49.734335628775931"/>
    <x v="0"/>
  </r>
  <r>
    <s v="18"/>
    <s v="18000"/>
    <x v="2"/>
    <s v="CAQUETA"/>
    <n v="4"/>
    <s v="N/A"/>
    <x v="0"/>
    <n v="0"/>
    <n v="241838.70787399999"/>
    <n v="376888.02044300002"/>
    <n v="68850.132134999993"/>
    <n v="30077.805372999999"/>
    <n v="403866.28250199993"/>
    <n v="6458.7650410000006"/>
    <n v="100031.46369799999"/>
    <n v="43886.518732999997"/>
    <n v="302.708752"/>
    <n v="-28381.571984999871"/>
    <n v="80571.011507000003"/>
    <n v="0"/>
    <n v="1150234.685698"/>
    <n v="517183.89894400002"/>
    <n v="61.160171155204182"/>
    <n v="70"/>
    <n v="58162.722000000002"/>
    <n v="72456.518056000001"/>
    <n v="349124.64746299997"/>
    <n v="316055.321719"/>
    <n v="241838.70787399999"/>
    <n v="376888.02044300002"/>
    <n v="52492.14827400013"/>
    <n v="376888.02044300002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  <n v="49.601751666582217"/>
    <x v="0"/>
  </r>
  <r>
    <s v="97"/>
    <s v="97000"/>
    <x v="2"/>
    <s v="VAUPES"/>
    <n v="4"/>
    <s v="N/A"/>
    <x v="2"/>
    <n v="24448.164553999999"/>
    <n v="87975.558932"/>
    <n v="152298.114084"/>
    <n v="13674.786845000001"/>
    <n v="6242.9669690000001"/>
    <n v="151098.856246999"/>
    <n v="10863.183561999002"/>
    <n v="44438.794859000001"/>
    <n v="26944.791105000004"/>
    <n v="0"/>
    <n v="-16294.745916999003"/>
    <n v="74062.254142999998"/>
    <n v="0"/>
    <n v="683455.55801389995"/>
    <n v="68390.571605749996"/>
    <n v="39.780076251264006"/>
    <n v="70"/>
    <n v="11368.936368999999"/>
    <n v="17932.211865000001"/>
    <n v="151098.85624699999"/>
    <n v="123447.304775"/>
    <n v="112423.723486"/>
    <n v="152298.114084"/>
    <n v="57767.508226000995"/>
    <n v="152298.114084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  <n v="49.364132354043178"/>
    <x v="0"/>
  </r>
  <r>
    <s v="85"/>
    <s v="85000"/>
    <x v="2"/>
    <s v="CASANARE"/>
    <n v="3"/>
    <s v="N/A"/>
    <x v="2"/>
    <n v="21414.164553999999"/>
    <n v="204418.17079199999"/>
    <n v="456087.67351399997"/>
    <n v="135227.122049"/>
    <n v="29152.457986000001"/>
    <n v="878544.21789800003"/>
    <n v="0"/>
    <n v="187460.669887"/>
    <n v="103225.843999"/>
    <n v="0"/>
    <n v="-39510.302674999984"/>
    <n v="95431.227178999994"/>
    <n v="0"/>
    <n v="2916766.6471600602"/>
    <n v="570195.25089145999"/>
    <n v="68.72220498254265"/>
    <n v="70"/>
    <n v="92449.080071999997"/>
    <n v="163265.83620600001"/>
    <n v="411363.15030099999"/>
    <n v="350125.29098300001"/>
    <n v="225832.33534599998"/>
    <n v="456087.67351399997"/>
    <n v="55920.92450400001"/>
    <n v="456087.67351399997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  <n v="49.3250610886939"/>
    <x v="0"/>
  </r>
  <r>
    <s v="19"/>
    <s v="19000"/>
    <x v="2"/>
    <s v="CAUCA"/>
    <n v="3"/>
    <s v="N/A"/>
    <x v="5"/>
    <n v="0"/>
    <n v="1001504.451166"/>
    <n v="1402957.1760780001"/>
    <n v="148387.05001800001"/>
    <n v="114218.50507699999"/>
    <n v="1327799.3988300003"/>
    <n v="1027.1153749999999"/>
    <n v="263702.73362200003"/>
    <n v="146927.80170400103"/>
    <n v="1371.576468"/>
    <n v="73471.070431000786"/>
    <n v="275881.29616500001"/>
    <n v="0"/>
    <n v="3328135.1911249999"/>
    <n v="1384787.928692"/>
    <n v="46.114558996883325"/>
    <n v="70"/>
    <n v="122812.919532"/>
    <n v="161072.63925199999"/>
    <n v="1212711.1737289999"/>
    <n v="1178807.770673"/>
    <n v="1001504.451166"/>
    <n v="1402957.1760780001"/>
    <n v="350723.94306400081"/>
    <n v="1402957.176078000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  <n v="47.400745099247189"/>
    <x v="0"/>
  </r>
  <r>
    <s v="52"/>
    <s v="52000"/>
    <x v="2"/>
    <s v="NARIÑO"/>
    <n v="2"/>
    <s v="N/A"/>
    <x v="5"/>
    <n v="0"/>
    <n v="727175.85146699997"/>
    <n v="1296323.6730729998"/>
    <n v="246455.63723999998"/>
    <n v="104368.300821"/>
    <n v="1229271.0733440004"/>
    <n v="94211.542596999992"/>
    <n v="355292.26555099996"/>
    <n v="209258.19138999996"/>
    <n v="0"/>
    <n v="50733.014281999553"/>
    <n v="234199.52967600001"/>
    <n v="0"/>
    <n v="3465952.4058371698"/>
    <n v="2303160.62849788"/>
    <n v="35.566961271585733"/>
    <n v="60"/>
    <n v="133375.67124699999"/>
    <n v="176621.18709799999"/>
    <n v="1060841.818407"/>
    <n v="953878.26940500003"/>
    <n v="727175.85146699997"/>
    <n v="1296323.6730729998"/>
    <n v="284932.54395799956"/>
    <n v="1296323.6730729998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  <n v="46.585275202102721"/>
    <x v="0"/>
  </r>
  <r>
    <s v="15"/>
    <s v="15000"/>
    <x v="2"/>
    <s v="BOYACÁ"/>
    <n v="1"/>
    <s v="N/A"/>
    <x v="4"/>
    <n v="0"/>
    <n v="719740.04197200004"/>
    <n v="1291822.9808430001"/>
    <n v="403773.56935400009"/>
    <n v="38371.823922999996"/>
    <n v="1255995.2632489989"/>
    <n v="3259.221618"/>
    <n v="444596.07160800009"/>
    <n v="267347.62609500007"/>
    <n v="10637.919648999999"/>
    <n v="-11832.686692998977"/>
    <n v="262243.75168300001"/>
    <n v="0"/>
    <n v="4326882.6956350002"/>
    <n v="3072938.6689309999"/>
    <n v="34.899107685839823"/>
    <n v="55"/>
    <n v="346458.587"/>
    <n v="416971.42256699997"/>
    <n v="1126407.222023"/>
    <n v="992648.88413599995"/>
    <n v="719740.04197200004"/>
    <n v="1291822.9808430001"/>
    <n v="261048.98463900102"/>
    <n v="1291822.980843000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  <n v="44.625743579637593"/>
    <x v="0"/>
  </r>
  <r>
    <s v="23"/>
    <s v="23000"/>
    <x v="2"/>
    <s v="CORDOBA"/>
    <n v="2"/>
    <s v="N/A"/>
    <x v="3"/>
    <n v="0"/>
    <n v="908501.80338100006"/>
    <n v="1374879.8797130003"/>
    <n v="289200.84723499999"/>
    <n v="25375.170160999998"/>
    <n v="1485072.416281"/>
    <n v="204969.961954"/>
    <n v="314971.69619699998"/>
    <n v="123479.564908"/>
    <n v="10849.335374"/>
    <n v="-41712.905881999759"/>
    <n v="236668.94558"/>
    <n v="0"/>
    <n v="2987369.2097149198"/>
    <n v="2370908.1765469201"/>
    <n v="52.689214060559351"/>
    <n v="60"/>
    <n v="239593.62985900001"/>
    <n v="300173.98116000002"/>
    <n v="1225100.6543060001"/>
    <n v="1083150.0963920001"/>
    <n v="908501.80338100006"/>
    <n v="1374879.8797130003"/>
    <n v="205805.37507200026"/>
    <n v="1374879.8797130003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  <n v="43.063566456892623"/>
    <x v="0"/>
  </r>
  <r>
    <s v="91"/>
    <s v="91000"/>
    <x v="2"/>
    <s v="AMAZONAS"/>
    <n v="4"/>
    <s v="N/A"/>
    <x v="0"/>
    <n v="27484.375062999999"/>
    <n v="147377.69007300001"/>
    <n v="237060.88230500001"/>
    <n v="18643.743096999999"/>
    <n v="4467.7941929999997"/>
    <n v="211744.89240300001"/>
    <n v="0"/>
    <n v="50939.673945999995"/>
    <n v="20439.834503999999"/>
    <n v="0"/>
    <n v="-5183.8495399999956"/>
    <n v="62583.543255999997"/>
    <n v="0"/>
    <n v="1026020.419626"/>
    <n v="357726.83288100001"/>
    <n v="58.585303491843845"/>
    <n v="70"/>
    <n v="18079.069972000001"/>
    <n v="20048.682058999999"/>
    <n v="211744.89240300001"/>
    <n v="167261.16360599999"/>
    <n v="174862.06513599999"/>
    <n v="237060.88230500001"/>
    <n v="57399.693716000002"/>
    <n v="237060.8823050000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  <n v="42.011141900483068"/>
    <x v="0"/>
  </r>
  <r>
    <s v="13"/>
    <s v="13000"/>
    <x v="2"/>
    <s v="BOLIVAR"/>
    <n v="1"/>
    <s v="N/A"/>
    <x v="3"/>
    <n v="0"/>
    <n v="827847.98440900003"/>
    <n v="1651003.351267"/>
    <n v="382618.33313899999"/>
    <n v="139073.58487799999"/>
    <n v="1773408.3013679991"/>
    <n v="0"/>
    <n v="521691.91801699996"/>
    <n v="191103.50160199997"/>
    <n v="14769.883715"/>
    <n v="103732.41791800107"/>
    <n v="191626.57978599999"/>
    <n v="0"/>
    <n v="4312832.9145214604"/>
    <n v="2581812.4645820302"/>
    <n v="52.814365072053427"/>
    <n v="55"/>
    <n v="371834.696772"/>
    <n v="404405.57156100002"/>
    <n v="1221682.516934"/>
    <n v="1046056.8068350001"/>
    <n v="827847.98440900003"/>
    <n v="1651003.351267"/>
    <n v="310128.88141900103"/>
    <n v="1651003.351267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  <n v="41.829241910614492"/>
    <x v="0"/>
  </r>
  <r>
    <s v="99"/>
    <s v="99000"/>
    <x v="2"/>
    <s v="VICHADA"/>
    <n v="4"/>
    <s v="N/A"/>
    <x v="2"/>
    <n v="24145.021270000001"/>
    <n v="84870.922787999996"/>
    <n v="160606.444143"/>
    <n v="17212.860812999999"/>
    <n v="1934.698535"/>
    <n v="144619.84922099998"/>
    <n v="13.042388000000001"/>
    <n v="43418.356082999999"/>
    <n v="15302.119566199999"/>
    <n v="13.326851"/>
    <n v="-12129.641594799992"/>
    <n v="36466.284346"/>
    <n v="0"/>
    <n v="662768.51649099996"/>
    <n v="161440.65052299999"/>
    <n v="74.058560554216598"/>
    <n v="70"/>
    <n v="16175.418578999999"/>
    <n v="18038.871997999999"/>
    <n v="144619.84922100001"/>
    <n v="112813.766389"/>
    <n v="109015.94405799999"/>
    <n v="160606.444143"/>
    <n v="24349.969602200006"/>
    <n v="160606.444143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  <n v="41.649701610927316"/>
    <x v="0"/>
  </r>
  <r>
    <s v="63"/>
    <s v="63000"/>
    <x v="2"/>
    <s v="QUINDIO"/>
    <n v="3"/>
    <s v="N/A"/>
    <x v="1"/>
    <n v="0"/>
    <n v="176128.55166600001"/>
    <n v="429799.70546700002"/>
    <n v="138152.63939"/>
    <n v="53918.444669999997"/>
    <n v="251139.80498400002"/>
    <n v="2978.8376850000004"/>
    <n v="193296.32545400001"/>
    <n v="103249.04642100001"/>
    <n v="1995.192669"/>
    <n v="97216.158131000004"/>
    <n v="85627.558885999999"/>
    <n v="0"/>
    <n v="1368282.3056876899"/>
    <n v="823558.50605547999"/>
    <n v="79.777609051135855"/>
    <n v="70"/>
    <n v="119436.538155"/>
    <n v="147249.97887600001"/>
    <n v="242536.26830299999"/>
    <n v="230938.234486"/>
    <n v="176128.55166600001"/>
    <n v="429799.70546700002"/>
    <n v="184838.909686"/>
    <n v="429799.70546700002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  <n v="40.171050290088061"/>
    <x v="0"/>
  </r>
  <r>
    <s v="91"/>
    <s v="91000"/>
    <x v="3"/>
    <s v="AMAZONAS"/>
    <n v="4"/>
    <s v="N/A"/>
    <x v="0"/>
    <n v="34557.430219000002"/>
    <n v="168915.013336"/>
    <n v="245955.03864899999"/>
    <n v="16258.542930000001"/>
    <n v="4667.3536889999996"/>
    <n v="254174.61194199999"/>
    <n v="617.15029100000004"/>
    <n v="55775.180199000002"/>
    <n v="23766.996714000001"/>
    <n v="685.55854099999999"/>
    <n v="-40227.756777999981"/>
    <n v="56179.647369999999"/>
    <n v="7500"/>
    <n v="1105764.0715439999"/>
    <n v="359243.17229800002"/>
    <n v="51.589238217229607"/>
    <n v="70"/>
    <n v="21797.5"/>
    <n v="19306.410107"/>
    <n v="254174.61194199999"/>
    <n v="220409.96067500001"/>
    <n v="203472.44355500001"/>
    <n v="245955.03864899999"/>
    <n v="16637.449133000016"/>
    <n v="253455.03864899999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  <n v="51.952856310515187"/>
    <x v="0"/>
  </r>
  <r>
    <s v="05"/>
    <s v="05000"/>
    <x v="3"/>
    <s v="ANTIOQUIA"/>
    <s v="ESP"/>
    <s v="N/A"/>
    <x v="1"/>
    <n v="0"/>
    <n v="1708148.793023"/>
    <n v="5664596.7314109998"/>
    <n v="1966806.0016119999"/>
    <n v="1246195.7623409999"/>
    <n v="4564607.303692"/>
    <n v="254340.86568200003"/>
    <n v="3225182.6409119996"/>
    <n v="1980997.5266229997"/>
    <n v="262444.20826400002"/>
    <n v="-39182.918036999181"/>
    <n v="943595.33242700004"/>
    <n v="450647.795942"/>
    <n v="14361624.727996999"/>
    <n v="10956548.592325"/>
    <n v="27.189236154129446"/>
    <n v="50"/>
    <n v="1792060.7955149999"/>
    <n v="2180396.2604109999"/>
    <n v="4459594.5351590002"/>
    <n v="4227348.3222249998"/>
    <n v="1708148.793023"/>
    <n v="5664596.7314109998"/>
    <n v="1166856.6226540008"/>
    <n v="6115244.5273529999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  <n v="68.843584130551861"/>
    <x v="1"/>
  </r>
  <r>
    <s v="81"/>
    <s v="81000"/>
    <x v="3"/>
    <s v="ARAUCA"/>
    <n v="4"/>
    <s v="N/A"/>
    <x v="2"/>
    <n v="30109.057852999998"/>
    <n v="244620.76264100001"/>
    <n v="370058.700901"/>
    <n v="49513.888716999994"/>
    <n v="8792.1599659999993"/>
    <n v="333259.83750200004"/>
    <n v="18501.991699999999"/>
    <n v="89284.392137999996"/>
    <n v="37605.030095999995"/>
    <n v="0"/>
    <n v="-14880.498643000028"/>
    <n v="56672.337827000003"/>
    <n v="0"/>
    <n v="1290623.2658160001"/>
    <n v="677132.26076900004"/>
    <n v="64.187469361036165"/>
    <n v="70"/>
    <n v="49324.494471999998"/>
    <n v="58822.049183000003"/>
    <n v="333353.27889399999"/>
    <n v="311804.13501899998"/>
    <n v="274729.82049399999"/>
    <n v="370058.700901"/>
    <n v="41791.839183999975"/>
    <n v="370058.70090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  <n v="51.186608356161841"/>
    <x v="0"/>
  </r>
  <r>
    <s v="08"/>
    <s v="08000"/>
    <x v="3"/>
    <s v="ATLANTICO"/>
    <n v="1"/>
    <s v="N/A"/>
    <x v="3"/>
    <n v="0"/>
    <n v="481591.39182599995"/>
    <n v="1603683.2893439999"/>
    <n v="639026.43422399997"/>
    <n v="296363.20218499994"/>
    <n v="1607868.4976029999"/>
    <n v="25905.723109999999"/>
    <n v="936342.46884999995"/>
    <n v="555787.702819"/>
    <n v="113958.637302"/>
    <n v="-310647.51297100005"/>
    <n v="136837.24488700001"/>
    <n v="527712.31049599999"/>
    <n v="5003770.71215"/>
    <n v="2536165.0810890002"/>
    <n v="32.333513805782218"/>
    <n v="55"/>
    <n v="899465.62714"/>
    <n v="822926.98657199997"/>
    <n v="1549243.4210349999"/>
    <n v="1227197.63579"/>
    <n v="481591.39182599995"/>
    <n v="1603683.2893439999"/>
    <n v="-59851.630782000022"/>
    <n v="2131395.5998399998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  <n v="67.899974692601404"/>
    <x v="1"/>
  </r>
  <r>
    <s v="13"/>
    <s v="13000"/>
    <x v="3"/>
    <s v="BOLIVAR"/>
    <n v="1"/>
    <s v="N/A"/>
    <x v="3"/>
    <n v="0"/>
    <n v="913695.39040799998"/>
    <n v="1666732.3174399999"/>
    <n v="421059.49491000001"/>
    <n v="160789.46922299999"/>
    <n v="1622824.5231549998"/>
    <n v="961.45631100000003"/>
    <n v="581848.964133"/>
    <n v="216733.41467299999"/>
    <n v="51713.429916000001"/>
    <n v="-60513.404335999861"/>
    <n v="173209.12760599999"/>
    <n v="45000"/>
    <n v="3719552.3405789998"/>
    <n v="3258556.5031349999"/>
    <n v="61.617439621570469"/>
    <n v="55"/>
    <n v="474580.80184899998"/>
    <n v="450190.37723799999"/>
    <n v="1363635.791775"/>
    <n v="1181509.1197510001"/>
    <n v="913695.39040799998"/>
    <n v="1666732.3174399999"/>
    <n v="164409.15318600013"/>
    <n v="1711732.3174399999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  <n v="42.085960409147482"/>
    <x v="0"/>
  </r>
  <r>
    <s v="15"/>
    <s v="15000"/>
    <x v="3"/>
    <s v="BOYACÁ"/>
    <n v="1"/>
    <s v="N/A"/>
    <x v="4"/>
    <n v="0"/>
    <n v="792473.63756200008"/>
    <n v="1420268.732081"/>
    <n v="404855.47992299998"/>
    <n v="43990.007371"/>
    <n v="1417519.699948"/>
    <n v="10674.980749999999"/>
    <n v="451441.32001299999"/>
    <n v="253509.68873699996"/>
    <n v="16085.080384999999"/>
    <n v="-70528.433475000085"/>
    <n v="222701.51098799999"/>
    <n v="31671.411477000001"/>
    <n v="4782029.6766579999"/>
    <n v="2336981.9760139999"/>
    <n v="43.501004097567922"/>
    <n v="55"/>
    <n v="419333.21735200001"/>
    <n v="417105.59775900003"/>
    <n v="1292865.53428"/>
    <n v="1139800.6235430001"/>
    <n v="792473.63756200008"/>
    <n v="1420268.732081"/>
    <n v="168258.15789799992"/>
    <n v="1451940.143558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  <n v="57.261420293666461"/>
    <x v="0"/>
  </r>
  <r>
    <s v="17"/>
    <s v="17000"/>
    <x v="3"/>
    <s v="CALDAS"/>
    <n v="2"/>
    <s v="N/A"/>
    <x v="1"/>
    <n v="0"/>
    <n v="450286.99479899998"/>
    <n v="984962.23442300013"/>
    <n v="233923.67282499999"/>
    <n v="123832.357439"/>
    <n v="834837.01954600005"/>
    <n v="169075.44768500002"/>
    <n v="361659.43781600002"/>
    <n v="164886.484191"/>
    <n v="21753.611606999999"/>
    <n v="-6649.2221240000799"/>
    <n v="138264.37872099999"/>
    <n v="44237.847815000001"/>
    <n v="3529365.723183"/>
    <n v="2207580.019353"/>
    <n v="39.399462547470627"/>
    <n v="60"/>
    <n v="223151.64033600001"/>
    <n v="265962.122042"/>
    <n v="794838.50292200001"/>
    <n v="735214.10199999996"/>
    <n v="450286.99479899998"/>
    <n v="984962.23442300013"/>
    <n v="153368.76820399991"/>
    <n v="1029200.082238000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  <n v="61.555646180142674"/>
    <x v="1"/>
  </r>
  <r>
    <s v="18"/>
    <s v="18000"/>
    <x v="3"/>
    <s v="CAQUETA"/>
    <n v="4"/>
    <s v="N/A"/>
    <x v="0"/>
    <n v="0"/>
    <n v="268438.70236300002"/>
    <n v="417207.44781899999"/>
    <n v="77392.158637"/>
    <n v="27446.771142000001"/>
    <n v="393850.55815900001"/>
    <n v="3050.981683"/>
    <n v="105954.90638499999"/>
    <n v="38555.959730999995"/>
    <n v="841.21625500000005"/>
    <n v="-29150.735068000038"/>
    <n v="64940.249766000001"/>
    <n v="2500"/>
    <n v="1150291.720405"/>
    <n v="662833.46281499998"/>
    <n v="63.850091459608407"/>
    <n v="70"/>
    <n v="65088.055999999997"/>
    <n v="82206.178755999994"/>
    <n v="378959.236233"/>
    <n v="348813.037389"/>
    <n v="268438.70236300002"/>
    <n v="417207.44781899999"/>
    <n v="36630.730952999962"/>
    <n v="419707.44781899999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  <n v="48.971250622754766"/>
    <x v="0"/>
  </r>
  <r>
    <s v="85"/>
    <s v="85000"/>
    <x v="3"/>
    <s v="CASANARE"/>
    <n v="3"/>
    <s v="N/A"/>
    <x v="2"/>
    <n v="30109.057851999998"/>
    <n v="228911.26804300002"/>
    <n v="553078.37683600001"/>
    <n v="158427.985507"/>
    <n v="50541.451228000005"/>
    <n v="1096573.1743999999"/>
    <n v="0"/>
    <n v="240786.19702600001"/>
    <n v="135206.35305400001"/>
    <n v="0"/>
    <n v="-563.64433600008488"/>
    <n v="68535.564731000006"/>
    <n v="0"/>
    <n v="3392284.5204039998"/>
    <n v="669984.83466499997"/>
    <n v="57.852022612366049"/>
    <n v="70"/>
    <n v="121316.393381"/>
    <n v="207675.249453"/>
    <n v="448062.17719999998"/>
    <n v="400751.83343399997"/>
    <n v="259020.32589500002"/>
    <n v="553078.37683600001"/>
    <n v="67971.920394999921"/>
    <n v="553078.3768360000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  <n v="55.796764264571728"/>
    <x v="0"/>
  </r>
  <r>
    <s v="19"/>
    <s v="19000"/>
    <x v="3"/>
    <s v="CAUCA"/>
    <n v="3"/>
    <s v="N/A"/>
    <x v="5"/>
    <n v="0"/>
    <n v="1114309.8660890001"/>
    <n v="1539779.4888460003"/>
    <n v="148586.424994"/>
    <n v="119385.03152999999"/>
    <n v="1451083.9791770002"/>
    <n v="6274.7557669999997"/>
    <n v="269104.36723199999"/>
    <n v="129390.91616899997"/>
    <n v="3436.8677309999998"/>
    <n v="-6281.0528810000978"/>
    <n v="339729.42427900003"/>
    <n v="4634.6248189999997"/>
    <n v="3571240.4643020001"/>
    <n v="1337492.1441220001"/>
    <n v="48.266820190145872"/>
    <n v="70"/>
    <n v="156637.01415999999"/>
    <n v="163984.65431000001"/>
    <n v="1406347.090664"/>
    <n v="1310442.6065450001"/>
    <n v="1114309.8660890001"/>
    <n v="1539779.4888460003"/>
    <n v="336885.23912899994"/>
    <n v="1544414.1136650003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  <n v="49.134093336695301"/>
    <x v="0"/>
  </r>
  <r>
    <s v="20"/>
    <s v="20000"/>
    <x v="3"/>
    <s v="CESAR"/>
    <n v="2"/>
    <s v="N/A"/>
    <x v="3"/>
    <n v="0"/>
    <n v="568496.49386499997"/>
    <n v="1057632.6996209999"/>
    <n v="221033.41530599998"/>
    <n v="98338.136108000006"/>
    <n v="1803062.6119929999"/>
    <n v="961268.41009000002"/>
    <n v="320364.55025099998"/>
    <n v="202046.06509399999"/>
    <n v="10757.321447"/>
    <n v="-55264.31556300004"/>
    <n v="163743.40888100001"/>
    <n v="46398"/>
    <n v="4477617.1364430003"/>
    <n v="1242687.811797"/>
    <n v="51.788428483941516"/>
    <n v="60"/>
    <n v="204462.58078300001"/>
    <n v="264984.52338899998"/>
    <n v="994578.56992499996"/>
    <n v="846432.20963699999"/>
    <n v="568496.49386499997"/>
    <n v="1057632.6996209999"/>
    <n v="119236.41476499996"/>
    <n v="1104030.6996209999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  <n v="73.040468377285023"/>
    <x v="2"/>
  </r>
  <r>
    <s v="27"/>
    <s v="27000"/>
    <x v="3"/>
    <s v="CHOCO"/>
    <n v="3"/>
    <s v="N/A"/>
    <x v="5"/>
    <n v="0"/>
    <n v="518697.60873800004"/>
    <n v="656112.21831000003"/>
    <n v="100633.80316"/>
    <n v="9516.3565689999978"/>
    <n v="598844.99029499991"/>
    <n v="13348.375322999998"/>
    <n v="110150.15972899999"/>
    <n v="32795.823357000001"/>
    <n v="4120.9272810000002"/>
    <n v="-20087.108356999815"/>
    <n v="56057.526241"/>
    <n v="3999.9996259999998"/>
    <n v="2226540.3175889999"/>
    <n v="618554.82496899995"/>
    <n v="68.497339794911397"/>
    <n v="70"/>
    <n v="102019.77401199999"/>
    <n v="102596.66250000001"/>
    <n v="598844.99029500003"/>
    <n v="522746.90524599998"/>
    <n v="518697.60873800004"/>
    <n v="656112.21831000003"/>
    <n v="40091.345165000181"/>
    <n v="660112.21793599997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  <n v="49.309712977695945"/>
    <x v="0"/>
  </r>
  <r>
    <s v="23"/>
    <s v="23000"/>
    <x v="3"/>
    <s v="CORDOBA"/>
    <n v="1"/>
    <s v="N/A"/>
    <x v="3"/>
    <n v="0"/>
    <n v="978445.12108700001"/>
    <n v="1456149.1216790001"/>
    <n v="297648.30452199996"/>
    <n v="28289.356760999995"/>
    <n v="1477039.1428989999"/>
    <n v="168084.338192"/>
    <n v="327068.46887499996"/>
    <n v="96150.111237999954"/>
    <n v="21058.249906000001"/>
    <n v="-134771.30760299973"/>
    <n v="277637.59239300003"/>
    <n v="35966.985868000003"/>
    <n v="3474160.7841400001"/>
    <n v="2461583.4731490002"/>
    <n v="53.432429362089771"/>
    <n v="55"/>
    <n v="262658.07809199998"/>
    <n v="310692.86822800001"/>
    <n v="1360002.071645"/>
    <n v="1231526.206156"/>
    <n v="978445.12108700001"/>
    <n v="1456149.1216790001"/>
    <n v="163924.53469600028"/>
    <n v="1492116.107547000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  <n v="54.743139869469104"/>
    <x v="0"/>
  </r>
  <r>
    <s v="25"/>
    <s v="25000"/>
    <x v="3"/>
    <s v="CUNDINAMARCA"/>
    <s v="ESP"/>
    <s v="N/A"/>
    <x v="4"/>
    <n v="0"/>
    <n v="1030276.7389849999"/>
    <n v="3890273.0365129998"/>
    <n v="2021570.7743540001"/>
    <n v="483032.25101999997"/>
    <n v="3679655.6525650001"/>
    <n v="65209.160143000001"/>
    <n v="2506279.2171089998"/>
    <n v="1643874.4981379998"/>
    <n v="151873.143553"/>
    <n v="-537294.77478800062"/>
    <n v="637762.48821099999"/>
    <n v="302881.69056700001"/>
    <n v="9858466.470005"/>
    <n v="6064243.4129560003"/>
    <n v="38.317461322288672"/>
    <n v="50"/>
    <n v="1922463.3929999999"/>
    <n v="2170041.9152560001"/>
    <n v="3565163.0923299999"/>
    <n v="3441575.7587660002"/>
    <n v="1030276.7389849999"/>
    <n v="3890273.0365129998"/>
    <n v="252340.85697599937"/>
    <n v="4193154.7270799996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  <n v="70.577998418508969"/>
    <x v="2"/>
  </r>
  <r>
    <s v="94"/>
    <s v="94000"/>
    <x v="3"/>
    <s v="GUAINIA"/>
    <n v="4"/>
    <s v="N/A"/>
    <x v="2"/>
    <n v="32052.834347"/>
    <n v="121758.90069400001"/>
    <n v="229426.096036"/>
    <n v="32052.448767999998"/>
    <n v="10662.393081"/>
    <n v="211980.30491799998"/>
    <n v="21277.377533999999"/>
    <n v="74767.676196"/>
    <n v="49399.980131000004"/>
    <n v="0"/>
    <n v="2327.8700890000036"/>
    <n v="57423.3"/>
    <n v="0"/>
    <n v="1190668.2160080001"/>
    <n v="210115.538382"/>
    <n v="39.905063745860033"/>
    <n v="70"/>
    <n v="25305.142346000001"/>
    <n v="42181.569073999999"/>
    <n v="201730.529882"/>
    <n v="169284.409526"/>
    <n v="153811.73504100001"/>
    <n v="229426.096036"/>
    <n v="59751.170089000007"/>
    <n v="229426.096036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  <n v="60.192762500214521"/>
    <x v="1"/>
  </r>
  <r>
    <s v="44"/>
    <s v="44000"/>
    <x v="3"/>
    <s v="LA_GUAJIRA"/>
    <n v="4"/>
    <s v="N/A"/>
    <x v="3"/>
    <n v="0"/>
    <n v="432792.04677300004"/>
    <n v="659772.82426100003"/>
    <n v="149588.67584499999"/>
    <n v="6202.2442130000009"/>
    <n v="590639.87921599997"/>
    <n v="19963.567631999998"/>
    <n v="156183.56567099999"/>
    <n v="97733.370874999993"/>
    <n v="0"/>
    <n v="44708.357206999906"/>
    <n v="132664.319858"/>
    <n v="0"/>
    <n v="1843736.4700579999"/>
    <n v="970017.64069699997"/>
    <n v="54.858545092602739"/>
    <n v="70"/>
    <n v="169936.40880400001"/>
    <n v="151841.199964"/>
    <n v="556614.27225799998"/>
    <n v="506383.101104"/>
    <n v="432792.04677300004"/>
    <n v="659772.82426100003"/>
    <n v="177372.67706499991"/>
    <n v="659772.82426100003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  <n v="51.289648405266874"/>
    <x v="0"/>
  </r>
  <r>
    <s v="95"/>
    <s v="95000"/>
    <x v="3"/>
    <s v="GUAVIARE"/>
    <n v="4"/>
    <s v="N/A"/>
    <x v="2"/>
    <n v="30109.057851999998"/>
    <n v="115904.68685700002"/>
    <n v="213747.46528800001"/>
    <n v="39885.399039999997"/>
    <n v="12972.119031999999"/>
    <n v="199091.13940800002"/>
    <n v="30446.000562999998"/>
    <n v="83555.023097999991"/>
    <n v="27939.247814999981"/>
    <n v="2023.8711129999999"/>
    <n v="-14336.350742000039"/>
    <n v="36566.169228999999"/>
    <n v="10336.739"/>
    <n v="1033793.912004"/>
    <n v="239034.512476"/>
    <n v="76.223272471524439"/>
    <n v="70"/>
    <n v="29629.268241000002"/>
    <n v="51606.82518"/>
    <n v="173275.300621"/>
    <n v="151020.09189499999"/>
    <n v="146013.74470900002"/>
    <n v="213747.46528800001"/>
    <n v="24253.689599999962"/>
    <n v="224084.2042880000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  <n v="54.703989321379105"/>
    <x v="0"/>
  </r>
  <r>
    <s v="41"/>
    <s v="41000"/>
    <x v="3"/>
    <s v="HUILA"/>
    <n v="2"/>
    <s v="N/A"/>
    <x v="0"/>
    <n v="0"/>
    <n v="552386.17730700003"/>
    <n v="1072217.7698230001"/>
    <n v="242796.02807599999"/>
    <n v="99937.971677999987"/>
    <n v="1392260.4980540001"/>
    <n v="137666.498433"/>
    <n v="345242.59515000001"/>
    <n v="152099.53471400001"/>
    <n v="8785"/>
    <n v="-146184.68955200003"/>
    <n v="159765.89663599999"/>
    <n v="39664.536824000003"/>
    <n v="2592812.929238"/>
    <n v="1665205.7061040001"/>
    <n v="43.901676421073141"/>
    <n v="60"/>
    <n v="259314.56281599999"/>
    <n v="263296.37923600001"/>
    <n v="1025259.398939"/>
    <n v="896200.36975800002"/>
    <n v="552386.17730700003"/>
    <n v="1072217.7698230001"/>
    <n v="22366.207083999965"/>
    <n v="1111882.306647000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  <n v="59.115468161383646"/>
    <x v="0"/>
  </r>
  <r>
    <s v="47"/>
    <s v="47000"/>
    <x v="3"/>
    <s v="MAGDALENA"/>
    <n v="2"/>
    <s v="N/A"/>
    <x v="3"/>
    <n v="0"/>
    <n v="769770.56024000002"/>
    <n v="1403563.094885"/>
    <n v="315338.45581700001"/>
    <n v="191139.329726"/>
    <n v="1290305.846896"/>
    <n v="139782.42813699998"/>
    <n v="508133.867264"/>
    <n v="260088.06254700001"/>
    <n v="11948.434433"/>
    <n v="-48598.716215000022"/>
    <n v="370610.926783"/>
    <n v="52000"/>
    <n v="2540860.1916809999"/>
    <n v="1148459.874636"/>
    <n v="56.190341891655848"/>
    <n v="60"/>
    <n v="467800.92988399998"/>
    <n v="491807.41420699999"/>
    <n v="1204116.0063829999"/>
    <n v="951819.28443999996"/>
    <n v="769770.56024000002"/>
    <n v="1403563.094885"/>
    <n v="333960.64500099997"/>
    <n v="1455563.094885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  <n v="47.286319359308919"/>
    <x v="0"/>
  </r>
  <r>
    <s v="50"/>
    <s v="50000"/>
    <x v="3"/>
    <s v="META"/>
    <n v="1"/>
    <s v="N/A"/>
    <x v="2"/>
    <n v="0"/>
    <n v="367742.22785100003"/>
    <n v="1003491.107913"/>
    <n v="392754.42291100003"/>
    <n v="83630.413635999997"/>
    <n v="1036143.394596"/>
    <n v="1690.0210619999998"/>
    <n v="478357.34229000006"/>
    <n v="238175.20581000004"/>
    <n v="20531.735135999999"/>
    <n v="14013.970280000125"/>
    <n v="214831.07516099999"/>
    <n v="9589.5893020000003"/>
    <n v="9281976.9695849996"/>
    <n v="1517473.794581"/>
    <n v="47.133611605767292"/>
    <n v="55"/>
    <n v="396975.78305000003"/>
    <n v="428118.18178099999"/>
    <n v="749295.00115300005"/>
    <n v="699508.50942400005"/>
    <n v="367742.22785100003"/>
    <n v="1003491.107913"/>
    <n v="249376.78057700011"/>
    <n v="1013080.697215000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  <n v="57.850808436658269"/>
    <x v="0"/>
  </r>
  <r>
    <s v="52"/>
    <s v="52000"/>
    <x v="3"/>
    <s v="NARIÑO"/>
    <n v="1"/>
    <s v="N/A"/>
    <x v="5"/>
    <n v="0"/>
    <n v="838042.98374599998"/>
    <n v="1418053.782226"/>
    <n v="262920.875451"/>
    <n v="112400.97011699998"/>
    <n v="1318807.2755100003"/>
    <n v="68129.740449000004"/>
    <n v="380352.763034"/>
    <n v="201675.24735200001"/>
    <n v="0"/>
    <n v="-24226.290997000178"/>
    <n v="307094.85618599999"/>
    <n v="0"/>
    <n v="3663680.8840509998"/>
    <n v="1839751.5539210001"/>
    <n v="40.974796783731129"/>
    <n v="55"/>
    <n v="169458.29485100001"/>
    <n v="241042.38814699999"/>
    <n v="1263602.557541"/>
    <n v="1058052.3178630001"/>
    <n v="838042.98374599998"/>
    <n v="1418053.782226"/>
    <n v="282868.56518899981"/>
    <n v="1418053.782226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  <n v="54.568742123437204"/>
    <x v="0"/>
  </r>
  <r>
    <s v="54"/>
    <s v="54000"/>
    <x v="3"/>
    <s v="NORTE DE SANTANDER"/>
    <n v="2"/>
    <s v="N/A"/>
    <x v="4"/>
    <n v="0"/>
    <n v="657569.02635299996"/>
    <n v="1264450.177254"/>
    <n v="359782.37497800001"/>
    <n v="114017.61197199998"/>
    <n v="1278002.1065479999"/>
    <n v="19148.126222999999"/>
    <n v="475945.67609299999"/>
    <n v="267853.75635199994"/>
    <n v="28984.038911"/>
    <n v="-220493.13948399993"/>
    <n v="304822.466954"/>
    <n v="35000"/>
    <n v="2737803.3007220002"/>
    <n v="1531063.4872610001"/>
    <n v="47.293900337534566"/>
    <n v="60"/>
    <n v="316082.59749900002"/>
    <n v="406252.47766799998"/>
    <n v="1276851.3969970001"/>
    <n v="1039302.6069660001"/>
    <n v="657569.02635299996"/>
    <n v="1264450.177254"/>
    <n v="113313.36638100009"/>
    <n v="1299450.177254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  <n v="58.138669449431433"/>
    <x v="0"/>
  </r>
  <r>
    <s v="86"/>
    <s v="86000"/>
    <x v="3"/>
    <s v="PUTUMAYO"/>
    <n v="4"/>
    <s v="N/A"/>
    <x v="0"/>
    <n v="30109.057853999999"/>
    <n v="361245.93584399996"/>
    <n v="532641.1586529999"/>
    <n v="59075.089930999995"/>
    <n v="28024.984209999991"/>
    <n v="496786.292197"/>
    <n v="53313.271164999998"/>
    <n v="117813.18519299998"/>
    <n v="41798.974231999979"/>
    <n v="757.12473299999999"/>
    <n v="-40159.344505000161"/>
    <n v="71100.773107000001"/>
    <n v="0"/>
    <n v="1589336.115431"/>
    <n v="432224.62767199997"/>
    <n v="64.818630015215476"/>
    <n v="70"/>
    <n v="52924.317827999999"/>
    <n v="68250.256492999993"/>
    <n v="496786.292197"/>
    <n v="437892.78838500002"/>
    <n v="391354.99369799998"/>
    <n v="532641.1586529999"/>
    <n v="31698.553334999837"/>
    <n v="532641.1586529999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  <n v="61.018549629217262"/>
    <x v="1"/>
  </r>
  <r>
    <s v="63"/>
    <s v="63000"/>
    <x v="3"/>
    <s v="QUINDIO"/>
    <n v="3"/>
    <s v="N/A"/>
    <x v="1"/>
    <n v="0"/>
    <n v="192184.54999000003"/>
    <n v="476193.105568"/>
    <n v="174488.99472399999"/>
    <n v="63919.002297999985"/>
    <n v="414232.60491700005"/>
    <n v="6599.0570420000004"/>
    <n v="245155.94325699998"/>
    <n v="122746.74656199997"/>
    <n v="2864.5663129999998"/>
    <n v="-47320.299210000027"/>
    <n v="96895.836473000003"/>
    <n v="14841"/>
    <n v="1478197.7244180001"/>
    <n v="875866.68843600003"/>
    <n v="70.70008694576758"/>
    <n v="70"/>
    <n v="157728.98678000001"/>
    <n v="191371.76823799999"/>
    <n v="399373.20808299998"/>
    <n v="367906.08167500002"/>
    <n v="192184.54999000003"/>
    <n v="476193.105568"/>
    <n v="52440.10357599998"/>
    <n v="491034.105568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  <n v="49.997613010596091"/>
    <x v="0"/>
  </r>
  <r>
    <s v="66"/>
    <s v="66000"/>
    <x v="3"/>
    <s v="RISARALDA"/>
    <n v="2"/>
    <s v="N/A"/>
    <x v="1"/>
    <n v="0"/>
    <n v="225678.87617500001"/>
    <n v="751998.12486500002"/>
    <n v="266481.76376399997"/>
    <n v="117822.26447500002"/>
    <n v="657700.67057800002"/>
    <n v="7661.1679019999992"/>
    <n v="384683.95663000003"/>
    <n v="243460.19305200002"/>
    <n v="2125.2653949999999"/>
    <n v="-44206.707900000038"/>
    <n v="342417.71611699997"/>
    <n v="12540.445141"/>
    <n v="2928379.5990399998"/>
    <n v="1362417.347688"/>
    <n v="59.191628274728544"/>
    <n v="60"/>
    <n v="259071.10682399999"/>
    <n v="298277.47541200003"/>
    <n v="654981.06918700004"/>
    <n v="609097.87561800005"/>
    <n v="225678.87617500001"/>
    <n v="751998.12486500002"/>
    <n v="300336.27361199993"/>
    <n v="764538.57000599999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  <n v="46.727185051941774"/>
    <x v="0"/>
  </r>
  <r>
    <s v="88"/>
    <s v="88000"/>
    <x v="3"/>
    <s v="SAN ANDRES"/>
    <n v="3"/>
    <s v="N/A"/>
    <x v="3"/>
    <n v="59527.163401999998"/>
    <n v="63826.354435000001"/>
    <n v="471556.57726699999"/>
    <n v="60685.420497999999"/>
    <n v="102286.42011799999"/>
    <n v="272635.160172"/>
    <n v="61789.106067000001"/>
    <n v="222983.817882"/>
    <n v="-18194.058334000001"/>
    <n v="0"/>
    <n v="-42256.459121000022"/>
    <n v="93363.497713999997"/>
    <n v="0"/>
    <n v="1885018.8876"/>
    <n v="358866.16067999997"/>
    <n v="83.494438600324543"/>
    <n v="70"/>
    <n v="233789.5"/>
    <n v="162889.64419299999"/>
    <n v="272635.160172"/>
    <n v="248155.70200700001"/>
    <n v="123353.51783699999"/>
    <n v="471556.57726699999"/>
    <n v="51107.038592999976"/>
    <n v="471556.57726699999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  <n v="61.035211188085682"/>
    <x v="1"/>
  </r>
  <r>
    <s v="68"/>
    <s v="68000"/>
    <x v="3"/>
    <s v="SANTANDER"/>
    <n v="1"/>
    <s v="N/A"/>
    <x v="4"/>
    <n v="0"/>
    <n v="760865.00191399991"/>
    <n v="1880718.7261239998"/>
    <n v="758862.68155999994"/>
    <n v="89511.249306000012"/>
    <n v="1755374.0170819999"/>
    <n v="224636.59049900001"/>
    <n v="851049.97987899999"/>
    <n v="357382.97740999999"/>
    <n v="39885.072628000002"/>
    <n v="-92915.5612420002"/>
    <n v="423910.55848800001"/>
    <n v="0"/>
    <n v="6204947.1158199999"/>
    <n v="5118431.6710839998"/>
    <n v="55.327929440342459"/>
    <n v="55"/>
    <n v="747914.07731199998"/>
    <n v="799197.89053800004"/>
    <n v="1479967.2848970001"/>
    <n v="1280178.212299"/>
    <n v="760865.00191399991"/>
    <n v="1880718.7261239998"/>
    <n v="370880.0698739998"/>
    <n v="1880718.7261239998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  <n v="54.728703106808155"/>
    <x v="0"/>
  </r>
  <r>
    <s v="70"/>
    <s v="70000"/>
    <x v="3"/>
    <s v="SUCRE"/>
    <n v="3"/>
    <s v="N/A"/>
    <x v="3"/>
    <n v="0"/>
    <n v="622135.80472399993"/>
    <n v="874096.66727399989"/>
    <n v="193730.11619000003"/>
    <n v="25296.859053"/>
    <n v="1001046.6668789999"/>
    <n v="171697.10267699999"/>
    <n v="220152.42357800002"/>
    <n v="124817.00716700002"/>
    <n v="4364.0891140000003"/>
    <n v="-146021.2798919999"/>
    <n v="148676.87523400001"/>
    <n v="29741.495198000001"/>
    <n v="1827951.2538069999"/>
    <n v="643440.89253099996"/>
    <n v="68.509472017601155"/>
    <n v="70"/>
    <n v="161093.271656"/>
    <n v="215601.21788499999"/>
    <n v="924782.53075499996"/>
    <n v="831177.22487000003"/>
    <n v="622135.80472399993"/>
    <n v="874096.66727399989"/>
    <n v="7019.6844560001045"/>
    <n v="903838.16247199988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  <n v="67.505629872697114"/>
    <x v="1"/>
  </r>
  <r>
    <s v="73"/>
    <s v="73000"/>
    <x v="3"/>
    <s v="TOLIMA"/>
    <n v="2"/>
    <s v="N/A"/>
    <x v="0"/>
    <n v="0"/>
    <n v="781651.69561299996"/>
    <n v="1398515.6663210001"/>
    <n v="323801.35674800002"/>
    <n v="109464.46976399996"/>
    <n v="1309026.6474750002"/>
    <n v="38356.491267999998"/>
    <n v="449397.64377299999"/>
    <n v="163486.732953"/>
    <n v="11022.610366999999"/>
    <n v="-108118.2007360002"/>
    <n v="111357.31282399999"/>
    <n v="0"/>
    <n v="2903897.1383859999"/>
    <n v="2409190.2070439998"/>
    <n v="45.23033447574992"/>
    <n v="60"/>
    <n v="365408.52856300003"/>
    <n v="368856.357862"/>
    <n v="1220722.9562369999"/>
    <n v="1089822.754153"/>
    <n v="781651.69561299996"/>
    <n v="1398515.6663210001"/>
    <n v="14261.722454999792"/>
    <n v="1398515.666321000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  <n v="53.32915750967652"/>
    <x v="0"/>
  </r>
  <r>
    <s v="76"/>
    <s v="76000"/>
    <x v="3"/>
    <s v="VALLE DEL CAUCA"/>
    <s v="ESP"/>
    <s v="N/A"/>
    <x v="5"/>
    <n v="0"/>
    <n v="666471.29688000004"/>
    <n v="2927856.9061650001"/>
    <n v="1255262.0270110001"/>
    <n v="536532.74213900021"/>
    <n v="2861466.0987970005"/>
    <n v="131006.24646900001"/>
    <n v="1799060.1740150002"/>
    <n v="1145701.8042320004"/>
    <n v="83466.884858000005"/>
    <n v="-456089.08877800032"/>
    <n v="656796.71949699998"/>
    <n v="282700"/>
    <n v="7642654.332711"/>
    <n v="5487223.3509569997"/>
    <n v="41.506255663648851"/>
    <n v="50"/>
    <n v="1337333.3999999999"/>
    <n v="1401963.2016739999"/>
    <n v="2735442.0966579998"/>
    <n v="2473164.8479860001"/>
    <n v="666471.29688000004"/>
    <n v="2927856.9061650001"/>
    <n v="284174.51557699963"/>
    <n v="3210556.906165000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  <n v="72.901944189514623"/>
    <x v="2"/>
  </r>
  <r>
    <s v="97"/>
    <s v="97000"/>
    <x v="3"/>
    <s v="VAUPES"/>
    <n v="4"/>
    <s v="N/A"/>
    <x v="2"/>
    <n v="33878.025674000004"/>
    <n v="93061.367834999997"/>
    <n v="171401.18383600001"/>
    <n v="16325.403121000001"/>
    <n v="6869.1605740000005"/>
    <n v="143151.347431"/>
    <n v="3685.1894430000002"/>
    <n v="57169.944511000009"/>
    <n v="37849.19728800001"/>
    <n v="0"/>
    <n v="8929.0891819999961"/>
    <n v="71354.469631999993"/>
    <n v="0"/>
    <n v="795563.97648800001"/>
    <n v="82848.783683999995"/>
    <n v="31.699567882771845"/>
    <n v="70"/>
    <n v="13923.240895000001"/>
    <n v="20907.741061000001"/>
    <n v="143151.347431"/>
    <n v="127383.235881"/>
    <n v="126939.393509"/>
    <n v="171401.18383600001"/>
    <n v="80283.558813999989"/>
    <n v="171401.1838360000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  <n v="49.247659183115147"/>
    <x v="0"/>
  </r>
  <r>
    <s v="99"/>
    <s v="99000"/>
    <x v="3"/>
    <s v="VICHADA"/>
    <n v="4"/>
    <s v="N/A"/>
    <x v="2"/>
    <n v="31815.996584"/>
    <n v="92002.330484000006"/>
    <n v="186330.676661"/>
    <n v="25586.605261999997"/>
    <n v="3279.0660430000003"/>
    <n v="336885.50049100001"/>
    <n v="11241.129569000001"/>
    <n v="60736.314959999996"/>
    <n v="26145.160438999999"/>
    <n v="0"/>
    <n v="-19452.488021999976"/>
    <n v="42707.098946999999"/>
    <n v="0"/>
    <n v="777997.68094999995"/>
    <n v="142866.19673"/>
    <n v="60.751441670887942"/>
    <n v="70"/>
    <n v="18779.037500999999"/>
    <n v="28606.393351999999"/>
    <n v="171192.01016199999"/>
    <n v="144835.52415899999"/>
    <n v="123818.32706800001"/>
    <n v="186330.676661"/>
    <n v="23254.610925000023"/>
    <n v="186330.67666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  <n v="49.265135076260194"/>
    <x v="0"/>
  </r>
  <r>
    <s v="85"/>
    <s v="85000"/>
    <x v="4"/>
    <s v="CASANARE"/>
    <n v="3"/>
    <n v="2"/>
    <x v="2"/>
    <n v="38395.44728"/>
    <n v="308281.44166700001"/>
    <n v="660627.00222100003"/>
    <n v="156752.284017"/>
    <n v="33766.266918000001"/>
    <n v="1585364.5364659999"/>
    <n v="763817.85988799995"/>
    <n v="231171.32487400001"/>
    <n v="124862.96584200002"/>
    <n v="0"/>
    <n v="23172.669216000126"/>
    <n v="77702.277233999994"/>
    <n v="0"/>
    <n v="3349108.0104901399"/>
    <n v="760401.17518092005"/>
    <n v="58.857956198107821"/>
    <n v="70"/>
    <n v="132141.89499299999"/>
    <n v="190518.55093500001"/>
    <n v="531145.97397299996"/>
    <n v="483908.63408400002"/>
    <n v="346676.88894700003"/>
    <n v="660627.00222100003"/>
    <n v="100874.94645000012"/>
    <n v="660627.00222100003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  <n v="70.904287562117048"/>
    <x v="2"/>
  </r>
  <r>
    <s v="20"/>
    <s v="20000"/>
    <x v="4"/>
    <s v="CESAR"/>
    <n v="2"/>
    <n v="1"/>
    <x v="3"/>
    <n v="0"/>
    <n v="733540.14494499995"/>
    <n v="1194410.662451"/>
    <n v="197634.02874699997"/>
    <n v="95108.676294000004"/>
    <n v="2247293.306084"/>
    <n v="1170419.7787840001"/>
    <n v="293817.31616699998"/>
    <n v="155223.90327099996"/>
    <n v="16430.388867999998"/>
    <n v="-140064.48679900006"/>
    <n v="264839.138033"/>
    <n v="0"/>
    <n v="4488299.4582816102"/>
    <n v="1128571.06672379"/>
    <n v="56.859487648151962"/>
    <n v="60"/>
    <n v="252189.04891300001"/>
    <n v="292742.70504099998"/>
    <n v="1195881.7363539999"/>
    <n v="981801.93388599996"/>
    <n v="733540.14494499995"/>
    <n v="1194410.662451"/>
    <n v="141205.04010199994"/>
    <n v="1194410.662451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  <n v="68.748150787999663"/>
    <x v="1"/>
  </r>
  <r>
    <s v="08"/>
    <s v="08000"/>
    <x v="4"/>
    <s v="ATLANTICO"/>
    <n v="1"/>
    <n v="1"/>
    <x v="3"/>
    <n v="0"/>
    <n v="613214.49442399992"/>
    <n v="1792448.22015"/>
    <n v="648804.75106299995"/>
    <n v="312951.84524999995"/>
    <n v="1508455.6662699997"/>
    <n v="80998.806712999998"/>
    <n v="963048.00407799997"/>
    <n v="700025.650884"/>
    <n v="249.866985"/>
    <n v="107792.87727400032"/>
    <n v="156154.243514"/>
    <n v="146588.59011799999"/>
    <n v="5939780.0461517097"/>
    <n v="3685234.1660671402"/>
    <n v="36.7992801202994"/>
    <n v="55"/>
    <n v="1033190.3746569999"/>
    <n v="961756.59631299996"/>
    <n v="1421632.9896819997"/>
    <n v="1108603.8555920001"/>
    <n v="613214.49442399992"/>
    <n v="1792448.22015"/>
    <n v="264196.98777300026"/>
    <n v="1939036.810268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  <n v="61.84893636683325"/>
    <x v="1"/>
  </r>
  <r>
    <s v="41"/>
    <s v="41000"/>
    <x v="4"/>
    <s v="HUILA"/>
    <n v="2"/>
    <n v="1"/>
    <x v="0"/>
    <n v="0"/>
    <n v="726090.31134199991"/>
    <n v="1261111.410192"/>
    <n v="249601.39709400001"/>
    <n v="104320.959225"/>
    <n v="1501813.0259969998"/>
    <n v="333724.66065000003"/>
    <n v="380551.81654100004"/>
    <n v="230279.28714900001"/>
    <n v="10892.071433999999"/>
    <n v="57069.969900999917"/>
    <n v="70168.469190999996"/>
    <n v="24006"/>
    <n v="2828675.3000359903"/>
    <n v="1992773.9845161699"/>
    <n v="42.378078734352705"/>
    <n v="60"/>
    <n v="346220.58923799999"/>
    <n v="353922.35631900001"/>
    <n v="1053768.910899"/>
    <n v="967476.52415800001"/>
    <n v="726090.31134199991"/>
    <n v="1261111.410192"/>
    <n v="138130.51052599991"/>
    <n v="1285117.410192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  <n v="60.742783661202992"/>
    <x v="1"/>
  </r>
  <r>
    <s v="70"/>
    <s v="70000"/>
    <x v="4"/>
    <s v="SUCRE"/>
    <n v="3"/>
    <n v="1"/>
    <x v="3"/>
    <n v="0"/>
    <n v="794600.99794000003"/>
    <n v="1121664.691475"/>
    <n v="189688.68285000004"/>
    <n v="23895.687479"/>
    <n v="1323859.7135429999"/>
    <n v="294338.07861099998"/>
    <n v="214811.89594000005"/>
    <n v="106073.52391500006"/>
    <n v="8134.6273789999996"/>
    <n v="-134788.34735699976"/>
    <n v="72577.641629999998"/>
    <n v="19696.618559999999"/>
    <n v="1914616.78390003"/>
    <n v="658527.88325849001"/>
    <n v="73.022087157755863"/>
    <n v="70"/>
    <n v="225915.89512299999"/>
    <n v="213584.37032900006"/>
    <n v="1147714.6668069998"/>
    <n v="912722.37294499995"/>
    <n v="794600.99794000003"/>
    <n v="1121664.691475"/>
    <n v="-54076.078347999763"/>
    <n v="1141361.3100350001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  <n v="60.525919514240925"/>
    <x v="1"/>
  </r>
  <r>
    <s v="81"/>
    <s v="81000"/>
    <x v="4"/>
    <s v="ARAUCA"/>
    <n v="4"/>
    <n v="3"/>
    <x v="2"/>
    <n v="38395.447283000001"/>
    <n v="334519.54699199996"/>
    <n v="470889.45357200003"/>
    <n v="46530.751636000001"/>
    <n v="7338.7985479999998"/>
    <n v="461033.86440700002"/>
    <n v="68984.892301999993"/>
    <n v="93143.385584000003"/>
    <n v="38973.168938000003"/>
    <n v="0"/>
    <n v="-28161.367277999932"/>
    <n v="49606.297112"/>
    <n v="0"/>
    <n v="1395880.8783835301"/>
    <n v="746298.07535215002"/>
    <n v="62.20677166019005"/>
    <n v="70"/>
    <n v="43614.66"/>
    <n v="53869.550184"/>
    <n v="444880.60420399997"/>
    <n v="396261.58978400001"/>
    <n v="372914.99427499995"/>
    <n v="470889.45357200003"/>
    <n v="21444.929834000068"/>
    <n v="470889.45357200003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  <n v="59.190463853359461"/>
    <x v="0"/>
  </r>
  <r>
    <s v="95"/>
    <s v="95000"/>
    <x v="4"/>
    <s v="GUAVIARE"/>
    <n v="4"/>
    <n v="3"/>
    <x v="2"/>
    <n v="38395.447281000001"/>
    <n v="153598.708724"/>
    <n v="264537.82666999998"/>
    <n v="39890.196195000004"/>
    <n v="13253.501839999999"/>
    <n v="258662.48024799998"/>
    <n v="55051.211652999998"/>
    <n v="92109.642462999996"/>
    <n v="33377.357230000001"/>
    <n v="2713.6376319999999"/>
    <n v="9875.7509719999798"/>
    <n v="26459.691760000002"/>
    <n v="0"/>
    <n v="1055273.8893259999"/>
    <n v="229925.19654400001"/>
    <n v="64.189240597773178"/>
    <n v="70"/>
    <n v="31205.725396999998"/>
    <n v="53143.698035000001"/>
    <n v="195929.790465"/>
    <n v="183377.96952899999"/>
    <n v="191994.156005"/>
    <n v="264537.82666999998"/>
    <n v="39049.080363999979"/>
    <n v="264537.82666999998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  <n v="58.566767148313708"/>
    <x v="0"/>
  </r>
  <r>
    <s v="99"/>
    <s v="99000"/>
    <x v="4"/>
    <s v="VICHADA"/>
    <n v="4"/>
    <n v="3"/>
    <x v="2"/>
    <n v="43789.647294000002"/>
    <n v="150808.18316300001"/>
    <n v="284467.94299100002"/>
    <n v="31602.745857000002"/>
    <n v="3565.9492529999998"/>
    <n v="381023.93484200002"/>
    <n v="86377.033859999996"/>
    <n v="79040.400446"/>
    <n v="44314.967016000002"/>
    <n v="0"/>
    <n v="63099.85115100001"/>
    <n v="58662.266529"/>
    <n v="0"/>
    <n v="799695.57270899997"/>
    <n v="183941.604567"/>
    <n v="49.148880312651386"/>
    <n v="70"/>
    <n v="22699.514874"/>
    <n v="35168.695110000001"/>
    <n v="186642.65841"/>
    <n v="162628.676385"/>
    <n v="194597.830457"/>
    <n v="284467.94299100002"/>
    <n v="121762.11768000001"/>
    <n v="284467.94299100002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  <n v="58.223626018736937"/>
    <x v="0"/>
  </r>
  <r>
    <s v="17"/>
    <s v="17000"/>
    <x v="4"/>
    <s v="CALDAS"/>
    <n v="2"/>
    <n v="1"/>
    <x v="1"/>
    <n v="0"/>
    <n v="547697.65824500006"/>
    <n v="1108493.1248659999"/>
    <n v="255588.44728999998"/>
    <n v="131031.36120099999"/>
    <n v="991249.02254700009"/>
    <n v="199314.610128"/>
    <n v="390864.523254"/>
    <n v="179574.52416699997"/>
    <n v="23153.576560000001"/>
    <n v="-28744.894046000205"/>
    <n v="182715.21759799999"/>
    <n v="0"/>
    <n v="3763171.8214059998"/>
    <n v="2348179.566596"/>
    <n v="43.33356962532077"/>
    <n v="60"/>
    <n v="342822.15150400001"/>
    <n v="386619.80849099997"/>
    <n v="925948.01982500008"/>
    <n v="848491.87223600002"/>
    <n v="547697.65824500006"/>
    <n v="1108493.1248659999"/>
    <n v="177123.90011199977"/>
    <n v="1108493.1248659999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  <n v="57.887935182259362"/>
    <x v="0"/>
  </r>
  <r>
    <s v="44"/>
    <s v="44000"/>
    <x v="4"/>
    <s v="LA_GUAJIRA"/>
    <n v="4"/>
    <n v="2"/>
    <x v="3"/>
    <n v="0"/>
    <n v="529266.39564200002"/>
    <n v="787928.97170700005"/>
    <n v="178577.22758599999"/>
    <n v="11270.064468"/>
    <n v="923482.92813000013"/>
    <n v="71587.703214000008"/>
    <n v="190214.12937399998"/>
    <n v="120400.45204799998"/>
    <n v="0"/>
    <n v="-8242.9542510000756"/>
    <n v="97771.430519999994"/>
    <n v="0"/>
    <n v="1882358.3930086598"/>
    <n v="919864.11451718991"/>
    <n v="56.121867755665754"/>
    <n v="70"/>
    <n v="163725.741197"/>
    <n v="189847.29205399999"/>
    <n v="726358.24863200018"/>
    <n v="663560.28995600005"/>
    <n v="529266.39564200002"/>
    <n v="787928.97170700005"/>
    <n v="89528.476268999919"/>
    <n v="787928.97170700005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  <n v="57.419127374306115"/>
    <x v="0"/>
  </r>
  <r>
    <s v="86"/>
    <s v="86000"/>
    <x v="4"/>
    <s v="PUTUMAYO"/>
    <n v="4"/>
    <n v="3"/>
    <x v="0"/>
    <n v="38395.447281000001"/>
    <n v="475545.15639999998"/>
    <n v="670136.59288899996"/>
    <n v="56749.077140999994"/>
    <n v="33669.962288000002"/>
    <n v="580983.7935400001"/>
    <n v="34895.123702000004"/>
    <n v="129625.05613099999"/>
    <n v="42785.293429999991"/>
    <n v="705.011619"/>
    <n v="2313.036647999892"/>
    <n v="42288.558229000002"/>
    <n v="0"/>
    <n v="1608240.8868507301"/>
    <n v="438661.56260007003"/>
    <n v="59.63003613516539"/>
    <n v="70"/>
    <n v="76452.411703000005"/>
    <n v="90419.039428999997"/>
    <n v="580983.7935400001"/>
    <n v="546872.92164700001"/>
    <n v="513940.60368099995"/>
    <n v="670136.59288899996"/>
    <n v="45306.606495999891"/>
    <n v="670136.59288899996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  <n v="56.380107254116687"/>
    <x v="0"/>
  </r>
  <r>
    <s v="94"/>
    <s v="94000"/>
    <x v="4"/>
    <s v="GUAINIA"/>
    <n v="4"/>
    <n v="3"/>
    <x v="2"/>
    <n v="47578.505463000001"/>
    <n v="130245.510431"/>
    <n v="279469.08718999999"/>
    <n v="37811.921450000002"/>
    <n v="4357.0553110000001"/>
    <n v="261857.78476099996"/>
    <n v="7577.3214749999997"/>
    <n v="89747.482224000007"/>
    <n v="61049.601786000007"/>
    <n v="0"/>
    <n v="16597.179263000027"/>
    <n v="76474.107325000004"/>
    <n v="0"/>
    <n v="1344687.6497638898"/>
    <n v="202090.99397945998"/>
    <n v="40.579655239987225"/>
    <n v="70"/>
    <n v="36985.625482000003"/>
    <n v="42168.976760999998"/>
    <n v="234174.02748899997"/>
    <n v="179960.41031000001"/>
    <n v="177824.01589400001"/>
    <n v="279469.08718999999"/>
    <n v="93071.286588000032"/>
    <n v="279469.08718999999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  <n v="55.457030868659032"/>
    <x v="0"/>
  </r>
  <r>
    <s v="66"/>
    <s v="66000"/>
    <x v="4"/>
    <s v="RISARALDA"/>
    <n v="2"/>
    <n v="1"/>
    <x v="1"/>
    <n v="0"/>
    <n v="284735.83281400002"/>
    <n v="778410.57756100013"/>
    <n v="284209.30659400002"/>
    <n v="131837.036081"/>
    <n v="737223.13341199991"/>
    <n v="24542.074837"/>
    <n v="416624.24691000005"/>
    <n v="282832.13774800004"/>
    <n v="6730.276347"/>
    <n v="-63123.581061999896"/>
    <n v="302952.38820300001"/>
    <n v="0"/>
    <n v="2827515.7054590001"/>
    <n v="1489406.265048"/>
    <n v="38.100670362076649"/>
    <n v="60"/>
    <n v="366587.07485700003"/>
    <n v="416046.34267500002"/>
    <n v="707742.04946100002"/>
    <n v="646992.22171800002"/>
    <n v="284735.83281400002"/>
    <n v="778410.57756100013"/>
    <n v="246559.08348800012"/>
    <n v="778410.5775610001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  <n v="54.74197396775984"/>
    <x v="0"/>
  </r>
  <r>
    <s v="97"/>
    <s v="97000"/>
    <x v="4"/>
    <s v="VAUPES"/>
    <n v="4"/>
    <n v="3"/>
    <x v="2"/>
    <n v="39243.516512000002"/>
    <n v="114381.297871"/>
    <n v="219720.16740199999"/>
    <n v="14204.409812999998"/>
    <n v="2468.894659"/>
    <n v="215313.48372300004"/>
    <n v="9940.8798700000007"/>
    <n v="56050.031894"/>
    <n v="33164.851843999997"/>
    <n v="0"/>
    <n v="-18478.496371000045"/>
    <n v="94494.120458000005"/>
    <n v="0"/>
    <n v="904982.18007643009"/>
    <n v="155716.04743124"/>
    <n v="35.673340508708584"/>
    <n v="70"/>
    <n v="15324.035715"/>
    <n v="16673.304472"/>
    <n v="215313.48372300004"/>
    <n v="172557.74295399999"/>
    <n v="153624.81438300002"/>
    <n v="219720.16740199999"/>
    <n v="76015.62408699996"/>
    <n v="219720.16740199999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  <n v="52.785252102588885"/>
    <x v="0"/>
  </r>
  <r>
    <s v="27"/>
    <s v="27000"/>
    <x v="4"/>
    <s v="CHOCO"/>
    <n v="3"/>
    <n v="3"/>
    <x v="5"/>
    <n v="0"/>
    <n v="697181.19780099997"/>
    <n v="884464.58065999998"/>
    <n v="108414.43075599999"/>
    <n v="14041.734782"/>
    <n v="795101.06739600003"/>
    <n v="14099.388326999999"/>
    <n v="122585.24121999998"/>
    <n v="43437.606785999975"/>
    <n v="0"/>
    <n v="10215.878829999943"/>
    <n v="56804.907994000001"/>
    <n v="0"/>
    <n v="2415160.61956756"/>
    <n v="587798.06815544993"/>
    <n v="65.607177278687956"/>
    <n v="70"/>
    <n v="106739.682441"/>
    <n v="122456.16553799999"/>
    <n v="795101.06739600003"/>
    <n v="635898.94187400001"/>
    <n v="697181.19780099997"/>
    <n v="884464.58065999998"/>
    <n v="67020.786823999952"/>
    <n v="884464.58065999998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  <n v="52.449158484693996"/>
    <x v="0"/>
  </r>
  <r>
    <s v="19"/>
    <s v="19000"/>
    <x v="4"/>
    <s v="CAUCA"/>
    <n v="3"/>
    <n v="2"/>
    <x v="5"/>
    <n v="0"/>
    <n v="1427772.6895050001"/>
    <n v="1853197.0564049999"/>
    <n v="164768.36675799999"/>
    <n v="120786.640801"/>
    <n v="1748202.1074060001"/>
    <n v="20032.813782999998"/>
    <n v="286731.92538099998"/>
    <n v="143500.05002099997"/>
    <n v="3336.9935070000001"/>
    <n v="46995.985376999946"/>
    <n v="283471.02739200002"/>
    <n v="0"/>
    <n v="3600160.6356799998"/>
    <n v="1217557.4699810001"/>
    <n v="40.362800755076059"/>
    <n v="70"/>
    <n v="296348.40035700001"/>
    <n v="285555.00755899999"/>
    <n v="1662969.195668"/>
    <n v="1627602.724533"/>
    <n v="1427772.6895050001"/>
    <n v="1853197.0564049999"/>
    <n v="333804.00627599994"/>
    <n v="1853197.0564049999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  <n v="52.242421503037733"/>
    <x v="0"/>
  </r>
  <r>
    <s v="05"/>
    <s v="05000"/>
    <x v="4"/>
    <s v="ANTIOQUIA"/>
    <s v="ESP"/>
    <n v="1"/>
    <x v="1"/>
    <n v="0"/>
    <n v="2185756.971653"/>
    <n v="6362170.0811090004"/>
    <n v="2105396.8552489998"/>
    <n v="1262248.3300910001"/>
    <n v="5557896.2575310012"/>
    <n v="235150.95785900002"/>
    <n v="3392717.2894199998"/>
    <n v="2174780.558923"/>
    <n v="267602.986661"/>
    <n v="-176685.35771200061"/>
    <n v="1110806.930898"/>
    <n v="295876.12081400002"/>
    <n v="16095790.780893"/>
    <n v="13366808.623283001"/>
    <n v="22.328067188505255"/>
    <n v="50"/>
    <n v="3062505.434471"/>
    <n v="3367645.1853399999"/>
    <n v="5320918.7083240012"/>
    <n v="4228125.5784480004"/>
    <n v="2185756.971653"/>
    <n v="6362170.0811090004"/>
    <n v="1201724.5598469994"/>
    <n v="6658046.2019230006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  <n v="51.715650716131883"/>
    <x v="0"/>
  </r>
  <r>
    <s v="76"/>
    <s v="76000"/>
    <x v="4"/>
    <s v="VALLE DEL CAUCA"/>
    <s v="ESP"/>
    <n v="1"/>
    <x v="5"/>
    <n v="0"/>
    <n v="844229.16659100004"/>
    <n v="3135605.3948600003"/>
    <n v="1352480.6639190002"/>
    <n v="536270.10542299994"/>
    <n v="2610293.7489539995"/>
    <n v="139266.69566999999"/>
    <n v="1898684.7041500001"/>
    <n v="1164245.1855330002"/>
    <n v="104937.465207"/>
    <n v="-137093.01294099959"/>
    <n v="536851.578645"/>
    <n v="99026.817550000007"/>
    <n v="7801580.7395869996"/>
    <n v="7030761.6766950004"/>
    <n v="36.923552388861985"/>
    <n v="50"/>
    <n v="2079941.328216"/>
    <n v="1888750.7693420001"/>
    <n v="2538258.889184"/>
    <n v="2072622.598911"/>
    <n v="844229.16659100004"/>
    <n v="3135605.3948600003"/>
    <n v="504696.03091100045"/>
    <n v="3234632.2124100002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  <n v="51.338436603757202"/>
    <x v="0"/>
  </r>
  <r>
    <s v="63"/>
    <s v="63000"/>
    <x v="4"/>
    <s v="QUINDIO"/>
    <n v="3"/>
    <n v="1"/>
    <x v="1"/>
    <n v="0"/>
    <n v="247915.077942"/>
    <n v="570595.63944100006"/>
    <n v="182889.382514"/>
    <n v="70655.147545"/>
    <n v="467817.60280400002"/>
    <n v="19002.664891"/>
    <n v="262696.91963700001"/>
    <n v="125312.79227000001"/>
    <n v="4780.9623449999999"/>
    <n v="-21218.394548999961"/>
    <n v="86608.220205999998"/>
    <n v="9992"/>
    <n v="1486724.1470891498"/>
    <n v="1033831.26306513"/>
    <n v="65.957669876017576"/>
    <n v="70"/>
    <n v="247840.51360000001"/>
    <n v="253544.53005900001"/>
    <n v="454429.90662299999"/>
    <n v="406866.05854300002"/>
    <n v="247915.077942"/>
    <n v="570595.63944100006"/>
    <n v="70170.788002000045"/>
    <n v="580587.63944100006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  <n v="51.266435649482084"/>
    <x v="0"/>
  </r>
  <r>
    <s v="73"/>
    <s v="73000"/>
    <x v="4"/>
    <s v="TOLIMA"/>
    <n v="2"/>
    <n v="1"/>
    <x v="0"/>
    <n v="0"/>
    <n v="922607.49961099995"/>
    <n v="1533876.1647489998"/>
    <n v="339427.799467"/>
    <n v="120173.889303"/>
    <n v="1425343.4202559998"/>
    <n v="139679.12536199999"/>
    <n v="467996.62284900004"/>
    <n v="178381.20920400007"/>
    <n v="16515.602675999999"/>
    <n v="-35388.975594000192"/>
    <n v="75028.139406000002"/>
    <n v="25478.654648"/>
    <n v="2954459.2630480002"/>
    <n v="2546607.419522"/>
    <n v="54.018930330181824"/>
    <n v="60"/>
    <n v="438338.94099999999"/>
    <n v="459601.68877000001"/>
    <n v="1279649.726698"/>
    <n v="1107732.043514"/>
    <n v="922607.49961099995"/>
    <n v="1533876.1647489998"/>
    <n v="56154.766487999805"/>
    <n v="1559354.8193969997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  <n v="51.019049352857991"/>
    <x v="0"/>
  </r>
  <r>
    <s v="15"/>
    <s v="15000"/>
    <x v="4"/>
    <s v="BOYACA"/>
    <n v="1"/>
    <n v="1"/>
    <x v="4"/>
    <n v="0"/>
    <n v="1037404.513596"/>
    <n v="1718143.27141"/>
    <n v="414084.73140799999"/>
    <n v="49767.182120000005"/>
    <n v="1808245.4589729998"/>
    <n v="82140.49567199999"/>
    <n v="466883.425468"/>
    <n v="193972.74046100001"/>
    <n v="15531.916338000001"/>
    <n v="-52567.197331999894"/>
    <n v="228876.6557"/>
    <n v="12988"/>
    <n v="4790164.257278"/>
    <n v="3144837.2145699998"/>
    <n v="47.421976111362262"/>
    <n v="55"/>
    <n v="474729.390266"/>
    <n v="463851.913528"/>
    <n v="1497799.7837349998"/>
    <n v="1358590.5652989999"/>
    <n v="1037404.513596"/>
    <n v="1718143.27141"/>
    <n v="191841.37470600012"/>
    <n v="1731131.27141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  <n v="50.830507842121456"/>
    <x v="0"/>
  </r>
  <r>
    <s v="47"/>
    <s v="47000"/>
    <x v="4"/>
    <s v="MAGDALENA"/>
    <n v="2"/>
    <n v="2"/>
    <x v="3"/>
    <n v="0"/>
    <n v="978405.80939200008"/>
    <n v="1728010.500585"/>
    <n v="361342.20928299997"/>
    <n v="217174.20707800001"/>
    <n v="1372639.4936800001"/>
    <n v="73689.641975999999"/>
    <n v="579953.18987899995"/>
    <n v="340315.85727799998"/>
    <n v="14624.313248"/>
    <n v="119629.54046599986"/>
    <n v="365813.96740099997"/>
    <n v="0"/>
    <n v="2384504.73148567"/>
    <n v="1061797.99948857"/>
    <n v="53.84333155105454"/>
    <n v="60"/>
    <n v="524388.88300100004"/>
    <n v="578516.41636099992"/>
    <n v="1368743.6275180001"/>
    <n v="1239754.137197"/>
    <n v="978405.80939200008"/>
    <n v="1728010.500585"/>
    <n v="500067.82111499982"/>
    <n v="1728010.500585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  <n v="50.456294378068634"/>
    <x v="0"/>
  </r>
  <r>
    <s v="25"/>
    <s v="25000"/>
    <x v="4"/>
    <s v="CUNDINAMARCA"/>
    <s v="ESP"/>
    <n v="1"/>
    <x v="4"/>
    <n v="0"/>
    <n v="1372393.2780589999"/>
    <n v="4381426.5535510005"/>
    <n v="2125447.5530950003"/>
    <n v="488665.80982800003"/>
    <n v="3494692.3127859989"/>
    <n v="52161.21211800001"/>
    <n v="2616224.3748760005"/>
    <n v="1694866.3834730005"/>
    <n v="155747.80640199999"/>
    <n v="230843.84234100161"/>
    <n v="322741.12662599998"/>
    <n v="50000"/>
    <n v="11329020.975275001"/>
    <n v="8129267.4261490004"/>
    <n v="40.708009130634657"/>
    <n v="50"/>
    <n v="2513830.5830000001"/>
    <n v="2614113.3629230005"/>
    <n v="3229224.719806999"/>
    <n v="2376036.9288110002"/>
    <n v="1372393.2780589999"/>
    <n v="4381426.5535510005"/>
    <n v="709332.77536900167"/>
    <n v="4431426.5535510005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  <n v="50.213012769362919"/>
    <x v="0"/>
  </r>
  <r>
    <s v="50"/>
    <s v="50000"/>
    <x v="4"/>
    <s v="META"/>
    <n v="1"/>
    <n v="2"/>
    <x v="2"/>
    <n v="0"/>
    <n v="477741.64059000002"/>
    <n v="1168811.3508339999"/>
    <n v="440063.11970799998"/>
    <n v="101478.55342"/>
    <n v="2097596.0306840003"/>
    <n v="108820.29268299999"/>
    <n v="543919.80503599998"/>
    <n v="276614.34844799998"/>
    <n v="16503.389425000001"/>
    <n v="108323.59092899971"/>
    <n v="229792.64669699999"/>
    <n v="1055.3461460000001"/>
    <n v="9793544.5702299997"/>
    <n v="1684628.5061890001"/>
    <n v="54.086360895312524"/>
    <n v="55"/>
    <n v="507315.76708199998"/>
    <n v="541541.67312799999"/>
    <n v="793182.30331700016"/>
    <n v="750403.41817700001"/>
    <n v="477741.64059000002"/>
    <n v="1168811.3508339999"/>
    <n v="354619.62705099973"/>
    <n v="1169866.69698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  <n v="49.869589935637997"/>
    <x v="0"/>
  </r>
  <r>
    <s v="54"/>
    <s v="54000"/>
    <x v="4"/>
    <s v="NORTE DE SANTANDER"/>
    <n v="2"/>
    <n v="1"/>
    <x v="4"/>
    <n v="0"/>
    <n v="821121.2143179999"/>
    <n v="1494513.9546359999"/>
    <n v="411675.92043200007"/>
    <n v="94670.163279"/>
    <n v="1333218.9906040002"/>
    <n v="2456.1210999999998"/>
    <n v="508857.88486100006"/>
    <n v="273233.00115500006"/>
    <n v="27607.295819999999"/>
    <n v="-74329.919674000237"/>
    <n v="240354.87521100001"/>
    <n v="0"/>
    <n v="2875029.5734281098"/>
    <n v="1813946.13598935"/>
    <n v="49.937109007232792"/>
    <n v="60"/>
    <n v="419962.4"/>
    <n v="506346.08371100004"/>
    <n v="1333218.9906040002"/>
    <n v="1061863.448911"/>
    <n v="821121.2143179999"/>
    <n v="1494513.9546359999"/>
    <n v="193632.25135699977"/>
    <n v="1494513.9546359999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  <n v="49.750536717839175"/>
    <x v="0"/>
  </r>
  <r>
    <s v="52"/>
    <s v="52000"/>
    <x v="4"/>
    <s v="NARIÑO"/>
    <n v="1"/>
    <n v="2"/>
    <x v="5"/>
    <n v="0"/>
    <n v="1074895.592919"/>
    <n v="1735087.2208159999"/>
    <n v="278240.79785899998"/>
    <n v="122600.39119900001"/>
    <n v="1437365.58791"/>
    <n v="52120.322970000001"/>
    <n v="402969.31321499997"/>
    <n v="192102.62461199996"/>
    <n v="0"/>
    <n v="156443.9962259999"/>
    <n v="243325.765235"/>
    <n v="0"/>
    <n v="3883445.1724989"/>
    <n v="2025692.5013949398"/>
    <n v="48.596816439583918"/>
    <n v="55"/>
    <n v="356107.267146"/>
    <n v="400841.18905799999"/>
    <n v="1367776.535987"/>
    <n v="1260477.7350910001"/>
    <n v="1074895.592919"/>
    <n v="1735087.2208159999"/>
    <n v="399769.7614609999"/>
    <n v="1735087.2208159999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  <n v="48.962741969314941"/>
    <x v="0"/>
  </r>
  <r>
    <s v="91"/>
    <s v="91000"/>
    <x v="4"/>
    <s v="AMAZONAS"/>
    <n v="4"/>
    <n v="3"/>
    <x v="0"/>
    <n v="43197.547280999999"/>
    <n v="219355.65895299998"/>
    <n v="443840.16529599996"/>
    <n v="21279.93273"/>
    <n v="6135.4171969999998"/>
    <n v="289427.98662800004"/>
    <n v="0"/>
    <n v="70685.802807999993"/>
    <n v="35151.312221999986"/>
    <n v="656.08729100000005"/>
    <n v="118877.68808199989"/>
    <n v="46262.843449"/>
    <n v="0"/>
    <n v="1244982.1268081001"/>
    <n v="382819.50730571995"/>
    <n v="45.961654547627532"/>
    <n v="70"/>
    <n v="24515.865849000002"/>
    <n v="27415.349926999999"/>
    <n v="289427.98662800004"/>
    <n v="239689.44572399999"/>
    <n v="262553.20623399998"/>
    <n v="443840.16529599996"/>
    <n v="165796.6188219999"/>
    <n v="443840.16529599996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  <n v="47.48204325840198"/>
    <x v="0"/>
  </r>
  <r>
    <s v="18"/>
    <s v="18000"/>
    <x v="4"/>
    <s v="CAQUETA"/>
    <n v="4"/>
    <n v="3"/>
    <x v="0"/>
    <n v="0"/>
    <n v="346295.09583499999"/>
    <n v="512439.10241000005"/>
    <n v="76704.725252000004"/>
    <n v="31243.289968000001"/>
    <n v="464746.88172500004"/>
    <n v="11276.177185999999"/>
    <n v="109070.695653"/>
    <n v="37149.191204000002"/>
    <n v="741.59935900000005"/>
    <n v="-9881.6285200000275"/>
    <n v="44838.909568000003"/>
    <n v="0"/>
    <n v="1130115.7486920001"/>
    <n v="573079.88855100004"/>
    <n v="69.830555858556821"/>
    <n v="70"/>
    <n v="90116.532999999996"/>
    <n v="107948.01522"/>
    <n v="450399.22648100008"/>
    <n v="414674.78165800002"/>
    <n v="346295.09583499999"/>
    <n v="512439.10241000005"/>
    <n v="35698.880406999975"/>
    <n v="512439.10241000005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  <n v="47.389088088997127"/>
    <x v="0"/>
  </r>
  <r>
    <s v="68"/>
    <s v="68000"/>
    <x v="4"/>
    <s v="SANTANDER"/>
    <n v="1"/>
    <n v="1"/>
    <x v="4"/>
    <n v="0"/>
    <n v="981141.04008299997"/>
    <n v="2168607.0863290001"/>
    <n v="790653.72198299994"/>
    <n v="99969.87268"/>
    <n v="2107393.4342459999"/>
    <n v="280205.03399199998"/>
    <n v="894550.53268299997"/>
    <n v="367827.11225100001"/>
    <n v="38694.384578999998"/>
    <n v="67402.894890000112"/>
    <n v="342455.01967499999"/>
    <n v="0"/>
    <n v="5660699.5281680599"/>
    <n v="4303516.3952991096"/>
    <n v="46.246537109720173"/>
    <n v="55"/>
    <n v="851059.53658900002"/>
    <n v="890623.59466299997"/>
    <n v="1574480.771007"/>
    <n v="1347817.5299120001"/>
    <n v="981141.04008299997"/>
    <n v="2168607.0863290001"/>
    <n v="448552.29914400011"/>
    <n v="2168607.0863290001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  <n v="46.548663847397748"/>
    <x v="0"/>
  </r>
  <r>
    <s v="13"/>
    <s v="13000"/>
    <x v="4"/>
    <s v="BOLIVAR"/>
    <n v="1"/>
    <n v="2"/>
    <x v="3"/>
    <n v="0"/>
    <n v="1159246.36628"/>
    <n v="2022516.7571640001"/>
    <n v="436822.22398699995"/>
    <n v="157991.862765"/>
    <n v="1635626.4830200002"/>
    <n v="106741.799318"/>
    <n v="595630.81067699997"/>
    <n v="230903.57934900001"/>
    <n v="34365.753580999997"/>
    <n v="22163.042816000059"/>
    <n v="50187.822085"/>
    <n v="30895.036613"/>
    <n v="3759587.7510910803"/>
    <n v="2951064.84132643"/>
    <n v="54.590696890531589"/>
    <n v="55"/>
    <n v="641950.70112600003"/>
    <n v="594814.08675199992"/>
    <n v="1635626.4830200002"/>
    <n v="1390535.3890539999"/>
    <n v="1159246.36628"/>
    <n v="2022516.7571640001"/>
    <n v="106716.61848200005"/>
    <n v="2053411.7937770002"/>
    <n v="57.317021585794457"/>
    <n v="42.682978414205543"/>
    <n v="6.5260498302102139"/>
    <n v="13.545333917096823"/>
    <n v="78.494373232011753"/>
    <n v="21.505626767988247"/>
    <n v="38.766224851020162"/>
    <n v="50"/>
    <n v="5.1970393276892537"/>
    <n v="80"/>
    <n v="41.546787819858125"/>
    <n v="33.237430255886501"/>
    <n v="0.40930310946841075"/>
    <n v="6.0245522025240197"/>
    <n v="92.65728438471659"/>
    <n v="100"/>
    <n v="85.015460650070466"/>
    <n v="80"/>
    <n v="0"/>
    <n v="62.008184067508012"/>
    <n v="62.008184067508012"/>
    <n v="12.401636813501604"/>
    <n v="45.639067069388105"/>
    <n v="45.639067069388105"/>
    <x v="0"/>
  </r>
  <r>
    <s v="23"/>
    <s v="23000"/>
    <x v="4"/>
    <s v="CORDOBA"/>
    <n v="1"/>
    <n v="2"/>
    <x v="3"/>
    <n v="0"/>
    <n v="1267892.8720769999"/>
    <n v="1688939.070971"/>
    <n v="306864.25913199998"/>
    <n v="27991.742260999999"/>
    <n v="1620861.9288910001"/>
    <n v="98004.888548000003"/>
    <n v="336201.20583599998"/>
    <n v="111814.69951299997"/>
    <n v="22769.443092000001"/>
    <n v="7887.4140069999266"/>
    <n v="292520.80486999999"/>
    <n v="0"/>
    <n v="3728887.3772898503"/>
    <n v="2624252.7756138998"/>
    <n v="49.700909574798821"/>
    <n v="55"/>
    <n v="315399.38257999998"/>
    <n v="334856.00139299995"/>
    <n v="1456665.1506410001"/>
    <n v="1319302.391914"/>
    <n v="1267892.8720769999"/>
    <n v="1688939.070971"/>
    <n v="323177.66196899989"/>
    <n v="1688939.070971"/>
    <n v="75.070373696078121"/>
    <n v="24.929626303921879"/>
    <n v="6.0464674258254263"/>
    <n v="12.549922607473576"/>
    <n v="70.376294859331551"/>
    <n v="29.623705140668449"/>
    <n v="33.258268433321305"/>
    <n v="40"/>
    <n v="19.134950900460815"/>
    <n v="40"/>
    <n v="29.420650810412781"/>
    <n v="23.536520648330225"/>
    <n v="5.2990904252011788"/>
    <n v="77.997567460414288"/>
    <n v="106.16888297429209"/>
    <n v="100"/>
    <n v="90.570052515737459"/>
    <n v="100"/>
    <n v="0"/>
    <n v="92.665855820138106"/>
    <n v="92.665855820138106"/>
    <n v="18.533171164027621"/>
    <n v="42.069691812357846"/>
    <n v="42.069691812357846"/>
    <x v="0"/>
  </r>
  <r>
    <s v="88"/>
    <s v="88000"/>
    <x v="4"/>
    <s v="SAN ANDRES"/>
    <n v="3"/>
    <n v="2"/>
    <x v="3"/>
    <n v="64182.671283000003"/>
    <n v="76521.985648000002"/>
    <n v="553561.25647799997"/>
    <n v="64177.966451"/>
    <n v="140908.93278499998"/>
    <n v="296146.51876000001"/>
    <n v="44269.375993000001"/>
    <n v="269913.48247199995"/>
    <n v="28755.074349999952"/>
    <n v="0"/>
    <n v="17613.17959399987"/>
    <n v="232673.12981899999"/>
    <n v="0"/>
    <n v="2134466.0723258201"/>
    <n v="351789.45838272996"/>
    <n v="75.262770292805868"/>
    <n v="70"/>
    <n v="16528.202331"/>
    <n v="205086.89923599997"/>
    <n v="294789.66876200004"/>
    <n v="210024.891764"/>
    <n v="140704.656931"/>
    <n v="553561.25647799997"/>
    <n v="250286.30941299986"/>
    <n v="553561.25647799997"/>
    <n v="25.418082512895658"/>
    <n v="74.581917487104334"/>
    <n v="14.948470837462835"/>
    <n v="31.026736588202823"/>
    <n v="16.48137972038144"/>
    <n v="83.51862027961856"/>
    <n v="10.653441275569818"/>
    <n v="20"/>
    <n v="45.213841554850021"/>
    <n v="0"/>
    <n v="41.825454870985141"/>
    <n v="33.460363896788117"/>
    <n v="0"/>
    <n v="0"/>
    <n v="1240.8300378277838"/>
    <n v="0"/>
    <n v="71.245675822365627"/>
    <n v="70"/>
    <n v="0"/>
    <n v="23.333333333333332"/>
    <n v="23.333333333333332"/>
    <n v="4.666666666666667"/>
    <n v="38.127030563454781"/>
    <n v="38.127030563454781"/>
    <x v="3"/>
  </r>
  <r>
    <m/>
    <m/>
    <x v="5"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s v="91"/>
    <s v="91000"/>
    <x v="0"/>
    <x v="0"/>
    <s v="4"/>
    <s v="N/A"/>
    <s v="Centro Sur Amazonia"/>
    <n v="0"/>
    <n v="130959.10188"/>
    <n v="174009.20267700002"/>
    <m/>
    <m/>
    <n v="161167.91017700001"/>
    <n v="21438.246735000001"/>
    <n v="39576.982459000006"/>
    <n v="14620.794825000004"/>
    <n v="0"/>
    <n v="12278.558688999998"/>
    <n v="26890.689661"/>
    <n v="259.64236599999998"/>
    <n v="863395.92108100001"/>
    <n v="295765.82177400001"/>
    <n v="0.59281022494314861"/>
    <n v="70"/>
    <n v="17832.686947269998"/>
    <n v="14232.522504549999"/>
    <n v="136774.45635260001"/>
    <n v="136774.45635260001"/>
    <m/>
    <m/>
    <m/>
    <m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  <n v="43.715147709610889"/>
    <s v="2. Riesgo (&gt;=40 y &lt;60)"/>
  </r>
  <r>
    <s v="05"/>
    <s v="05000"/>
    <x v="0"/>
    <x v="1"/>
    <s v="ESPECIAL"/>
    <s v="N/A"/>
    <s v="Eje Cafetero"/>
    <n v="0"/>
    <n v="1823047.055957"/>
    <n v="4090738.5152229993"/>
    <m/>
    <m/>
    <n v="3571604.038923"/>
    <n v="1222873.4755569999"/>
    <n v="1824093.1233649997"/>
    <n v="818518.62523999962"/>
    <n v="64011.114753000002"/>
    <n v="-371175.35987000074"/>
    <n v="665405.92350799998"/>
    <n v="171872.829203"/>
    <n v="13508051.740302"/>
    <n v="10477575.290440001"/>
    <n v="0.41196507317030118"/>
    <n v="50"/>
    <n v="2310752.6415400002"/>
    <n v="1590618.429792"/>
    <n v="3456339.3769680001"/>
    <n v="3143551.0794009999"/>
    <m/>
    <m/>
    <m/>
    <m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  <n v="65.636264881346705"/>
    <s v="3. Vulnerable (&gt;=60 y &lt;70)"/>
  </r>
  <r>
    <s v="81"/>
    <s v="81000"/>
    <x v="0"/>
    <x v="2"/>
    <s v="4"/>
    <s v="N/A"/>
    <s v="Del Llano"/>
    <n v="0"/>
    <n v="233214.514383"/>
    <n v="327076.537427"/>
    <m/>
    <m/>
    <n v="414671.794261"/>
    <n v="130231.497038"/>
    <n v="74222.102974000009"/>
    <n v="10364.976889000012"/>
    <n v="0"/>
    <n v="-27648.757681999938"/>
    <n v="88513.885553"/>
    <n v="0"/>
    <n v="1381738.19763729"/>
    <n v="675001.22452742001"/>
    <n v="0.71323396395455096"/>
    <n v="70"/>
    <n v="40045.367928"/>
    <n v="46354.786591689997"/>
    <n v="290868.1690209501"/>
    <n v="268874.40893251001"/>
    <m/>
    <m/>
    <m/>
    <m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  <n v="42.89064869585853"/>
    <s v="2. Riesgo (&gt;=40 y &lt;60)"/>
  </r>
  <r>
    <s v="08"/>
    <s v="08000"/>
    <x v="0"/>
    <x v="3"/>
    <s v="1"/>
    <s v="N/A"/>
    <s v="Caribe"/>
    <n v="0"/>
    <n v="423897.05522500002"/>
    <n v="1108479.265132"/>
    <m/>
    <m/>
    <n v="959862.66274099995"/>
    <n v="207032.22905300002"/>
    <n v="641055.65673399996"/>
    <n v="436577.13126299996"/>
    <n v="20336.436952"/>
    <n v="-12199.531743000029"/>
    <n v="180126.67610800001"/>
    <n v="0"/>
    <n v="4136488.5105571202"/>
    <n v="1773273.4676698798"/>
    <n v="0.2664599280874963"/>
    <n v="55"/>
    <n v="680934.75025499996"/>
    <n v="625841.27555100003"/>
    <n v="916200.27140354994"/>
    <n v="711308.74987504003"/>
    <m/>
    <m/>
    <m/>
    <m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  <n v="65.270209361179894"/>
    <s v="3. Vulnerable (&gt;=60 y &lt;70)"/>
  </r>
  <r>
    <s v="13"/>
    <s v="13000"/>
    <x v="0"/>
    <x v="4"/>
    <s v="1"/>
    <s v="N/A"/>
    <s v="Caribe"/>
    <n v="0"/>
    <n v="849541.72838999995"/>
    <n v="1304675.519106"/>
    <m/>
    <m/>
    <n v="982722.09742600005"/>
    <n v="126866.03378100001"/>
    <n v="312476.20075199998"/>
    <n v="136689.626598"/>
    <n v="3957.7625739999999"/>
    <n v="156582.53782800003"/>
    <n v="39332.010616"/>
    <n v="0"/>
    <n v="3639178.1014322499"/>
    <n v="2508647.4591360199"/>
    <n v="0.41767080335769385"/>
    <n v="55"/>
    <n v="429944.91303900001"/>
    <n v="308887.05293399998"/>
    <n v="972306.40712400002"/>
    <n v="899886.27521500003"/>
    <m/>
    <m/>
    <m/>
    <m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  <n v="46.408403775507892"/>
    <s v="2. Riesgo (&gt;=40 y &lt;60)"/>
  </r>
  <r>
    <s v="15"/>
    <s v="15000"/>
    <x v="0"/>
    <x v="5"/>
    <s v="1"/>
    <s v="N/A"/>
    <s v="Centro Oriente"/>
    <n v="0"/>
    <n v="735513.793772"/>
    <n v="1174448.7941949998"/>
    <m/>
    <m/>
    <n v="1053987.7997849998"/>
    <n v="197900.91534599999"/>
    <n v="305347.96344599995"/>
    <n v="127383.26872099994"/>
    <n v="6239.9699049999999"/>
    <n v="-6286.9507900001481"/>
    <n v="169419.93925200001"/>
    <n v="15164.550905"/>
    <n v="4425569.8076839997"/>
    <n v="2864148.5348410001"/>
    <n v="0.59334038548744361"/>
    <n v="55"/>
    <n v="338416.14628500002"/>
    <n v="278845.42071600002"/>
    <n v="969587.96775900002"/>
    <n v="851469.39978700003"/>
    <m/>
    <m/>
    <m/>
    <m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  <n v="44.924049321577627"/>
    <s v="2. Riesgo (&gt;=40 y &lt;60)"/>
  </r>
  <r>
    <s v="17"/>
    <s v="17000"/>
    <x v="0"/>
    <x v="6"/>
    <s v="2"/>
    <s v="N/A"/>
    <s v="Eje Cafetero"/>
    <n v="0"/>
    <n v="374801.11080600001"/>
    <n v="721781.86418500007"/>
    <m/>
    <m/>
    <n v="701520.33515699999"/>
    <n v="197199.462481"/>
    <n v="235883.72903300001"/>
    <n v="119285.541243"/>
    <n v="3590.284302"/>
    <n v="30719.233647000161"/>
    <n v="61709.876664000003"/>
    <n v="14815.686782999999"/>
    <n v="2979685.0001210002"/>
    <n v="1729145.078578"/>
    <n v="0.51439540277856366"/>
    <n v="60"/>
    <n v="251197.860888"/>
    <n v="168877.847668"/>
    <n v="574464.44274800003"/>
    <n v="561980.301675"/>
    <m/>
    <m/>
    <m/>
    <m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  <n v="66.657356765300747"/>
    <s v="3. Vulnerable (&gt;=60 y &lt;70)"/>
  </r>
  <r>
    <s v="18"/>
    <s v="18000"/>
    <x v="0"/>
    <x v="7"/>
    <s v="4"/>
    <s v="N/A"/>
    <s v="Centro Sur Amazonia"/>
    <n v="0"/>
    <n v="252365.23491500001"/>
    <n v="336102.64341800002"/>
    <m/>
    <m/>
    <n v="423552.08822099998"/>
    <n v="149634.41928199999"/>
    <n v="66859.528201000008"/>
    <n v="24490.540512000007"/>
    <n v="0"/>
    <n v="20350.129827000026"/>
    <n v="30290.510962"/>
    <n v="0"/>
    <n v="1396255.0511729999"/>
    <n v="601675.13314799999"/>
    <n v="0.69405814467109539"/>
    <n v="70"/>
    <n v="74414.829500000007"/>
    <n v="55594.785823190003"/>
    <n v="273383.52590228"/>
    <n v="248564.72516834"/>
    <m/>
    <m/>
    <m/>
    <m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  <n v="49.806224210797701"/>
    <s v="2. Riesgo (&gt;=40 y &lt;60)"/>
  </r>
  <r>
    <s v="85"/>
    <s v="85000"/>
    <x v="0"/>
    <x v="8"/>
    <s v="3"/>
    <s v="N/A"/>
    <s v="Del Llano"/>
    <n v="0"/>
    <n v="224995.20421699999"/>
    <n v="385441.68354300002"/>
    <m/>
    <m/>
    <n v="367159.54338599998"/>
    <n v="65751.814072000008"/>
    <n v="125612.30413100001"/>
    <n v="58847.265349000008"/>
    <n v="0"/>
    <n v="-10582.229074999981"/>
    <n v="96772.200689999998"/>
    <n v="0"/>
    <n v="2844797.3708309601"/>
    <n v="511187.27396492998"/>
    <n v="0.81349048199814245"/>
    <n v="70"/>
    <n v="81344.475000000006"/>
    <n v="103091.38121944001"/>
    <n v="329258.87383333"/>
    <n v="285450.59743055998"/>
    <m/>
    <m/>
    <m/>
    <m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  <n v="52.074856875075852"/>
    <s v="2. Riesgo (&gt;=40 y &lt;60)"/>
  </r>
  <r>
    <s v="19"/>
    <s v="19000"/>
    <x v="0"/>
    <x v="9"/>
    <s v="3"/>
    <s v="N/A"/>
    <s v="Pacifico"/>
    <n v="0"/>
    <n v="974101.54360900004"/>
    <n v="1213453.361484"/>
    <m/>
    <m/>
    <n v="1197656.859008"/>
    <n v="164159.27259000001"/>
    <n v="201455.879499"/>
    <n v="114898.16617200001"/>
    <n v="243.877792"/>
    <n v="75816.92493800004"/>
    <n v="168863.30061899999"/>
    <n v="0"/>
    <n v="2978719.401238"/>
    <n v="1127163.8204940001"/>
    <n v="0.37647592551665665"/>
    <n v="70"/>
    <n v="190719.59179899999"/>
    <n v="174847.58821410997"/>
    <n v="1051078.723216"/>
    <n v="1025589.0454169499"/>
    <m/>
    <m/>
    <m/>
    <m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  <n v="55.642418596543294"/>
    <s v="2. Riesgo (&gt;=40 y &lt;60)"/>
  </r>
  <r>
    <s v="20"/>
    <s v="20000"/>
    <x v="0"/>
    <x v="10"/>
    <s v="2"/>
    <s v="N/A"/>
    <s v="Caribe"/>
    <n v="0"/>
    <n v="559175.75741800002"/>
    <n v="755093.39081400004"/>
    <m/>
    <m/>
    <n v="876700.96031100012"/>
    <n v="232071.064354"/>
    <n v="153895.765506"/>
    <n v="69627.708136000001"/>
    <n v="3722.0527910000001"/>
    <n v="-10913.576682999963"/>
    <n v="99013.684110000002"/>
    <n v="13000"/>
    <n v="2180519.67222013"/>
    <n v="633534.64266595"/>
    <n v="0.57757376607177258"/>
    <n v="60"/>
    <n v="177222.21504400001"/>
    <n v="140615.02988583999"/>
    <n v="681738.91012462985"/>
    <n v="637118.73170350993"/>
    <m/>
    <m/>
    <m/>
    <m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  <n v="63.964067437015117"/>
    <s v="3. Vulnerable (&gt;=60 y &lt;70)"/>
  </r>
  <r>
    <s v="27"/>
    <s v="27000"/>
    <x v="0"/>
    <x v="11"/>
    <s v="4"/>
    <s v="N/A"/>
    <s v="Pacifico"/>
    <n v="0"/>
    <n v="424722.98897000001"/>
    <n v="516648.89210500004"/>
    <m/>
    <m/>
    <n v="636935.97236700007"/>
    <n v="140773.324777"/>
    <n v="72867.392906000008"/>
    <n v="14644.675380000008"/>
    <n v="293.445919"/>
    <n v="21354.708864000044"/>
    <n v="33464.458760000001"/>
    <n v="4000"/>
    <n v="1552859.41135975"/>
    <n v="594427.68954999"/>
    <n v="1.058443034490989"/>
    <n v="70"/>
    <n v="78933.666659179988"/>
    <n v="63987.925201760001"/>
    <n v="402354.69556309999"/>
    <n v="371898.77206799999"/>
    <m/>
    <m/>
    <m/>
    <m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  <n v="45.760693331786591"/>
    <s v="2. Riesgo (&gt;=40 y &lt;60)"/>
  </r>
  <r>
    <s v="23"/>
    <s v="23000"/>
    <x v="0"/>
    <x v="12"/>
    <s v="2"/>
    <s v="N/A"/>
    <s v="Caribe"/>
    <n v="0"/>
    <n v="882592.33642299997"/>
    <n v="1165846.91812"/>
    <m/>
    <m/>
    <n v="1044683.213843"/>
    <n v="120148.791495"/>
    <n v="196850.63401200002"/>
    <n v="84211.583615000025"/>
    <n v="3201.6202309999999"/>
    <n v="44648.063164000167"/>
    <n v="171264.06792500001"/>
    <n v="0"/>
    <n v="2582211.8734305296"/>
    <n v="2406960.35024171"/>
    <n v="0.53927972187682582"/>
    <n v="60"/>
    <n v="223416.039193"/>
    <n v="184173.99381056"/>
    <n v="1008559.8045589501"/>
    <n v="954060.80530889006"/>
    <m/>
    <m/>
    <m/>
    <m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  <n v="41.337772468065161"/>
    <s v="2. Riesgo (&gt;=40 y &lt;60)"/>
  </r>
  <r>
    <s v="25"/>
    <s v="25000"/>
    <x v="0"/>
    <x v="13"/>
    <s v="ESP"/>
    <s v="N/A"/>
    <s v="Centro Oriente"/>
    <n v="0"/>
    <n v="950747.97744399996"/>
    <n v="2336013.7325019999"/>
    <m/>
    <m/>
    <n v="2057403.8309760001"/>
    <n v="585827.30839400005"/>
    <n v="1324128.6298500001"/>
    <n v="902995.13054100005"/>
    <n v="34666.064218"/>
    <n v="-24875.484263000078"/>
    <n v="209487.14686899999"/>
    <n v="0"/>
    <n v="8161084.1474679997"/>
    <n v="6468882.7715290003"/>
    <n v="0.39491318375409079"/>
    <n v="50"/>
    <n v="1358007.5911969999"/>
    <n v="1229742.464799"/>
    <n v="1939755.7174559999"/>
    <n v="1673223.2069969999"/>
    <m/>
    <m/>
    <m/>
    <m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  <n v="73.550686132216313"/>
    <s v="4. Solvente (&gt;=70 y &lt;80)"/>
  </r>
  <r>
    <s v="94"/>
    <s v="94000"/>
    <x v="0"/>
    <x v="14"/>
    <s v="4"/>
    <s v="N/A"/>
    <s v="Del Llano"/>
    <n v="0"/>
    <n v="104184.44317"/>
    <n v="157095.44714100001"/>
    <m/>
    <m/>
    <n v="135991.64415599999"/>
    <n v="20350.627668000001"/>
    <n v="46649.638294000004"/>
    <n v="30007.966993000005"/>
    <n v="0"/>
    <n v="26614.593535000007"/>
    <n v="33191.025887999996"/>
    <n v="0"/>
    <n v="818597.90998776001"/>
    <n v="173205.72895945"/>
    <n v="0.35481372943872053"/>
    <n v="70"/>
    <n v="14430.641718999999"/>
    <n v="17693.46600891"/>
    <n v="113839.18230268"/>
    <n v="97905.799540369961"/>
    <m/>
    <m/>
    <m/>
    <m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  <n v="49.160811019794494"/>
    <s v="2. Riesgo (&gt;=40 y &lt;60)"/>
  </r>
  <r>
    <s v="44"/>
    <s v="44000"/>
    <x v="0"/>
    <x v="15"/>
    <s v="4"/>
    <s v="N/A"/>
    <s v="Caribe"/>
    <n v="0"/>
    <n v="344698.20102099999"/>
    <n v="446730.51522599999"/>
    <m/>
    <m/>
    <n v="440477.41382700001"/>
    <n v="64024.855408999996"/>
    <n v="93704.114190000008"/>
    <n v="34476.511654000009"/>
    <n v="10639.576517"/>
    <n v="30235.19596599997"/>
    <n v="58418.589479000002"/>
    <n v="0"/>
    <n v="1855321.6650371298"/>
    <n v="763969.32662099996"/>
    <n v="0.55353444553340025"/>
    <n v="70"/>
    <n v="80626.019835399988"/>
    <n v="79173.134896790012"/>
    <n v="357267.71672085999"/>
    <n v="334868.79826294008"/>
    <m/>
    <m/>
    <m/>
    <m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  <n v="48.366540661532483"/>
    <s v="2. Riesgo (&gt;=40 y &lt;60)"/>
  </r>
  <r>
    <s v="95"/>
    <s v="95000"/>
    <x v="0"/>
    <x v="16"/>
    <s v="4"/>
    <s v="N/A"/>
    <s v="Del Llano"/>
    <n v="0"/>
    <n v="102708.161672"/>
    <n v="167443.71766900001"/>
    <m/>
    <m/>
    <n v="203759.442274"/>
    <n v="83569.350884999993"/>
    <n v="59244.894110000001"/>
    <n v="31991.052969000004"/>
    <n v="413.20304900000002"/>
    <n v="12631.379937999998"/>
    <n v="19659.574336000001"/>
    <n v="0"/>
    <n v="681034.67078000004"/>
    <n v="148480.80463299999"/>
    <n v="0.54403489873255206"/>
    <n v="70"/>
    <n v="22498.63318664"/>
    <n v="33105.063004750002"/>
    <n v="127558.49658492999"/>
    <n v="115089.43563832001"/>
    <m/>
    <m/>
    <m/>
    <m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  <n v="63.17562430207812"/>
    <s v="3. Vulnerable (&gt;=60 y &lt;70)"/>
  </r>
  <r>
    <s v="41"/>
    <s v="41000"/>
    <x v="0"/>
    <x v="17"/>
    <s v="2"/>
    <s v="N/A"/>
    <s v="Centro Sur Amazonia"/>
    <n v="0"/>
    <n v="562989.15482099995"/>
    <n v="851534.13150199992"/>
    <m/>
    <m/>
    <n v="764808.44419099996"/>
    <n v="121772.57840300001"/>
    <n v="184518.46966200002"/>
    <n v="68403.973279000027"/>
    <n v="2479.2347570000002"/>
    <n v="20800.604985999875"/>
    <n v="77122.455176000003"/>
    <n v="6750"/>
    <n v="2538160.34934283"/>
    <n v="1665734.3336429"/>
    <n v="0.613201677855436"/>
    <n v="60"/>
    <n v="209313.84672500001"/>
    <n v="182834.80452449"/>
    <n v="714619.03013009008"/>
    <n v="646554.31719686009"/>
    <m/>
    <m/>
    <m/>
    <m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  <n v="49.583799127966493"/>
    <s v="2. Riesgo (&gt;=40 y &lt;60)"/>
  </r>
  <r>
    <s v="47"/>
    <s v="47000"/>
    <x v="0"/>
    <x v="18"/>
    <s v="2"/>
    <s v="N/A"/>
    <s v="Caribe"/>
    <n v="0"/>
    <n v="668278.09243399999"/>
    <n v="1030817.15071"/>
    <m/>
    <m/>
    <n v="908020.57822500006"/>
    <n v="121462.52815499999"/>
    <n v="300073.892903"/>
    <n v="146567.57591400002"/>
    <n v="2582.1207410000002"/>
    <n v="57544.821568999905"/>
    <n v="182184.576332"/>
    <n v="0"/>
    <n v="2065432.6019137199"/>
    <n v="1032544.22965119"/>
    <n v="0.53666286338769709"/>
    <n v="60"/>
    <n v="331272.38416800002"/>
    <n v="195845.96638999999"/>
    <n v="819766.01215199998"/>
    <n v="778918.51969900005"/>
    <m/>
    <m/>
    <m/>
    <m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  <n v="49.083229626987901"/>
    <s v="2. Riesgo (&gt;=40 y &lt;60)"/>
  </r>
  <r>
    <s v="50"/>
    <s v="50000"/>
    <x v="0"/>
    <x v="19"/>
    <s v="1"/>
    <s v="N/A"/>
    <s v="Del Llano"/>
    <n v="0"/>
    <n v="360076.01153600001"/>
    <n v="741598.89948699996"/>
    <m/>
    <m/>
    <n v="1248596.9768079999"/>
    <n v="736790.88059199997"/>
    <n v="276715.52591299999"/>
    <n v="151089.54109499999"/>
    <n v="4816.6335079999999"/>
    <n v="66868.809026999981"/>
    <n v="79419.181328999999"/>
    <n v="20725.953559000001"/>
    <n v="7793274.7629720001"/>
    <n v="1494779.557911"/>
    <n v="0.48319036212016719"/>
    <n v="55"/>
    <n v="291835.07135099999"/>
    <n v="233568.081718"/>
    <n v="549104.10564199998"/>
    <n v="424793.077536"/>
    <m/>
    <m/>
    <m/>
    <m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  <n v="69.305292237245908"/>
    <s v="3. Vulnerable (&gt;=60 y &lt;70)"/>
  </r>
  <r>
    <s v="52"/>
    <s v="52000"/>
    <x v="0"/>
    <x v="20"/>
    <s v="1"/>
    <s v="N/A"/>
    <s v="Pacifico"/>
    <n v="0"/>
    <n v="756646.46359199996"/>
    <n v="1095642.9863399998"/>
    <m/>
    <m/>
    <n v="1001888.249933"/>
    <n v="97706.16294699999"/>
    <n v="275382.14987999998"/>
    <n v="151995.07492899999"/>
    <n v="0"/>
    <n v="37643.559714999981"/>
    <n v="186779.04984699999"/>
    <n v="0"/>
    <n v="2909535.9600492101"/>
    <n v="1872202.18830317"/>
    <n v="0.582111213543692"/>
    <n v="55"/>
    <n v="243880.511906"/>
    <n v="200224.188471"/>
    <n v="934612.35167400003"/>
    <n v="840373.27021700004"/>
    <m/>
    <m/>
    <m/>
    <m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  <n v="39.95960805769748"/>
    <s v="1. Deterioro (&lt;40)"/>
  </r>
  <r>
    <s v="54"/>
    <s v="54000"/>
    <x v="0"/>
    <x v="21"/>
    <s v="2"/>
    <s v="N/A"/>
    <s v="Centro Oriente"/>
    <n v="0"/>
    <n v="566539.49374800001"/>
    <n v="890398.54063000006"/>
    <m/>
    <m/>
    <n v="869851.88189800002"/>
    <n v="173927.94392300001"/>
    <n v="261448.72087599998"/>
    <n v="141559.80219799996"/>
    <n v="8066.8577070000001"/>
    <n v="29858.984903000062"/>
    <n v="89894.795478999993"/>
    <n v="0"/>
    <n v="2312368.0840334799"/>
    <n v="1566736.1440166398"/>
    <n v="0.38609805823879106"/>
    <n v="60"/>
    <n v="260577.63392200001"/>
    <n v="240879.52262762"/>
    <n v="740650.63704846974"/>
    <n v="701367.59100686992"/>
    <m/>
    <m/>
    <m/>
    <m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  <n v="63.014608726090536"/>
    <s v="3. Vulnerable (&gt;=60 y &lt;70)"/>
  </r>
  <r>
    <s v="86"/>
    <s v="86000"/>
    <x v="0"/>
    <x v="22"/>
    <s v="4"/>
    <s v="N/A"/>
    <s v="Centro Sur Amazonia"/>
    <n v="0"/>
    <n v="338612.71387500002"/>
    <n v="455805.53979499999"/>
    <m/>
    <m/>
    <n v="478255.53993299999"/>
    <n v="79774.325607000006"/>
    <n v="85042.273524999997"/>
    <n v="32864.207079999993"/>
    <n v="0"/>
    <n v="2644.798982999986"/>
    <n v="56764.36"/>
    <n v="0"/>
    <n v="1439639.68213533"/>
    <n v="409930.90668413002"/>
    <n v="0.59613483149630442"/>
    <n v="70"/>
    <n v="49981.353394429992"/>
    <n v="54812.265347630004"/>
    <n v="400982.67436296993"/>
    <n v="343674.06447849999"/>
    <m/>
    <m/>
    <m/>
    <m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  <n v="54.034752283540165"/>
    <s v="2. Riesgo (&gt;=40 y &lt;60)"/>
  </r>
  <r>
    <s v="63"/>
    <s v="63000"/>
    <x v="0"/>
    <x v="23"/>
    <s v="3"/>
    <s v="N/A"/>
    <s v="Eje Cafetero"/>
    <n v="0"/>
    <n v="187122.14556400001"/>
    <n v="338837.17063800001"/>
    <m/>
    <m/>
    <n v="250206.95155299999"/>
    <n v="18397.167957000001"/>
    <n v="139493.730503"/>
    <n v="49778.321547"/>
    <n v="864.33332499999995"/>
    <n v="14790.701690000016"/>
    <n v="39765.666732999998"/>
    <n v="0"/>
    <n v="1331899.90950634"/>
    <n v="944653.10955903004"/>
    <n v="0.48391270433525868"/>
    <n v="70"/>
    <n v="148755.03251300001"/>
    <n v="112182.44490421"/>
    <n v="234331.05999179999"/>
    <n v="231838.15665761995"/>
    <m/>
    <m/>
    <m/>
    <m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  <n v="47.698702968366817"/>
    <s v="2. Riesgo (&gt;=40 y &lt;60)"/>
  </r>
  <r>
    <s v="66"/>
    <s v="66000"/>
    <x v="0"/>
    <x v="24"/>
    <s v="2"/>
    <s v="N/A"/>
    <s v="Eje Cafetero"/>
    <n v="0"/>
    <n v="216383.15373399999"/>
    <n v="487018.19393000007"/>
    <m/>
    <m/>
    <n v="479900.47848399996"/>
    <n v="114125.61822400001"/>
    <n v="230482.61197800006"/>
    <n v="111157.78105000006"/>
    <n v="2162.1927249999999"/>
    <n v="17583.184501000098"/>
    <n v="72991.799161000003"/>
    <n v="0"/>
    <n v="2371953.4851509999"/>
    <n v="920343.820159"/>
    <n v="0.39382462497839482"/>
    <n v="60"/>
    <n v="245150.95673000001"/>
    <n v="207134.44722999999"/>
    <n v="350110.17850099999"/>
    <n v="337286.38093599997"/>
    <m/>
    <m/>
    <m/>
    <m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  <n v="68.351578140937121"/>
    <s v="3. Vulnerable (&gt;=60 y &lt;70)"/>
  </r>
  <r>
    <s v="88"/>
    <s v="88000"/>
    <x v="0"/>
    <x v="25"/>
    <s v="3"/>
    <s v="N/A"/>
    <s v="Caribe"/>
    <n v="0"/>
    <n v="58123.463732999997"/>
    <n v="335416.83405"/>
    <m/>
    <m/>
    <n v="190186.46202200002"/>
    <n v="23034.527378999999"/>
    <n v="188497.18811300001"/>
    <n v="36074.162771000003"/>
    <n v="0"/>
    <n v="9017.7205709999544"/>
    <n v="174201.57258599999"/>
    <n v="0"/>
    <n v="1495340.2385750301"/>
    <n v="346387.66401549999"/>
    <n v="0.64900471999163301"/>
    <n v="70"/>
    <n v="179595.28959999999"/>
    <n v="76338.491081999993"/>
    <n v="173976.08813700001"/>
    <n v="137657.619828"/>
    <m/>
    <m/>
    <m/>
    <m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  <n v="38.857279272800881"/>
    <s v="1. Deterioro (&lt;40)"/>
  </r>
  <r>
    <s v="68"/>
    <s v="68000"/>
    <x v="0"/>
    <x v="26"/>
    <s v="1"/>
    <s v="N/A"/>
    <s v="Centro Oriente"/>
    <n v="0"/>
    <n v="709121.95640000002"/>
    <n v="1324654.178688"/>
    <m/>
    <m/>
    <n v="1069481.365798"/>
    <n v="211246.996655"/>
    <n v="527660.78804499994"/>
    <n v="175878.63406299992"/>
    <n v="6419.5406620000003"/>
    <n v="-68555.57795600011"/>
    <n v="264929.48184999998"/>
    <n v="0"/>
    <n v="6123002.0014306903"/>
    <n v="3993245.8073587404"/>
    <n v="0.46877286476132218"/>
    <n v="55"/>
    <n v="546942.9922637"/>
    <n v="459509.69311829004"/>
    <n v="1041427.6026574498"/>
    <n v="884132.57800323993"/>
    <m/>
    <m/>
    <m/>
    <m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  <n v="47.508048714852137"/>
    <s v="2. Riesgo (&gt;=40 y &lt;60)"/>
  </r>
  <r>
    <s v="70"/>
    <s v="70000"/>
    <x v="0"/>
    <x v="27"/>
    <s v="3"/>
    <s v="N/A"/>
    <s v="Caribe"/>
    <n v="0"/>
    <n v="595221.41052100004"/>
    <n v="782215.92260300007"/>
    <m/>
    <m/>
    <n v="870104.29049499996"/>
    <n v="284341.316291"/>
    <n v="105144.66100800001"/>
    <n v="47438.267169000006"/>
    <n v="0"/>
    <n v="39604.238794000004"/>
    <n v="99140.043518000006"/>
    <n v="0"/>
    <n v="1440859.79971439"/>
    <n v="442699.68105716998"/>
    <n v="0.75465378107201009"/>
    <n v="70"/>
    <n v="126926.62852300001"/>
    <n v="104411.720457"/>
    <n v="684905.28997000004"/>
    <n v="668440.10274400003"/>
    <m/>
    <m/>
    <m/>
    <m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  <n v="60.508968436902947"/>
    <s v="3. Vulnerable (&gt;=60 y &lt;70)"/>
  </r>
  <r>
    <s v="73"/>
    <s v="73000"/>
    <x v="0"/>
    <x v="28"/>
    <s v="2"/>
    <s v="N/A"/>
    <s v="Centro Sur Amazonia"/>
    <n v="0"/>
    <n v="661063.71440299996"/>
    <n v="1090749.046169"/>
    <m/>
    <m/>
    <n v="952539.47547599999"/>
    <n v="210149.00664199999"/>
    <n v="264258.95436600002"/>
    <n v="98140.442016000015"/>
    <n v="479.25375000000003"/>
    <n v="69826.509204000002"/>
    <n v="68108.638932999995"/>
    <n v="0"/>
    <n v="2143643.397508"/>
    <n v="1735599.659467"/>
    <n v="0.32039232771794712"/>
    <n v="60"/>
    <n v="286914.58299999998"/>
    <n v="233234.11642807996"/>
    <n v="854804.02461303968"/>
    <n v="793630.46288964979"/>
    <m/>
    <m/>
    <m/>
    <m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  <n v="58.122281149187231"/>
    <s v="2. Riesgo (&gt;=40 y &lt;60)"/>
  </r>
  <r>
    <s v="76"/>
    <s v="76000"/>
    <x v="0"/>
    <x v="29"/>
    <s v="ESPECIAL"/>
    <s v="N/A"/>
    <s v="Pacifico"/>
    <n v="0"/>
    <n v="801933.00294200005"/>
    <n v="2376427.5186029999"/>
    <m/>
    <m/>
    <n v="1844386.9018139997"/>
    <n v="449118.76698199997"/>
    <n v="1200166.2014500001"/>
    <n v="780147.7692770001"/>
    <n v="12528.06885"/>
    <n v="130959.80646899994"/>
    <n v="345189.47594899999"/>
    <n v="39053.721640000003"/>
    <n v="6951931.8646999998"/>
    <n v="5406010.7802100005"/>
    <n v="0.38479524477315413"/>
    <n v="50"/>
    <n v="1238478.9450089999"/>
    <n v="1095325.2689110001"/>
    <n v="1824772.779961"/>
    <n v="1694691.986214"/>
    <m/>
    <m/>
    <m/>
    <m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  <n v="63.404561137728138"/>
    <s v="3. Vulnerable (&gt;=60 y &lt;70)"/>
  </r>
  <r>
    <s v="97"/>
    <s v="97000"/>
    <x v="0"/>
    <x v="30"/>
    <s v="4"/>
    <s v="N/A"/>
    <s v="Del Llano"/>
    <n v="0"/>
    <n v="81044.919661000007"/>
    <n v="123076.37778100002"/>
    <m/>
    <m/>
    <n v="194037.12340300001"/>
    <n v="101439.905994"/>
    <n v="36135.284913000003"/>
    <n v="19748.181658000001"/>
    <n v="0"/>
    <n v="28186.638705999998"/>
    <n v="30331.152119999999"/>
    <n v="0"/>
    <n v="580941.3459033299"/>
    <n v="58513.208935339993"/>
    <n v="0.42714140172301496"/>
    <n v="70"/>
    <n v="5910.0770599999996"/>
    <n v="11547.125066000001"/>
    <n v="78469.145688999997"/>
    <n v="66704.330625999995"/>
    <m/>
    <m/>
    <m/>
    <m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  <n v="55.908880672398453"/>
    <s v="2. Riesgo (&gt;=40 y &lt;60)"/>
  </r>
  <r>
    <s v="99"/>
    <s v="99000"/>
    <x v="0"/>
    <x v="31"/>
    <s v="4"/>
    <s v="N/A"/>
    <s v="Del Llano"/>
    <n v="0"/>
    <n v="81388.049786999996"/>
    <n v="134318.118888"/>
    <m/>
    <m/>
    <n v="98588.905532000004"/>
    <n v="6668.1085739999999"/>
    <n v="38976.034129"/>
    <n v="20187.909470999999"/>
    <n v="0"/>
    <n v="22095.389936999985"/>
    <n v="19418.080136"/>
    <n v="0"/>
    <n v="558510.07537600002"/>
    <n v="138505.00026100001"/>
    <n v="0.39687618062935293"/>
    <n v="70"/>
    <n v="15711.788"/>
    <n v="12718.48170423"/>
    <n v="93434.604292350006"/>
    <n v="84156.781821830009"/>
    <m/>
    <m/>
    <m/>
    <m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  <n v="47.160425682469537"/>
    <s v="2. Riesgo (&gt;=40 y &lt;60)"/>
  </r>
  <r>
    <s v="05"/>
    <s v="05000"/>
    <x v="1"/>
    <x v="32"/>
    <s v="ESP"/>
    <s v="N/A"/>
    <s v="Eje Cafetero"/>
    <n v="0"/>
    <n v="1709401.2830000001"/>
    <n v="4592679.4110000003"/>
    <n v="1559056.101"/>
    <n v="926098.66299999994"/>
    <n v="3635276.6460159998"/>
    <n v="1041270.6330000001"/>
    <n v="2496946.9780000001"/>
    <n v="1552525.4240000001"/>
    <n v="87868.123999999996"/>
    <n v="52088.412000000477"/>
    <n v="457101.00599999999"/>
    <n v="0"/>
    <n v="13610541.498312"/>
    <n v="10408840.132896001"/>
    <n v="20.377259040043448"/>
    <n v="50"/>
    <n v="1398513.6009519999"/>
    <n v="1664061.5847759999"/>
    <n v="3596155.6391790002"/>
    <n v="3227210.3036949998"/>
    <n v="1709401.2830000001"/>
    <n v="4592679.4110000003"/>
    <n v="597057.54200000048"/>
    <n v="4592679.4110000003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  <n v="67.021451072467954"/>
    <s v="3. Vulnerable (&gt;=60 y &lt;70)"/>
  </r>
  <r>
    <s v="08"/>
    <s v="08000"/>
    <x v="1"/>
    <x v="33"/>
    <n v="1"/>
    <s v="N/A"/>
    <s v="Caribe"/>
    <n v="1147.6300000000001"/>
    <n v="461663.31899999996"/>
    <n v="1271528.996"/>
    <n v="555954.07499999995"/>
    <n v="236938.87299999999"/>
    <n v="1407695.5684249999"/>
    <n v="450142.11042500002"/>
    <n v="795112.88"/>
    <n v="570037.55000000005"/>
    <n v="13174.616"/>
    <n v="-334165.3870000001"/>
    <n v="157956.807"/>
    <n v="0"/>
    <n v="4367073.4697419703"/>
    <n v="1892702.92174145"/>
    <n v="36.067361435706957"/>
    <n v="55.000000000000007"/>
    <n v="581213.35631800001"/>
    <n v="710424.65544799995"/>
    <n v="1388506.195082"/>
    <n v="1027325.556963"/>
    <n v="462810.94899999996"/>
    <n v="1271528.996"/>
    <n v="-163033.96400000012"/>
    <n v="1271528.996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  <n v="75.965847648560668"/>
    <s v="4. Solvente (&gt;=70 y &lt;80)"/>
  </r>
  <r>
    <s v="13"/>
    <s v="13000"/>
    <x v="1"/>
    <x v="34"/>
    <n v="1"/>
    <s v="N/A"/>
    <s v="Caribe"/>
    <n v="0"/>
    <n v="882892.19"/>
    <n v="1447648.2719999999"/>
    <n v="333637.21100000001"/>
    <n v="91039.894"/>
    <n v="1802694.5998940002"/>
    <n v="466368.63399999996"/>
    <n v="424677.10499999998"/>
    <n v="152641.75699999998"/>
    <n v="17592.559000000001"/>
    <n v="-170245.82799999998"/>
    <n v="62363.190999999999"/>
    <n v="0"/>
    <n v="4100619.4388272204"/>
    <n v="2610867.4273052597"/>
    <n v="49.834133477079533"/>
    <n v="55.000000000000007"/>
    <n v="268329.24463700003"/>
    <n v="347103.26202099997"/>
    <n v="1274823.122064"/>
    <n v="985274.23757799994"/>
    <n v="882892.19"/>
    <n v="1447648.2719999999"/>
    <n v="-90290.07799999998"/>
    <n v="1447648.2719999999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  <n v="56.849877568087607"/>
    <s v="2. Riesgo (&gt;=40 y &lt;60)"/>
  </r>
  <r>
    <s v="15"/>
    <s v="15000"/>
    <x v="1"/>
    <x v="5"/>
    <n v="1"/>
    <s v="N/A"/>
    <s v="Centro Oriente"/>
    <n v="9611.8389999999999"/>
    <n v="769485.47700000007"/>
    <n v="1217399.05"/>
    <n v="353477.13900000002"/>
    <n v="27468.102999999999"/>
    <n v="1085275.851062"/>
    <n v="153644.22700000001"/>
    <n v="392522.88700000005"/>
    <n v="224398.69100000005"/>
    <n v="5995.2690000000002"/>
    <n v="-7153.9679999998771"/>
    <n v="174000.791"/>
    <n v="0"/>
    <n v="4446077.2464549998"/>
    <n v="2968031.7643189998"/>
    <n v="40.66685409908078"/>
    <n v="55.000000000000007"/>
    <n v="307549.51351100003"/>
    <n v="358089.458086"/>
    <n v="1056933.2510520001"/>
    <n v="941109.47692799999"/>
    <n v="779097.31600000011"/>
    <n v="1217399.05"/>
    <n v="172842.09200000012"/>
    <n v="1217399.05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  <n v="57.508622733549423"/>
    <s v="2. Riesgo (&gt;=40 y &lt;60)"/>
  </r>
  <r>
    <s v="17"/>
    <s v="17000"/>
    <x v="1"/>
    <x v="35"/>
    <n v="2"/>
    <s v="N/A"/>
    <s v="Eje Cafetero"/>
    <n v="3519.482"/>
    <n v="380461.48599999998"/>
    <n v="821791.06400000001"/>
    <n v="261305.258"/>
    <n v="37630.343000000001"/>
    <n v="701091.14795199991"/>
    <n v="172047.09995199999"/>
    <n v="305201.83600000001"/>
    <n v="167742.99299999999"/>
    <n v="2312.3440000000001"/>
    <n v="926.50800000003073"/>
    <n v="96826.956999999995"/>
    <n v="0"/>
    <n v="3109285.7673209999"/>
    <n v="1888736.4966210001"/>
    <n v="44.140619056275021"/>
    <n v="60"/>
    <n v="234928.10247899999"/>
    <n v="286278.31102899997"/>
    <n v="683405.71311300003"/>
    <n v="669919.91699499998"/>
    <n v="383980.96799999999"/>
    <n v="821791.06400000001"/>
    <n v="100065.80900000002"/>
    <n v="821791.0640000000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  <n v="63.593460729914398"/>
    <s v="3. Vulnerable (&gt;=60 y &lt;70)"/>
  </r>
  <r>
    <s v="18"/>
    <s v="18000"/>
    <x v="1"/>
    <x v="36"/>
    <n v="4"/>
    <s v="N/A"/>
    <s v="Centro Sur Amazonia"/>
    <n v="3113.48"/>
    <n v="264830.68"/>
    <n v="367026.60800000001"/>
    <n v="64565.973000000005"/>
    <n v="21189.221000000001"/>
    <n v="361018.84820499999"/>
    <n v="27255.903055000002"/>
    <n v="89556.649000000005"/>
    <n v="40655.760999999999"/>
    <n v="51.527000000000001"/>
    <n v="4708.76800000004"/>
    <n v="60034.999000000003"/>
    <n v="0"/>
    <n v="1473933.3616869999"/>
    <n v="757411.93328400003"/>
    <n v="57.637590380653258"/>
    <n v="70"/>
    <n v="59263.258520000003"/>
    <n v="66806.191844000001"/>
    <n v="313447.81499799999"/>
    <n v="281128.199188"/>
    <n v="267944.15999999997"/>
    <n v="367026.60800000001"/>
    <n v="64795.294000000045"/>
    <n v="367026.6080000000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  <n v="48.242112877432511"/>
    <s v="2. Riesgo (&gt;=40 y &lt;60)"/>
  </r>
  <r>
    <s v="19"/>
    <s v="19000"/>
    <x v="1"/>
    <x v="37"/>
    <n v="3"/>
    <s v="N/A"/>
    <s v="Pacifico"/>
    <n v="0"/>
    <n v="1088713.8159999999"/>
    <n v="1394677.0459999999"/>
    <n v="135031.476"/>
    <n v="105602.66"/>
    <n v="1266578.9694400001"/>
    <n v="69160.597000000009"/>
    <n v="241487.06200000001"/>
    <n v="138207.12500000003"/>
    <n v="45.290999999999997"/>
    <n v="67443.680999999866"/>
    <n v="218383.46299999999"/>
    <n v="0"/>
    <n v="3279299.1611040002"/>
    <n v="1351266.651486"/>
    <n v="28.191374367510353"/>
    <n v="70"/>
    <n v="107253.130603"/>
    <n v="141658.62946500001"/>
    <n v="1221691.7315179999"/>
    <n v="1192998.3940870001"/>
    <n v="1088713.8159999999"/>
    <n v="1394677.0459999999"/>
    <n v="285872.43499999982"/>
    <n v="1394677.0459999999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  <n v="51.612100493011042"/>
    <s v="2. Riesgo (&gt;=40 y &lt;60)"/>
  </r>
  <r>
    <s v="20"/>
    <s v="20000"/>
    <x v="1"/>
    <x v="38"/>
    <n v="2"/>
    <s v="N/A"/>
    <s v="Caribe"/>
    <n v="295.87400000000002"/>
    <n v="669840.929"/>
    <n v="884970.554"/>
    <n v="145592.38299999997"/>
    <n v="42925.482000000004"/>
    <n v="933865.88940900005"/>
    <n v="302570.76826600003"/>
    <n v="189588.44699999999"/>
    <n v="103001.70999999998"/>
    <n v="1158.1320000000001"/>
    <n v="73075.476000000024"/>
    <n v="89241.324999999997"/>
    <n v="0"/>
    <n v="2544924.47834806"/>
    <n v="600163.80057234992"/>
    <n v="31.605596742907053"/>
    <n v="60"/>
    <n v="128384.815682"/>
    <n v="148495.29013000001"/>
    <n v="733304.70518599998"/>
    <n v="667645.42780800001"/>
    <n v="670136.80299999996"/>
    <n v="884970.554"/>
    <n v="163474.93300000002"/>
    <n v="884970.554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  <n v="68.377552000934728"/>
    <s v="3. Vulnerable (&gt;=60 y &lt;70)"/>
  </r>
  <r>
    <s v="23"/>
    <s v="23000"/>
    <x v="1"/>
    <x v="12"/>
    <n v="2"/>
    <s v="N/A"/>
    <s v="Caribe"/>
    <n v="2519.2620000000002"/>
    <n v="933148.47599999991"/>
    <n v="1219001.24"/>
    <n v="247624.878"/>
    <n v="8449.0810000000001"/>
    <n v="1254063.529441"/>
    <n v="247356.26832099998"/>
    <n v="259226.22"/>
    <n v="134195.11900000001"/>
    <n v="3009.9160000000002"/>
    <n v="-28868.820999999996"/>
    <n v="222555.17499999999"/>
    <n v="0"/>
    <n v="2586901.2414681897"/>
    <n v="2442794.8657883299"/>
    <n v="52.708362595786042"/>
    <n v="60"/>
    <n v="203704.50381900001"/>
    <n v="248252.299871"/>
    <n v="1123161.673092"/>
    <n v="1040058.443121"/>
    <n v="935667.7379999999"/>
    <n v="1219001.24"/>
    <n v="196696.27"/>
    <n v="1219001.24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  <n v="45.369880949041338"/>
    <s v="2. Riesgo (&gt;=40 y &lt;60)"/>
  </r>
  <r>
    <s v="25"/>
    <s v="25000"/>
    <x v="1"/>
    <x v="39"/>
    <s v="ESP"/>
    <s v="N/A"/>
    <s v="Centro Oriente"/>
    <n v="0"/>
    <n v="1063021.0719999999"/>
    <n v="3006770.165"/>
    <n v="1591154.0919999999"/>
    <n v="285929.67199999996"/>
    <n v="2555574.7216389999"/>
    <n v="868879.14533099998"/>
    <n v="1878226.639"/>
    <n v="1367829.8530000001"/>
    <n v="27225.511999999999"/>
    <n v="-11860.236000000034"/>
    <n v="221617.26500000001"/>
    <n v="0"/>
    <n v="8565831.9599910006"/>
    <n v="6845744.8831230002"/>
    <n v="44.810485902071065"/>
    <n v="50"/>
    <n v="1339934.4525210001"/>
    <n v="1648897.5700020001"/>
    <n v="2519958.519266"/>
    <n v="2293416.860686"/>
    <n v="1063021.0719999999"/>
    <n v="3006770.165"/>
    <n v="236982.54099999997"/>
    <n v="3006770.165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  <n v="71.648254076249856"/>
    <s v="4. Solvente (&gt;=70 y &lt;80)"/>
  </r>
  <r>
    <s v="27"/>
    <s v="27000"/>
    <x v="1"/>
    <x v="40"/>
    <n v="4"/>
    <s v="N/A"/>
    <s v="Pacifico"/>
    <n v="10704.741"/>
    <n v="439380.97200000001"/>
    <n v="610313.68799999997"/>
    <n v="88527.983000000007"/>
    <n v="5528.9639999999999"/>
    <n v="592240.361424"/>
    <n v="104864.498865"/>
    <n v="104761.68800000001"/>
    <n v="27159.145999999993"/>
    <n v="2196.7139999999999"/>
    <n v="9040.841999999946"/>
    <n v="37725.678999999996"/>
    <n v="0"/>
    <n v="1760769.7670730602"/>
    <n v="610449.77051771001"/>
    <n v="67.478799311568636"/>
    <n v="70"/>
    <n v="78702.280257999999"/>
    <n v="88963.380858999997"/>
    <n v="486457.384234"/>
    <n v="429829.17858100001"/>
    <n v="450085.71299999999"/>
    <n v="610313.68799999997"/>
    <n v="48963.234999999942"/>
    <n v="610313.68799999997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  <n v="52.128463550265096"/>
    <s v="2. Riesgo (&gt;=40 y &lt;60)"/>
  </r>
  <r>
    <s v="41"/>
    <s v="41000"/>
    <x v="1"/>
    <x v="41"/>
    <n v="2"/>
    <s v="N/A"/>
    <s v="Centro Sur Amazonia"/>
    <n v="15539.933999999999"/>
    <n v="565745.56000000006"/>
    <n v="899003.31500000006"/>
    <n v="197440.63"/>
    <n v="66040.289999999994"/>
    <n v="866397.77479599998"/>
    <n v="158134.223165"/>
    <n v="280924.82799999998"/>
    <n v="175415.86699999997"/>
    <n v="2380.9549999999999"/>
    <n v="106855.52899999998"/>
    <n v="92324.804999999993"/>
    <n v="0"/>
    <n v="2680386.9332253998"/>
    <n v="1552854.1150158301"/>
    <n v="30.687034228382153"/>
    <n v="60"/>
    <n v="135635.04224000001"/>
    <n v="198585.96017000001"/>
    <n v="690292.83153900004"/>
    <n v="622465.52866199997"/>
    <n v="581285.49400000006"/>
    <n v="899003.31500000006"/>
    <n v="201561.28899999999"/>
    <n v="899003.31500000006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  <n v="54.065159520126599"/>
    <s v="2. Riesgo (&gt;=40 y &lt;60)"/>
  </r>
  <r>
    <s v="44"/>
    <s v="44000"/>
    <x v="1"/>
    <x v="15"/>
    <n v="4"/>
    <s v="N/A"/>
    <s v="Caribe"/>
    <n v="581.46299999999997"/>
    <n v="460648.5039999999"/>
    <n v="625831.94299999997"/>
    <n v="116246.29699999999"/>
    <n v="3295.04"/>
    <n v="525421.18400000001"/>
    <n v="56307.485000000001"/>
    <n v="120122.79999999999"/>
    <n v="66774.037999999986"/>
    <n v="0"/>
    <n v="47061.996999999974"/>
    <n v="77759.767999999996"/>
    <n v="0"/>
    <n v="1849307.5297123501"/>
    <n v="763676.87493346992"/>
    <n v="34.03136278973772"/>
    <n v="70"/>
    <n v="74062.032865999994"/>
    <n v="117200.23901200001"/>
    <n v="526806.20623000001"/>
    <n v="474406.41069300001"/>
    <n v="461229.96699999989"/>
    <n v="625831.94299999997"/>
    <n v="124821.76499999997"/>
    <n v="625831.94299999997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  <n v="50.112734745348355"/>
    <s v="2. Riesgo (&gt;=40 y &lt;60)"/>
  </r>
  <r>
    <s v="47"/>
    <s v="47000"/>
    <x v="1"/>
    <x v="42"/>
    <n v="2"/>
    <s v="N/A"/>
    <s v="Caribe"/>
    <n v="9931.3330000000005"/>
    <n v="673568.46"/>
    <n v="1105602.209"/>
    <n v="232386.77399999998"/>
    <n v="140929.54"/>
    <n v="851340.00199999998"/>
    <n v="176253.14499999999"/>
    <n v="383939.60000000003"/>
    <n v="214768.93600000005"/>
    <n v="2178.1149999999998"/>
    <n v="85091.543000000063"/>
    <n v="198186.02600000001"/>
    <n v="0"/>
    <n v="2210930.3720315602"/>
    <n v="1025792.7074581999"/>
    <n v="46.771648740936314"/>
    <n v="60"/>
    <n v="345282.92687700002"/>
    <n v="363625.97706800001"/>
    <n v="842212.17716299999"/>
    <n v="793135.45005600003"/>
    <n v="683499.79299999995"/>
    <n v="1105602.209"/>
    <n v="285455.68400000007"/>
    <n v="1105602.209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  <n v="58.026375816822082"/>
    <s v="2. Riesgo (&gt;=40 y &lt;60)"/>
  </r>
  <r>
    <s v="50"/>
    <s v="50000"/>
    <x v="1"/>
    <x v="43"/>
    <n v="1"/>
    <s v="N/A"/>
    <s v="Del Llano"/>
    <n v="1469.4960000000001"/>
    <n v="406290.05000000005"/>
    <n v="789069.40099999995"/>
    <n v="309258.15299999993"/>
    <n v="16453.125"/>
    <n v="618556.73"/>
    <n v="142162.821"/>
    <n v="332004.40899999993"/>
    <n v="186371.32399999991"/>
    <n v="8380.1790000000001"/>
    <n v="24879.58600000001"/>
    <n v="182495.11900000001"/>
    <n v="0"/>
    <n v="8151185.7173680002"/>
    <n v="1500266.4689730001"/>
    <n v="41.465562160010769"/>
    <n v="55.000000000000007"/>
    <n v="225554.81046499999"/>
    <n v="311967.03343100002"/>
    <n v="615161.18961700005"/>
    <n v="533139.54411400005"/>
    <n v="407759.54600000003"/>
    <n v="789069.40099999995"/>
    <n v="215754.88400000002"/>
    <n v="789069.40099999995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  <n v="63.346520051345749"/>
    <s v="3. Vulnerable (&gt;=60 y &lt;70)"/>
  </r>
  <r>
    <s v="52"/>
    <s v="52000"/>
    <x v="1"/>
    <x v="20"/>
    <n v="1"/>
    <s v="N/A"/>
    <s v="Pacifico"/>
    <n v="229.60900000000001"/>
    <n v="798517.14399999985"/>
    <n v="1246873.0529999998"/>
    <n v="225865.05099999998"/>
    <n v="95343.696999999986"/>
    <n v="1087168.5599409998"/>
    <n v="197979.32070099999"/>
    <n v="322152.64699999994"/>
    <n v="191276.23999999993"/>
    <n v="0"/>
    <n v="101196.64899999998"/>
    <n v="175120.20499999999"/>
    <n v="0"/>
    <n v="3275623.10162109"/>
    <n v="2009304.9739025"/>
    <n v="33.426677924166611"/>
    <n v="55.000000000000007"/>
    <n v="122468.089301"/>
    <n v="163754.35043200001"/>
    <n v="1013771.780717"/>
    <n v="898978.21502799995"/>
    <n v="798746.75299999991"/>
    <n v="1246873.0529999998"/>
    <n v="276316.85399999993"/>
    <n v="1246873.0529999998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  <n v="52.548688707040263"/>
    <s v="2. Riesgo (&gt;=40 y &lt;60)"/>
  </r>
  <r>
    <s v="54"/>
    <s v="54000"/>
    <x v="1"/>
    <x v="44"/>
    <n v="2"/>
    <s v="N/A"/>
    <s v="Centro Oriente"/>
    <n v="0"/>
    <n v="768307.95600000001"/>
    <n v="1120634.862"/>
    <n v="273737.95399999997"/>
    <n v="43139.614999999998"/>
    <n v="1330734.3631520001"/>
    <n v="223964.14199999999"/>
    <n v="318269.93699999998"/>
    <n v="186914.66199999995"/>
    <n v="6280.0640000000003"/>
    <n v="-17286.08200000017"/>
    <n v="130985.663"/>
    <n v="0"/>
    <n v="2500756.8452041298"/>
    <n v="1766594.6538104399"/>
    <n v="28.514562165730045"/>
    <n v="60"/>
    <n v="216662.97361399999"/>
    <n v="247291.909453"/>
    <n v="825168.83210300002"/>
    <n v="664118.78174100001"/>
    <n v="768307.95600000001"/>
    <n v="1120634.862"/>
    <n v="119979.64499999983"/>
    <n v="1120634.862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  <n v="57.772156887655584"/>
    <s v="2. Riesgo (&gt;=40 y &lt;60)"/>
  </r>
  <r>
    <s v="63"/>
    <s v="63000"/>
    <x v="1"/>
    <x v="45"/>
    <n v="3"/>
    <s v="N/A"/>
    <s v="Eje Cafetero"/>
    <n v="1411.366"/>
    <n v="208006.08899999998"/>
    <n v="400596.79"/>
    <n v="139838.891"/>
    <n v="40305.690999999999"/>
    <n v="284857.15756999998"/>
    <n v="31289.25661"/>
    <n v="182549.364"/>
    <n v="86366.70699999998"/>
    <n v="2655.99"/>
    <n v="21272.822999999975"/>
    <n v="46789.593000000001"/>
    <n v="0"/>
    <n v="1346328.2390123601"/>
    <n v="775789.47279531998"/>
    <n v="52.1457714458233"/>
    <n v="70"/>
    <n v="131344.59449600001"/>
    <n v="146897.12486400001"/>
    <n v="286065.23936200002"/>
    <n v="285435.94224399998"/>
    <n v="209417.45499999999"/>
    <n v="400596.79"/>
    <n v="70718.405999999974"/>
    <n v="400596.79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  <n v="61.468330179307671"/>
    <s v="3. Vulnerable (&gt;=60 y &lt;70)"/>
  </r>
  <r>
    <s v="66"/>
    <s v="66000"/>
    <x v="1"/>
    <x v="46"/>
    <n v="2"/>
    <s v="N/A"/>
    <s v="Eje Cafetero"/>
    <n v="0"/>
    <n v="249440.91699999999"/>
    <n v="582559.92200000002"/>
    <n v="209804.72600000002"/>
    <n v="82658.166000000012"/>
    <n v="477374.44612199999"/>
    <n v="60866.297000000006"/>
    <n v="292778.16200000007"/>
    <n v="192484.25100000005"/>
    <n v="1357.6859999999999"/>
    <n v="42815.082000000053"/>
    <n v="87820.456000000006"/>
    <n v="0"/>
    <n v="2417970.5466840002"/>
    <n v="1016066.001316"/>
    <n v="35.08552204243265"/>
    <n v="60"/>
    <n v="153351"/>
    <n v="246795.14448700001"/>
    <n v="440204.95085700002"/>
    <n v="411255.18237499997"/>
    <n v="249440.91699999999"/>
    <n v="582559.92200000002"/>
    <n v="131993.22400000005"/>
    <n v="582559.92200000002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  <n v="57.255454440138315"/>
    <s v="2. Riesgo (&gt;=40 y &lt;60)"/>
  </r>
  <r>
    <s v="68"/>
    <s v="68000"/>
    <x v="1"/>
    <x v="47"/>
    <n v="1"/>
    <s v="N/A"/>
    <s v="Centro Oriente"/>
    <n v="0"/>
    <n v="783482.70700000005"/>
    <n v="1644599.0279999999"/>
    <n v="595735.01"/>
    <n v="45534.195"/>
    <n v="1636662.003951"/>
    <n v="553673.77966100001"/>
    <n v="644114.56699999992"/>
    <n v="303483.37099999993"/>
    <n v="20459.276999999998"/>
    <n v="-90529.967000000179"/>
    <n v="291452.31699999998"/>
    <n v="0"/>
    <n v="5823434.5536785899"/>
    <n v="5281189.8542640805"/>
    <n v="43.365976393781622"/>
    <n v="55.000000000000007"/>
    <n v="390766.88153200003"/>
    <n v="654863.10763300001"/>
    <n v="1380994.0904409999"/>
    <n v="1086477.0220290001"/>
    <n v="783482.70700000005"/>
    <n v="1644599.0279999999"/>
    <n v="221381.6269999998"/>
    <n v="1644599.0279999999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  <n v="56.797822593655226"/>
    <s v="2. Riesgo (&gt;=40 y &lt;60)"/>
  </r>
  <r>
    <s v="70"/>
    <s v="70000"/>
    <x v="1"/>
    <x v="48"/>
    <n v="3"/>
    <s v="N/A"/>
    <s v="Caribe"/>
    <n v="2539.5500000000002"/>
    <n v="615305.37599999993"/>
    <n v="767668.16799999983"/>
    <n v="141086.42300000001"/>
    <n v="6956.6570000000002"/>
    <n v="771527.24511299981"/>
    <n v="125718.465"/>
    <n v="151433.67800000001"/>
    <n v="85922.378000000026"/>
    <n v="0"/>
    <n v="-56269.44299999997"/>
    <n v="109365.353"/>
    <n v="0"/>
    <n v="1601639.98055141"/>
    <n v="531411.47772359999"/>
    <n v="58.990685971755873"/>
    <n v="70"/>
    <n v="128870.256176"/>
    <n v="146239.20265799999"/>
    <n v="765691.46120999998"/>
    <n v="644987.21608599997"/>
    <n v="617844.92599999998"/>
    <n v="767668.16799999983"/>
    <n v="53095.910000000033"/>
    <n v="767668.16799999983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  <n v="70.327337918984554"/>
    <s v="4. Solvente (&gt;=70 y &lt;80)"/>
  </r>
  <r>
    <s v="73"/>
    <s v="73000"/>
    <x v="1"/>
    <x v="49"/>
    <n v="2"/>
    <s v="N/A"/>
    <s v="Centro Sur Amazonia"/>
    <n v="6069.9350000000004"/>
    <n v="707352.897"/>
    <n v="1214613.713"/>
    <n v="265402.20600000001"/>
    <n v="71410.27"/>
    <n v="1183953.765259"/>
    <n v="327042.41334699997"/>
    <n v="345099.679"/>
    <n v="179199.76800000001"/>
    <n v="72.411000000000001"/>
    <n v="-106565.35900000017"/>
    <n v="134031.32999999999"/>
    <n v="0"/>
    <n v="2705198.1548449998"/>
    <n v="1913752.1812710001"/>
    <n v="24.04709669085338"/>
    <n v="60"/>
    <n v="243664.68812499999"/>
    <n v="280580.73980500002"/>
    <n v="1155279.1609489999"/>
    <n v="938629.32175300003"/>
    <n v="713422.83200000005"/>
    <n v="1214613.713"/>
    <n v="27538.381999999809"/>
    <n v="1214613.713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  <n v="69.457535515616172"/>
    <s v="3. Vulnerable (&gt;=60 y &lt;70)"/>
  </r>
  <r>
    <s v="76"/>
    <s v="76000"/>
    <x v="1"/>
    <x v="50"/>
    <s v="ESP"/>
    <s v="N/A"/>
    <s v="Pacifico"/>
    <n v="2761.3649999999998"/>
    <n v="739573.49499999988"/>
    <n v="2377891.5599999996"/>
    <n v="1188201.8399999999"/>
    <n v="198856.56899999999"/>
    <n v="1995706.107843"/>
    <n v="562846.93999999994"/>
    <n v="1395266.6749999998"/>
    <n v="922974.61799999978"/>
    <n v="20263.793000000001"/>
    <n v="-68237.832000000402"/>
    <n v="536196.67099999997"/>
    <n v="0"/>
    <n v="6758418.8750999998"/>
    <n v="4924028.6024820004"/>
    <n v="31.822176244662703"/>
    <n v="50"/>
    <n v="949733.58363300003"/>
    <n v="1133158.693836"/>
    <n v="1965489.9293819999"/>
    <n v="1854046.51813"/>
    <n v="742334.85999999987"/>
    <n v="2377891.5599999996"/>
    <n v="488222.63199999958"/>
    <n v="2377891.5599999996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  <n v="69.686723042599894"/>
    <s v="3. Vulnerable (&gt;=60 y &lt;70)"/>
  </r>
  <r>
    <s v="81"/>
    <s v="81000"/>
    <x v="1"/>
    <x v="51"/>
    <n v="4"/>
    <s v="N/A"/>
    <s v="Del Llano"/>
    <n v="20967.723999999998"/>
    <n v="263634.24"/>
    <n v="360487.20799999998"/>
    <n v="57533.785000000003"/>
    <n v="5152.0559999999996"/>
    <n v="402008.83312100003"/>
    <n v="56488.056423999995"/>
    <n v="87867.019"/>
    <n v="37769.505000000005"/>
    <n v="0"/>
    <n v="-76600.185000000056"/>
    <n v="130674.322"/>
    <n v="0"/>
    <n v="1305639.7396416599"/>
    <n v="600434.91266186"/>
    <n v="72.41082937899364"/>
    <n v="70"/>
    <n v="34506.343055999998"/>
    <n v="51526.663135000003"/>
    <n v="352279.26472400001"/>
    <n v="316320.27284200001"/>
    <n v="284601.96399999998"/>
    <n v="360487.20799999998"/>
    <n v="54074.136999999944"/>
    <n v="360487.20799999998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  <n v="40.293189955343266"/>
    <s v="2. Riesgo (&gt;=40 y &lt;60)"/>
  </r>
  <r>
    <s v="85"/>
    <s v="85000"/>
    <x v="1"/>
    <x v="52"/>
    <n v="3"/>
    <s v="N/A"/>
    <s v="Del Llano"/>
    <n v="21090.57"/>
    <n v="248698.57800000001"/>
    <n v="403300.58200000005"/>
    <n v="104427.276"/>
    <n v="8661.4120000000003"/>
    <n v="614568.4219800001"/>
    <n v="37498.904999999999"/>
    <n v="135810.65"/>
    <n v="56051.055999999997"/>
    <n v="0"/>
    <n v="-13041.184999999998"/>
    <n v="88023.207999999999"/>
    <n v="0"/>
    <n v="3041468.0490214801"/>
    <n v="580186.15381703002"/>
    <n v="65.909907839454078"/>
    <n v="70"/>
    <n v="72980.234796000004"/>
    <n v="112725.543488"/>
    <n v="337341.88578299998"/>
    <n v="317379.87992699997"/>
    <n v="269789.14799999999"/>
    <n v="403300.58200000005"/>
    <n v="74982.023000000001"/>
    <n v="403300.58200000005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  <n v="46.880264994213825"/>
    <s v="2. Riesgo (&gt;=40 y &lt;60)"/>
  </r>
  <r>
    <s v="86"/>
    <s v="86000"/>
    <x v="1"/>
    <x v="53"/>
    <n v="4"/>
    <s v="N/A"/>
    <s v="Centro Sur Amazonia"/>
    <n v="26011.460999999999"/>
    <n v="354674.83100000001"/>
    <n v="478436.40500000003"/>
    <n v="47513.984000000004"/>
    <n v="19523.545000000002"/>
    <n v="431104.806324"/>
    <n v="54875.114323999995"/>
    <n v="93481.967000000004"/>
    <n v="35210.130000000005"/>
    <n v="0"/>
    <n v="8901.4580000000424"/>
    <n v="55515.32"/>
    <n v="0"/>
    <n v="1561976.96025574"/>
    <n v="395230.20788305998"/>
    <n v="59.615741400164893"/>
    <n v="70"/>
    <n v="47819.821390999998"/>
    <n v="49349.334778999997"/>
    <n v="414744.27569799998"/>
    <n v="355105.912044"/>
    <n v="380686.29200000002"/>
    <n v="478436.40500000003"/>
    <n v="64416.778000000042"/>
    <n v="478436.40500000003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  <n v="53.809124642813828"/>
    <s v="2. Riesgo (&gt;=40 y &lt;60)"/>
  </r>
  <r>
    <s v="88"/>
    <s v="88000"/>
    <x v="1"/>
    <x v="25"/>
    <n v="3"/>
    <s v="N/A"/>
    <s v="Caribe"/>
    <n v="119183.045"/>
    <n v="76595.913"/>
    <n v="498562.70899999997"/>
    <n v="49905.727999999996"/>
    <n v="138995.61499999999"/>
    <n v="199549.19900000002"/>
    <n v="10983.412"/>
    <n v="308084.38799999998"/>
    <n v="118795.01799999998"/>
    <n v="0"/>
    <n v="109724.13999999996"/>
    <n v="210539.201"/>
    <n v="0"/>
    <n v="1660618.82861182"/>
    <n v="344515.3892795"/>
    <n v="58.347152083063492"/>
    <n v="70"/>
    <n v="81126.589076999997"/>
    <n v="186678.763205"/>
    <n v="169323.41753999999"/>
    <n v="139618.61489999999"/>
    <n v="195778.95799999998"/>
    <n v="498562.70899999997"/>
    <n v="320263.34099999996"/>
    <n v="498562.70899999997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  <n v="45.630413474656187"/>
    <s v="2. Riesgo (&gt;=40 y &lt;60)"/>
  </r>
  <r>
    <s v="91"/>
    <s v="91000"/>
    <x v="1"/>
    <x v="54"/>
    <n v="4"/>
    <s v="N/A"/>
    <s v="Centro Sur Amazonia"/>
    <n v="27288.614000000001"/>
    <n v="154378.50199999998"/>
    <n v="205065.06299999997"/>
    <n v="16150.599999999999"/>
    <n v="459.76100000000002"/>
    <n v="161164.54700000002"/>
    <n v="16823.567000000003"/>
    <n v="44758.040999999997"/>
    <n v="17344.657999999996"/>
    <n v="0"/>
    <n v="16487.132999999943"/>
    <n v="42643.307000000001"/>
    <n v="0"/>
    <n v="966283.35043999995"/>
    <n v="333122.25690400001"/>
    <n v="62.909249342439566"/>
    <n v="70"/>
    <n v="14519.956894000001"/>
    <n v="16228.395227000001"/>
    <n v="163554.07363999999"/>
    <n v="146848.42225800001"/>
    <n v="181667.11599999998"/>
    <n v="205065.06299999997"/>
    <n v="59130.439999999944"/>
    <n v="205065.06299999997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  <n v="40.962653269645386"/>
    <s v="2. Riesgo (&gt;=40 y &lt;60)"/>
  </r>
  <r>
    <s v="94"/>
    <s v="94000"/>
    <x v="1"/>
    <x v="55"/>
    <n v="4"/>
    <s v="N/A"/>
    <s v="Del Llano"/>
    <n v="27156.856"/>
    <n v="120511.557"/>
    <n v="204548.73100000003"/>
    <n v="24643.221000000001"/>
    <n v="677.125"/>
    <n v="247384.38265299998"/>
    <n v="105956.75165299998"/>
    <n v="52477.202000000005"/>
    <n v="33736.965000000004"/>
    <n v="0"/>
    <n v="11215.003000000055"/>
    <n v="52312.982000000004"/>
    <n v="0"/>
    <n v="934672.21466518997"/>
    <n v="206157.69083567002"/>
    <n v="54.610036395137115"/>
    <n v="70"/>
    <n v="13621.619476"/>
    <n v="37935.542221000003"/>
    <n v="174593.490785"/>
    <n v="128623.757178"/>
    <n v="147668.413"/>
    <n v="204548.73100000003"/>
    <n v="63527.985000000059"/>
    <n v="204548.73100000003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  <n v="56.60552922786259"/>
    <s v="2. Riesgo (&gt;=40 y &lt;60)"/>
  </r>
  <r>
    <s v="95"/>
    <s v="95000"/>
    <x v="1"/>
    <x v="56"/>
    <n v="4"/>
    <s v="N/A"/>
    <s v="Del Llano"/>
    <n v="23331.414000000001"/>
    <n v="128022.166"/>
    <n v="206644.58199999999"/>
    <n v="43068.071000000004"/>
    <n v="1984.1770000000001"/>
    <n v="266111.998135"/>
    <n v="114691.26356600001"/>
    <n v="68853.489000000001"/>
    <n v="36969.695000000007"/>
    <n v="198.33600000000001"/>
    <n v="855.30300000001444"/>
    <n v="30232.170999999998"/>
    <n v="0"/>
    <n v="886694.05316799995"/>
    <n v="168959.14295400001"/>
    <n v="54.326511938009403"/>
    <n v="70"/>
    <n v="23061.394586999999"/>
    <n v="43223.486043999997"/>
    <n v="169707.49721100001"/>
    <n v="157725.149554"/>
    <n v="151353.57999999999"/>
    <n v="206644.58199999999"/>
    <n v="31285.810000000012"/>
    <n v="206644.58199999999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  <n v="63.933533767117517"/>
    <s v="3. Vulnerable (&gt;=60 y &lt;70)"/>
  </r>
  <r>
    <s v="97"/>
    <s v="97000"/>
    <x v="1"/>
    <x v="57"/>
    <n v="4"/>
    <s v="N/A"/>
    <s v="Del Llano"/>
    <n v="24110.710999999999"/>
    <n v="86838.692999999999"/>
    <n v="133145.973"/>
    <n v="10889.958999999999"/>
    <n v="397.72800000000001"/>
    <n v="160089.75407200001"/>
    <n v="60733.424072000002"/>
    <n v="35445.463999999993"/>
    <n v="19130.557999999994"/>
    <n v="0"/>
    <n v="6325.8349999999919"/>
    <n v="57574.599000000002"/>
    <n v="0"/>
    <n v="661217.96552553005"/>
    <n v="63687.943693000001"/>
    <n v="38.857004192895666"/>
    <n v="70"/>
    <n v="8885.189531"/>
    <n v="10940.901218999999"/>
    <n v="110527.195011"/>
    <n v="90385.050529"/>
    <n v="110949.40399999999"/>
    <n v="133145.973"/>
    <n v="63900.433999999994"/>
    <n v="133145.973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  <n v="59.076647655798382"/>
    <s v="2. Riesgo (&gt;=40 y &lt;60)"/>
  </r>
  <r>
    <s v="99"/>
    <s v="99000"/>
    <x v="1"/>
    <x v="58"/>
    <n v="4"/>
    <s v="N/A"/>
    <s v="Del Llano"/>
    <n v="25553.024000000001"/>
    <n v="82785.123999999996"/>
    <n v="133068.20799999998"/>
    <n v="11517.588"/>
    <n v="264.56299999999999"/>
    <n v="123019.601"/>
    <n v="18589.568999999996"/>
    <n v="37393.707000000002"/>
    <n v="15817.618000000002"/>
    <n v="182.727"/>
    <n v="-11527.482000000018"/>
    <n v="32994.565999999999"/>
    <n v="0"/>
    <n v="669778.100293"/>
    <n v="138404.87291400001"/>
    <n v="38.146327061576649"/>
    <n v="70"/>
    <n v="11790.4"/>
    <n v="9787.6997850000007"/>
    <n v="128272.993307"/>
    <n v="108084.081314"/>
    <n v="108338.148"/>
    <n v="133068.20799999998"/>
    <n v="21649.81099999998"/>
    <n v="133068.20799999998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  <n v="53.010389526023644"/>
    <s v="2. Riesgo (&gt;=40 y &lt;60)"/>
  </r>
  <r>
    <s v="08"/>
    <s v="08000"/>
    <x v="2"/>
    <x v="33"/>
    <n v="1"/>
    <s v="N/A"/>
    <s v="Caribe"/>
    <n v="0"/>
    <n v="436053.82109300001"/>
    <n v="1569969.3571200001"/>
    <n v="674382.50961499999"/>
    <n v="281475.84954800003"/>
    <n v="1587461.3580779999"/>
    <n v="174765.79506099998"/>
    <n v="956923.96782000002"/>
    <n v="619105.97923100006"/>
    <n v="45443.775835"/>
    <n v="-275774.40520599973"/>
    <n v="171328.126903"/>
    <n v="0"/>
    <n v="4509474.4042680897"/>
    <n v="2246925.24756794"/>
    <n v="22.942732727074912"/>
    <n v="55"/>
    <n v="787464.88290600001"/>
    <n v="852385.35538700002"/>
    <n v="1516215.9453499999"/>
    <n v="1066531.8900599999"/>
    <n v="436053.82109300001"/>
    <n v="1569969.3571200001"/>
    <n v="-59002.50246799973"/>
    <n v="1569969.357120000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  <n v="74.95498647627592"/>
    <s v="4. Solvente (&gt;=70 y &lt;80)"/>
  </r>
  <r>
    <s v="25"/>
    <s v="25000"/>
    <x v="2"/>
    <x v="39"/>
    <s v="ESP"/>
    <s v="N/A"/>
    <s v="Centro Oriente"/>
    <n v="0"/>
    <n v="932557.15288399998"/>
    <n v="3554823.9348729998"/>
    <n v="1886324.9334750001"/>
    <n v="412735.705029"/>
    <n v="3333551.2341559995"/>
    <n v="388088.14334499999"/>
    <n v="2300641.8180999998"/>
    <n v="1639205.5287129998"/>
    <n v="72263.593798999995"/>
    <n v="-241175.02810899913"/>
    <n v="535719.33379099995"/>
    <n v="0"/>
    <n v="8767231.2337890007"/>
    <n v="7103861.2916949997"/>
    <n v="37.607161452806075"/>
    <n v="50"/>
    <n v="1473252.7549999999"/>
    <n v="1987670.1935650001"/>
    <n v="3134562.6735950001"/>
    <n v="2847453.544646"/>
    <n v="932557.15288399998"/>
    <n v="3554823.9348729998"/>
    <n v="366807.89948100084"/>
    <n v="3554823.9348729998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  <n v="71.937321253336677"/>
    <s v="4. Solvente (&gt;=70 y &lt;80)"/>
  </r>
  <r>
    <s v="70"/>
    <s v="70000"/>
    <x v="2"/>
    <x v="48"/>
    <n v="3"/>
    <s v="N/A"/>
    <s v="Caribe"/>
    <n v="0"/>
    <n v="578699.46367799991"/>
    <n v="836404.30041499983"/>
    <n v="179740.51947500001"/>
    <n v="22124.968696"/>
    <n v="852754.52582199802"/>
    <n v="90245.483850999008"/>
    <n v="202983.26746999999"/>
    <n v="121778.08097700099"/>
    <n v="989.45435099999997"/>
    <n v="-64426.588871997199"/>
    <n v="137942.13736399999"/>
    <n v="0"/>
    <n v="1687581.5856451401"/>
    <n v="530734.74416770006"/>
    <n v="67.202289898686956"/>
    <n v="70"/>
    <n v="147710.40189000001"/>
    <n v="198297.62028999999"/>
    <n v="819625.70279400004"/>
    <n v="723977.27041300002"/>
    <n v="578699.46367799991"/>
    <n v="836404.30041499983"/>
    <n v="74505.002843002789"/>
    <n v="836404.30041499983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  <n v="68.205988113636295"/>
    <s v="3. Vulnerable (&gt;=60 y &lt;70)"/>
  </r>
  <r>
    <s v="50"/>
    <s v="50000"/>
    <x v="2"/>
    <x v="43"/>
    <n v="1"/>
    <s v="N/A"/>
    <s v="Del Llano"/>
    <n v="0"/>
    <n v="334261.29108099994"/>
    <n v="887838.80665799999"/>
    <n v="343144.55385000003"/>
    <n v="74181.047659999997"/>
    <n v="1311318.878393"/>
    <n v="270626.08982200001"/>
    <n v="423718.60675600002"/>
    <n v="215778.92516700001"/>
    <n v="11816.891799999999"/>
    <n v="48355.966997999814"/>
    <n v="159898.13665299999"/>
    <n v="0"/>
    <n v="8494587.3280650005"/>
    <n v="1496413.0753279999"/>
    <n v="49.238283033106924"/>
    <n v="55"/>
    <n v="365070.73131800001"/>
    <n v="373735.98364400002"/>
    <n v="631543.15807100001"/>
    <n v="559950.97079499997"/>
    <n v="334261.29108099994"/>
    <n v="887838.80665799999"/>
    <n v="220070.99545099982"/>
    <n v="887838.80665799999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  <n v="68.178979803432441"/>
    <s v="3. Vulnerable (&gt;=60 y &lt;70)"/>
  </r>
  <r>
    <s v="41"/>
    <s v="41000"/>
    <x v="2"/>
    <x v="41"/>
    <n v="3"/>
    <s v="N/A"/>
    <s v="Centro Sur Amazonia"/>
    <n v="0"/>
    <n v="507781.275456"/>
    <n v="976823.20924400003"/>
    <n v="238032.43295400002"/>
    <n v="88097.546258000002"/>
    <n v="1233499.3546889999"/>
    <n v="116305.50101200001"/>
    <n v="327937.27965100005"/>
    <n v="200718.07497700004"/>
    <n v="4205.7967879999997"/>
    <n v="-78714.245823999867"/>
    <n v="195074.210273"/>
    <n v="0"/>
    <n v="2757635.8548494903"/>
    <n v="1751644.9545177601"/>
    <n v="34.088093512006296"/>
    <n v="70"/>
    <n v="183859.87119400001"/>
    <n v="249688.620494"/>
    <n v="928318.25039399997"/>
    <n v="812275.49421399995"/>
    <n v="507781.275456"/>
    <n v="976823.20924400003"/>
    <n v="120565.76123700014"/>
    <n v="976823.20924400003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  <n v="66.233994741658975"/>
    <s v="3. Vulnerable (&gt;=60 y &lt;70)"/>
  </r>
  <r>
    <s v="95"/>
    <s v="95000"/>
    <x v="2"/>
    <x v="56"/>
    <n v="4"/>
    <s v="N/A"/>
    <s v="Del Llano"/>
    <n v="23778.164551999998"/>
    <n v="103654.92590699998"/>
    <n v="194500.26311499998"/>
    <n v="35465.942702999993"/>
    <n v="11120.251118"/>
    <n v="165641.42309099899"/>
    <n v="31883.586985999002"/>
    <n v="70825.566270999989"/>
    <n v="35187.807159999989"/>
    <n v="525.85563400000001"/>
    <n v="-6778.919086998998"/>
    <n v="30096.76583"/>
    <n v="0"/>
    <n v="901488.60103200004"/>
    <n v="178039.29000199999"/>
    <n v="60.639893279458732"/>
    <n v="70"/>
    <n v="22970.051909000002"/>
    <n v="45353.246717000002"/>
    <n v="160396.72309099999"/>
    <n v="138308.607128"/>
    <n v="127433.09045899998"/>
    <n v="194500.26311499998"/>
    <n v="23843.702377001002"/>
    <n v="194500.26311499998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  <n v="65.529454179559906"/>
    <s v="3. Vulnerable (&gt;=60 y &lt;70)"/>
  </r>
  <r>
    <s v="05"/>
    <s v="05000"/>
    <x v="2"/>
    <x v="32"/>
    <s v="ESP"/>
    <s v="N/A"/>
    <s v="Eje Cafetero"/>
    <n v="0"/>
    <n v="1548440.09916"/>
    <n v="5044817.4379440006"/>
    <n v="1748023.1876289998"/>
    <n v="1073334.1986080001"/>
    <n v="4336505.9294499997"/>
    <n v="338868.67157100001"/>
    <n v="2830271.5466410001"/>
    <n v="1932154.2197449999"/>
    <n v="145779.73674800002"/>
    <n v="85443.807489001192"/>
    <n v="751371.76904399996"/>
    <n v="0"/>
    <n v="13310231.460189"/>
    <n v="11006822.922897"/>
    <n v="20.080040978787288"/>
    <n v="50"/>
    <n v="1578074.8615590001"/>
    <n v="1902217.9787039999"/>
    <n v="4061256.3035590001"/>
    <n v="3623869.2646300001"/>
    <n v="1548440.09916"/>
    <n v="5044817.4379440006"/>
    <n v="982595.31328100117"/>
    <n v="5044817.4379440006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  <n v="63.706604590308586"/>
    <s v="3. Vulnerable (&gt;=60 y &lt;70)"/>
  </r>
  <r>
    <s v="76"/>
    <s v="76000"/>
    <x v="2"/>
    <x v="50"/>
    <s v="ESP"/>
    <s v="N/A"/>
    <s v="Pacifico"/>
    <n v="0"/>
    <n v="607911.49011899997"/>
    <n v="2528949.9947520001"/>
    <n v="1120858.497376"/>
    <n v="484888.11108800001"/>
    <n v="2229780.7643549996"/>
    <n v="129486.148631"/>
    <n v="1612146.048838"/>
    <n v="1094887.861699"/>
    <n v="37948.436702999999"/>
    <n v="-150809.02241099952"/>
    <n v="568427.16128799994"/>
    <n v="0"/>
    <n v="6785306.6824190002"/>
    <n v="4568818.632797"/>
    <n v="40.420415029428575"/>
    <n v="50"/>
    <n v="1069439.5"/>
    <n v="1226817.013057"/>
    <n v="2162500.8300239998"/>
    <n v="2030272.4232399999"/>
    <n v="607911.49011899997"/>
    <n v="2528949.9947520001"/>
    <n v="455566.57558000041"/>
    <n v="2528949.994752000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  <n v="63.477218735238715"/>
    <s v="3. Vulnerable (&gt;=60 y &lt;70)"/>
  </r>
  <r>
    <s v="20"/>
    <s v="20000"/>
    <x v="2"/>
    <x v="38"/>
    <n v="2"/>
    <s v="N/A"/>
    <s v="Caribe"/>
    <n v="0"/>
    <n v="519202.52956399997"/>
    <n v="946737.18176499999"/>
    <n v="170013.47431299998"/>
    <n v="70819.290700000012"/>
    <n v="1751244.4582660003"/>
    <n v="996764.08921400004"/>
    <n v="241917.769034"/>
    <n v="143783.93098499998"/>
    <n v="3796.4052120000001"/>
    <n v="-408934.31969799998"/>
    <n v="126984.75463700001"/>
    <n v="0"/>
    <n v="2975264.3782754801"/>
    <n v="829394.55267201003"/>
    <n v="49.719730816383318"/>
    <n v="60"/>
    <n v="143080.90915399999"/>
    <n v="193315.49919999999"/>
    <n v="1257537.6634140001"/>
    <n v="733714.02175800002"/>
    <n v="519202.52956399997"/>
    <n v="946737.18176499999"/>
    <n v="-278153.15984899993"/>
    <n v="946737.18176499999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  <n v="62.088111579544844"/>
    <s v="3. Vulnerable (&gt;=60 y &lt;70)"/>
  </r>
  <r>
    <s v="17"/>
    <s v="17000"/>
    <x v="2"/>
    <x v="35"/>
    <n v="2"/>
    <s v="N/A"/>
    <s v="Eje Cafetero"/>
    <n v="0"/>
    <n v="411042.57998799998"/>
    <n v="840770.33165999991"/>
    <n v="291864.594942"/>
    <n v="39614.497010000006"/>
    <n v="856208.96290699998"/>
    <n v="217450.579401"/>
    <n v="334419.22224799998"/>
    <n v="177878.96398999999"/>
    <n v="8920.4882379999999"/>
    <n v="-58626.739406000124"/>
    <n v="146780.726933"/>
    <n v="0"/>
    <n v="3217779.8682479998"/>
    <n v="1939962.3559049999"/>
    <n v="38.682199811748838"/>
    <n v="60"/>
    <n v="247665.88659000001"/>
    <n v="314010.073493"/>
    <n v="742856.81280800002"/>
    <n v="674388.63773399999"/>
    <n v="411042.57998799998"/>
    <n v="840770.33165999991"/>
    <n v="97074.475764999865"/>
    <n v="840770.3316599999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  <n v="60.504718834772305"/>
    <s v="3. Vulnerable (&gt;=60 y &lt;70)"/>
  </r>
  <r>
    <s v="88"/>
    <s v="88000"/>
    <x v="2"/>
    <x v="25"/>
    <n v="3"/>
    <s v="N/A"/>
    <s v="Caribe"/>
    <n v="10788.5359555"/>
    <n v="57466.396444999991"/>
    <n v="463777.38031149999"/>
    <n v="60644.703705"/>
    <n v="164407.157534"/>
    <n v="351927.14605599997"/>
    <n v="32999.921353999998"/>
    <n v="236180.3030175"/>
    <n v="346.93882149999263"/>
    <n v="0"/>
    <n v="-123983.12994049996"/>
    <n v="269964.59620199999"/>
    <n v="0"/>
    <n v="1762665.56195439"/>
    <n v="351589.29261950002"/>
    <n v="59.097711895223938"/>
    <n v="70"/>
    <n v="223280.57226099999"/>
    <n v="224679.49359699999"/>
    <n v="351927.14605600003"/>
    <n v="262051.619469"/>
    <n v="68254.932400499994"/>
    <n v="463777.38031149999"/>
    <n v="145981.46626150003"/>
    <n v="463777.38031149999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  <n v="60.385471887348842"/>
    <s v="3. Vulnerable (&gt;=60 y &lt;70)"/>
  </r>
  <r>
    <s v="73"/>
    <s v="73000"/>
    <x v="2"/>
    <x v="49"/>
    <n v="2"/>
    <s v="N/A"/>
    <s v="Centro Sur Amazonia"/>
    <n v="0"/>
    <n v="692882.27621199994"/>
    <n v="1261784.0906759999"/>
    <n v="304529.42197199998"/>
    <n v="110845.179078"/>
    <n v="1365956.461968"/>
    <n v="50407.260083000001"/>
    <n v="432779.78275499999"/>
    <n v="243293.95307600001"/>
    <n v="1782.348608"/>
    <n v="-110256.55744700017"/>
    <n v="106371.77722800001"/>
    <n v="0"/>
    <n v="2689599.459551"/>
    <n v="2074614.567062"/>
    <n v="30.614211433518435"/>
    <n v="60"/>
    <n v="303718.35700000002"/>
    <n v="341476.618074"/>
    <n v="1182554.8184440001"/>
    <n v="1018414.8408680001"/>
    <n v="692882.27621199994"/>
    <n v="1261784.0906759999"/>
    <n v="-2102.4316110001673"/>
    <n v="1261784.0906759999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  <n v="58.088143128065255"/>
    <s v="2. Riesgo (&gt;=40 y &lt;60)"/>
  </r>
  <r>
    <s v="81"/>
    <s v="81000"/>
    <x v="2"/>
    <x v="51"/>
    <n v="4"/>
    <s v="N/A"/>
    <s v="Del Llano"/>
    <n v="21414.164552000002"/>
    <n v="215129.86238300003"/>
    <n v="326175.23331700003"/>
    <n v="43860.944031999999"/>
    <n v="6798.347694"/>
    <n v="425840.12829900003"/>
    <n v="64948.269012000004"/>
    <n v="72823.034960999998"/>
    <n v="25493.615114709995"/>
    <n v="0"/>
    <n v="-14899.513952289999"/>
    <n v="62240.051906000001"/>
    <n v="0"/>
    <n v="1245328.5959431899"/>
    <n v="574021.31202359009"/>
    <n v="65.044221292995815"/>
    <n v="70"/>
    <n v="42368.197294999998"/>
    <n v="51054.691656000003"/>
    <n v="293745.32742300001"/>
    <n v="273357.917403"/>
    <n v="236544.02693500003"/>
    <n v="326175.23331700003"/>
    <n v="47340.537953710002"/>
    <n v="326175.23331700003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  <n v="57.300690480227615"/>
    <s v="2. Riesgo (&gt;=40 y &lt;60)"/>
  </r>
  <r>
    <s v="54"/>
    <s v="54000"/>
    <x v="2"/>
    <x v="44"/>
    <n v="2"/>
    <s v="N/A"/>
    <s v="Centro Oriente"/>
    <n v="0"/>
    <n v="574389.423022"/>
    <n v="1219852.4850320001"/>
    <n v="287270.10701000004"/>
    <n v="67425.084814000002"/>
    <n v="1138734.0118140001"/>
    <n v="27279.170419999999"/>
    <n v="356431.93287400005"/>
    <n v="206786.49425200006"/>
    <n v="10961.530954"/>
    <n v="-68526.9654039999"/>
    <n v="146827.785753"/>
    <n v="0"/>
    <n v="2526590.06709813"/>
    <n v="1607305.2774115899"/>
    <n v="47.268782012456519"/>
    <n v="60"/>
    <n v="245595.33630900001"/>
    <n v="317317.02929899999"/>
    <n v="1138734.0118140001"/>
    <n v="908178.66924700001"/>
    <n v="574389.423022"/>
    <n v="1219852.4850320001"/>
    <n v="89262.351303000105"/>
    <n v="1219852.485032000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  <n v="54.812290357739414"/>
    <s v="2. Riesgo (&gt;=40 y &lt;60)"/>
  </r>
  <r>
    <s v="47"/>
    <s v="47000"/>
    <x v="2"/>
    <x v="42"/>
    <n v="3"/>
    <s v="N/A"/>
    <s v="Caribe"/>
    <n v="0"/>
    <n v="689104.31501599995"/>
    <n v="1223324.3602209999"/>
    <n v="277499.74871899997"/>
    <n v="174340.826007"/>
    <n v="948841.02318099909"/>
    <n v="20858.243491999998"/>
    <n v="452777.67980399996"/>
    <n v="257576.32448299997"/>
    <n v="5193.8250440000002"/>
    <n v="79281.981719000731"/>
    <n v="281072.62861900002"/>
    <n v="0"/>
    <n v="2160031.4465727098"/>
    <n v="1023075.3640255901"/>
    <n v="44.81782840250181"/>
    <n v="70"/>
    <n v="368420.90929699998"/>
    <n v="438889.99632999999"/>
    <n v="948841.02318100003"/>
    <n v="872354.02603499999"/>
    <n v="689104.31501599995"/>
    <n v="1223324.3602209999"/>
    <n v="365548.43538200075"/>
    <n v="1223324.3602209999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  <n v="53.44153511269154"/>
    <s v="2. Riesgo (&gt;=40 y &lt;60)"/>
  </r>
  <r>
    <s v="86"/>
    <s v="86000"/>
    <x v="2"/>
    <x v="53"/>
    <n v="4"/>
    <s v="N/A"/>
    <s v="Centro Sur Amazonia"/>
    <n v="21414.164553999999"/>
    <n v="327927.172265"/>
    <n v="465998.71775100002"/>
    <n v="53482.48141"/>
    <n v="21122.064774000002"/>
    <n v="443877.21294199902"/>
    <n v="26680.269411000001"/>
    <n v="96829.871471000006"/>
    <n v="30663.860529000012"/>
    <n v="0"/>
    <n v="-44044.506132999028"/>
    <n v="87767.825695000007"/>
    <n v="0"/>
    <n v="1543856.76087306"/>
    <n v="521413.19074354996"/>
    <n v="65.178204088456809"/>
    <n v="70"/>
    <n v="48951.438408000002"/>
    <n v="58685.461440999999"/>
    <n v="443877.21294200001"/>
    <n v="387355.24359899998"/>
    <n v="349341.33681900002"/>
    <n v="465998.71775100002"/>
    <n v="43723.319562000979"/>
    <n v="465998.71775100002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  <n v="52.085488236309267"/>
    <s v="2. Riesgo (&gt;=40 y &lt;60)"/>
  </r>
  <r>
    <s v="66"/>
    <s v="66000"/>
    <x v="2"/>
    <x v="46"/>
    <n v="2"/>
    <s v="N/A"/>
    <s v="Eje Cafetero"/>
    <n v="0"/>
    <n v="199020.24036300002"/>
    <n v="860399.06939900015"/>
    <n v="242057.36808500002"/>
    <n v="107499.11524800002"/>
    <n v="601440.35049500014"/>
    <n v="1855.853881"/>
    <n v="349895.58065100003"/>
    <n v="251838.82924000002"/>
    <n v="1620.61032"/>
    <n v="214440.68268600001"/>
    <n v="115694.27179699999"/>
    <n v="0"/>
    <n v="2736898.5714560002"/>
    <n v="1416198.8449800001"/>
    <n v="43.914829875049989"/>
    <n v="60"/>
    <n v="194681.85857899999"/>
    <n v="265178.13941800001"/>
    <n v="547901.63530199998"/>
    <n v="481051.01163199998"/>
    <n v="199020.24036300002"/>
    <n v="860399.06939900015"/>
    <n v="331755.56480300002"/>
    <n v="860399.06939900015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  <n v="51.656281202566419"/>
    <s v="2. Riesgo (&gt;=40 y &lt;60)"/>
  </r>
  <r>
    <s v="27"/>
    <s v="27000"/>
    <x v="2"/>
    <x v="40"/>
    <n v="4"/>
    <s v="N/A"/>
    <s v="Pacifico"/>
    <n v="0"/>
    <n v="462717.73322699999"/>
    <n v="599708.56495799997"/>
    <n v="90826.660070999991"/>
    <n v="8648.926508999999"/>
    <n v="570590.54774499906"/>
    <n v="35283.378062999996"/>
    <n v="99475.586579999988"/>
    <n v="16888.301557999977"/>
    <n v="1577.5975880000001"/>
    <n v="3001.2558540009195"/>
    <n v="49060.770587999999"/>
    <n v="0"/>
    <n v="1945097.42928372"/>
    <n v="618986.08825091005"/>
    <n v="65.999982578873343"/>
    <n v="70"/>
    <n v="102074.364124"/>
    <n v="92668.206894000003"/>
    <n v="481463.59428999998"/>
    <n v="431747.94697200001"/>
    <n v="462717.73322699999"/>
    <n v="599708.56495799997"/>
    <n v="53639.624030000923"/>
    <n v="599708.56495799997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  <n v="51.491295448780598"/>
    <s v="2. Riesgo (&gt;=40 y &lt;60)"/>
  </r>
  <r>
    <s v="68"/>
    <s v="68000"/>
    <x v="2"/>
    <x v="47"/>
    <n v="1"/>
    <s v="N/A"/>
    <s v="Centro Oriente"/>
    <n v="0"/>
    <n v="695592.43047999998"/>
    <n v="1729681.4293709998"/>
    <n v="711150.01786499994"/>
    <n v="73389.315663000001"/>
    <n v="1703023.0995329989"/>
    <n v="159064.28687699902"/>
    <n v="785177.73752799991"/>
    <n v="374531.93435699993"/>
    <n v="16429.548910000001"/>
    <n v="-108580.74114799895"/>
    <n v="402482.58755400003"/>
    <n v="0"/>
    <n v="5145515.5677054394"/>
    <n v="4990902.4668351794"/>
    <n v="40.652017346596359"/>
    <n v="55"/>
    <n v="611108.64599999995"/>
    <n v="736211.01805800002"/>
    <n v="1427616.3673479999"/>
    <n v="1201680.943434"/>
    <n v="695592.43047999998"/>
    <n v="1729681.4293709998"/>
    <n v="310331.39531600109"/>
    <n v="1729681.4293709998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  <n v="51.349174625630468"/>
    <s v="2. Riesgo (&gt;=40 y &lt;60)"/>
  </r>
  <r>
    <s v="44"/>
    <s v="44000"/>
    <x v="2"/>
    <x v="15"/>
    <n v="4"/>
    <s v="N/A"/>
    <s v="Caribe"/>
    <n v="0"/>
    <n v="357451.35559999995"/>
    <n v="547267.03744099999"/>
    <n v="144048.90871000002"/>
    <n v="6760.5772550000002"/>
    <n v="503049.57647600002"/>
    <n v="27701.972943000001"/>
    <n v="151254.14069700002"/>
    <n v="95950.82526800003"/>
    <n v="0"/>
    <n v="-11085.854463999975"/>
    <n v="111976.148084"/>
    <n v="0"/>
    <n v="1643700.5991958599"/>
    <n v="853006.44674622"/>
    <n v="39.097334235174152"/>
    <n v="70"/>
    <n v="78235.328703000006"/>
    <n v="147287.91797800001"/>
    <n v="503049.57647600002"/>
    <n v="454146.20763899997"/>
    <n v="357451.35559999995"/>
    <n v="547267.03744099999"/>
    <n v="100890.29362000003"/>
    <n v="547267.03744099999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  <n v="50.417031254064376"/>
    <s v="2. Riesgo (&gt;=40 y &lt;60)"/>
  </r>
  <r>
    <s v="94"/>
    <s v="94000"/>
    <x v="2"/>
    <x v="55"/>
    <n v="4"/>
    <s v="N/A"/>
    <s v="Del Llano"/>
    <n v="21203.164553999999"/>
    <n v="109508.94024699999"/>
    <n v="187148.714645"/>
    <n v="23696.350337"/>
    <n v="3070.645368"/>
    <n v="188624.65685500001"/>
    <n v="5342.921980000001"/>
    <n v="47970.160258999997"/>
    <n v="25710.889961000001"/>
    <n v="0"/>
    <n v="-23735.212507999997"/>
    <n v="65302.176076999996"/>
    <n v="0"/>
    <n v="1017379.44514829"/>
    <n v="204422.13386970002"/>
    <n v="50.678099567650357"/>
    <n v="70"/>
    <n v="19215.554644"/>
    <n v="26165.331584"/>
    <n v="188624.65685500001"/>
    <n v="137886.597962"/>
    <n v="130712.10480099999"/>
    <n v="187148.714645"/>
    <n v="41566.963569"/>
    <n v="187148.714645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  <n v="49.734335628775931"/>
    <s v="2. Riesgo (&gt;=40 y &lt;60)"/>
  </r>
  <r>
    <s v="18"/>
    <s v="18000"/>
    <x v="2"/>
    <x v="36"/>
    <n v="4"/>
    <s v="N/A"/>
    <s v="Centro Sur Amazonia"/>
    <n v="0"/>
    <n v="241838.70787399999"/>
    <n v="376888.02044300002"/>
    <n v="68850.132134999993"/>
    <n v="30077.805372999999"/>
    <n v="403866.28250199993"/>
    <n v="6458.7650410000006"/>
    <n v="100031.46369799999"/>
    <n v="43886.518732999997"/>
    <n v="302.708752"/>
    <n v="-28381.571984999871"/>
    <n v="80571.011507000003"/>
    <n v="0"/>
    <n v="1150234.685698"/>
    <n v="517183.89894400002"/>
    <n v="61.160171155204182"/>
    <n v="70"/>
    <n v="58162.722000000002"/>
    <n v="72456.518056000001"/>
    <n v="349124.64746299997"/>
    <n v="316055.321719"/>
    <n v="241838.70787399999"/>
    <n v="376888.02044300002"/>
    <n v="52492.14827400013"/>
    <n v="376888.02044300002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  <n v="49.601751666582217"/>
    <s v="2. Riesgo (&gt;=40 y &lt;60)"/>
  </r>
  <r>
    <s v="97"/>
    <s v="97000"/>
    <x v="2"/>
    <x v="57"/>
    <n v="4"/>
    <s v="N/A"/>
    <s v="Del Llano"/>
    <n v="24448.164553999999"/>
    <n v="87975.558932"/>
    <n v="152298.114084"/>
    <n v="13674.786845000001"/>
    <n v="6242.9669690000001"/>
    <n v="151098.856246999"/>
    <n v="10863.183561999002"/>
    <n v="44438.794859000001"/>
    <n v="26944.791105000004"/>
    <n v="0"/>
    <n v="-16294.745916999003"/>
    <n v="74062.254142999998"/>
    <n v="0"/>
    <n v="683455.55801389995"/>
    <n v="68390.571605749996"/>
    <n v="39.780076251264006"/>
    <n v="70"/>
    <n v="11368.936368999999"/>
    <n v="17932.211865000001"/>
    <n v="151098.85624699999"/>
    <n v="123447.304775"/>
    <n v="112423.723486"/>
    <n v="152298.114084"/>
    <n v="57767.508226000995"/>
    <n v="152298.114084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  <n v="49.364132354043178"/>
    <s v="2. Riesgo (&gt;=40 y &lt;60)"/>
  </r>
  <r>
    <s v="85"/>
    <s v="85000"/>
    <x v="2"/>
    <x v="52"/>
    <n v="3"/>
    <s v="N/A"/>
    <s v="Del Llano"/>
    <n v="21414.164553999999"/>
    <n v="204418.17079199999"/>
    <n v="456087.67351399997"/>
    <n v="135227.122049"/>
    <n v="29152.457986000001"/>
    <n v="878544.21789800003"/>
    <n v="0"/>
    <n v="187460.669887"/>
    <n v="103225.843999"/>
    <n v="0"/>
    <n v="-39510.302674999984"/>
    <n v="95431.227178999994"/>
    <n v="0"/>
    <n v="2916766.6471600602"/>
    <n v="570195.25089145999"/>
    <n v="68.72220498254265"/>
    <n v="70"/>
    <n v="92449.080071999997"/>
    <n v="163265.83620600001"/>
    <n v="411363.15030099999"/>
    <n v="350125.29098300001"/>
    <n v="225832.33534599998"/>
    <n v="456087.67351399997"/>
    <n v="55920.92450400001"/>
    <n v="456087.67351399997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  <n v="49.3250610886939"/>
    <s v="2. Riesgo (&gt;=40 y &lt;60)"/>
  </r>
  <r>
    <s v="19"/>
    <s v="19000"/>
    <x v="2"/>
    <x v="37"/>
    <n v="3"/>
    <s v="N/A"/>
    <s v="Pacifico"/>
    <n v="0"/>
    <n v="1001504.451166"/>
    <n v="1402957.1760780001"/>
    <n v="148387.05001800001"/>
    <n v="114218.50507699999"/>
    <n v="1327799.3988300003"/>
    <n v="1027.1153749999999"/>
    <n v="263702.73362200003"/>
    <n v="146927.80170400103"/>
    <n v="1371.576468"/>
    <n v="73471.070431000786"/>
    <n v="275881.29616500001"/>
    <n v="0"/>
    <n v="3328135.1911249999"/>
    <n v="1384787.928692"/>
    <n v="46.114558996883325"/>
    <n v="70"/>
    <n v="122812.919532"/>
    <n v="161072.63925199999"/>
    <n v="1212711.1737289999"/>
    <n v="1178807.770673"/>
    <n v="1001504.451166"/>
    <n v="1402957.1760780001"/>
    <n v="350723.94306400081"/>
    <n v="1402957.176078000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  <n v="47.400745099247189"/>
    <s v="2. Riesgo (&gt;=40 y &lt;60)"/>
  </r>
  <r>
    <s v="52"/>
    <s v="52000"/>
    <x v="2"/>
    <x v="20"/>
    <n v="2"/>
    <s v="N/A"/>
    <s v="Pacifico"/>
    <n v="0"/>
    <n v="727175.85146699997"/>
    <n v="1296323.6730729998"/>
    <n v="246455.63723999998"/>
    <n v="104368.300821"/>
    <n v="1229271.0733440004"/>
    <n v="94211.542596999992"/>
    <n v="355292.26555099996"/>
    <n v="209258.19138999996"/>
    <n v="0"/>
    <n v="50733.014281999553"/>
    <n v="234199.52967600001"/>
    <n v="0"/>
    <n v="3465952.4058371698"/>
    <n v="2303160.62849788"/>
    <n v="35.566961271585733"/>
    <n v="60"/>
    <n v="133375.67124699999"/>
    <n v="176621.18709799999"/>
    <n v="1060841.818407"/>
    <n v="953878.26940500003"/>
    <n v="727175.85146699997"/>
    <n v="1296323.6730729998"/>
    <n v="284932.54395799956"/>
    <n v="1296323.6730729998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  <n v="46.585275202102721"/>
    <s v="2. Riesgo (&gt;=40 y &lt;60)"/>
  </r>
  <r>
    <s v="15"/>
    <s v="15000"/>
    <x v="2"/>
    <x v="5"/>
    <n v="1"/>
    <s v="N/A"/>
    <s v="Centro Oriente"/>
    <n v="0"/>
    <n v="719740.04197200004"/>
    <n v="1291822.9808430001"/>
    <n v="403773.56935400009"/>
    <n v="38371.823922999996"/>
    <n v="1255995.2632489989"/>
    <n v="3259.221618"/>
    <n v="444596.07160800009"/>
    <n v="267347.62609500007"/>
    <n v="10637.919648999999"/>
    <n v="-11832.686692998977"/>
    <n v="262243.75168300001"/>
    <n v="0"/>
    <n v="4326882.6956350002"/>
    <n v="3072938.6689309999"/>
    <n v="34.899107685839823"/>
    <n v="55"/>
    <n v="346458.587"/>
    <n v="416971.42256699997"/>
    <n v="1126407.222023"/>
    <n v="992648.88413599995"/>
    <n v="719740.04197200004"/>
    <n v="1291822.9808430001"/>
    <n v="261048.98463900102"/>
    <n v="1291822.980843000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  <n v="44.625743579637593"/>
    <s v="2. Riesgo (&gt;=40 y &lt;60)"/>
  </r>
  <r>
    <s v="23"/>
    <s v="23000"/>
    <x v="2"/>
    <x v="12"/>
    <n v="2"/>
    <s v="N/A"/>
    <s v="Caribe"/>
    <n v="0"/>
    <n v="908501.80338100006"/>
    <n v="1374879.8797130003"/>
    <n v="289200.84723499999"/>
    <n v="25375.170160999998"/>
    <n v="1485072.416281"/>
    <n v="204969.961954"/>
    <n v="314971.69619699998"/>
    <n v="123479.564908"/>
    <n v="10849.335374"/>
    <n v="-41712.905881999759"/>
    <n v="236668.94558"/>
    <n v="0"/>
    <n v="2987369.2097149198"/>
    <n v="2370908.1765469201"/>
    <n v="52.689214060559351"/>
    <n v="60"/>
    <n v="239593.62985900001"/>
    <n v="300173.98116000002"/>
    <n v="1225100.6543060001"/>
    <n v="1083150.0963920001"/>
    <n v="908501.80338100006"/>
    <n v="1374879.8797130003"/>
    <n v="205805.37507200026"/>
    <n v="1374879.8797130003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  <n v="43.063566456892623"/>
    <s v="2. Riesgo (&gt;=40 y &lt;60)"/>
  </r>
  <r>
    <s v="91"/>
    <s v="91000"/>
    <x v="2"/>
    <x v="54"/>
    <n v="4"/>
    <s v="N/A"/>
    <s v="Centro Sur Amazonia"/>
    <n v="27484.375062999999"/>
    <n v="147377.69007300001"/>
    <n v="237060.88230500001"/>
    <n v="18643.743096999999"/>
    <n v="4467.7941929999997"/>
    <n v="211744.89240300001"/>
    <n v="0"/>
    <n v="50939.673945999995"/>
    <n v="20439.834503999999"/>
    <n v="0"/>
    <n v="-5183.8495399999956"/>
    <n v="62583.543255999997"/>
    <n v="0"/>
    <n v="1026020.419626"/>
    <n v="357726.83288100001"/>
    <n v="58.585303491843845"/>
    <n v="70"/>
    <n v="18079.069972000001"/>
    <n v="20048.682058999999"/>
    <n v="211744.89240300001"/>
    <n v="167261.16360599999"/>
    <n v="174862.06513599999"/>
    <n v="237060.88230500001"/>
    <n v="57399.693716000002"/>
    <n v="237060.8823050000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  <n v="42.011141900483068"/>
    <s v="2. Riesgo (&gt;=40 y &lt;60)"/>
  </r>
  <r>
    <s v="13"/>
    <s v="13000"/>
    <x v="2"/>
    <x v="34"/>
    <n v="1"/>
    <s v="N/A"/>
    <s v="Caribe"/>
    <n v="0"/>
    <n v="827847.98440900003"/>
    <n v="1651003.351267"/>
    <n v="382618.33313899999"/>
    <n v="139073.58487799999"/>
    <n v="1773408.3013679991"/>
    <n v="0"/>
    <n v="521691.91801699996"/>
    <n v="191103.50160199997"/>
    <n v="14769.883715"/>
    <n v="103732.41791800107"/>
    <n v="191626.57978599999"/>
    <n v="0"/>
    <n v="4312832.9145214604"/>
    <n v="2581812.4645820302"/>
    <n v="52.814365072053427"/>
    <n v="55"/>
    <n v="371834.696772"/>
    <n v="404405.57156100002"/>
    <n v="1221682.516934"/>
    <n v="1046056.8068350001"/>
    <n v="827847.98440900003"/>
    <n v="1651003.351267"/>
    <n v="310128.88141900103"/>
    <n v="1651003.351267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  <n v="41.829241910614492"/>
    <s v="2. Riesgo (&gt;=40 y &lt;60)"/>
  </r>
  <r>
    <s v="99"/>
    <s v="99000"/>
    <x v="2"/>
    <x v="58"/>
    <n v="4"/>
    <s v="N/A"/>
    <s v="Del Llano"/>
    <n v="24145.021270000001"/>
    <n v="84870.922787999996"/>
    <n v="160606.444143"/>
    <n v="17212.860812999999"/>
    <n v="1934.698535"/>
    <n v="144619.84922099998"/>
    <n v="13.042388000000001"/>
    <n v="43418.356082999999"/>
    <n v="15302.119566199999"/>
    <n v="13.326851"/>
    <n v="-12129.641594799992"/>
    <n v="36466.284346"/>
    <n v="0"/>
    <n v="662768.51649099996"/>
    <n v="161440.65052299999"/>
    <n v="74.058560554216598"/>
    <n v="70"/>
    <n v="16175.418578999999"/>
    <n v="18038.871997999999"/>
    <n v="144619.84922100001"/>
    <n v="112813.766389"/>
    <n v="109015.94405799999"/>
    <n v="160606.444143"/>
    <n v="24349.969602200006"/>
    <n v="160606.444143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  <n v="41.649701610927316"/>
    <s v="2. Riesgo (&gt;=40 y &lt;60)"/>
  </r>
  <r>
    <s v="63"/>
    <s v="63000"/>
    <x v="2"/>
    <x v="45"/>
    <n v="3"/>
    <s v="N/A"/>
    <s v="Eje Cafetero"/>
    <n v="0"/>
    <n v="176128.55166600001"/>
    <n v="429799.70546700002"/>
    <n v="138152.63939"/>
    <n v="53918.444669999997"/>
    <n v="251139.80498400002"/>
    <n v="2978.8376850000004"/>
    <n v="193296.32545400001"/>
    <n v="103249.04642100001"/>
    <n v="1995.192669"/>
    <n v="97216.158131000004"/>
    <n v="85627.558885999999"/>
    <n v="0"/>
    <n v="1368282.3056876899"/>
    <n v="823558.50605547999"/>
    <n v="79.777609051135855"/>
    <n v="70"/>
    <n v="119436.538155"/>
    <n v="147249.97887600001"/>
    <n v="242536.26830299999"/>
    <n v="230938.234486"/>
    <n v="176128.55166600001"/>
    <n v="429799.70546700002"/>
    <n v="184838.909686"/>
    <n v="429799.70546700002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  <n v="40.171050290088061"/>
    <s v="2. Riesgo (&gt;=40 y &lt;60)"/>
  </r>
  <r>
    <s v="91"/>
    <s v="91000"/>
    <x v="3"/>
    <x v="54"/>
    <n v="4"/>
    <s v="N/A"/>
    <s v="Centro Sur Amazonia"/>
    <n v="34557.430219000002"/>
    <n v="168915.013336"/>
    <n v="245955.03864899999"/>
    <n v="16258.542930000001"/>
    <n v="4667.3536889999996"/>
    <n v="254174.61194199999"/>
    <n v="617.15029100000004"/>
    <n v="55775.180199000002"/>
    <n v="23766.996714000001"/>
    <n v="685.55854099999999"/>
    <n v="-40227.756777999981"/>
    <n v="56179.647369999999"/>
    <n v="7500"/>
    <n v="1105764.0715439999"/>
    <n v="359243.17229800002"/>
    <n v="51.589238217229607"/>
    <n v="70"/>
    <n v="21797.5"/>
    <n v="19306.410107"/>
    <n v="254174.61194199999"/>
    <n v="220409.96067500001"/>
    <n v="203472.44355500001"/>
    <n v="245955.03864899999"/>
    <n v="16637.449133000016"/>
    <n v="253455.03864899999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  <n v="51.952856310515187"/>
    <s v="2. Riesgo (&gt;=40 y &lt;60)"/>
  </r>
  <r>
    <s v="05"/>
    <s v="05000"/>
    <x v="3"/>
    <x v="32"/>
    <s v="ESP"/>
    <s v="N/A"/>
    <s v="Eje Cafetero"/>
    <n v="0"/>
    <n v="1708148.793023"/>
    <n v="5664596.7314109998"/>
    <n v="1966806.0016119999"/>
    <n v="1246195.7623409999"/>
    <n v="4564607.303692"/>
    <n v="254340.86568200003"/>
    <n v="3225182.6409119996"/>
    <n v="1980997.5266229997"/>
    <n v="262444.20826400002"/>
    <n v="-39182.918036999181"/>
    <n v="943595.33242700004"/>
    <n v="450647.795942"/>
    <n v="14361624.727996999"/>
    <n v="10956548.592325"/>
    <n v="27.189236154129446"/>
    <n v="50"/>
    <n v="1792060.7955149999"/>
    <n v="2180396.2604109999"/>
    <n v="4459594.5351590002"/>
    <n v="4227348.3222249998"/>
    <n v="1708148.793023"/>
    <n v="5664596.7314109998"/>
    <n v="1166856.6226540008"/>
    <n v="6115244.5273529999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  <n v="68.843584130551861"/>
    <s v="3. Vulnerable (&gt;=60 y &lt;70)"/>
  </r>
  <r>
    <s v="81"/>
    <s v="81000"/>
    <x v="3"/>
    <x v="51"/>
    <n v="4"/>
    <s v="N/A"/>
    <s v="Del Llano"/>
    <n v="30109.057852999998"/>
    <n v="244620.76264100001"/>
    <n v="370058.700901"/>
    <n v="49513.888716999994"/>
    <n v="8792.1599659999993"/>
    <n v="333259.83750200004"/>
    <n v="18501.991699999999"/>
    <n v="89284.392137999996"/>
    <n v="37605.030095999995"/>
    <n v="0"/>
    <n v="-14880.498643000028"/>
    <n v="56672.337827000003"/>
    <n v="0"/>
    <n v="1290623.2658160001"/>
    <n v="677132.26076900004"/>
    <n v="64.187469361036165"/>
    <n v="70"/>
    <n v="49324.494471999998"/>
    <n v="58822.049183000003"/>
    <n v="333353.27889399999"/>
    <n v="311804.13501899998"/>
    <n v="274729.82049399999"/>
    <n v="370058.700901"/>
    <n v="41791.839183999975"/>
    <n v="370058.70090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  <n v="51.186608356161841"/>
    <s v="2. Riesgo (&gt;=40 y &lt;60)"/>
  </r>
  <r>
    <s v="08"/>
    <s v="08000"/>
    <x v="3"/>
    <x v="33"/>
    <n v="1"/>
    <s v="N/A"/>
    <s v="Caribe"/>
    <n v="0"/>
    <n v="481591.39182599995"/>
    <n v="1603683.2893439999"/>
    <n v="639026.43422399997"/>
    <n v="296363.20218499994"/>
    <n v="1607868.4976029999"/>
    <n v="25905.723109999999"/>
    <n v="936342.46884999995"/>
    <n v="555787.702819"/>
    <n v="113958.637302"/>
    <n v="-310647.51297100005"/>
    <n v="136837.24488700001"/>
    <n v="527712.31049599999"/>
    <n v="5003770.71215"/>
    <n v="2536165.0810890002"/>
    <n v="32.333513805782218"/>
    <n v="55"/>
    <n v="899465.62714"/>
    <n v="822926.98657199997"/>
    <n v="1549243.4210349999"/>
    <n v="1227197.63579"/>
    <n v="481591.39182599995"/>
    <n v="1603683.2893439999"/>
    <n v="-59851.630782000022"/>
    <n v="2131395.5998399998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  <n v="67.899974692601404"/>
    <s v="3. Vulnerable (&gt;=60 y &lt;70)"/>
  </r>
  <r>
    <s v="13"/>
    <s v="13000"/>
    <x v="3"/>
    <x v="34"/>
    <n v="1"/>
    <s v="N/A"/>
    <s v="Caribe"/>
    <n v="0"/>
    <n v="913695.39040799998"/>
    <n v="1666732.3174399999"/>
    <n v="421059.49491000001"/>
    <n v="160789.46922299999"/>
    <n v="1622824.5231549998"/>
    <n v="961.45631100000003"/>
    <n v="581848.964133"/>
    <n v="216733.41467299999"/>
    <n v="51713.429916000001"/>
    <n v="-60513.404335999861"/>
    <n v="173209.12760599999"/>
    <n v="45000"/>
    <n v="3719552.3405789998"/>
    <n v="3258556.5031349999"/>
    <n v="61.617439621570469"/>
    <n v="55"/>
    <n v="474580.80184899998"/>
    <n v="450190.37723799999"/>
    <n v="1363635.791775"/>
    <n v="1181509.1197510001"/>
    <n v="913695.39040799998"/>
    <n v="1666732.3174399999"/>
    <n v="164409.15318600013"/>
    <n v="1711732.3174399999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  <n v="42.085960409147482"/>
    <s v="2. Riesgo (&gt;=40 y &lt;60)"/>
  </r>
  <r>
    <s v="15"/>
    <s v="15000"/>
    <x v="3"/>
    <x v="5"/>
    <n v="1"/>
    <s v="N/A"/>
    <s v="Centro Oriente"/>
    <n v="0"/>
    <n v="792473.63756200008"/>
    <n v="1420268.732081"/>
    <n v="404855.47992299998"/>
    <n v="43990.007371"/>
    <n v="1417519.699948"/>
    <n v="10674.980749999999"/>
    <n v="451441.32001299999"/>
    <n v="253509.68873699996"/>
    <n v="16085.080384999999"/>
    <n v="-70528.433475000085"/>
    <n v="222701.51098799999"/>
    <n v="31671.411477000001"/>
    <n v="4782029.6766579999"/>
    <n v="2336981.9760139999"/>
    <n v="43.501004097567922"/>
    <n v="55"/>
    <n v="419333.21735200001"/>
    <n v="417105.59775900003"/>
    <n v="1292865.53428"/>
    <n v="1139800.6235430001"/>
    <n v="792473.63756200008"/>
    <n v="1420268.732081"/>
    <n v="168258.15789799992"/>
    <n v="1451940.143558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  <n v="57.261420293666461"/>
    <s v="2. Riesgo (&gt;=40 y &lt;60)"/>
  </r>
  <r>
    <s v="17"/>
    <s v="17000"/>
    <x v="3"/>
    <x v="35"/>
    <n v="2"/>
    <s v="N/A"/>
    <s v="Eje Cafetero"/>
    <n v="0"/>
    <n v="450286.99479899998"/>
    <n v="984962.23442300013"/>
    <n v="233923.67282499999"/>
    <n v="123832.357439"/>
    <n v="834837.01954600005"/>
    <n v="169075.44768500002"/>
    <n v="361659.43781600002"/>
    <n v="164886.484191"/>
    <n v="21753.611606999999"/>
    <n v="-6649.2221240000799"/>
    <n v="138264.37872099999"/>
    <n v="44237.847815000001"/>
    <n v="3529365.723183"/>
    <n v="2207580.019353"/>
    <n v="39.399462547470627"/>
    <n v="60"/>
    <n v="223151.64033600001"/>
    <n v="265962.122042"/>
    <n v="794838.50292200001"/>
    <n v="735214.10199999996"/>
    <n v="450286.99479899998"/>
    <n v="984962.23442300013"/>
    <n v="153368.76820399991"/>
    <n v="1029200.082238000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  <n v="61.555646180142674"/>
    <s v="3. Vulnerable (&gt;=60 y &lt;70)"/>
  </r>
  <r>
    <s v="18"/>
    <s v="18000"/>
    <x v="3"/>
    <x v="36"/>
    <n v="4"/>
    <s v="N/A"/>
    <s v="Centro Sur Amazonia"/>
    <n v="0"/>
    <n v="268438.70236300002"/>
    <n v="417207.44781899999"/>
    <n v="77392.158637"/>
    <n v="27446.771142000001"/>
    <n v="393850.55815900001"/>
    <n v="3050.981683"/>
    <n v="105954.90638499999"/>
    <n v="38555.959730999995"/>
    <n v="841.21625500000005"/>
    <n v="-29150.735068000038"/>
    <n v="64940.249766000001"/>
    <n v="2500"/>
    <n v="1150291.720405"/>
    <n v="662833.46281499998"/>
    <n v="63.850091459608407"/>
    <n v="70"/>
    <n v="65088.055999999997"/>
    <n v="82206.178755999994"/>
    <n v="378959.236233"/>
    <n v="348813.037389"/>
    <n v="268438.70236300002"/>
    <n v="417207.44781899999"/>
    <n v="36630.730952999962"/>
    <n v="419707.44781899999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  <n v="48.971250622754766"/>
    <s v="2. Riesgo (&gt;=40 y &lt;60)"/>
  </r>
  <r>
    <s v="85"/>
    <s v="85000"/>
    <x v="3"/>
    <x v="52"/>
    <n v="3"/>
    <s v="N/A"/>
    <s v="Del Llano"/>
    <n v="30109.057851999998"/>
    <n v="228911.26804300002"/>
    <n v="553078.37683600001"/>
    <n v="158427.985507"/>
    <n v="50541.451228000005"/>
    <n v="1096573.1743999999"/>
    <n v="0"/>
    <n v="240786.19702600001"/>
    <n v="135206.35305400001"/>
    <n v="0"/>
    <n v="-563.64433600008488"/>
    <n v="68535.564731000006"/>
    <n v="0"/>
    <n v="3392284.5204039998"/>
    <n v="669984.83466499997"/>
    <n v="57.852022612366049"/>
    <n v="70"/>
    <n v="121316.393381"/>
    <n v="207675.249453"/>
    <n v="448062.17719999998"/>
    <n v="400751.83343399997"/>
    <n v="259020.32589500002"/>
    <n v="553078.37683600001"/>
    <n v="67971.920394999921"/>
    <n v="553078.3768360000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  <n v="55.796764264571728"/>
    <s v="2. Riesgo (&gt;=40 y &lt;60)"/>
  </r>
  <r>
    <s v="19"/>
    <s v="19000"/>
    <x v="3"/>
    <x v="37"/>
    <n v="3"/>
    <s v="N/A"/>
    <s v="Pacifico"/>
    <n v="0"/>
    <n v="1114309.8660890001"/>
    <n v="1539779.4888460003"/>
    <n v="148586.424994"/>
    <n v="119385.03152999999"/>
    <n v="1451083.9791770002"/>
    <n v="6274.7557669999997"/>
    <n v="269104.36723199999"/>
    <n v="129390.91616899997"/>
    <n v="3436.8677309999998"/>
    <n v="-6281.0528810000978"/>
    <n v="339729.42427900003"/>
    <n v="4634.6248189999997"/>
    <n v="3571240.4643020001"/>
    <n v="1337492.1441220001"/>
    <n v="48.266820190145872"/>
    <n v="70"/>
    <n v="156637.01415999999"/>
    <n v="163984.65431000001"/>
    <n v="1406347.090664"/>
    <n v="1310442.6065450001"/>
    <n v="1114309.8660890001"/>
    <n v="1539779.4888460003"/>
    <n v="336885.23912899994"/>
    <n v="1544414.1136650003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  <n v="49.134093336695301"/>
    <s v="2. Riesgo (&gt;=40 y &lt;60)"/>
  </r>
  <r>
    <s v="20"/>
    <s v="20000"/>
    <x v="3"/>
    <x v="38"/>
    <n v="2"/>
    <s v="N/A"/>
    <s v="Caribe"/>
    <n v="0"/>
    <n v="568496.49386499997"/>
    <n v="1057632.6996209999"/>
    <n v="221033.41530599998"/>
    <n v="98338.136108000006"/>
    <n v="1803062.6119929999"/>
    <n v="961268.41009000002"/>
    <n v="320364.55025099998"/>
    <n v="202046.06509399999"/>
    <n v="10757.321447"/>
    <n v="-55264.31556300004"/>
    <n v="163743.40888100001"/>
    <n v="46398"/>
    <n v="4477617.1364430003"/>
    <n v="1242687.811797"/>
    <n v="51.788428483941516"/>
    <n v="60"/>
    <n v="204462.58078300001"/>
    <n v="264984.52338899998"/>
    <n v="994578.56992499996"/>
    <n v="846432.20963699999"/>
    <n v="568496.49386499997"/>
    <n v="1057632.6996209999"/>
    <n v="119236.41476499996"/>
    <n v="1104030.6996209999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  <n v="73.040468377285023"/>
    <s v="4. Solvente (&gt;=70 y &lt;80)"/>
  </r>
  <r>
    <s v="27"/>
    <s v="27000"/>
    <x v="3"/>
    <x v="40"/>
    <n v="3"/>
    <s v="N/A"/>
    <s v="Pacifico"/>
    <n v="0"/>
    <n v="518697.60873800004"/>
    <n v="656112.21831000003"/>
    <n v="100633.80316"/>
    <n v="9516.3565689999978"/>
    <n v="598844.99029499991"/>
    <n v="13348.375322999998"/>
    <n v="110150.15972899999"/>
    <n v="32795.823357000001"/>
    <n v="4120.9272810000002"/>
    <n v="-20087.108356999815"/>
    <n v="56057.526241"/>
    <n v="3999.9996259999998"/>
    <n v="2226540.3175889999"/>
    <n v="618554.82496899995"/>
    <n v="68.497339794911397"/>
    <n v="70"/>
    <n v="102019.77401199999"/>
    <n v="102596.66250000001"/>
    <n v="598844.99029500003"/>
    <n v="522746.90524599998"/>
    <n v="518697.60873800004"/>
    <n v="656112.21831000003"/>
    <n v="40091.345165000181"/>
    <n v="660112.21793599997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  <n v="49.309712977695945"/>
    <s v="2. Riesgo (&gt;=40 y &lt;60)"/>
  </r>
  <r>
    <s v="23"/>
    <s v="23000"/>
    <x v="3"/>
    <x v="12"/>
    <n v="1"/>
    <s v="N/A"/>
    <s v="Caribe"/>
    <n v="0"/>
    <n v="978445.12108700001"/>
    <n v="1456149.1216790001"/>
    <n v="297648.30452199996"/>
    <n v="28289.356760999995"/>
    <n v="1477039.1428989999"/>
    <n v="168084.338192"/>
    <n v="327068.46887499996"/>
    <n v="96150.111237999954"/>
    <n v="21058.249906000001"/>
    <n v="-134771.30760299973"/>
    <n v="277637.59239300003"/>
    <n v="35966.985868000003"/>
    <n v="3474160.7841400001"/>
    <n v="2461583.4731490002"/>
    <n v="53.432429362089771"/>
    <n v="55"/>
    <n v="262658.07809199998"/>
    <n v="310692.86822800001"/>
    <n v="1360002.071645"/>
    <n v="1231526.206156"/>
    <n v="978445.12108700001"/>
    <n v="1456149.1216790001"/>
    <n v="163924.53469600028"/>
    <n v="1492116.107547000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  <n v="54.743139869469104"/>
    <s v="2. Riesgo (&gt;=40 y &lt;60)"/>
  </r>
  <r>
    <s v="25"/>
    <s v="25000"/>
    <x v="3"/>
    <x v="39"/>
    <s v="ESP"/>
    <s v="N/A"/>
    <s v="Centro Oriente"/>
    <n v="0"/>
    <n v="1030276.7389849999"/>
    <n v="3890273.0365129998"/>
    <n v="2021570.7743540001"/>
    <n v="483032.25101999997"/>
    <n v="3679655.6525650001"/>
    <n v="65209.160143000001"/>
    <n v="2506279.2171089998"/>
    <n v="1643874.4981379998"/>
    <n v="151873.143553"/>
    <n v="-537294.77478800062"/>
    <n v="637762.48821099999"/>
    <n v="302881.69056700001"/>
    <n v="9858466.470005"/>
    <n v="6064243.4129560003"/>
    <n v="38.317461322288672"/>
    <n v="50"/>
    <n v="1922463.3929999999"/>
    <n v="2170041.9152560001"/>
    <n v="3565163.0923299999"/>
    <n v="3441575.7587660002"/>
    <n v="1030276.7389849999"/>
    <n v="3890273.0365129998"/>
    <n v="252340.85697599937"/>
    <n v="4193154.7270799996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  <n v="70.577998418508969"/>
    <s v="4. Solvente (&gt;=70 y &lt;80)"/>
  </r>
  <r>
    <s v="94"/>
    <s v="94000"/>
    <x v="3"/>
    <x v="55"/>
    <n v="4"/>
    <s v="N/A"/>
    <s v="Del Llano"/>
    <n v="32052.834347"/>
    <n v="121758.90069400001"/>
    <n v="229426.096036"/>
    <n v="32052.448767999998"/>
    <n v="10662.393081"/>
    <n v="211980.30491799998"/>
    <n v="21277.377533999999"/>
    <n v="74767.676196"/>
    <n v="49399.980131000004"/>
    <n v="0"/>
    <n v="2327.8700890000036"/>
    <n v="57423.3"/>
    <n v="0"/>
    <n v="1190668.2160080001"/>
    <n v="210115.538382"/>
    <n v="39.905063745860033"/>
    <n v="70"/>
    <n v="25305.142346000001"/>
    <n v="42181.569073999999"/>
    <n v="201730.529882"/>
    <n v="169284.409526"/>
    <n v="153811.73504100001"/>
    <n v="229426.096036"/>
    <n v="59751.170089000007"/>
    <n v="229426.096036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  <n v="60.192762500214521"/>
    <s v="3. Vulnerable (&gt;=60 y &lt;70)"/>
  </r>
  <r>
    <s v="44"/>
    <s v="44000"/>
    <x v="3"/>
    <x v="15"/>
    <n v="4"/>
    <s v="N/A"/>
    <s v="Caribe"/>
    <n v="0"/>
    <n v="432792.04677300004"/>
    <n v="659772.82426100003"/>
    <n v="149588.67584499999"/>
    <n v="6202.2442130000009"/>
    <n v="590639.87921599997"/>
    <n v="19963.567631999998"/>
    <n v="156183.56567099999"/>
    <n v="97733.370874999993"/>
    <n v="0"/>
    <n v="44708.357206999906"/>
    <n v="132664.319858"/>
    <n v="0"/>
    <n v="1843736.4700579999"/>
    <n v="970017.64069699997"/>
    <n v="54.858545092602739"/>
    <n v="70"/>
    <n v="169936.40880400001"/>
    <n v="151841.199964"/>
    <n v="556614.27225799998"/>
    <n v="506383.101104"/>
    <n v="432792.04677300004"/>
    <n v="659772.82426100003"/>
    <n v="177372.67706499991"/>
    <n v="659772.82426100003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  <n v="51.289648405266874"/>
    <s v="2. Riesgo (&gt;=40 y &lt;60)"/>
  </r>
  <r>
    <s v="95"/>
    <s v="95000"/>
    <x v="3"/>
    <x v="56"/>
    <n v="4"/>
    <s v="N/A"/>
    <s v="Del Llano"/>
    <n v="30109.057851999998"/>
    <n v="115904.68685700002"/>
    <n v="213747.46528800001"/>
    <n v="39885.399039999997"/>
    <n v="12972.119031999999"/>
    <n v="199091.13940800002"/>
    <n v="30446.000562999998"/>
    <n v="83555.023097999991"/>
    <n v="27939.247814999981"/>
    <n v="2023.8711129999999"/>
    <n v="-14336.350742000039"/>
    <n v="36566.169228999999"/>
    <n v="10336.739"/>
    <n v="1033793.912004"/>
    <n v="239034.512476"/>
    <n v="76.223272471524439"/>
    <n v="70"/>
    <n v="29629.268241000002"/>
    <n v="51606.82518"/>
    <n v="173275.300621"/>
    <n v="151020.09189499999"/>
    <n v="146013.74470900002"/>
    <n v="213747.46528800001"/>
    <n v="24253.689599999962"/>
    <n v="224084.2042880000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  <n v="54.703989321379105"/>
    <s v="2. Riesgo (&gt;=40 y &lt;60)"/>
  </r>
  <r>
    <s v="41"/>
    <s v="41000"/>
    <x v="3"/>
    <x v="41"/>
    <n v="2"/>
    <s v="N/A"/>
    <s v="Centro Sur Amazonia"/>
    <n v="0"/>
    <n v="552386.17730700003"/>
    <n v="1072217.7698230001"/>
    <n v="242796.02807599999"/>
    <n v="99937.971677999987"/>
    <n v="1392260.4980540001"/>
    <n v="137666.498433"/>
    <n v="345242.59515000001"/>
    <n v="152099.53471400001"/>
    <n v="8785"/>
    <n v="-146184.68955200003"/>
    <n v="159765.89663599999"/>
    <n v="39664.536824000003"/>
    <n v="2592812.929238"/>
    <n v="1665205.7061040001"/>
    <n v="43.901676421073141"/>
    <n v="60"/>
    <n v="259314.56281599999"/>
    <n v="263296.37923600001"/>
    <n v="1025259.398939"/>
    <n v="896200.36975800002"/>
    <n v="552386.17730700003"/>
    <n v="1072217.7698230001"/>
    <n v="22366.207083999965"/>
    <n v="1111882.306647000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  <n v="59.115468161383646"/>
    <s v="2. Riesgo (&gt;=40 y &lt;60)"/>
  </r>
  <r>
    <s v="47"/>
    <s v="47000"/>
    <x v="3"/>
    <x v="42"/>
    <n v="2"/>
    <s v="N/A"/>
    <s v="Caribe"/>
    <n v="0"/>
    <n v="769770.56024000002"/>
    <n v="1403563.094885"/>
    <n v="315338.45581700001"/>
    <n v="191139.329726"/>
    <n v="1290305.846896"/>
    <n v="139782.42813699998"/>
    <n v="508133.867264"/>
    <n v="260088.06254700001"/>
    <n v="11948.434433"/>
    <n v="-48598.716215000022"/>
    <n v="370610.926783"/>
    <n v="52000"/>
    <n v="2540860.1916809999"/>
    <n v="1148459.874636"/>
    <n v="56.190341891655848"/>
    <n v="60"/>
    <n v="467800.92988399998"/>
    <n v="491807.41420699999"/>
    <n v="1204116.0063829999"/>
    <n v="951819.28443999996"/>
    <n v="769770.56024000002"/>
    <n v="1403563.094885"/>
    <n v="333960.64500099997"/>
    <n v="1455563.094885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  <n v="47.286319359308919"/>
    <s v="2. Riesgo (&gt;=40 y &lt;60)"/>
  </r>
  <r>
    <s v="50"/>
    <s v="50000"/>
    <x v="3"/>
    <x v="43"/>
    <n v="1"/>
    <s v="N/A"/>
    <s v="Del Llano"/>
    <n v="0"/>
    <n v="367742.22785100003"/>
    <n v="1003491.107913"/>
    <n v="392754.42291100003"/>
    <n v="83630.413635999997"/>
    <n v="1036143.394596"/>
    <n v="1690.0210619999998"/>
    <n v="478357.34229000006"/>
    <n v="238175.20581000004"/>
    <n v="20531.735135999999"/>
    <n v="14013.970280000125"/>
    <n v="214831.07516099999"/>
    <n v="9589.5893020000003"/>
    <n v="9281976.9695849996"/>
    <n v="1517473.794581"/>
    <n v="47.133611605767292"/>
    <n v="55"/>
    <n v="396975.78305000003"/>
    <n v="428118.18178099999"/>
    <n v="749295.00115300005"/>
    <n v="699508.50942400005"/>
    <n v="367742.22785100003"/>
    <n v="1003491.107913"/>
    <n v="249376.78057700011"/>
    <n v="1013080.697215000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  <n v="57.850808436658269"/>
    <s v="2. Riesgo (&gt;=40 y &lt;60)"/>
  </r>
  <r>
    <s v="52"/>
    <s v="52000"/>
    <x v="3"/>
    <x v="20"/>
    <n v="1"/>
    <s v="N/A"/>
    <s v="Pacifico"/>
    <n v="0"/>
    <n v="838042.98374599998"/>
    <n v="1418053.782226"/>
    <n v="262920.875451"/>
    <n v="112400.97011699998"/>
    <n v="1318807.2755100003"/>
    <n v="68129.740449000004"/>
    <n v="380352.763034"/>
    <n v="201675.24735200001"/>
    <n v="0"/>
    <n v="-24226.290997000178"/>
    <n v="307094.85618599999"/>
    <n v="0"/>
    <n v="3663680.8840509998"/>
    <n v="1839751.5539210001"/>
    <n v="40.974796783731129"/>
    <n v="55"/>
    <n v="169458.29485100001"/>
    <n v="241042.38814699999"/>
    <n v="1263602.557541"/>
    <n v="1058052.3178630001"/>
    <n v="838042.98374599998"/>
    <n v="1418053.782226"/>
    <n v="282868.56518899981"/>
    <n v="1418053.782226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  <n v="54.568742123437204"/>
    <s v="2. Riesgo (&gt;=40 y &lt;60)"/>
  </r>
  <r>
    <s v="54"/>
    <s v="54000"/>
    <x v="3"/>
    <x v="59"/>
    <n v="2"/>
    <s v="N/A"/>
    <s v="Centro Oriente"/>
    <n v="0"/>
    <n v="657569.02635299996"/>
    <n v="1264450.177254"/>
    <n v="359782.37497800001"/>
    <n v="114017.61197199998"/>
    <n v="1278002.1065479999"/>
    <n v="19148.126222999999"/>
    <n v="475945.67609299999"/>
    <n v="267853.75635199994"/>
    <n v="28984.038911"/>
    <n v="-220493.13948399993"/>
    <n v="304822.466954"/>
    <n v="35000"/>
    <n v="2737803.3007220002"/>
    <n v="1531063.4872610001"/>
    <n v="47.293900337534566"/>
    <n v="60"/>
    <n v="316082.59749900002"/>
    <n v="406252.47766799998"/>
    <n v="1276851.3969970001"/>
    <n v="1039302.6069660001"/>
    <n v="657569.02635299996"/>
    <n v="1264450.177254"/>
    <n v="113313.36638100009"/>
    <n v="1299450.177254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  <n v="58.138669449431433"/>
    <s v="2. Riesgo (&gt;=40 y &lt;60)"/>
  </r>
  <r>
    <s v="86"/>
    <s v="86000"/>
    <x v="3"/>
    <x v="53"/>
    <n v="4"/>
    <s v="N/A"/>
    <s v="Centro Sur Amazonia"/>
    <n v="30109.057853999999"/>
    <n v="361245.93584399996"/>
    <n v="532641.1586529999"/>
    <n v="59075.089930999995"/>
    <n v="28024.984209999991"/>
    <n v="496786.292197"/>
    <n v="53313.271164999998"/>
    <n v="117813.18519299998"/>
    <n v="41798.974231999979"/>
    <n v="757.12473299999999"/>
    <n v="-40159.344505000161"/>
    <n v="71100.773107000001"/>
    <n v="0"/>
    <n v="1589336.115431"/>
    <n v="432224.62767199997"/>
    <n v="64.818630015215476"/>
    <n v="70"/>
    <n v="52924.317827999999"/>
    <n v="68250.256492999993"/>
    <n v="496786.292197"/>
    <n v="437892.78838500002"/>
    <n v="391354.99369799998"/>
    <n v="532641.1586529999"/>
    <n v="31698.553334999837"/>
    <n v="532641.1586529999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  <n v="61.018549629217262"/>
    <s v="3. Vulnerable (&gt;=60 y &lt;70)"/>
  </r>
  <r>
    <s v="63"/>
    <s v="63000"/>
    <x v="3"/>
    <x v="45"/>
    <n v="3"/>
    <s v="N/A"/>
    <s v="Eje Cafetero"/>
    <n v="0"/>
    <n v="192184.54999000003"/>
    <n v="476193.105568"/>
    <n v="174488.99472399999"/>
    <n v="63919.002297999985"/>
    <n v="414232.60491700005"/>
    <n v="6599.0570420000004"/>
    <n v="245155.94325699998"/>
    <n v="122746.74656199997"/>
    <n v="2864.5663129999998"/>
    <n v="-47320.299210000027"/>
    <n v="96895.836473000003"/>
    <n v="14841"/>
    <n v="1478197.7244180001"/>
    <n v="875866.68843600003"/>
    <n v="70.70008694576758"/>
    <n v="70"/>
    <n v="157728.98678000001"/>
    <n v="191371.76823799999"/>
    <n v="399373.20808299998"/>
    <n v="367906.08167500002"/>
    <n v="192184.54999000003"/>
    <n v="476193.105568"/>
    <n v="52440.10357599998"/>
    <n v="491034.105568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  <n v="49.997613010596091"/>
    <s v="2. Riesgo (&gt;=40 y &lt;60)"/>
  </r>
  <r>
    <s v="66"/>
    <s v="66000"/>
    <x v="3"/>
    <x v="46"/>
    <n v="2"/>
    <s v="N/A"/>
    <s v="Eje Cafetero"/>
    <n v="0"/>
    <n v="225678.87617500001"/>
    <n v="751998.12486500002"/>
    <n v="266481.76376399997"/>
    <n v="117822.26447500002"/>
    <n v="657700.67057800002"/>
    <n v="7661.1679019999992"/>
    <n v="384683.95663000003"/>
    <n v="243460.19305200002"/>
    <n v="2125.2653949999999"/>
    <n v="-44206.707900000038"/>
    <n v="342417.71611699997"/>
    <n v="12540.445141"/>
    <n v="2928379.5990399998"/>
    <n v="1362417.347688"/>
    <n v="59.191628274728544"/>
    <n v="60"/>
    <n v="259071.10682399999"/>
    <n v="298277.47541200003"/>
    <n v="654981.06918700004"/>
    <n v="609097.87561800005"/>
    <n v="225678.87617500001"/>
    <n v="751998.12486500002"/>
    <n v="300336.27361199993"/>
    <n v="764538.57000599999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  <n v="46.727185051941774"/>
    <s v="2. Riesgo (&gt;=40 y &lt;60)"/>
  </r>
  <r>
    <s v="88"/>
    <s v="88000"/>
    <x v="3"/>
    <x v="25"/>
    <n v="3"/>
    <s v="N/A"/>
    <s v="Caribe"/>
    <n v="59527.163401999998"/>
    <n v="63826.354435000001"/>
    <n v="471556.57726699999"/>
    <n v="60685.420497999999"/>
    <n v="102286.42011799999"/>
    <n v="272635.160172"/>
    <n v="61789.106067000001"/>
    <n v="222983.817882"/>
    <n v="-18194.058334000001"/>
    <n v="0"/>
    <n v="-42256.459121000022"/>
    <n v="93363.497713999997"/>
    <n v="0"/>
    <n v="1885018.8876"/>
    <n v="358866.16067999997"/>
    <n v="83.494438600324543"/>
    <n v="70"/>
    <n v="233789.5"/>
    <n v="162889.64419299999"/>
    <n v="272635.160172"/>
    <n v="248155.70200700001"/>
    <n v="123353.51783699999"/>
    <n v="471556.57726699999"/>
    <n v="51107.038592999976"/>
    <n v="471556.57726699999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  <n v="61.035211188085682"/>
    <s v="3. Vulnerable (&gt;=60 y &lt;70)"/>
  </r>
  <r>
    <s v="68"/>
    <s v="68000"/>
    <x v="3"/>
    <x v="47"/>
    <n v="1"/>
    <s v="N/A"/>
    <s v="Centro Oriente"/>
    <n v="0"/>
    <n v="760865.00191399991"/>
    <n v="1880718.7261239998"/>
    <n v="758862.68155999994"/>
    <n v="89511.249306000012"/>
    <n v="1755374.0170819999"/>
    <n v="224636.59049900001"/>
    <n v="851049.97987899999"/>
    <n v="357382.97740999999"/>
    <n v="39885.072628000002"/>
    <n v="-92915.5612420002"/>
    <n v="423910.55848800001"/>
    <n v="0"/>
    <n v="6204947.1158199999"/>
    <n v="5118431.6710839998"/>
    <n v="55.327929440342459"/>
    <n v="55"/>
    <n v="747914.07731199998"/>
    <n v="799197.89053800004"/>
    <n v="1479967.2848970001"/>
    <n v="1280178.212299"/>
    <n v="760865.00191399991"/>
    <n v="1880718.7261239998"/>
    <n v="370880.0698739998"/>
    <n v="1880718.7261239998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  <n v="54.728703106808155"/>
    <s v="2. Riesgo (&gt;=40 y &lt;60)"/>
  </r>
  <r>
    <s v="70"/>
    <s v="70000"/>
    <x v="3"/>
    <x v="48"/>
    <n v="3"/>
    <s v="N/A"/>
    <s v="Caribe"/>
    <n v="0"/>
    <n v="622135.80472399993"/>
    <n v="874096.66727399989"/>
    <n v="193730.11619000003"/>
    <n v="25296.859053"/>
    <n v="1001046.6668789999"/>
    <n v="171697.10267699999"/>
    <n v="220152.42357800002"/>
    <n v="124817.00716700002"/>
    <n v="4364.0891140000003"/>
    <n v="-146021.2798919999"/>
    <n v="148676.87523400001"/>
    <n v="29741.495198000001"/>
    <n v="1827951.2538069999"/>
    <n v="643440.89253099996"/>
    <n v="68.509472017601155"/>
    <n v="70"/>
    <n v="161093.271656"/>
    <n v="215601.21788499999"/>
    <n v="924782.53075499996"/>
    <n v="831177.22487000003"/>
    <n v="622135.80472399993"/>
    <n v="874096.66727399989"/>
    <n v="7019.6844560001045"/>
    <n v="903838.16247199988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  <n v="67.505629872697114"/>
    <s v="3. Vulnerable (&gt;=60 y &lt;70)"/>
  </r>
  <r>
    <s v="73"/>
    <s v="73000"/>
    <x v="3"/>
    <x v="49"/>
    <n v="2"/>
    <s v="N/A"/>
    <s v="Centro Sur Amazonia"/>
    <n v="0"/>
    <n v="781651.69561299996"/>
    <n v="1398515.6663210001"/>
    <n v="323801.35674800002"/>
    <n v="109464.46976399996"/>
    <n v="1309026.6474750002"/>
    <n v="38356.491267999998"/>
    <n v="449397.64377299999"/>
    <n v="163486.732953"/>
    <n v="11022.610366999999"/>
    <n v="-108118.2007360002"/>
    <n v="111357.31282399999"/>
    <n v="0"/>
    <n v="2903897.1383859999"/>
    <n v="2409190.2070439998"/>
    <n v="45.23033447574992"/>
    <n v="60"/>
    <n v="365408.52856300003"/>
    <n v="368856.357862"/>
    <n v="1220722.9562369999"/>
    <n v="1089822.754153"/>
    <n v="781651.69561299996"/>
    <n v="1398515.6663210001"/>
    <n v="14261.722454999792"/>
    <n v="1398515.666321000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  <n v="53.32915750967652"/>
    <s v="2. Riesgo (&gt;=40 y &lt;60)"/>
  </r>
  <r>
    <s v="76"/>
    <s v="76000"/>
    <x v="3"/>
    <x v="50"/>
    <s v="ESP"/>
    <s v="N/A"/>
    <s v="Pacifico"/>
    <n v="0"/>
    <n v="666471.29688000004"/>
    <n v="2927856.9061650001"/>
    <n v="1255262.0270110001"/>
    <n v="536532.74213900021"/>
    <n v="2861466.0987970005"/>
    <n v="131006.24646900001"/>
    <n v="1799060.1740150002"/>
    <n v="1145701.8042320004"/>
    <n v="83466.884858000005"/>
    <n v="-456089.08877800032"/>
    <n v="656796.71949699998"/>
    <n v="282700"/>
    <n v="7642654.332711"/>
    <n v="5487223.3509569997"/>
    <n v="41.506255663648851"/>
    <n v="50"/>
    <n v="1337333.3999999999"/>
    <n v="1401963.2016739999"/>
    <n v="2735442.0966579998"/>
    <n v="2473164.8479860001"/>
    <n v="666471.29688000004"/>
    <n v="2927856.9061650001"/>
    <n v="284174.51557699963"/>
    <n v="3210556.906165000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  <n v="72.901944189514623"/>
    <s v="4. Solvente (&gt;=70 y &lt;80)"/>
  </r>
  <r>
    <s v="97"/>
    <s v="97000"/>
    <x v="3"/>
    <x v="57"/>
    <n v="4"/>
    <s v="N/A"/>
    <s v="Del Llano"/>
    <n v="33878.025674000004"/>
    <n v="93061.367834999997"/>
    <n v="171401.18383600001"/>
    <n v="16325.403121000001"/>
    <n v="6869.1605740000005"/>
    <n v="143151.347431"/>
    <n v="3685.1894430000002"/>
    <n v="57169.944511000009"/>
    <n v="37849.19728800001"/>
    <n v="0"/>
    <n v="8929.0891819999961"/>
    <n v="71354.469631999993"/>
    <n v="0"/>
    <n v="795563.97648800001"/>
    <n v="82848.783683999995"/>
    <n v="31.699567882771845"/>
    <n v="70"/>
    <n v="13923.240895000001"/>
    <n v="20907.741061000001"/>
    <n v="143151.347431"/>
    <n v="127383.235881"/>
    <n v="126939.393509"/>
    <n v="171401.18383600001"/>
    <n v="80283.558813999989"/>
    <n v="171401.1838360000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  <n v="49.247659183115147"/>
    <s v="2. Riesgo (&gt;=40 y &lt;60)"/>
  </r>
  <r>
    <s v="99"/>
    <s v="99000"/>
    <x v="3"/>
    <x v="58"/>
    <n v="4"/>
    <s v="N/A"/>
    <s v="Del Llano"/>
    <n v="31815.996584"/>
    <n v="92002.330484000006"/>
    <n v="186330.676661"/>
    <n v="25586.605261999997"/>
    <n v="3279.0660430000003"/>
    <n v="336885.50049100001"/>
    <n v="11241.129569000001"/>
    <n v="60736.314959999996"/>
    <n v="26145.160438999999"/>
    <n v="0"/>
    <n v="-19452.488021999976"/>
    <n v="42707.098946999999"/>
    <n v="0"/>
    <n v="777997.68094999995"/>
    <n v="142866.19673"/>
    <n v="60.751441670887942"/>
    <n v="70"/>
    <n v="18779.037500999999"/>
    <n v="28606.393351999999"/>
    <n v="171192.01016199999"/>
    <n v="144835.52415899999"/>
    <n v="123818.32706800001"/>
    <n v="186330.676661"/>
    <n v="23254.610925000023"/>
    <n v="186330.67666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  <n v="49.265135076260194"/>
    <s v="2. Riesgo (&gt;=40 y &lt;60)"/>
  </r>
  <r>
    <s v="85"/>
    <s v="85000"/>
    <x v="4"/>
    <x v="52"/>
    <n v="3"/>
    <n v="2"/>
    <s v="Del Llano"/>
    <n v="38395.44728"/>
    <n v="308281.44166700001"/>
    <n v="660627.00222100003"/>
    <n v="156752.284017"/>
    <n v="33766.266918000001"/>
    <n v="1585364.5364659999"/>
    <n v="763817.85988799995"/>
    <n v="231171.32487400001"/>
    <n v="124862.96584200002"/>
    <n v="0"/>
    <n v="23172.669216000126"/>
    <n v="77702.277233999994"/>
    <n v="0"/>
    <n v="3349108.0104901399"/>
    <n v="760401.17518092005"/>
    <n v="58.857956198107821"/>
    <n v="70"/>
    <n v="132141.89499299999"/>
    <n v="190518.55093500001"/>
    <n v="531145.97397299996"/>
    <n v="483908.63408400002"/>
    <n v="346676.88894700003"/>
    <n v="660627.00222100003"/>
    <n v="100874.94645000012"/>
    <n v="660627.00222100003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  <n v="70.904287562117048"/>
    <s v="4. Solvente (&gt;=70 y &lt;80)"/>
  </r>
  <r>
    <s v="20"/>
    <s v="20000"/>
    <x v="4"/>
    <x v="38"/>
    <n v="2"/>
    <n v="1"/>
    <s v="Caribe"/>
    <n v="0"/>
    <n v="733540.14494499995"/>
    <n v="1194410.662451"/>
    <n v="197634.02874699997"/>
    <n v="95108.676294000004"/>
    <n v="2247293.306084"/>
    <n v="1170419.7787840001"/>
    <n v="293817.31616699998"/>
    <n v="155223.90327099996"/>
    <n v="16430.388867999998"/>
    <n v="-140064.48679900006"/>
    <n v="264839.138033"/>
    <n v="0"/>
    <n v="4488299.4582816102"/>
    <n v="1128571.06672379"/>
    <n v="56.859487648151962"/>
    <n v="60"/>
    <n v="252189.04891300001"/>
    <n v="292742.70504099998"/>
    <n v="1195881.7363539999"/>
    <n v="981801.93388599996"/>
    <n v="733540.14494499995"/>
    <n v="1194410.662451"/>
    <n v="141205.04010199994"/>
    <n v="1194410.662451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  <n v="68.748150787999663"/>
    <s v="3. Vulnerable (&gt;=60 y &lt;70)"/>
  </r>
  <r>
    <s v="08"/>
    <s v="08000"/>
    <x v="4"/>
    <x v="33"/>
    <n v="1"/>
    <n v="1"/>
    <s v="Caribe"/>
    <n v="0"/>
    <n v="613214.49442399992"/>
    <n v="1792448.22015"/>
    <n v="648804.75106299995"/>
    <n v="312951.84524999995"/>
    <n v="1508455.6662699997"/>
    <n v="80998.806712999998"/>
    <n v="963048.00407799997"/>
    <n v="700025.650884"/>
    <n v="249.866985"/>
    <n v="107792.87727400032"/>
    <n v="156154.243514"/>
    <n v="146588.59011799999"/>
    <n v="5939780.0461517097"/>
    <n v="3685234.1660671402"/>
    <n v="36.7992801202994"/>
    <n v="55"/>
    <n v="1033190.3746569999"/>
    <n v="961756.59631299996"/>
    <n v="1421632.9896819997"/>
    <n v="1108603.8555920001"/>
    <n v="613214.49442399992"/>
    <n v="1792448.22015"/>
    <n v="264196.98777300026"/>
    <n v="1939036.810268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  <n v="61.84893636683325"/>
    <s v="3. Vulnerable (&gt;=60 y &lt;70)"/>
  </r>
  <r>
    <s v="41"/>
    <s v="41000"/>
    <x v="4"/>
    <x v="41"/>
    <n v="2"/>
    <n v="1"/>
    <s v="Centro Sur Amazonia"/>
    <n v="0"/>
    <n v="726090.31134199991"/>
    <n v="1261111.410192"/>
    <n v="249601.39709400001"/>
    <n v="104320.959225"/>
    <n v="1501813.0259969998"/>
    <n v="333724.66065000003"/>
    <n v="380551.81654100004"/>
    <n v="230279.28714900001"/>
    <n v="10892.071433999999"/>
    <n v="57069.969900999917"/>
    <n v="70168.469190999996"/>
    <n v="24006"/>
    <n v="2828675.3000359903"/>
    <n v="1992773.9845161699"/>
    <n v="42.378078734352705"/>
    <n v="60"/>
    <n v="346220.58923799999"/>
    <n v="353922.35631900001"/>
    <n v="1053768.910899"/>
    <n v="967476.52415800001"/>
    <n v="726090.31134199991"/>
    <n v="1261111.410192"/>
    <n v="138130.51052599991"/>
    <n v="1285117.410192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  <n v="60.742783661202992"/>
    <s v="3. Vulnerable (&gt;=60 y &lt;70)"/>
  </r>
  <r>
    <s v="70"/>
    <s v="70000"/>
    <x v="4"/>
    <x v="48"/>
    <n v="3"/>
    <n v="1"/>
    <s v="Caribe"/>
    <n v="0"/>
    <n v="794600.99794000003"/>
    <n v="1121664.691475"/>
    <n v="189688.68285000004"/>
    <n v="23895.687479"/>
    <n v="1323859.7135429999"/>
    <n v="294338.07861099998"/>
    <n v="214811.89594000005"/>
    <n v="106073.52391500006"/>
    <n v="8134.6273789999996"/>
    <n v="-134788.34735699976"/>
    <n v="72577.641629999998"/>
    <n v="19696.618559999999"/>
    <n v="1914616.78390003"/>
    <n v="658527.88325849001"/>
    <n v="73.022087157755863"/>
    <n v="70"/>
    <n v="225915.89512299999"/>
    <n v="213584.37032900006"/>
    <n v="1147714.6668069998"/>
    <n v="912722.37294499995"/>
    <n v="794600.99794000003"/>
    <n v="1121664.691475"/>
    <n v="-54076.078347999763"/>
    <n v="1141361.3100350001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  <n v="60.525919514240925"/>
    <s v="3. Vulnerable (&gt;=60 y &lt;70)"/>
  </r>
  <r>
    <s v="81"/>
    <s v="81000"/>
    <x v="4"/>
    <x v="51"/>
    <n v="4"/>
    <n v="3"/>
    <s v="Del Llano"/>
    <n v="38395.447283000001"/>
    <n v="334519.54699199996"/>
    <n v="470889.45357200003"/>
    <n v="46530.751636000001"/>
    <n v="7338.7985479999998"/>
    <n v="461033.86440700002"/>
    <n v="68984.892301999993"/>
    <n v="93143.385584000003"/>
    <n v="38973.168938000003"/>
    <n v="0"/>
    <n v="-28161.367277999932"/>
    <n v="49606.297112"/>
    <n v="0"/>
    <n v="1395880.8783835301"/>
    <n v="746298.07535215002"/>
    <n v="62.20677166019005"/>
    <n v="70"/>
    <n v="43614.66"/>
    <n v="53869.550184"/>
    <n v="444880.60420399997"/>
    <n v="396261.58978400001"/>
    <n v="372914.99427499995"/>
    <n v="470889.45357200003"/>
    <n v="21444.929834000068"/>
    <n v="470889.45357200003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  <n v="59.190463853359461"/>
    <s v="2. Riesgo (&gt;=40 y &lt;60)"/>
  </r>
  <r>
    <s v="95"/>
    <s v="95000"/>
    <x v="4"/>
    <x v="56"/>
    <n v="4"/>
    <n v="3"/>
    <s v="Del Llano"/>
    <n v="38395.447281000001"/>
    <n v="153598.708724"/>
    <n v="264537.82666999998"/>
    <n v="39890.196195000004"/>
    <n v="13253.501839999999"/>
    <n v="258662.48024799998"/>
    <n v="55051.211652999998"/>
    <n v="92109.642462999996"/>
    <n v="33377.357230000001"/>
    <n v="2713.6376319999999"/>
    <n v="9875.7509719999798"/>
    <n v="26459.691760000002"/>
    <n v="0"/>
    <n v="1055273.8893259999"/>
    <n v="229925.19654400001"/>
    <n v="64.189240597773178"/>
    <n v="70"/>
    <n v="31205.725396999998"/>
    <n v="53143.698035000001"/>
    <n v="195929.790465"/>
    <n v="183377.96952899999"/>
    <n v="191994.156005"/>
    <n v="264537.82666999998"/>
    <n v="39049.080363999979"/>
    <n v="264537.82666999998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  <n v="58.566767148313708"/>
    <s v="2. Riesgo (&gt;=40 y &lt;60)"/>
  </r>
  <r>
    <s v="99"/>
    <s v="99000"/>
    <x v="4"/>
    <x v="58"/>
    <n v="4"/>
    <n v="3"/>
    <s v="Del Llano"/>
    <n v="43789.647294000002"/>
    <n v="150808.18316300001"/>
    <n v="284467.94299100002"/>
    <n v="31602.745857000002"/>
    <n v="3565.9492529999998"/>
    <n v="381023.93484200002"/>
    <n v="86377.033859999996"/>
    <n v="79040.400446"/>
    <n v="44314.967016000002"/>
    <n v="0"/>
    <n v="63099.85115100001"/>
    <n v="58662.266529"/>
    <n v="0"/>
    <n v="799695.57270899997"/>
    <n v="183941.604567"/>
    <n v="49.148880312651386"/>
    <n v="70"/>
    <n v="22699.514874"/>
    <n v="35168.695110000001"/>
    <n v="186642.65841"/>
    <n v="162628.676385"/>
    <n v="194597.830457"/>
    <n v="284467.94299100002"/>
    <n v="121762.11768000001"/>
    <n v="284467.94299100002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  <n v="58.223626018736937"/>
    <s v="2. Riesgo (&gt;=40 y &lt;60)"/>
  </r>
  <r>
    <s v="17"/>
    <s v="17000"/>
    <x v="4"/>
    <x v="35"/>
    <n v="2"/>
    <n v="1"/>
    <s v="Eje Cafetero"/>
    <n v="0"/>
    <n v="547697.65824500006"/>
    <n v="1108493.1248659999"/>
    <n v="255588.44728999998"/>
    <n v="131031.36120099999"/>
    <n v="991249.02254700009"/>
    <n v="199314.610128"/>
    <n v="390864.523254"/>
    <n v="179574.52416699997"/>
    <n v="23153.576560000001"/>
    <n v="-28744.894046000205"/>
    <n v="182715.21759799999"/>
    <n v="0"/>
    <n v="3763171.8214059998"/>
    <n v="2348179.566596"/>
    <n v="43.33356962532077"/>
    <n v="60"/>
    <n v="342822.15150400001"/>
    <n v="386619.80849099997"/>
    <n v="925948.01982500008"/>
    <n v="848491.87223600002"/>
    <n v="547697.65824500006"/>
    <n v="1108493.1248659999"/>
    <n v="177123.90011199977"/>
    <n v="1108493.1248659999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  <n v="57.887935182259362"/>
    <s v="2. Riesgo (&gt;=40 y &lt;60)"/>
  </r>
  <r>
    <s v="44"/>
    <s v="44000"/>
    <x v="4"/>
    <x v="15"/>
    <n v="4"/>
    <n v="2"/>
    <s v="Caribe"/>
    <n v="0"/>
    <n v="529266.39564200002"/>
    <n v="787928.97170700005"/>
    <n v="178577.22758599999"/>
    <n v="11270.064468"/>
    <n v="923482.92813000013"/>
    <n v="71587.703214000008"/>
    <n v="190214.12937399998"/>
    <n v="120400.45204799998"/>
    <n v="0"/>
    <n v="-8242.9542510000756"/>
    <n v="97771.430519999994"/>
    <n v="0"/>
    <n v="1882358.3930086598"/>
    <n v="919864.11451718991"/>
    <n v="56.121867755665754"/>
    <n v="70"/>
    <n v="163725.741197"/>
    <n v="189847.29205399999"/>
    <n v="726358.24863200018"/>
    <n v="663560.28995600005"/>
    <n v="529266.39564200002"/>
    <n v="787928.97170700005"/>
    <n v="89528.476268999919"/>
    <n v="787928.97170700005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  <n v="57.419127374306115"/>
    <s v="2. Riesgo (&gt;=40 y &lt;60)"/>
  </r>
  <r>
    <s v="86"/>
    <s v="86000"/>
    <x v="4"/>
    <x v="53"/>
    <n v="4"/>
    <n v="3"/>
    <s v="Centro Sur Amazonia"/>
    <n v="38395.447281000001"/>
    <n v="475545.15639999998"/>
    <n v="670136.59288899996"/>
    <n v="56749.077140999994"/>
    <n v="33669.962288000002"/>
    <n v="580983.7935400001"/>
    <n v="34895.123702000004"/>
    <n v="129625.05613099999"/>
    <n v="42785.293429999991"/>
    <n v="705.011619"/>
    <n v="2313.036647999892"/>
    <n v="42288.558229000002"/>
    <n v="0"/>
    <n v="1608240.8868507301"/>
    <n v="438661.56260007003"/>
    <n v="59.63003613516539"/>
    <n v="70"/>
    <n v="76452.411703000005"/>
    <n v="90419.039428999997"/>
    <n v="580983.7935400001"/>
    <n v="546872.92164700001"/>
    <n v="513940.60368099995"/>
    <n v="670136.59288899996"/>
    <n v="45306.606495999891"/>
    <n v="670136.59288899996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  <n v="56.380107254116687"/>
    <s v="2. Riesgo (&gt;=40 y &lt;60)"/>
  </r>
  <r>
    <s v="94"/>
    <s v="94000"/>
    <x v="4"/>
    <x v="55"/>
    <n v="4"/>
    <n v="3"/>
    <s v="Del Llano"/>
    <n v="47578.505463000001"/>
    <n v="130245.510431"/>
    <n v="279469.08718999999"/>
    <n v="37811.921450000002"/>
    <n v="4357.0553110000001"/>
    <n v="261857.78476099996"/>
    <n v="7577.3214749999997"/>
    <n v="89747.482224000007"/>
    <n v="61049.601786000007"/>
    <n v="0"/>
    <n v="16597.179263000027"/>
    <n v="76474.107325000004"/>
    <n v="0"/>
    <n v="1344687.6497638898"/>
    <n v="202090.99397945998"/>
    <n v="40.579655239987225"/>
    <n v="70"/>
    <n v="36985.625482000003"/>
    <n v="42168.976760999998"/>
    <n v="234174.02748899997"/>
    <n v="179960.41031000001"/>
    <n v="177824.01589400001"/>
    <n v="279469.08718999999"/>
    <n v="93071.286588000032"/>
    <n v="279469.08718999999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  <n v="55.457030868659032"/>
    <s v="2. Riesgo (&gt;=40 y &lt;60)"/>
  </r>
  <r>
    <s v="66"/>
    <s v="66000"/>
    <x v="4"/>
    <x v="46"/>
    <n v="2"/>
    <n v="1"/>
    <s v="Eje Cafetero"/>
    <n v="0"/>
    <n v="284735.83281400002"/>
    <n v="778410.57756100013"/>
    <n v="284209.30659400002"/>
    <n v="131837.036081"/>
    <n v="737223.13341199991"/>
    <n v="24542.074837"/>
    <n v="416624.24691000005"/>
    <n v="282832.13774800004"/>
    <n v="6730.276347"/>
    <n v="-63123.581061999896"/>
    <n v="302952.38820300001"/>
    <n v="0"/>
    <n v="2827515.7054590001"/>
    <n v="1489406.265048"/>
    <n v="38.100670362076649"/>
    <n v="60"/>
    <n v="366587.07485700003"/>
    <n v="416046.34267500002"/>
    <n v="707742.04946100002"/>
    <n v="646992.22171800002"/>
    <n v="284735.83281400002"/>
    <n v="778410.57756100013"/>
    <n v="246559.08348800012"/>
    <n v="778410.5775610001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  <n v="54.74197396775984"/>
    <s v="2. Riesgo (&gt;=40 y &lt;60)"/>
  </r>
  <r>
    <s v="97"/>
    <s v="97000"/>
    <x v="4"/>
    <x v="57"/>
    <n v="4"/>
    <n v="3"/>
    <s v="Del Llano"/>
    <n v="39243.516512000002"/>
    <n v="114381.297871"/>
    <n v="219720.16740199999"/>
    <n v="14204.409812999998"/>
    <n v="2468.894659"/>
    <n v="215313.48372300004"/>
    <n v="9940.8798700000007"/>
    <n v="56050.031894"/>
    <n v="33164.851843999997"/>
    <n v="0"/>
    <n v="-18478.496371000045"/>
    <n v="94494.120458000005"/>
    <n v="0"/>
    <n v="904982.18007643009"/>
    <n v="155716.04743124"/>
    <n v="35.673340508708584"/>
    <n v="70"/>
    <n v="15324.035715"/>
    <n v="16673.304472"/>
    <n v="215313.48372300004"/>
    <n v="172557.74295399999"/>
    <n v="153624.81438300002"/>
    <n v="219720.16740199999"/>
    <n v="76015.62408699996"/>
    <n v="219720.16740199999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  <n v="52.785252102588885"/>
    <s v="2. Riesgo (&gt;=40 y &lt;60)"/>
  </r>
  <r>
    <s v="27"/>
    <s v="27000"/>
    <x v="4"/>
    <x v="40"/>
    <n v="3"/>
    <n v="3"/>
    <s v="Pacifico"/>
    <n v="0"/>
    <n v="697181.19780099997"/>
    <n v="884464.58065999998"/>
    <n v="108414.43075599999"/>
    <n v="14041.734782"/>
    <n v="795101.06739600003"/>
    <n v="14099.388326999999"/>
    <n v="122585.24121999998"/>
    <n v="43437.606785999975"/>
    <n v="0"/>
    <n v="10215.878829999943"/>
    <n v="56804.907994000001"/>
    <n v="0"/>
    <n v="2415160.61956756"/>
    <n v="587798.06815544993"/>
    <n v="65.607177278687956"/>
    <n v="70"/>
    <n v="106739.682441"/>
    <n v="122456.16553799999"/>
    <n v="795101.06739600003"/>
    <n v="635898.94187400001"/>
    <n v="697181.19780099997"/>
    <n v="884464.58065999998"/>
    <n v="67020.786823999952"/>
    <n v="884464.58065999998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  <n v="52.449158484693996"/>
    <s v="2. Riesgo (&gt;=40 y &lt;60)"/>
  </r>
  <r>
    <s v="19"/>
    <s v="19000"/>
    <x v="4"/>
    <x v="37"/>
    <n v="3"/>
    <n v="2"/>
    <s v="Pacifico"/>
    <n v="0"/>
    <n v="1427772.6895050001"/>
    <n v="1853197.0564049999"/>
    <n v="164768.36675799999"/>
    <n v="120786.640801"/>
    <n v="1748202.1074060001"/>
    <n v="20032.813782999998"/>
    <n v="286731.92538099998"/>
    <n v="143500.05002099997"/>
    <n v="3336.9935070000001"/>
    <n v="46995.985376999946"/>
    <n v="283471.02739200002"/>
    <n v="0"/>
    <n v="3600160.6356799998"/>
    <n v="1217557.4699810001"/>
    <n v="40.362800755076059"/>
    <n v="70"/>
    <n v="296348.40035700001"/>
    <n v="285555.00755899999"/>
    <n v="1662969.195668"/>
    <n v="1627602.724533"/>
    <n v="1427772.6895050001"/>
    <n v="1853197.0564049999"/>
    <n v="333804.00627599994"/>
    <n v="1853197.0564049999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  <n v="52.242421503037733"/>
    <s v="2. Riesgo (&gt;=40 y &lt;60)"/>
  </r>
  <r>
    <s v="05"/>
    <s v="05000"/>
    <x v="4"/>
    <x v="32"/>
    <s v="ESP"/>
    <n v="1"/>
    <s v="Eje Cafetero"/>
    <n v="0"/>
    <n v="2185756.971653"/>
    <n v="6362170.0811090004"/>
    <n v="2105396.8552489998"/>
    <n v="1262248.3300910001"/>
    <n v="5557896.2575310012"/>
    <n v="235150.95785900002"/>
    <n v="3392717.2894199998"/>
    <n v="2174780.558923"/>
    <n v="267602.986661"/>
    <n v="-176685.35771200061"/>
    <n v="1110806.930898"/>
    <n v="295876.12081400002"/>
    <n v="16095790.780893"/>
    <n v="13366808.623283001"/>
    <n v="22.328067188505255"/>
    <n v="50"/>
    <n v="3062505.434471"/>
    <n v="3367645.1853399999"/>
    <n v="5320918.7083240012"/>
    <n v="4228125.5784480004"/>
    <n v="2185756.971653"/>
    <n v="6362170.0811090004"/>
    <n v="1201724.5598469994"/>
    <n v="6658046.2019230006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  <n v="51.715650716131883"/>
    <s v="2. Riesgo (&gt;=40 y &lt;60)"/>
  </r>
  <r>
    <s v="76"/>
    <s v="76000"/>
    <x v="4"/>
    <x v="50"/>
    <s v="ESP"/>
    <n v="1"/>
    <s v="Pacifico"/>
    <n v="0"/>
    <n v="844229.16659100004"/>
    <n v="3135605.3948600003"/>
    <n v="1352480.6639190002"/>
    <n v="536270.10542299994"/>
    <n v="2610293.7489539995"/>
    <n v="139266.69566999999"/>
    <n v="1898684.7041500001"/>
    <n v="1164245.1855330002"/>
    <n v="104937.465207"/>
    <n v="-137093.01294099959"/>
    <n v="536851.578645"/>
    <n v="99026.817550000007"/>
    <n v="7801580.7395869996"/>
    <n v="7030761.6766950004"/>
    <n v="36.923552388861985"/>
    <n v="50"/>
    <n v="2079941.328216"/>
    <n v="1888750.7693420001"/>
    <n v="2538258.889184"/>
    <n v="2072622.598911"/>
    <n v="844229.16659100004"/>
    <n v="3135605.3948600003"/>
    <n v="504696.03091100045"/>
    <n v="3234632.2124100002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  <n v="51.338436603757202"/>
    <s v="2. Riesgo (&gt;=40 y &lt;60)"/>
  </r>
  <r>
    <s v="63"/>
    <s v="63000"/>
    <x v="4"/>
    <x v="45"/>
    <n v="3"/>
    <n v="1"/>
    <s v="Eje Cafetero"/>
    <n v="0"/>
    <n v="247915.077942"/>
    <n v="570595.63944100006"/>
    <n v="182889.382514"/>
    <n v="70655.147545"/>
    <n v="467817.60280400002"/>
    <n v="19002.664891"/>
    <n v="262696.91963700001"/>
    <n v="125312.79227000001"/>
    <n v="4780.9623449999999"/>
    <n v="-21218.394548999961"/>
    <n v="86608.220205999998"/>
    <n v="9992"/>
    <n v="1486724.1470891498"/>
    <n v="1033831.26306513"/>
    <n v="65.957669876017576"/>
    <n v="70"/>
    <n v="247840.51360000001"/>
    <n v="253544.53005900001"/>
    <n v="454429.90662299999"/>
    <n v="406866.05854300002"/>
    <n v="247915.077942"/>
    <n v="570595.63944100006"/>
    <n v="70170.788002000045"/>
    <n v="580587.63944100006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  <n v="51.266435649482084"/>
    <s v="2. Riesgo (&gt;=40 y &lt;60)"/>
  </r>
  <r>
    <s v="73"/>
    <s v="73000"/>
    <x v="4"/>
    <x v="49"/>
    <n v="2"/>
    <n v="1"/>
    <s v="Centro Sur Amazonia"/>
    <n v="0"/>
    <n v="922607.49961099995"/>
    <n v="1533876.1647489998"/>
    <n v="339427.799467"/>
    <n v="120173.889303"/>
    <n v="1425343.4202559998"/>
    <n v="139679.12536199999"/>
    <n v="467996.62284900004"/>
    <n v="178381.20920400007"/>
    <n v="16515.602675999999"/>
    <n v="-35388.975594000192"/>
    <n v="75028.139406000002"/>
    <n v="25478.654648"/>
    <n v="2954459.2630480002"/>
    <n v="2546607.419522"/>
    <n v="54.018930330181824"/>
    <n v="60"/>
    <n v="438338.94099999999"/>
    <n v="459601.68877000001"/>
    <n v="1279649.726698"/>
    <n v="1107732.043514"/>
    <n v="922607.49961099995"/>
    <n v="1533876.1647489998"/>
    <n v="56154.766487999805"/>
    <n v="1559354.8193969997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  <n v="51.019049352857991"/>
    <s v="2. Riesgo (&gt;=40 y &lt;60)"/>
  </r>
  <r>
    <s v="15"/>
    <s v="15000"/>
    <x v="4"/>
    <x v="60"/>
    <n v="1"/>
    <n v="1"/>
    <s v="Centro Oriente"/>
    <n v="0"/>
    <n v="1037404.513596"/>
    <n v="1718143.27141"/>
    <n v="414084.73140799999"/>
    <n v="49767.182120000005"/>
    <n v="1808245.4589729998"/>
    <n v="82140.49567199999"/>
    <n v="466883.425468"/>
    <n v="193972.74046100001"/>
    <n v="15531.916338000001"/>
    <n v="-52567.197331999894"/>
    <n v="228876.6557"/>
    <n v="12988"/>
    <n v="4790164.257278"/>
    <n v="3144837.2145699998"/>
    <n v="47.421976111362262"/>
    <n v="55"/>
    <n v="474729.390266"/>
    <n v="463851.913528"/>
    <n v="1497799.7837349998"/>
    <n v="1358590.5652989999"/>
    <n v="1037404.513596"/>
    <n v="1718143.27141"/>
    <n v="191841.37470600012"/>
    <n v="1731131.27141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  <n v="50.830507842121456"/>
    <s v="2. Riesgo (&gt;=40 y &lt;60)"/>
  </r>
  <r>
    <s v="47"/>
    <s v="47000"/>
    <x v="4"/>
    <x v="42"/>
    <n v="2"/>
    <n v="2"/>
    <s v="Caribe"/>
    <n v="0"/>
    <n v="978405.80939200008"/>
    <n v="1728010.500585"/>
    <n v="361342.20928299997"/>
    <n v="217174.20707800001"/>
    <n v="1372639.4936800001"/>
    <n v="73689.641975999999"/>
    <n v="579953.18987899995"/>
    <n v="340315.85727799998"/>
    <n v="14624.313248"/>
    <n v="119629.54046599986"/>
    <n v="365813.96740099997"/>
    <n v="0"/>
    <n v="2384504.73148567"/>
    <n v="1061797.99948857"/>
    <n v="53.84333155105454"/>
    <n v="60"/>
    <n v="524388.88300100004"/>
    <n v="578516.41636099992"/>
    <n v="1368743.6275180001"/>
    <n v="1239754.137197"/>
    <n v="978405.80939200008"/>
    <n v="1728010.500585"/>
    <n v="500067.82111499982"/>
    <n v="1728010.500585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  <n v="50.456294378068634"/>
    <s v="2. Riesgo (&gt;=40 y &lt;60)"/>
  </r>
  <r>
    <s v="25"/>
    <s v="25000"/>
    <x v="4"/>
    <x v="39"/>
    <s v="ESP"/>
    <n v="1"/>
    <s v="Centro Oriente"/>
    <n v="0"/>
    <n v="1372393.2780589999"/>
    <n v="4381426.5535510005"/>
    <n v="2125447.5530950003"/>
    <n v="488665.80982800003"/>
    <n v="3494692.3127859989"/>
    <n v="52161.21211800001"/>
    <n v="2616224.3748760005"/>
    <n v="1694866.3834730005"/>
    <n v="155747.80640199999"/>
    <n v="230843.84234100161"/>
    <n v="322741.12662599998"/>
    <n v="50000"/>
    <n v="11329020.975275001"/>
    <n v="8129267.4261490004"/>
    <n v="40.708009130634657"/>
    <n v="50"/>
    <n v="2513830.5830000001"/>
    <n v="2614113.3629230005"/>
    <n v="3229224.719806999"/>
    <n v="2376036.9288110002"/>
    <n v="1372393.2780589999"/>
    <n v="4381426.5535510005"/>
    <n v="709332.77536900167"/>
    <n v="4431426.5535510005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  <n v="50.213012769362919"/>
    <s v="2. Riesgo (&gt;=40 y &lt;60)"/>
  </r>
  <r>
    <s v="50"/>
    <s v="50000"/>
    <x v="4"/>
    <x v="43"/>
    <n v="1"/>
    <n v="2"/>
    <s v="Del Llano"/>
    <n v="0"/>
    <n v="477741.64059000002"/>
    <n v="1168811.3508339999"/>
    <n v="440063.11970799998"/>
    <n v="101478.55342"/>
    <n v="2097596.0306840003"/>
    <n v="108820.29268299999"/>
    <n v="543919.80503599998"/>
    <n v="276614.34844799998"/>
    <n v="16503.389425000001"/>
    <n v="108323.59092899971"/>
    <n v="229792.64669699999"/>
    <n v="1055.3461460000001"/>
    <n v="9793544.5702299997"/>
    <n v="1684628.5061890001"/>
    <n v="54.086360895312524"/>
    <n v="55"/>
    <n v="507315.76708199998"/>
    <n v="541541.67312799999"/>
    <n v="793182.30331700016"/>
    <n v="750403.41817700001"/>
    <n v="477741.64059000002"/>
    <n v="1168811.3508339999"/>
    <n v="354619.62705099973"/>
    <n v="1169866.69698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  <n v="49.869589935637997"/>
    <s v="2. Riesgo (&gt;=40 y &lt;60)"/>
  </r>
  <r>
    <s v="54"/>
    <s v="54000"/>
    <x v="4"/>
    <x v="59"/>
    <n v="2"/>
    <n v="1"/>
    <s v="Centro Oriente"/>
    <n v="0"/>
    <n v="821121.2143179999"/>
    <n v="1494513.9546359999"/>
    <n v="411675.92043200007"/>
    <n v="94670.163279"/>
    <n v="1333218.9906040002"/>
    <n v="2456.1210999999998"/>
    <n v="508857.88486100006"/>
    <n v="273233.00115500006"/>
    <n v="27607.295819999999"/>
    <n v="-74329.919674000237"/>
    <n v="240354.87521100001"/>
    <n v="0"/>
    <n v="2875029.5734281098"/>
    <n v="1813946.13598935"/>
    <n v="49.937109007232792"/>
    <n v="60"/>
    <n v="419962.4"/>
    <n v="506346.08371100004"/>
    <n v="1333218.9906040002"/>
    <n v="1061863.448911"/>
    <n v="821121.2143179999"/>
    <n v="1494513.9546359999"/>
    <n v="193632.25135699977"/>
    <n v="1494513.9546359999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  <n v="49.750536717839175"/>
    <s v="2. Riesgo (&gt;=40 y &lt;60)"/>
  </r>
  <r>
    <s v="52"/>
    <s v="52000"/>
    <x v="4"/>
    <x v="20"/>
    <n v="1"/>
    <n v="2"/>
    <s v="Pacifico"/>
    <n v="0"/>
    <n v="1074895.592919"/>
    <n v="1735087.2208159999"/>
    <n v="278240.79785899998"/>
    <n v="122600.39119900001"/>
    <n v="1437365.58791"/>
    <n v="52120.322970000001"/>
    <n v="402969.31321499997"/>
    <n v="192102.62461199996"/>
    <n v="0"/>
    <n v="156443.9962259999"/>
    <n v="243325.765235"/>
    <n v="0"/>
    <n v="3883445.1724989"/>
    <n v="2025692.5013949398"/>
    <n v="48.596816439583918"/>
    <n v="55"/>
    <n v="356107.267146"/>
    <n v="400841.18905799999"/>
    <n v="1367776.535987"/>
    <n v="1260477.7350910001"/>
    <n v="1074895.592919"/>
    <n v="1735087.2208159999"/>
    <n v="399769.7614609999"/>
    <n v="1735087.2208159999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  <n v="48.962741969314941"/>
    <s v="2. Riesgo (&gt;=40 y &lt;60)"/>
  </r>
  <r>
    <s v="91"/>
    <s v="91000"/>
    <x v="4"/>
    <x v="54"/>
    <n v="4"/>
    <n v="3"/>
    <s v="Centro Sur Amazonia"/>
    <n v="43197.547280999999"/>
    <n v="219355.65895299998"/>
    <n v="443840.16529599996"/>
    <n v="21279.93273"/>
    <n v="6135.4171969999998"/>
    <n v="289427.98662800004"/>
    <n v="0"/>
    <n v="70685.802807999993"/>
    <n v="35151.312221999986"/>
    <n v="656.08729100000005"/>
    <n v="118877.68808199989"/>
    <n v="46262.843449"/>
    <n v="0"/>
    <n v="1244982.1268081001"/>
    <n v="382819.50730571995"/>
    <n v="45.961654547627532"/>
    <n v="70"/>
    <n v="24515.865849000002"/>
    <n v="27415.349926999999"/>
    <n v="289427.98662800004"/>
    <n v="239689.44572399999"/>
    <n v="262553.20623399998"/>
    <n v="443840.16529599996"/>
    <n v="165796.6188219999"/>
    <n v="443840.16529599996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  <n v="47.48204325840198"/>
    <s v="2. Riesgo (&gt;=40 y &lt;60)"/>
  </r>
  <r>
    <s v="18"/>
    <s v="18000"/>
    <x v="4"/>
    <x v="36"/>
    <n v="4"/>
    <n v="3"/>
    <s v="Centro Sur Amazonia"/>
    <n v="0"/>
    <n v="346295.09583499999"/>
    <n v="512439.10241000005"/>
    <n v="76704.725252000004"/>
    <n v="31243.289968000001"/>
    <n v="464746.88172500004"/>
    <n v="11276.177185999999"/>
    <n v="109070.695653"/>
    <n v="37149.191204000002"/>
    <n v="741.59935900000005"/>
    <n v="-9881.6285200000275"/>
    <n v="44838.909568000003"/>
    <n v="0"/>
    <n v="1130115.7486920001"/>
    <n v="573079.88855100004"/>
    <n v="69.830555858556821"/>
    <n v="70"/>
    <n v="90116.532999999996"/>
    <n v="107948.01522"/>
    <n v="450399.22648100008"/>
    <n v="414674.78165800002"/>
    <n v="346295.09583499999"/>
    <n v="512439.10241000005"/>
    <n v="35698.880406999975"/>
    <n v="512439.10241000005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  <n v="47.389088088997127"/>
    <s v="2. Riesgo (&gt;=40 y &lt;60)"/>
  </r>
  <r>
    <s v="68"/>
    <s v="68000"/>
    <x v="4"/>
    <x v="47"/>
    <n v="1"/>
    <n v="1"/>
    <s v="Centro Oriente"/>
    <n v="0"/>
    <n v="981141.04008299997"/>
    <n v="2168607.0863290001"/>
    <n v="790653.72198299994"/>
    <n v="99969.87268"/>
    <n v="2107393.4342459999"/>
    <n v="280205.03399199998"/>
    <n v="894550.53268299997"/>
    <n v="367827.11225100001"/>
    <n v="38694.384578999998"/>
    <n v="67402.894890000112"/>
    <n v="342455.01967499999"/>
    <n v="0"/>
    <n v="5660699.5281680599"/>
    <n v="4303516.3952991096"/>
    <n v="46.246537109720173"/>
    <n v="55"/>
    <n v="851059.53658900002"/>
    <n v="890623.59466299997"/>
    <n v="1574480.771007"/>
    <n v="1347817.5299120001"/>
    <n v="981141.04008299997"/>
    <n v="2168607.0863290001"/>
    <n v="448552.29914400011"/>
    <n v="2168607.0863290001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  <n v="46.548663847397748"/>
    <s v="2. Riesgo (&gt;=40 y &lt;60)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91"/>
    <s v="91000"/>
    <x v="0"/>
    <s v=" AMAZONAS"/>
    <s v="4"/>
    <s v="N/A"/>
    <x v="0"/>
    <n v="0"/>
    <n v="130959.10188"/>
    <n v="174009.20267700002"/>
    <m/>
    <m/>
    <n v="161167.91017700001"/>
    <n v="21438.246735000001"/>
    <n v="39576.982459000006"/>
    <n v="14620.794825000004"/>
    <n v="0"/>
    <n v="12278.558688999998"/>
    <n v="26890.689661"/>
    <n v="259.64236599999998"/>
    <n v="863395.92108100001"/>
    <n v="295765.82177400001"/>
    <n v="0.59281022494314861"/>
    <n v="70"/>
    <n v="17832.686947269998"/>
    <n v="14232.522504549999"/>
    <n v="136774.45635260001"/>
    <n v="136774.45635260001"/>
    <m/>
    <m/>
    <m/>
    <m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</r>
  <r>
    <s v="05"/>
    <s v="05000"/>
    <x v="0"/>
    <s v=" ANTIOQUIA"/>
    <s v="ESPECIAL"/>
    <s v="N/A"/>
    <x v="1"/>
    <n v="0"/>
    <n v="1823047.055957"/>
    <n v="4090738.5152229993"/>
    <m/>
    <m/>
    <n v="3571604.038923"/>
    <n v="1222873.4755569999"/>
    <n v="1824093.1233649997"/>
    <n v="818518.62523999962"/>
    <n v="64011.114753000002"/>
    <n v="-371175.35987000074"/>
    <n v="665405.92350799998"/>
    <n v="171872.829203"/>
    <n v="13508051.740302"/>
    <n v="10477575.290440001"/>
    <n v="0.41196507317030118"/>
    <n v="50"/>
    <n v="2310752.6415400002"/>
    <n v="1590618.429792"/>
    <n v="3456339.3769680001"/>
    <n v="3143551.0794009999"/>
    <m/>
    <m/>
    <m/>
    <m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</r>
  <r>
    <s v="81"/>
    <s v="81000"/>
    <x v="0"/>
    <s v=" ARAUCA"/>
    <s v="4"/>
    <s v="N/A"/>
    <x v="2"/>
    <n v="0"/>
    <n v="233214.514383"/>
    <n v="327076.537427"/>
    <m/>
    <m/>
    <n v="414671.794261"/>
    <n v="130231.497038"/>
    <n v="74222.102974000009"/>
    <n v="10364.976889000012"/>
    <n v="0"/>
    <n v="-27648.757681999938"/>
    <n v="88513.885553"/>
    <n v="0"/>
    <n v="1381738.19763729"/>
    <n v="675001.22452742001"/>
    <n v="0.71323396395455096"/>
    <n v="70"/>
    <n v="40045.367928"/>
    <n v="46354.786591689997"/>
    <n v="290868.1690209501"/>
    <n v="268874.40893251001"/>
    <m/>
    <m/>
    <m/>
    <m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</r>
  <r>
    <s v="08"/>
    <s v="08000"/>
    <x v="0"/>
    <s v=" ATLANTICO"/>
    <s v="1"/>
    <s v="N/A"/>
    <x v="3"/>
    <n v="0"/>
    <n v="423897.05522500002"/>
    <n v="1108479.265132"/>
    <m/>
    <m/>
    <n v="959862.66274099995"/>
    <n v="207032.22905300002"/>
    <n v="641055.65673399996"/>
    <n v="436577.13126299996"/>
    <n v="20336.436952"/>
    <n v="-12199.531743000029"/>
    <n v="180126.67610800001"/>
    <n v="0"/>
    <n v="4136488.5105571202"/>
    <n v="1773273.4676698798"/>
    <n v="0.2664599280874963"/>
    <n v="55"/>
    <n v="680934.75025499996"/>
    <n v="625841.27555100003"/>
    <n v="916200.27140354994"/>
    <n v="711308.74987504003"/>
    <m/>
    <m/>
    <m/>
    <m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</r>
  <r>
    <s v="13"/>
    <s v="13000"/>
    <x v="0"/>
    <s v=" BOLIVAR"/>
    <s v="1"/>
    <s v="N/A"/>
    <x v="3"/>
    <n v="0"/>
    <n v="849541.72838999995"/>
    <n v="1304675.519106"/>
    <m/>
    <m/>
    <n v="982722.09742600005"/>
    <n v="126866.03378100001"/>
    <n v="312476.20075199998"/>
    <n v="136689.626598"/>
    <n v="3957.7625739999999"/>
    <n v="156582.53782800003"/>
    <n v="39332.010616"/>
    <n v="0"/>
    <n v="3639178.1014322499"/>
    <n v="2508647.4591360199"/>
    <n v="0.41767080335769385"/>
    <n v="55"/>
    <n v="429944.91303900001"/>
    <n v="308887.05293399998"/>
    <n v="972306.40712400002"/>
    <n v="899886.27521500003"/>
    <m/>
    <m/>
    <m/>
    <m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</r>
  <r>
    <s v="15"/>
    <s v="15000"/>
    <x v="0"/>
    <s v="BOYACÁ"/>
    <s v="1"/>
    <s v="N/A"/>
    <x v="4"/>
    <n v="0"/>
    <n v="735513.793772"/>
    <n v="1174448.7941949998"/>
    <m/>
    <m/>
    <n v="1053987.7997849998"/>
    <n v="197900.91534599999"/>
    <n v="305347.96344599995"/>
    <n v="127383.26872099994"/>
    <n v="6239.9699049999999"/>
    <n v="-6286.9507900001481"/>
    <n v="169419.93925200001"/>
    <n v="15164.550905"/>
    <n v="4425569.8076839997"/>
    <n v="2864148.5348410001"/>
    <n v="0.59334038548744361"/>
    <n v="55"/>
    <n v="338416.14628500002"/>
    <n v="278845.42071600002"/>
    <n v="969587.96775900002"/>
    <n v="851469.39978700003"/>
    <m/>
    <m/>
    <m/>
    <m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</r>
  <r>
    <s v="17"/>
    <s v="17000"/>
    <x v="0"/>
    <s v=" CALDAS"/>
    <s v="2"/>
    <s v="N/A"/>
    <x v="1"/>
    <n v="0"/>
    <n v="374801.11080600001"/>
    <n v="721781.86418500007"/>
    <m/>
    <m/>
    <n v="701520.33515699999"/>
    <n v="197199.462481"/>
    <n v="235883.72903300001"/>
    <n v="119285.541243"/>
    <n v="3590.284302"/>
    <n v="30719.233647000161"/>
    <n v="61709.876664000003"/>
    <n v="14815.686782999999"/>
    <n v="2979685.0001210002"/>
    <n v="1729145.078578"/>
    <n v="0.51439540277856366"/>
    <n v="60"/>
    <n v="251197.860888"/>
    <n v="168877.847668"/>
    <n v="574464.44274800003"/>
    <n v="561980.301675"/>
    <m/>
    <m/>
    <m/>
    <m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</r>
  <r>
    <s v="18"/>
    <s v="18000"/>
    <x v="0"/>
    <s v=" CAQUETA"/>
    <s v="4"/>
    <s v="N/A"/>
    <x v="0"/>
    <n v="0"/>
    <n v="252365.23491500001"/>
    <n v="336102.64341800002"/>
    <m/>
    <m/>
    <n v="423552.08822099998"/>
    <n v="149634.41928199999"/>
    <n v="66859.528201000008"/>
    <n v="24490.540512000007"/>
    <n v="0"/>
    <n v="20350.129827000026"/>
    <n v="30290.510962"/>
    <n v="0"/>
    <n v="1396255.0511729999"/>
    <n v="601675.13314799999"/>
    <n v="0.69405814467109539"/>
    <n v="70"/>
    <n v="74414.829500000007"/>
    <n v="55594.785823190003"/>
    <n v="273383.52590228"/>
    <n v="248564.72516834"/>
    <m/>
    <m/>
    <m/>
    <m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</r>
  <r>
    <s v="85"/>
    <s v="85000"/>
    <x v="0"/>
    <s v=" CASANARE"/>
    <s v="3"/>
    <s v="N/A"/>
    <x v="2"/>
    <n v="0"/>
    <n v="224995.20421699999"/>
    <n v="385441.68354300002"/>
    <m/>
    <m/>
    <n v="367159.54338599998"/>
    <n v="65751.814072000008"/>
    <n v="125612.30413100001"/>
    <n v="58847.265349000008"/>
    <n v="0"/>
    <n v="-10582.229074999981"/>
    <n v="96772.200689999998"/>
    <n v="0"/>
    <n v="2844797.3708309601"/>
    <n v="511187.27396492998"/>
    <n v="0.81349048199814245"/>
    <n v="70"/>
    <n v="81344.475000000006"/>
    <n v="103091.38121944001"/>
    <n v="329258.87383333"/>
    <n v="285450.59743055998"/>
    <m/>
    <m/>
    <m/>
    <m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</r>
  <r>
    <s v="19"/>
    <s v="19000"/>
    <x v="0"/>
    <s v=" CAUCA"/>
    <s v="3"/>
    <s v="N/A"/>
    <x v="5"/>
    <n v="0"/>
    <n v="974101.54360900004"/>
    <n v="1213453.361484"/>
    <m/>
    <m/>
    <n v="1197656.859008"/>
    <n v="164159.27259000001"/>
    <n v="201455.879499"/>
    <n v="114898.16617200001"/>
    <n v="243.877792"/>
    <n v="75816.92493800004"/>
    <n v="168863.30061899999"/>
    <n v="0"/>
    <n v="2978719.401238"/>
    <n v="1127163.8204940001"/>
    <n v="0.37647592551665665"/>
    <n v="70"/>
    <n v="190719.59179899999"/>
    <n v="174847.58821410997"/>
    <n v="1051078.723216"/>
    <n v="1025589.0454169499"/>
    <m/>
    <m/>
    <m/>
    <m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</r>
  <r>
    <s v="20"/>
    <s v="20000"/>
    <x v="0"/>
    <s v=" CESAR"/>
    <s v="2"/>
    <s v="N/A"/>
    <x v="3"/>
    <n v="0"/>
    <n v="559175.75741800002"/>
    <n v="755093.39081400004"/>
    <m/>
    <m/>
    <n v="876700.96031100012"/>
    <n v="232071.064354"/>
    <n v="153895.765506"/>
    <n v="69627.708136000001"/>
    <n v="3722.0527910000001"/>
    <n v="-10913.576682999963"/>
    <n v="99013.684110000002"/>
    <n v="13000"/>
    <n v="2180519.67222013"/>
    <n v="633534.64266595"/>
    <n v="0.57757376607177258"/>
    <n v="60"/>
    <n v="177222.21504400001"/>
    <n v="140615.02988583999"/>
    <n v="681738.91012462985"/>
    <n v="637118.73170350993"/>
    <m/>
    <m/>
    <m/>
    <m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</r>
  <r>
    <s v="27"/>
    <s v="27000"/>
    <x v="0"/>
    <s v=" CHOCO"/>
    <s v="4"/>
    <s v="N/A"/>
    <x v="5"/>
    <n v="0"/>
    <n v="424722.98897000001"/>
    <n v="516648.89210500004"/>
    <m/>
    <m/>
    <n v="636935.97236700007"/>
    <n v="140773.324777"/>
    <n v="72867.392906000008"/>
    <n v="14644.675380000008"/>
    <n v="293.445919"/>
    <n v="21354.708864000044"/>
    <n v="33464.458760000001"/>
    <n v="4000"/>
    <n v="1552859.41135975"/>
    <n v="594427.68954999"/>
    <n v="1.058443034490989"/>
    <n v="70"/>
    <n v="78933.666659179988"/>
    <n v="63987.925201760001"/>
    <n v="402354.69556309999"/>
    <n v="371898.77206799999"/>
    <m/>
    <m/>
    <m/>
    <m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</r>
  <r>
    <s v="23"/>
    <s v="23000"/>
    <x v="0"/>
    <s v="CORDOBA"/>
    <s v="2"/>
    <s v="N/A"/>
    <x v="3"/>
    <n v="0"/>
    <n v="882592.33642299997"/>
    <n v="1165846.91812"/>
    <m/>
    <m/>
    <n v="1044683.213843"/>
    <n v="120148.791495"/>
    <n v="196850.63401200002"/>
    <n v="84211.583615000025"/>
    <n v="3201.6202309999999"/>
    <n v="44648.063164000167"/>
    <n v="171264.06792500001"/>
    <n v="0"/>
    <n v="2582211.8734305296"/>
    <n v="2406960.35024171"/>
    <n v="0.53927972187682582"/>
    <n v="60"/>
    <n v="223416.039193"/>
    <n v="184173.99381056"/>
    <n v="1008559.8045589501"/>
    <n v="954060.80530889006"/>
    <m/>
    <m/>
    <m/>
    <m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</r>
  <r>
    <s v="25"/>
    <s v="25000"/>
    <x v="0"/>
    <s v=" CUNDINAMARCA"/>
    <s v="ESP"/>
    <s v="N/A"/>
    <x v="4"/>
    <n v="0"/>
    <n v="950747.97744399996"/>
    <n v="2336013.7325019999"/>
    <m/>
    <m/>
    <n v="2057403.8309760001"/>
    <n v="585827.30839400005"/>
    <n v="1324128.6298500001"/>
    <n v="902995.13054100005"/>
    <n v="34666.064218"/>
    <n v="-24875.484263000078"/>
    <n v="209487.14686899999"/>
    <n v="0"/>
    <n v="8161084.1474679997"/>
    <n v="6468882.7715290003"/>
    <n v="0.39491318375409079"/>
    <n v="50"/>
    <n v="1358007.5911969999"/>
    <n v="1229742.464799"/>
    <n v="1939755.7174559999"/>
    <n v="1673223.2069969999"/>
    <m/>
    <m/>
    <m/>
    <m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</r>
  <r>
    <s v="94"/>
    <s v="94000"/>
    <x v="0"/>
    <s v=" GUAINIA"/>
    <s v="4"/>
    <s v="N/A"/>
    <x v="2"/>
    <n v="0"/>
    <n v="104184.44317"/>
    <n v="157095.44714100001"/>
    <m/>
    <m/>
    <n v="135991.64415599999"/>
    <n v="20350.627668000001"/>
    <n v="46649.638294000004"/>
    <n v="30007.966993000005"/>
    <n v="0"/>
    <n v="26614.593535000007"/>
    <n v="33191.025887999996"/>
    <n v="0"/>
    <n v="818597.90998776001"/>
    <n v="173205.72895945"/>
    <n v="0.35481372943872053"/>
    <n v="70"/>
    <n v="14430.641718999999"/>
    <n v="17693.46600891"/>
    <n v="113839.18230268"/>
    <n v="97905.799540369961"/>
    <m/>
    <m/>
    <m/>
    <m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</r>
  <r>
    <s v="44"/>
    <s v="44000"/>
    <x v="0"/>
    <s v="LA_GUAJIRA"/>
    <s v="4"/>
    <s v="N/A"/>
    <x v="3"/>
    <n v="0"/>
    <n v="344698.20102099999"/>
    <n v="446730.51522599999"/>
    <m/>
    <m/>
    <n v="440477.41382700001"/>
    <n v="64024.855408999996"/>
    <n v="93704.114190000008"/>
    <n v="34476.511654000009"/>
    <n v="10639.576517"/>
    <n v="30235.19596599997"/>
    <n v="58418.589479000002"/>
    <n v="0"/>
    <n v="1855321.6650371298"/>
    <n v="763969.32662099996"/>
    <n v="0.55353444553340025"/>
    <n v="70"/>
    <n v="80626.019835399988"/>
    <n v="79173.134896790012"/>
    <n v="357267.71672085999"/>
    <n v="334868.79826294008"/>
    <m/>
    <m/>
    <m/>
    <m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</r>
  <r>
    <s v="95"/>
    <s v="95000"/>
    <x v="0"/>
    <s v=" GUAVIARE"/>
    <s v="4"/>
    <s v="N/A"/>
    <x v="2"/>
    <n v="0"/>
    <n v="102708.161672"/>
    <n v="167443.71766900001"/>
    <m/>
    <m/>
    <n v="203759.442274"/>
    <n v="83569.350884999993"/>
    <n v="59244.894110000001"/>
    <n v="31991.052969000004"/>
    <n v="413.20304900000002"/>
    <n v="12631.379937999998"/>
    <n v="19659.574336000001"/>
    <n v="0"/>
    <n v="681034.67078000004"/>
    <n v="148480.80463299999"/>
    <n v="0.54403489873255206"/>
    <n v="70"/>
    <n v="22498.63318664"/>
    <n v="33105.063004750002"/>
    <n v="127558.49658492999"/>
    <n v="115089.43563832001"/>
    <m/>
    <m/>
    <m/>
    <m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</r>
  <r>
    <s v="41"/>
    <s v="41000"/>
    <x v="0"/>
    <s v=" HUILA"/>
    <s v="2"/>
    <s v="N/A"/>
    <x v="0"/>
    <n v="0"/>
    <n v="562989.15482099995"/>
    <n v="851534.13150199992"/>
    <m/>
    <m/>
    <n v="764808.44419099996"/>
    <n v="121772.57840300001"/>
    <n v="184518.46966200002"/>
    <n v="68403.973279000027"/>
    <n v="2479.2347570000002"/>
    <n v="20800.604985999875"/>
    <n v="77122.455176000003"/>
    <n v="6750"/>
    <n v="2538160.34934283"/>
    <n v="1665734.3336429"/>
    <n v="0.613201677855436"/>
    <n v="60"/>
    <n v="209313.84672500001"/>
    <n v="182834.80452449"/>
    <n v="714619.03013009008"/>
    <n v="646554.31719686009"/>
    <m/>
    <m/>
    <m/>
    <m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</r>
  <r>
    <s v="47"/>
    <s v="47000"/>
    <x v="0"/>
    <s v=" MAGDALENA"/>
    <s v="2"/>
    <s v="N/A"/>
    <x v="3"/>
    <n v="0"/>
    <n v="668278.09243399999"/>
    <n v="1030817.15071"/>
    <m/>
    <m/>
    <n v="908020.57822500006"/>
    <n v="121462.52815499999"/>
    <n v="300073.892903"/>
    <n v="146567.57591400002"/>
    <n v="2582.1207410000002"/>
    <n v="57544.821568999905"/>
    <n v="182184.576332"/>
    <n v="0"/>
    <n v="2065432.6019137199"/>
    <n v="1032544.22965119"/>
    <n v="0.53666286338769709"/>
    <n v="60"/>
    <n v="331272.38416800002"/>
    <n v="195845.96638999999"/>
    <n v="819766.01215199998"/>
    <n v="778918.51969900005"/>
    <m/>
    <m/>
    <m/>
    <m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</r>
  <r>
    <s v="50"/>
    <s v="50000"/>
    <x v="0"/>
    <s v=" META"/>
    <s v="1"/>
    <s v="N/A"/>
    <x v="2"/>
    <n v="0"/>
    <n v="360076.01153600001"/>
    <n v="741598.89948699996"/>
    <m/>
    <m/>
    <n v="1248596.9768079999"/>
    <n v="736790.88059199997"/>
    <n v="276715.52591299999"/>
    <n v="151089.54109499999"/>
    <n v="4816.6335079999999"/>
    <n v="66868.809026999981"/>
    <n v="79419.181328999999"/>
    <n v="20725.953559000001"/>
    <n v="7793274.7629720001"/>
    <n v="1494779.557911"/>
    <n v="0.48319036212016719"/>
    <n v="55"/>
    <n v="291835.07135099999"/>
    <n v="233568.081718"/>
    <n v="549104.10564199998"/>
    <n v="424793.077536"/>
    <m/>
    <m/>
    <m/>
    <m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</r>
  <r>
    <s v="52"/>
    <s v="52000"/>
    <x v="0"/>
    <s v="NARIÑO"/>
    <s v="1"/>
    <s v="N/A"/>
    <x v="5"/>
    <n v="0"/>
    <n v="756646.46359199996"/>
    <n v="1095642.9863399998"/>
    <m/>
    <m/>
    <n v="1001888.249933"/>
    <n v="97706.16294699999"/>
    <n v="275382.14987999998"/>
    <n v="151995.07492899999"/>
    <n v="0"/>
    <n v="37643.559714999981"/>
    <n v="186779.04984699999"/>
    <n v="0"/>
    <n v="2909535.9600492101"/>
    <n v="1872202.18830317"/>
    <n v="0.582111213543692"/>
    <n v="55"/>
    <n v="243880.511906"/>
    <n v="200224.188471"/>
    <n v="934612.35167400003"/>
    <n v="840373.27021700004"/>
    <m/>
    <m/>
    <m/>
    <m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</r>
  <r>
    <s v="54"/>
    <s v="54000"/>
    <x v="0"/>
    <s v=" NORTE DE SANTANDER"/>
    <s v="2"/>
    <s v="N/A"/>
    <x v="4"/>
    <n v="0"/>
    <n v="566539.49374800001"/>
    <n v="890398.54063000006"/>
    <m/>
    <m/>
    <n v="869851.88189800002"/>
    <n v="173927.94392300001"/>
    <n v="261448.72087599998"/>
    <n v="141559.80219799996"/>
    <n v="8066.8577070000001"/>
    <n v="29858.984903000062"/>
    <n v="89894.795478999993"/>
    <n v="0"/>
    <n v="2312368.0840334799"/>
    <n v="1566736.1440166398"/>
    <n v="0.38609805823879106"/>
    <n v="60"/>
    <n v="260577.63392200001"/>
    <n v="240879.52262762"/>
    <n v="740650.63704846974"/>
    <n v="701367.59100686992"/>
    <m/>
    <m/>
    <m/>
    <m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</r>
  <r>
    <s v="86"/>
    <s v="86000"/>
    <x v="0"/>
    <s v=" PUTUMAYO"/>
    <s v="4"/>
    <s v="N/A"/>
    <x v="0"/>
    <n v="0"/>
    <n v="338612.71387500002"/>
    <n v="455805.53979499999"/>
    <m/>
    <m/>
    <n v="478255.53993299999"/>
    <n v="79774.325607000006"/>
    <n v="85042.273524999997"/>
    <n v="32864.207079999993"/>
    <n v="0"/>
    <n v="2644.798982999986"/>
    <n v="56764.36"/>
    <n v="0"/>
    <n v="1439639.68213533"/>
    <n v="409930.90668413002"/>
    <n v="0.59613483149630442"/>
    <n v="70"/>
    <n v="49981.353394429992"/>
    <n v="54812.265347630004"/>
    <n v="400982.67436296993"/>
    <n v="343674.06447849999"/>
    <m/>
    <m/>
    <m/>
    <m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</r>
  <r>
    <s v="63"/>
    <s v="63000"/>
    <x v="0"/>
    <s v=" QUINDIO"/>
    <s v="3"/>
    <s v="N/A"/>
    <x v="1"/>
    <n v="0"/>
    <n v="187122.14556400001"/>
    <n v="338837.17063800001"/>
    <m/>
    <m/>
    <n v="250206.95155299999"/>
    <n v="18397.167957000001"/>
    <n v="139493.730503"/>
    <n v="49778.321547"/>
    <n v="864.33332499999995"/>
    <n v="14790.701690000016"/>
    <n v="39765.666732999998"/>
    <n v="0"/>
    <n v="1331899.90950634"/>
    <n v="944653.10955903004"/>
    <n v="0.48391270433525868"/>
    <n v="70"/>
    <n v="148755.03251300001"/>
    <n v="112182.44490421"/>
    <n v="234331.05999179999"/>
    <n v="231838.15665761995"/>
    <m/>
    <m/>
    <m/>
    <m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</r>
  <r>
    <s v="66"/>
    <s v="66000"/>
    <x v="0"/>
    <s v=" RISARALDA"/>
    <s v="2"/>
    <s v="N/A"/>
    <x v="1"/>
    <n v="0"/>
    <n v="216383.15373399999"/>
    <n v="487018.19393000007"/>
    <m/>
    <m/>
    <n v="479900.47848399996"/>
    <n v="114125.61822400001"/>
    <n v="230482.61197800006"/>
    <n v="111157.78105000006"/>
    <n v="2162.1927249999999"/>
    <n v="17583.184501000098"/>
    <n v="72991.799161000003"/>
    <n v="0"/>
    <n v="2371953.4851509999"/>
    <n v="920343.820159"/>
    <n v="0.39382462497839482"/>
    <n v="60"/>
    <n v="245150.95673000001"/>
    <n v="207134.44722999999"/>
    <n v="350110.17850099999"/>
    <n v="337286.38093599997"/>
    <m/>
    <m/>
    <m/>
    <m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</r>
  <r>
    <s v="88"/>
    <s v="88000"/>
    <x v="0"/>
    <s v="SAN ANDRES"/>
    <s v="3"/>
    <s v="N/A"/>
    <x v="3"/>
    <n v="0"/>
    <n v="58123.463732999997"/>
    <n v="335416.83405"/>
    <m/>
    <m/>
    <n v="190186.46202200002"/>
    <n v="23034.527378999999"/>
    <n v="188497.18811300001"/>
    <n v="36074.162771000003"/>
    <n v="0"/>
    <n v="9017.7205709999544"/>
    <n v="174201.57258599999"/>
    <n v="0"/>
    <n v="1495340.2385750301"/>
    <n v="346387.66401549999"/>
    <n v="0.64900471999163301"/>
    <n v="70"/>
    <n v="179595.28959999999"/>
    <n v="76338.491081999993"/>
    <n v="173976.08813700001"/>
    <n v="137657.619828"/>
    <m/>
    <m/>
    <m/>
    <m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</r>
  <r>
    <s v="68"/>
    <s v="68000"/>
    <x v="0"/>
    <s v=" SANTANDER"/>
    <s v="1"/>
    <s v="N/A"/>
    <x v="4"/>
    <n v="0"/>
    <n v="709121.95640000002"/>
    <n v="1324654.178688"/>
    <m/>
    <m/>
    <n v="1069481.365798"/>
    <n v="211246.996655"/>
    <n v="527660.78804499994"/>
    <n v="175878.63406299992"/>
    <n v="6419.5406620000003"/>
    <n v="-68555.57795600011"/>
    <n v="264929.48184999998"/>
    <n v="0"/>
    <n v="6123002.0014306903"/>
    <n v="3993245.8073587404"/>
    <n v="0.46877286476132218"/>
    <n v="55"/>
    <n v="546942.9922637"/>
    <n v="459509.69311829004"/>
    <n v="1041427.6026574498"/>
    <n v="884132.57800323993"/>
    <m/>
    <m/>
    <m/>
    <m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</r>
  <r>
    <s v="70"/>
    <s v="70000"/>
    <x v="0"/>
    <s v=" SUCRE"/>
    <s v="3"/>
    <s v="N/A"/>
    <x v="3"/>
    <n v="0"/>
    <n v="595221.41052100004"/>
    <n v="782215.92260300007"/>
    <m/>
    <m/>
    <n v="870104.29049499996"/>
    <n v="284341.316291"/>
    <n v="105144.66100800001"/>
    <n v="47438.267169000006"/>
    <n v="0"/>
    <n v="39604.238794000004"/>
    <n v="99140.043518000006"/>
    <n v="0"/>
    <n v="1440859.79971439"/>
    <n v="442699.68105716998"/>
    <n v="0.75465378107201009"/>
    <n v="70"/>
    <n v="126926.62852300001"/>
    <n v="104411.720457"/>
    <n v="684905.28997000004"/>
    <n v="668440.10274400003"/>
    <m/>
    <m/>
    <m/>
    <m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</r>
  <r>
    <s v="73"/>
    <s v="73000"/>
    <x v="0"/>
    <s v=" TOLIMA"/>
    <s v="2"/>
    <s v="N/A"/>
    <x v="0"/>
    <n v="0"/>
    <n v="661063.71440299996"/>
    <n v="1090749.046169"/>
    <m/>
    <m/>
    <n v="952539.47547599999"/>
    <n v="210149.00664199999"/>
    <n v="264258.95436600002"/>
    <n v="98140.442016000015"/>
    <n v="479.25375000000003"/>
    <n v="69826.509204000002"/>
    <n v="68108.638932999995"/>
    <n v="0"/>
    <n v="2143643.397508"/>
    <n v="1735599.659467"/>
    <n v="0.32039232771794712"/>
    <n v="60"/>
    <n v="286914.58299999998"/>
    <n v="233234.11642807996"/>
    <n v="854804.02461303968"/>
    <n v="793630.46288964979"/>
    <m/>
    <m/>
    <m/>
    <m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</r>
  <r>
    <s v="76"/>
    <s v="76000"/>
    <x v="0"/>
    <s v=" VALLE DEL CAUCA"/>
    <s v="ESPECIAL"/>
    <s v="N/A"/>
    <x v="5"/>
    <n v="0"/>
    <n v="801933.00294200005"/>
    <n v="2376427.5186029999"/>
    <m/>
    <m/>
    <n v="1844386.9018139997"/>
    <n v="449118.76698199997"/>
    <n v="1200166.2014500001"/>
    <n v="780147.7692770001"/>
    <n v="12528.06885"/>
    <n v="130959.80646899994"/>
    <n v="345189.47594899999"/>
    <n v="39053.721640000003"/>
    <n v="6951931.8646999998"/>
    <n v="5406010.7802100005"/>
    <n v="0.38479524477315413"/>
    <n v="50"/>
    <n v="1238478.9450089999"/>
    <n v="1095325.2689110001"/>
    <n v="1824772.779961"/>
    <n v="1694691.986214"/>
    <m/>
    <m/>
    <m/>
    <m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</r>
  <r>
    <s v="97"/>
    <s v="97000"/>
    <x v="0"/>
    <s v=" VAUPES"/>
    <s v="4"/>
    <s v="N/A"/>
    <x v="2"/>
    <n v="0"/>
    <n v="81044.919661000007"/>
    <n v="123076.37778100002"/>
    <m/>
    <m/>
    <n v="194037.12340300001"/>
    <n v="101439.905994"/>
    <n v="36135.284913000003"/>
    <n v="19748.181658000001"/>
    <n v="0"/>
    <n v="28186.638705999998"/>
    <n v="30331.152119999999"/>
    <n v="0"/>
    <n v="580941.3459033299"/>
    <n v="58513.208935339993"/>
    <n v="0.42714140172301496"/>
    <n v="70"/>
    <n v="5910.0770599999996"/>
    <n v="11547.125066000001"/>
    <n v="78469.145688999997"/>
    <n v="66704.330625999995"/>
    <m/>
    <m/>
    <m/>
    <m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</r>
  <r>
    <s v="99"/>
    <s v="99000"/>
    <x v="0"/>
    <s v=" VICHADA"/>
    <s v="4"/>
    <s v="N/A"/>
    <x v="2"/>
    <n v="0"/>
    <n v="81388.049786999996"/>
    <n v="134318.118888"/>
    <m/>
    <m/>
    <n v="98588.905532000004"/>
    <n v="6668.1085739999999"/>
    <n v="38976.034129"/>
    <n v="20187.909470999999"/>
    <n v="0"/>
    <n v="22095.389936999985"/>
    <n v="19418.080136"/>
    <n v="0"/>
    <n v="558510.07537600002"/>
    <n v="138505.00026100001"/>
    <n v="0.39687618062935293"/>
    <n v="70"/>
    <n v="15711.788"/>
    <n v="12718.48170423"/>
    <n v="93434.604292350006"/>
    <n v="84156.781821830009"/>
    <m/>
    <m/>
    <m/>
    <m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</r>
  <r>
    <s v="05"/>
    <s v="05000"/>
    <x v="1"/>
    <s v="ANTIOQUIA"/>
    <s v="ESP"/>
    <s v="N/A"/>
    <x v="1"/>
    <n v="0"/>
    <n v="1709401.2830000001"/>
    <n v="4592679.4110000003"/>
    <n v="1559056.101"/>
    <n v="926098.66299999994"/>
    <n v="3635276.6460159998"/>
    <n v="1041270.6330000001"/>
    <n v="2496946.9780000001"/>
    <n v="1552525.4240000001"/>
    <n v="87868.123999999996"/>
    <n v="52088.412000000477"/>
    <n v="457101.00599999999"/>
    <n v="0"/>
    <n v="13610541.498312"/>
    <n v="10408840.132896001"/>
    <n v="20.377259040043448"/>
    <n v="50"/>
    <n v="1398513.6009519999"/>
    <n v="1664061.5847759999"/>
    <n v="3596155.6391790002"/>
    <n v="3227210.3036949998"/>
    <n v="1709401.2830000001"/>
    <n v="4592679.4110000003"/>
    <n v="597057.54200000048"/>
    <n v="4592679.4110000003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</r>
  <r>
    <s v="08"/>
    <s v="08000"/>
    <x v="1"/>
    <s v="ATLANTICO"/>
    <n v="1"/>
    <s v="N/A"/>
    <x v="3"/>
    <n v="1147.6300000000001"/>
    <n v="461663.31899999996"/>
    <n v="1271528.996"/>
    <n v="555954.07499999995"/>
    <n v="236938.87299999999"/>
    <n v="1407695.5684249999"/>
    <n v="450142.11042500002"/>
    <n v="795112.88"/>
    <n v="570037.55000000005"/>
    <n v="13174.616"/>
    <n v="-334165.3870000001"/>
    <n v="157956.807"/>
    <n v="0"/>
    <n v="4367073.4697419703"/>
    <n v="1892702.92174145"/>
    <n v="36.067361435706957"/>
    <n v="55.000000000000007"/>
    <n v="581213.35631800001"/>
    <n v="710424.65544799995"/>
    <n v="1388506.195082"/>
    <n v="1027325.556963"/>
    <n v="462810.94899999996"/>
    <n v="1271528.996"/>
    <n v="-163033.96400000012"/>
    <n v="1271528.996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</r>
  <r>
    <s v="13"/>
    <s v="13000"/>
    <x v="1"/>
    <s v="BOLIVAR"/>
    <n v="1"/>
    <s v="N/A"/>
    <x v="3"/>
    <n v="0"/>
    <n v="882892.19"/>
    <n v="1447648.2719999999"/>
    <n v="333637.21100000001"/>
    <n v="91039.894"/>
    <n v="1802694.5998940002"/>
    <n v="466368.63399999996"/>
    <n v="424677.10499999998"/>
    <n v="152641.75699999998"/>
    <n v="17592.559000000001"/>
    <n v="-170245.82799999998"/>
    <n v="62363.190999999999"/>
    <n v="0"/>
    <n v="4100619.4388272204"/>
    <n v="2610867.4273052597"/>
    <n v="49.834133477079533"/>
    <n v="55.000000000000007"/>
    <n v="268329.24463700003"/>
    <n v="347103.26202099997"/>
    <n v="1274823.122064"/>
    <n v="985274.23757799994"/>
    <n v="882892.19"/>
    <n v="1447648.2719999999"/>
    <n v="-90290.07799999998"/>
    <n v="1447648.2719999999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</r>
  <r>
    <s v="15"/>
    <s v="15000"/>
    <x v="1"/>
    <s v="BOYACÁ"/>
    <n v="1"/>
    <s v="N/A"/>
    <x v="4"/>
    <n v="9611.8389999999999"/>
    <n v="769485.47700000007"/>
    <n v="1217399.05"/>
    <n v="353477.13900000002"/>
    <n v="27468.102999999999"/>
    <n v="1085275.851062"/>
    <n v="153644.22700000001"/>
    <n v="392522.88700000005"/>
    <n v="224398.69100000005"/>
    <n v="5995.2690000000002"/>
    <n v="-7153.9679999998771"/>
    <n v="174000.791"/>
    <n v="0"/>
    <n v="4446077.2464549998"/>
    <n v="2968031.7643189998"/>
    <n v="40.66685409908078"/>
    <n v="55.000000000000007"/>
    <n v="307549.51351100003"/>
    <n v="358089.458086"/>
    <n v="1056933.2510520001"/>
    <n v="941109.47692799999"/>
    <n v="779097.31600000011"/>
    <n v="1217399.05"/>
    <n v="172842.09200000012"/>
    <n v="1217399.05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</r>
  <r>
    <s v="17"/>
    <s v="17000"/>
    <x v="1"/>
    <s v="CALDAS"/>
    <n v="2"/>
    <s v="N/A"/>
    <x v="1"/>
    <n v="3519.482"/>
    <n v="380461.48599999998"/>
    <n v="821791.06400000001"/>
    <n v="261305.258"/>
    <n v="37630.343000000001"/>
    <n v="701091.14795199991"/>
    <n v="172047.09995199999"/>
    <n v="305201.83600000001"/>
    <n v="167742.99299999999"/>
    <n v="2312.3440000000001"/>
    <n v="926.50800000003073"/>
    <n v="96826.956999999995"/>
    <n v="0"/>
    <n v="3109285.7673209999"/>
    <n v="1888736.4966210001"/>
    <n v="44.140619056275021"/>
    <n v="60"/>
    <n v="234928.10247899999"/>
    <n v="286278.31102899997"/>
    <n v="683405.71311300003"/>
    <n v="669919.91699499998"/>
    <n v="383980.96799999999"/>
    <n v="821791.06400000001"/>
    <n v="100065.80900000002"/>
    <n v="821791.0640000000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</r>
  <r>
    <s v="18"/>
    <s v="18000"/>
    <x v="1"/>
    <s v="CAQUETA"/>
    <n v="4"/>
    <s v="N/A"/>
    <x v="0"/>
    <n v="3113.48"/>
    <n v="264830.68"/>
    <n v="367026.60800000001"/>
    <n v="64565.973000000005"/>
    <n v="21189.221000000001"/>
    <n v="361018.84820499999"/>
    <n v="27255.903055000002"/>
    <n v="89556.649000000005"/>
    <n v="40655.760999999999"/>
    <n v="51.527000000000001"/>
    <n v="4708.76800000004"/>
    <n v="60034.999000000003"/>
    <n v="0"/>
    <n v="1473933.3616869999"/>
    <n v="757411.93328400003"/>
    <n v="57.637590380653258"/>
    <n v="70"/>
    <n v="59263.258520000003"/>
    <n v="66806.191844000001"/>
    <n v="313447.81499799999"/>
    <n v="281128.199188"/>
    <n v="267944.15999999997"/>
    <n v="367026.60800000001"/>
    <n v="64795.294000000045"/>
    <n v="367026.6080000000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</r>
  <r>
    <s v="19"/>
    <s v="19000"/>
    <x v="1"/>
    <s v="CAUCA"/>
    <n v="3"/>
    <s v="N/A"/>
    <x v="5"/>
    <n v="0"/>
    <n v="1088713.8159999999"/>
    <n v="1394677.0459999999"/>
    <n v="135031.476"/>
    <n v="105602.66"/>
    <n v="1266578.9694400001"/>
    <n v="69160.597000000009"/>
    <n v="241487.06200000001"/>
    <n v="138207.12500000003"/>
    <n v="45.290999999999997"/>
    <n v="67443.680999999866"/>
    <n v="218383.46299999999"/>
    <n v="0"/>
    <n v="3279299.1611040002"/>
    <n v="1351266.651486"/>
    <n v="28.191374367510353"/>
    <n v="70"/>
    <n v="107253.130603"/>
    <n v="141658.62946500001"/>
    <n v="1221691.7315179999"/>
    <n v="1192998.3940870001"/>
    <n v="1088713.8159999999"/>
    <n v="1394677.0459999999"/>
    <n v="285872.43499999982"/>
    <n v="1394677.0459999999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</r>
  <r>
    <s v="20"/>
    <s v="20000"/>
    <x v="1"/>
    <s v="CESAR"/>
    <n v="2"/>
    <s v="N/A"/>
    <x v="3"/>
    <n v="295.87400000000002"/>
    <n v="669840.929"/>
    <n v="884970.554"/>
    <n v="145592.38299999997"/>
    <n v="42925.482000000004"/>
    <n v="933865.88940900005"/>
    <n v="302570.76826600003"/>
    <n v="189588.44699999999"/>
    <n v="103001.70999999998"/>
    <n v="1158.1320000000001"/>
    <n v="73075.476000000024"/>
    <n v="89241.324999999997"/>
    <n v="0"/>
    <n v="2544924.47834806"/>
    <n v="600163.80057234992"/>
    <n v="31.605596742907053"/>
    <n v="60"/>
    <n v="128384.815682"/>
    <n v="148495.29013000001"/>
    <n v="733304.70518599998"/>
    <n v="667645.42780800001"/>
    <n v="670136.80299999996"/>
    <n v="884970.554"/>
    <n v="163474.93300000002"/>
    <n v="884970.554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</r>
  <r>
    <s v="23"/>
    <s v="23000"/>
    <x v="1"/>
    <s v="CORDOBA"/>
    <n v="2"/>
    <s v="N/A"/>
    <x v="3"/>
    <n v="2519.2620000000002"/>
    <n v="933148.47599999991"/>
    <n v="1219001.24"/>
    <n v="247624.878"/>
    <n v="8449.0810000000001"/>
    <n v="1254063.529441"/>
    <n v="247356.26832099998"/>
    <n v="259226.22"/>
    <n v="134195.11900000001"/>
    <n v="3009.9160000000002"/>
    <n v="-28868.820999999996"/>
    <n v="222555.17499999999"/>
    <n v="0"/>
    <n v="2586901.2414681897"/>
    <n v="2442794.8657883299"/>
    <n v="52.708362595786042"/>
    <n v="60"/>
    <n v="203704.50381900001"/>
    <n v="248252.299871"/>
    <n v="1123161.673092"/>
    <n v="1040058.443121"/>
    <n v="935667.7379999999"/>
    <n v="1219001.24"/>
    <n v="196696.27"/>
    <n v="1219001.24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</r>
  <r>
    <s v="25"/>
    <s v="25000"/>
    <x v="1"/>
    <s v="CUNDINAMARCA"/>
    <s v="ESP"/>
    <s v="N/A"/>
    <x v="4"/>
    <n v="0"/>
    <n v="1063021.0719999999"/>
    <n v="3006770.165"/>
    <n v="1591154.0919999999"/>
    <n v="285929.67199999996"/>
    <n v="2555574.7216389999"/>
    <n v="868879.14533099998"/>
    <n v="1878226.639"/>
    <n v="1367829.8530000001"/>
    <n v="27225.511999999999"/>
    <n v="-11860.236000000034"/>
    <n v="221617.26500000001"/>
    <n v="0"/>
    <n v="8565831.9599910006"/>
    <n v="6845744.8831230002"/>
    <n v="44.810485902071065"/>
    <n v="50"/>
    <n v="1339934.4525210001"/>
    <n v="1648897.5700020001"/>
    <n v="2519958.519266"/>
    <n v="2293416.860686"/>
    <n v="1063021.0719999999"/>
    <n v="3006770.165"/>
    <n v="236982.54099999997"/>
    <n v="3006770.165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</r>
  <r>
    <s v="27"/>
    <s v="27000"/>
    <x v="1"/>
    <s v="CHOCO"/>
    <n v="4"/>
    <s v="N/A"/>
    <x v="5"/>
    <n v="10704.741"/>
    <n v="439380.97200000001"/>
    <n v="610313.68799999997"/>
    <n v="88527.983000000007"/>
    <n v="5528.9639999999999"/>
    <n v="592240.361424"/>
    <n v="104864.498865"/>
    <n v="104761.68800000001"/>
    <n v="27159.145999999993"/>
    <n v="2196.7139999999999"/>
    <n v="9040.841999999946"/>
    <n v="37725.678999999996"/>
    <n v="0"/>
    <n v="1760769.7670730602"/>
    <n v="610449.77051771001"/>
    <n v="67.478799311568636"/>
    <n v="70"/>
    <n v="78702.280257999999"/>
    <n v="88963.380858999997"/>
    <n v="486457.384234"/>
    <n v="429829.17858100001"/>
    <n v="450085.71299999999"/>
    <n v="610313.68799999997"/>
    <n v="48963.234999999942"/>
    <n v="610313.68799999997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</r>
  <r>
    <s v="41"/>
    <s v="41000"/>
    <x v="1"/>
    <s v="HUILA"/>
    <n v="2"/>
    <s v="N/A"/>
    <x v="0"/>
    <n v="15539.933999999999"/>
    <n v="565745.56000000006"/>
    <n v="899003.31500000006"/>
    <n v="197440.63"/>
    <n v="66040.289999999994"/>
    <n v="866397.77479599998"/>
    <n v="158134.223165"/>
    <n v="280924.82799999998"/>
    <n v="175415.86699999997"/>
    <n v="2380.9549999999999"/>
    <n v="106855.52899999998"/>
    <n v="92324.804999999993"/>
    <n v="0"/>
    <n v="2680386.9332253998"/>
    <n v="1552854.1150158301"/>
    <n v="30.687034228382153"/>
    <n v="60"/>
    <n v="135635.04224000001"/>
    <n v="198585.96017000001"/>
    <n v="690292.83153900004"/>
    <n v="622465.52866199997"/>
    <n v="581285.49400000006"/>
    <n v="899003.31500000006"/>
    <n v="201561.28899999999"/>
    <n v="899003.31500000006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</r>
  <r>
    <s v="44"/>
    <s v="44000"/>
    <x v="1"/>
    <s v="LA_GUAJIRA"/>
    <n v="4"/>
    <s v="N/A"/>
    <x v="3"/>
    <n v="581.46299999999997"/>
    <n v="460648.5039999999"/>
    <n v="625831.94299999997"/>
    <n v="116246.29699999999"/>
    <n v="3295.04"/>
    <n v="525421.18400000001"/>
    <n v="56307.485000000001"/>
    <n v="120122.79999999999"/>
    <n v="66774.037999999986"/>
    <n v="0"/>
    <n v="47061.996999999974"/>
    <n v="77759.767999999996"/>
    <n v="0"/>
    <n v="1849307.5297123501"/>
    <n v="763676.87493346992"/>
    <n v="34.03136278973772"/>
    <n v="70"/>
    <n v="74062.032865999994"/>
    <n v="117200.23901200001"/>
    <n v="526806.20623000001"/>
    <n v="474406.41069300001"/>
    <n v="461229.96699999989"/>
    <n v="625831.94299999997"/>
    <n v="124821.76499999997"/>
    <n v="625831.94299999997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</r>
  <r>
    <s v="47"/>
    <s v="47000"/>
    <x v="1"/>
    <s v="MAGDALENA"/>
    <n v="2"/>
    <s v="N/A"/>
    <x v="3"/>
    <n v="9931.3330000000005"/>
    <n v="673568.46"/>
    <n v="1105602.209"/>
    <n v="232386.77399999998"/>
    <n v="140929.54"/>
    <n v="851340.00199999998"/>
    <n v="176253.14499999999"/>
    <n v="383939.60000000003"/>
    <n v="214768.93600000005"/>
    <n v="2178.1149999999998"/>
    <n v="85091.543000000063"/>
    <n v="198186.02600000001"/>
    <n v="0"/>
    <n v="2210930.3720315602"/>
    <n v="1025792.7074581999"/>
    <n v="46.771648740936314"/>
    <n v="60"/>
    <n v="345282.92687700002"/>
    <n v="363625.97706800001"/>
    <n v="842212.17716299999"/>
    <n v="793135.45005600003"/>
    <n v="683499.79299999995"/>
    <n v="1105602.209"/>
    <n v="285455.68400000007"/>
    <n v="1105602.209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</r>
  <r>
    <s v="50"/>
    <s v="50000"/>
    <x v="1"/>
    <s v="META"/>
    <n v="1"/>
    <s v="N/A"/>
    <x v="2"/>
    <n v="1469.4960000000001"/>
    <n v="406290.05000000005"/>
    <n v="789069.40099999995"/>
    <n v="309258.15299999993"/>
    <n v="16453.125"/>
    <n v="618556.73"/>
    <n v="142162.821"/>
    <n v="332004.40899999993"/>
    <n v="186371.32399999991"/>
    <n v="8380.1790000000001"/>
    <n v="24879.58600000001"/>
    <n v="182495.11900000001"/>
    <n v="0"/>
    <n v="8151185.7173680002"/>
    <n v="1500266.4689730001"/>
    <n v="41.465562160010769"/>
    <n v="55.000000000000007"/>
    <n v="225554.81046499999"/>
    <n v="311967.03343100002"/>
    <n v="615161.18961700005"/>
    <n v="533139.54411400005"/>
    <n v="407759.54600000003"/>
    <n v="789069.40099999995"/>
    <n v="215754.88400000002"/>
    <n v="789069.40099999995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</r>
  <r>
    <s v="52"/>
    <s v="52000"/>
    <x v="1"/>
    <s v="NARIÑO"/>
    <n v="1"/>
    <s v="N/A"/>
    <x v="5"/>
    <n v="229.60900000000001"/>
    <n v="798517.14399999985"/>
    <n v="1246873.0529999998"/>
    <n v="225865.05099999998"/>
    <n v="95343.696999999986"/>
    <n v="1087168.5599409998"/>
    <n v="197979.32070099999"/>
    <n v="322152.64699999994"/>
    <n v="191276.23999999993"/>
    <n v="0"/>
    <n v="101196.64899999998"/>
    <n v="175120.20499999999"/>
    <n v="0"/>
    <n v="3275623.10162109"/>
    <n v="2009304.9739025"/>
    <n v="33.426677924166611"/>
    <n v="55.000000000000007"/>
    <n v="122468.089301"/>
    <n v="163754.35043200001"/>
    <n v="1013771.780717"/>
    <n v="898978.21502799995"/>
    <n v="798746.75299999991"/>
    <n v="1246873.0529999998"/>
    <n v="276316.85399999993"/>
    <n v="1246873.0529999998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</r>
  <r>
    <s v="54"/>
    <s v="54000"/>
    <x v="1"/>
    <s v="NORTE_DE_SANTANDER"/>
    <n v="2"/>
    <s v="N/A"/>
    <x v="4"/>
    <n v="0"/>
    <n v="768307.95600000001"/>
    <n v="1120634.862"/>
    <n v="273737.95399999997"/>
    <n v="43139.614999999998"/>
    <n v="1330734.3631520001"/>
    <n v="223964.14199999999"/>
    <n v="318269.93699999998"/>
    <n v="186914.66199999995"/>
    <n v="6280.0640000000003"/>
    <n v="-17286.08200000017"/>
    <n v="130985.663"/>
    <n v="0"/>
    <n v="2500756.8452041298"/>
    <n v="1766594.6538104399"/>
    <n v="28.514562165730045"/>
    <n v="60"/>
    <n v="216662.97361399999"/>
    <n v="247291.909453"/>
    <n v="825168.83210300002"/>
    <n v="664118.78174100001"/>
    <n v="768307.95600000001"/>
    <n v="1120634.862"/>
    <n v="119979.64499999983"/>
    <n v="1120634.862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</r>
  <r>
    <s v="63"/>
    <s v="63000"/>
    <x v="1"/>
    <s v="QUINDIO"/>
    <n v="3"/>
    <s v="N/A"/>
    <x v="1"/>
    <n v="1411.366"/>
    <n v="208006.08899999998"/>
    <n v="400596.79"/>
    <n v="139838.891"/>
    <n v="40305.690999999999"/>
    <n v="284857.15756999998"/>
    <n v="31289.25661"/>
    <n v="182549.364"/>
    <n v="86366.70699999998"/>
    <n v="2655.99"/>
    <n v="21272.822999999975"/>
    <n v="46789.593000000001"/>
    <n v="0"/>
    <n v="1346328.2390123601"/>
    <n v="775789.47279531998"/>
    <n v="52.1457714458233"/>
    <n v="70"/>
    <n v="131344.59449600001"/>
    <n v="146897.12486400001"/>
    <n v="286065.23936200002"/>
    <n v="285435.94224399998"/>
    <n v="209417.45499999999"/>
    <n v="400596.79"/>
    <n v="70718.405999999974"/>
    <n v="400596.79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</r>
  <r>
    <s v="66"/>
    <s v="66000"/>
    <x v="1"/>
    <s v="RISARALDA"/>
    <n v="2"/>
    <s v="N/A"/>
    <x v="1"/>
    <n v="0"/>
    <n v="249440.91699999999"/>
    <n v="582559.92200000002"/>
    <n v="209804.72600000002"/>
    <n v="82658.166000000012"/>
    <n v="477374.44612199999"/>
    <n v="60866.297000000006"/>
    <n v="292778.16200000007"/>
    <n v="192484.25100000005"/>
    <n v="1357.6859999999999"/>
    <n v="42815.082000000053"/>
    <n v="87820.456000000006"/>
    <n v="0"/>
    <n v="2417970.5466840002"/>
    <n v="1016066.001316"/>
    <n v="35.08552204243265"/>
    <n v="60"/>
    <n v="153351"/>
    <n v="246795.14448700001"/>
    <n v="440204.95085700002"/>
    <n v="411255.18237499997"/>
    <n v="249440.91699999999"/>
    <n v="582559.92200000002"/>
    <n v="131993.22400000005"/>
    <n v="582559.92200000002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</r>
  <r>
    <s v="68"/>
    <s v="68000"/>
    <x v="1"/>
    <s v="SANTANDER"/>
    <n v="1"/>
    <s v="N/A"/>
    <x v="4"/>
    <n v="0"/>
    <n v="783482.70700000005"/>
    <n v="1644599.0279999999"/>
    <n v="595735.01"/>
    <n v="45534.195"/>
    <n v="1636662.003951"/>
    <n v="553673.77966100001"/>
    <n v="644114.56699999992"/>
    <n v="303483.37099999993"/>
    <n v="20459.276999999998"/>
    <n v="-90529.967000000179"/>
    <n v="291452.31699999998"/>
    <n v="0"/>
    <n v="5823434.5536785899"/>
    <n v="5281189.8542640805"/>
    <n v="43.365976393781622"/>
    <n v="55.000000000000007"/>
    <n v="390766.88153200003"/>
    <n v="654863.10763300001"/>
    <n v="1380994.0904409999"/>
    <n v="1086477.0220290001"/>
    <n v="783482.70700000005"/>
    <n v="1644599.0279999999"/>
    <n v="221381.6269999998"/>
    <n v="1644599.0279999999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</r>
  <r>
    <s v="70"/>
    <s v="70000"/>
    <x v="1"/>
    <s v="SUCRE"/>
    <n v="3"/>
    <s v="N/A"/>
    <x v="3"/>
    <n v="2539.5500000000002"/>
    <n v="615305.37599999993"/>
    <n v="767668.16799999983"/>
    <n v="141086.42300000001"/>
    <n v="6956.6570000000002"/>
    <n v="771527.24511299981"/>
    <n v="125718.465"/>
    <n v="151433.67800000001"/>
    <n v="85922.378000000026"/>
    <n v="0"/>
    <n v="-56269.44299999997"/>
    <n v="109365.353"/>
    <n v="0"/>
    <n v="1601639.98055141"/>
    <n v="531411.47772359999"/>
    <n v="58.990685971755873"/>
    <n v="70"/>
    <n v="128870.256176"/>
    <n v="146239.20265799999"/>
    <n v="765691.46120999998"/>
    <n v="644987.21608599997"/>
    <n v="617844.92599999998"/>
    <n v="767668.16799999983"/>
    <n v="53095.910000000033"/>
    <n v="767668.16799999983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</r>
  <r>
    <s v="73"/>
    <s v="73000"/>
    <x v="1"/>
    <s v="TOLIMA"/>
    <n v="2"/>
    <s v="N/A"/>
    <x v="0"/>
    <n v="6069.9350000000004"/>
    <n v="707352.897"/>
    <n v="1214613.713"/>
    <n v="265402.20600000001"/>
    <n v="71410.27"/>
    <n v="1183953.765259"/>
    <n v="327042.41334699997"/>
    <n v="345099.679"/>
    <n v="179199.76800000001"/>
    <n v="72.411000000000001"/>
    <n v="-106565.35900000017"/>
    <n v="134031.32999999999"/>
    <n v="0"/>
    <n v="2705198.1548449998"/>
    <n v="1913752.1812710001"/>
    <n v="24.04709669085338"/>
    <n v="60"/>
    <n v="243664.68812499999"/>
    <n v="280580.73980500002"/>
    <n v="1155279.1609489999"/>
    <n v="938629.32175300003"/>
    <n v="713422.83200000005"/>
    <n v="1214613.713"/>
    <n v="27538.381999999809"/>
    <n v="1214613.713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</r>
  <r>
    <s v="76"/>
    <s v="76000"/>
    <x v="1"/>
    <s v="VALLE DEL CAUCA"/>
    <s v="ESP"/>
    <s v="N/A"/>
    <x v="5"/>
    <n v="2761.3649999999998"/>
    <n v="739573.49499999988"/>
    <n v="2377891.5599999996"/>
    <n v="1188201.8399999999"/>
    <n v="198856.56899999999"/>
    <n v="1995706.107843"/>
    <n v="562846.93999999994"/>
    <n v="1395266.6749999998"/>
    <n v="922974.61799999978"/>
    <n v="20263.793000000001"/>
    <n v="-68237.832000000402"/>
    <n v="536196.67099999997"/>
    <n v="0"/>
    <n v="6758418.8750999998"/>
    <n v="4924028.6024820004"/>
    <n v="31.822176244662703"/>
    <n v="50"/>
    <n v="949733.58363300003"/>
    <n v="1133158.693836"/>
    <n v="1965489.9293819999"/>
    <n v="1854046.51813"/>
    <n v="742334.85999999987"/>
    <n v="2377891.5599999996"/>
    <n v="488222.63199999958"/>
    <n v="2377891.5599999996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</r>
  <r>
    <s v="81"/>
    <s v="81000"/>
    <x v="1"/>
    <s v="ARAUCA"/>
    <n v="4"/>
    <s v="N/A"/>
    <x v="2"/>
    <n v="20967.723999999998"/>
    <n v="263634.24"/>
    <n v="360487.20799999998"/>
    <n v="57533.785000000003"/>
    <n v="5152.0559999999996"/>
    <n v="402008.83312100003"/>
    <n v="56488.056423999995"/>
    <n v="87867.019"/>
    <n v="37769.505000000005"/>
    <n v="0"/>
    <n v="-76600.185000000056"/>
    <n v="130674.322"/>
    <n v="0"/>
    <n v="1305639.7396416599"/>
    <n v="600434.91266186"/>
    <n v="72.41082937899364"/>
    <n v="70"/>
    <n v="34506.343055999998"/>
    <n v="51526.663135000003"/>
    <n v="352279.26472400001"/>
    <n v="316320.27284200001"/>
    <n v="284601.96399999998"/>
    <n v="360487.20799999998"/>
    <n v="54074.136999999944"/>
    <n v="360487.20799999998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</r>
  <r>
    <s v="85"/>
    <s v="85000"/>
    <x v="1"/>
    <s v="CASANARE"/>
    <n v="3"/>
    <s v="N/A"/>
    <x v="2"/>
    <n v="21090.57"/>
    <n v="248698.57800000001"/>
    <n v="403300.58200000005"/>
    <n v="104427.276"/>
    <n v="8661.4120000000003"/>
    <n v="614568.4219800001"/>
    <n v="37498.904999999999"/>
    <n v="135810.65"/>
    <n v="56051.055999999997"/>
    <n v="0"/>
    <n v="-13041.184999999998"/>
    <n v="88023.207999999999"/>
    <n v="0"/>
    <n v="3041468.0490214801"/>
    <n v="580186.15381703002"/>
    <n v="65.909907839454078"/>
    <n v="70"/>
    <n v="72980.234796000004"/>
    <n v="112725.543488"/>
    <n v="337341.88578299998"/>
    <n v="317379.87992699997"/>
    <n v="269789.14799999999"/>
    <n v="403300.58200000005"/>
    <n v="74982.023000000001"/>
    <n v="403300.58200000005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</r>
  <r>
    <s v="86"/>
    <s v="86000"/>
    <x v="1"/>
    <s v="PUTUMAYO"/>
    <n v="4"/>
    <s v="N/A"/>
    <x v="0"/>
    <n v="26011.460999999999"/>
    <n v="354674.83100000001"/>
    <n v="478436.40500000003"/>
    <n v="47513.984000000004"/>
    <n v="19523.545000000002"/>
    <n v="431104.806324"/>
    <n v="54875.114323999995"/>
    <n v="93481.967000000004"/>
    <n v="35210.130000000005"/>
    <n v="0"/>
    <n v="8901.4580000000424"/>
    <n v="55515.32"/>
    <n v="0"/>
    <n v="1561976.96025574"/>
    <n v="395230.20788305998"/>
    <n v="59.615741400164893"/>
    <n v="70"/>
    <n v="47819.821390999998"/>
    <n v="49349.334778999997"/>
    <n v="414744.27569799998"/>
    <n v="355105.912044"/>
    <n v="380686.29200000002"/>
    <n v="478436.40500000003"/>
    <n v="64416.778000000042"/>
    <n v="478436.40500000003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</r>
  <r>
    <s v="88"/>
    <s v="88000"/>
    <x v="1"/>
    <s v="SAN ANDRES"/>
    <n v="3"/>
    <s v="N/A"/>
    <x v="3"/>
    <n v="119183.045"/>
    <n v="76595.913"/>
    <n v="498562.70899999997"/>
    <n v="49905.727999999996"/>
    <n v="138995.61499999999"/>
    <n v="199549.19900000002"/>
    <n v="10983.412"/>
    <n v="308084.38799999998"/>
    <n v="118795.01799999998"/>
    <n v="0"/>
    <n v="109724.13999999996"/>
    <n v="210539.201"/>
    <n v="0"/>
    <n v="1660618.82861182"/>
    <n v="344515.3892795"/>
    <n v="58.347152083063492"/>
    <n v="70"/>
    <n v="81126.589076999997"/>
    <n v="186678.763205"/>
    <n v="169323.41753999999"/>
    <n v="139618.61489999999"/>
    <n v="195778.95799999998"/>
    <n v="498562.70899999997"/>
    <n v="320263.34099999996"/>
    <n v="498562.70899999997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</r>
  <r>
    <s v="91"/>
    <s v="91000"/>
    <x v="1"/>
    <s v="AMAZONAS"/>
    <n v="4"/>
    <s v="N/A"/>
    <x v="0"/>
    <n v="27288.614000000001"/>
    <n v="154378.50199999998"/>
    <n v="205065.06299999997"/>
    <n v="16150.599999999999"/>
    <n v="459.76100000000002"/>
    <n v="161164.54700000002"/>
    <n v="16823.567000000003"/>
    <n v="44758.040999999997"/>
    <n v="17344.657999999996"/>
    <n v="0"/>
    <n v="16487.132999999943"/>
    <n v="42643.307000000001"/>
    <n v="0"/>
    <n v="966283.35043999995"/>
    <n v="333122.25690400001"/>
    <n v="62.909249342439566"/>
    <n v="70"/>
    <n v="14519.956894000001"/>
    <n v="16228.395227000001"/>
    <n v="163554.07363999999"/>
    <n v="146848.42225800001"/>
    <n v="181667.11599999998"/>
    <n v="205065.06299999997"/>
    <n v="59130.439999999944"/>
    <n v="205065.06299999997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</r>
  <r>
    <s v="94"/>
    <s v="94000"/>
    <x v="1"/>
    <s v="GUAINIA"/>
    <n v="4"/>
    <s v="N/A"/>
    <x v="2"/>
    <n v="27156.856"/>
    <n v="120511.557"/>
    <n v="204548.73100000003"/>
    <n v="24643.221000000001"/>
    <n v="677.125"/>
    <n v="247384.38265299998"/>
    <n v="105956.75165299998"/>
    <n v="52477.202000000005"/>
    <n v="33736.965000000004"/>
    <n v="0"/>
    <n v="11215.003000000055"/>
    <n v="52312.982000000004"/>
    <n v="0"/>
    <n v="934672.21466518997"/>
    <n v="206157.69083567002"/>
    <n v="54.610036395137115"/>
    <n v="70"/>
    <n v="13621.619476"/>
    <n v="37935.542221000003"/>
    <n v="174593.490785"/>
    <n v="128623.757178"/>
    <n v="147668.413"/>
    <n v="204548.73100000003"/>
    <n v="63527.985000000059"/>
    <n v="204548.73100000003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</r>
  <r>
    <s v="95"/>
    <s v="95000"/>
    <x v="1"/>
    <s v="GUAVIARE"/>
    <n v="4"/>
    <s v="N/A"/>
    <x v="2"/>
    <n v="23331.414000000001"/>
    <n v="128022.166"/>
    <n v="206644.58199999999"/>
    <n v="43068.071000000004"/>
    <n v="1984.1770000000001"/>
    <n v="266111.998135"/>
    <n v="114691.26356600001"/>
    <n v="68853.489000000001"/>
    <n v="36969.695000000007"/>
    <n v="198.33600000000001"/>
    <n v="855.30300000001444"/>
    <n v="30232.170999999998"/>
    <n v="0"/>
    <n v="886694.05316799995"/>
    <n v="168959.14295400001"/>
    <n v="54.326511938009403"/>
    <n v="70"/>
    <n v="23061.394586999999"/>
    <n v="43223.486043999997"/>
    <n v="169707.49721100001"/>
    <n v="157725.149554"/>
    <n v="151353.57999999999"/>
    <n v="206644.58199999999"/>
    <n v="31285.810000000012"/>
    <n v="206644.58199999999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</r>
  <r>
    <s v="97"/>
    <s v="97000"/>
    <x v="1"/>
    <s v="VAUPES"/>
    <n v="4"/>
    <s v="N/A"/>
    <x v="2"/>
    <n v="24110.710999999999"/>
    <n v="86838.692999999999"/>
    <n v="133145.973"/>
    <n v="10889.958999999999"/>
    <n v="397.72800000000001"/>
    <n v="160089.75407200001"/>
    <n v="60733.424072000002"/>
    <n v="35445.463999999993"/>
    <n v="19130.557999999994"/>
    <n v="0"/>
    <n v="6325.8349999999919"/>
    <n v="57574.599000000002"/>
    <n v="0"/>
    <n v="661217.96552553005"/>
    <n v="63687.943693000001"/>
    <n v="38.857004192895666"/>
    <n v="70"/>
    <n v="8885.189531"/>
    <n v="10940.901218999999"/>
    <n v="110527.195011"/>
    <n v="90385.050529"/>
    <n v="110949.40399999999"/>
    <n v="133145.973"/>
    <n v="63900.433999999994"/>
    <n v="133145.973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</r>
  <r>
    <s v="99"/>
    <s v="99000"/>
    <x v="1"/>
    <s v="VICHADA"/>
    <n v="4"/>
    <s v="N/A"/>
    <x v="2"/>
    <n v="25553.024000000001"/>
    <n v="82785.123999999996"/>
    <n v="133068.20799999998"/>
    <n v="11517.588"/>
    <n v="264.56299999999999"/>
    <n v="123019.601"/>
    <n v="18589.568999999996"/>
    <n v="37393.707000000002"/>
    <n v="15817.618000000002"/>
    <n v="182.727"/>
    <n v="-11527.482000000018"/>
    <n v="32994.565999999999"/>
    <n v="0"/>
    <n v="669778.100293"/>
    <n v="138404.87291400001"/>
    <n v="38.146327061576649"/>
    <n v="70"/>
    <n v="11790.4"/>
    <n v="9787.6997850000007"/>
    <n v="128272.993307"/>
    <n v="108084.081314"/>
    <n v="108338.148"/>
    <n v="133068.20799999998"/>
    <n v="21649.81099999998"/>
    <n v="133068.20799999998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</r>
  <r>
    <s v="08"/>
    <s v="08000"/>
    <x v="2"/>
    <s v="ATLANTICO"/>
    <n v="1"/>
    <s v="N/A"/>
    <x v="3"/>
    <n v="0"/>
    <n v="436053.82109300001"/>
    <n v="1569969.3571200001"/>
    <n v="674382.50961499999"/>
    <n v="281475.84954800003"/>
    <n v="1587461.3580779999"/>
    <n v="174765.79506099998"/>
    <n v="956923.96782000002"/>
    <n v="619105.97923100006"/>
    <n v="45443.775835"/>
    <n v="-275774.40520599973"/>
    <n v="171328.126903"/>
    <n v="0"/>
    <n v="4509474.4042680897"/>
    <n v="2246925.24756794"/>
    <n v="22.942732727074912"/>
    <n v="55"/>
    <n v="787464.88290600001"/>
    <n v="852385.35538700002"/>
    <n v="1516215.9453499999"/>
    <n v="1066531.8900599999"/>
    <n v="436053.82109300001"/>
    <n v="1569969.3571200001"/>
    <n v="-59002.50246799973"/>
    <n v="1569969.357120000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</r>
  <r>
    <s v="25"/>
    <s v="25000"/>
    <x v="2"/>
    <s v="CUNDINAMARCA"/>
    <s v="ESP"/>
    <s v="N/A"/>
    <x v="4"/>
    <n v="0"/>
    <n v="932557.15288399998"/>
    <n v="3554823.9348729998"/>
    <n v="1886324.9334750001"/>
    <n v="412735.705029"/>
    <n v="3333551.2341559995"/>
    <n v="388088.14334499999"/>
    <n v="2300641.8180999998"/>
    <n v="1639205.5287129998"/>
    <n v="72263.593798999995"/>
    <n v="-241175.02810899913"/>
    <n v="535719.33379099995"/>
    <n v="0"/>
    <n v="8767231.2337890007"/>
    <n v="7103861.2916949997"/>
    <n v="37.607161452806075"/>
    <n v="50"/>
    <n v="1473252.7549999999"/>
    <n v="1987670.1935650001"/>
    <n v="3134562.6735950001"/>
    <n v="2847453.544646"/>
    <n v="932557.15288399998"/>
    <n v="3554823.9348729998"/>
    <n v="366807.89948100084"/>
    <n v="3554823.9348729998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</r>
  <r>
    <s v="70"/>
    <s v="70000"/>
    <x v="2"/>
    <s v="SUCRE"/>
    <n v="3"/>
    <s v="N/A"/>
    <x v="3"/>
    <n v="0"/>
    <n v="578699.46367799991"/>
    <n v="836404.30041499983"/>
    <n v="179740.51947500001"/>
    <n v="22124.968696"/>
    <n v="852754.52582199802"/>
    <n v="90245.483850999008"/>
    <n v="202983.26746999999"/>
    <n v="121778.08097700099"/>
    <n v="989.45435099999997"/>
    <n v="-64426.588871997199"/>
    <n v="137942.13736399999"/>
    <n v="0"/>
    <n v="1687581.5856451401"/>
    <n v="530734.74416770006"/>
    <n v="67.202289898686956"/>
    <n v="70"/>
    <n v="147710.40189000001"/>
    <n v="198297.62028999999"/>
    <n v="819625.70279400004"/>
    <n v="723977.27041300002"/>
    <n v="578699.46367799991"/>
    <n v="836404.30041499983"/>
    <n v="74505.002843002789"/>
    <n v="836404.30041499983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</r>
  <r>
    <s v="50"/>
    <s v="50000"/>
    <x v="2"/>
    <s v="META"/>
    <n v="1"/>
    <s v="N/A"/>
    <x v="2"/>
    <n v="0"/>
    <n v="334261.29108099994"/>
    <n v="887838.80665799999"/>
    <n v="343144.55385000003"/>
    <n v="74181.047659999997"/>
    <n v="1311318.878393"/>
    <n v="270626.08982200001"/>
    <n v="423718.60675600002"/>
    <n v="215778.92516700001"/>
    <n v="11816.891799999999"/>
    <n v="48355.966997999814"/>
    <n v="159898.13665299999"/>
    <n v="0"/>
    <n v="8494587.3280650005"/>
    <n v="1496413.0753279999"/>
    <n v="49.238283033106924"/>
    <n v="55"/>
    <n v="365070.73131800001"/>
    <n v="373735.98364400002"/>
    <n v="631543.15807100001"/>
    <n v="559950.97079499997"/>
    <n v="334261.29108099994"/>
    <n v="887838.80665799999"/>
    <n v="220070.99545099982"/>
    <n v="887838.80665799999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</r>
  <r>
    <s v="41"/>
    <s v="41000"/>
    <x v="2"/>
    <s v="HUILA"/>
    <n v="3"/>
    <s v="N/A"/>
    <x v="0"/>
    <n v="0"/>
    <n v="507781.275456"/>
    <n v="976823.20924400003"/>
    <n v="238032.43295400002"/>
    <n v="88097.546258000002"/>
    <n v="1233499.3546889999"/>
    <n v="116305.50101200001"/>
    <n v="327937.27965100005"/>
    <n v="200718.07497700004"/>
    <n v="4205.7967879999997"/>
    <n v="-78714.245823999867"/>
    <n v="195074.210273"/>
    <n v="0"/>
    <n v="2757635.8548494903"/>
    <n v="1751644.9545177601"/>
    <n v="34.088093512006296"/>
    <n v="70"/>
    <n v="183859.87119400001"/>
    <n v="249688.620494"/>
    <n v="928318.25039399997"/>
    <n v="812275.49421399995"/>
    <n v="507781.275456"/>
    <n v="976823.20924400003"/>
    <n v="120565.76123700014"/>
    <n v="976823.20924400003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</r>
  <r>
    <s v="95"/>
    <s v="95000"/>
    <x v="2"/>
    <s v="GUAVIARE"/>
    <n v="4"/>
    <s v="N/A"/>
    <x v="2"/>
    <n v="23778.164551999998"/>
    <n v="103654.92590699998"/>
    <n v="194500.26311499998"/>
    <n v="35465.942702999993"/>
    <n v="11120.251118"/>
    <n v="165641.42309099899"/>
    <n v="31883.586985999002"/>
    <n v="70825.566270999989"/>
    <n v="35187.807159999989"/>
    <n v="525.85563400000001"/>
    <n v="-6778.919086998998"/>
    <n v="30096.76583"/>
    <n v="0"/>
    <n v="901488.60103200004"/>
    <n v="178039.29000199999"/>
    <n v="60.639893279458732"/>
    <n v="70"/>
    <n v="22970.051909000002"/>
    <n v="45353.246717000002"/>
    <n v="160396.72309099999"/>
    <n v="138308.607128"/>
    <n v="127433.09045899998"/>
    <n v="194500.26311499998"/>
    <n v="23843.702377001002"/>
    <n v="194500.26311499998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</r>
  <r>
    <s v="05"/>
    <s v="05000"/>
    <x v="2"/>
    <s v="ANTIOQUIA"/>
    <s v="ESP"/>
    <s v="N/A"/>
    <x v="1"/>
    <n v="0"/>
    <n v="1548440.09916"/>
    <n v="5044817.4379440006"/>
    <n v="1748023.1876289998"/>
    <n v="1073334.1986080001"/>
    <n v="4336505.9294499997"/>
    <n v="338868.67157100001"/>
    <n v="2830271.5466410001"/>
    <n v="1932154.2197449999"/>
    <n v="145779.73674800002"/>
    <n v="85443.807489001192"/>
    <n v="751371.76904399996"/>
    <n v="0"/>
    <n v="13310231.460189"/>
    <n v="11006822.922897"/>
    <n v="20.080040978787288"/>
    <n v="50"/>
    <n v="1578074.8615590001"/>
    <n v="1902217.9787039999"/>
    <n v="4061256.3035590001"/>
    <n v="3623869.2646300001"/>
    <n v="1548440.09916"/>
    <n v="5044817.4379440006"/>
    <n v="982595.31328100117"/>
    <n v="5044817.4379440006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</r>
  <r>
    <s v="76"/>
    <s v="76000"/>
    <x v="2"/>
    <s v="VALLE DEL CAUCA"/>
    <s v="ESP"/>
    <s v="N/A"/>
    <x v="5"/>
    <n v="0"/>
    <n v="607911.49011899997"/>
    <n v="2528949.9947520001"/>
    <n v="1120858.497376"/>
    <n v="484888.11108800001"/>
    <n v="2229780.7643549996"/>
    <n v="129486.148631"/>
    <n v="1612146.048838"/>
    <n v="1094887.861699"/>
    <n v="37948.436702999999"/>
    <n v="-150809.02241099952"/>
    <n v="568427.16128799994"/>
    <n v="0"/>
    <n v="6785306.6824190002"/>
    <n v="4568818.632797"/>
    <n v="40.420415029428575"/>
    <n v="50"/>
    <n v="1069439.5"/>
    <n v="1226817.013057"/>
    <n v="2162500.8300239998"/>
    <n v="2030272.4232399999"/>
    <n v="607911.49011899997"/>
    <n v="2528949.9947520001"/>
    <n v="455566.57558000041"/>
    <n v="2528949.994752000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</r>
  <r>
    <s v="20"/>
    <s v="20000"/>
    <x v="2"/>
    <s v="CESAR"/>
    <n v="2"/>
    <s v="N/A"/>
    <x v="3"/>
    <n v="0"/>
    <n v="519202.52956399997"/>
    <n v="946737.18176499999"/>
    <n v="170013.47431299998"/>
    <n v="70819.290700000012"/>
    <n v="1751244.4582660003"/>
    <n v="996764.08921400004"/>
    <n v="241917.769034"/>
    <n v="143783.93098499998"/>
    <n v="3796.4052120000001"/>
    <n v="-408934.31969799998"/>
    <n v="126984.75463700001"/>
    <n v="0"/>
    <n v="2975264.3782754801"/>
    <n v="829394.55267201003"/>
    <n v="49.719730816383318"/>
    <n v="60"/>
    <n v="143080.90915399999"/>
    <n v="193315.49919999999"/>
    <n v="1257537.6634140001"/>
    <n v="733714.02175800002"/>
    <n v="519202.52956399997"/>
    <n v="946737.18176499999"/>
    <n v="-278153.15984899993"/>
    <n v="946737.18176499999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</r>
  <r>
    <s v="17"/>
    <s v="17000"/>
    <x v="2"/>
    <s v="CALDAS"/>
    <n v="2"/>
    <s v="N/A"/>
    <x v="1"/>
    <n v="0"/>
    <n v="411042.57998799998"/>
    <n v="840770.33165999991"/>
    <n v="291864.594942"/>
    <n v="39614.497010000006"/>
    <n v="856208.96290699998"/>
    <n v="217450.579401"/>
    <n v="334419.22224799998"/>
    <n v="177878.96398999999"/>
    <n v="8920.4882379999999"/>
    <n v="-58626.739406000124"/>
    <n v="146780.726933"/>
    <n v="0"/>
    <n v="3217779.8682479998"/>
    <n v="1939962.3559049999"/>
    <n v="38.682199811748838"/>
    <n v="60"/>
    <n v="247665.88659000001"/>
    <n v="314010.073493"/>
    <n v="742856.81280800002"/>
    <n v="674388.63773399999"/>
    <n v="411042.57998799998"/>
    <n v="840770.33165999991"/>
    <n v="97074.475764999865"/>
    <n v="840770.3316599999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</r>
  <r>
    <s v="88"/>
    <s v="88000"/>
    <x v="2"/>
    <s v="SAN ANDRES"/>
    <n v="3"/>
    <s v="N/A"/>
    <x v="3"/>
    <n v="10788.5359555"/>
    <n v="57466.396444999991"/>
    <n v="463777.38031149999"/>
    <n v="60644.703705"/>
    <n v="164407.157534"/>
    <n v="351927.14605599997"/>
    <n v="32999.921353999998"/>
    <n v="236180.3030175"/>
    <n v="346.93882149999263"/>
    <n v="0"/>
    <n v="-123983.12994049996"/>
    <n v="269964.59620199999"/>
    <n v="0"/>
    <n v="1762665.56195439"/>
    <n v="351589.29261950002"/>
    <n v="59.097711895223938"/>
    <n v="70"/>
    <n v="223280.57226099999"/>
    <n v="224679.49359699999"/>
    <n v="351927.14605600003"/>
    <n v="262051.619469"/>
    <n v="68254.932400499994"/>
    <n v="463777.38031149999"/>
    <n v="145981.46626150003"/>
    <n v="463777.38031149999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</r>
  <r>
    <s v="73"/>
    <s v="73000"/>
    <x v="2"/>
    <s v="TOLIMA"/>
    <n v="2"/>
    <s v="N/A"/>
    <x v="0"/>
    <n v="0"/>
    <n v="692882.27621199994"/>
    <n v="1261784.0906759999"/>
    <n v="304529.42197199998"/>
    <n v="110845.179078"/>
    <n v="1365956.461968"/>
    <n v="50407.260083000001"/>
    <n v="432779.78275499999"/>
    <n v="243293.95307600001"/>
    <n v="1782.348608"/>
    <n v="-110256.55744700017"/>
    <n v="106371.77722800001"/>
    <n v="0"/>
    <n v="2689599.459551"/>
    <n v="2074614.567062"/>
    <n v="30.614211433518435"/>
    <n v="60"/>
    <n v="303718.35700000002"/>
    <n v="341476.618074"/>
    <n v="1182554.8184440001"/>
    <n v="1018414.8408680001"/>
    <n v="692882.27621199994"/>
    <n v="1261784.0906759999"/>
    <n v="-2102.4316110001673"/>
    <n v="1261784.0906759999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</r>
  <r>
    <s v="81"/>
    <s v="81000"/>
    <x v="2"/>
    <s v="ARAUCA"/>
    <n v="4"/>
    <s v="N/A"/>
    <x v="2"/>
    <n v="21414.164552000002"/>
    <n v="215129.86238300003"/>
    <n v="326175.23331700003"/>
    <n v="43860.944031999999"/>
    <n v="6798.347694"/>
    <n v="425840.12829900003"/>
    <n v="64948.269012000004"/>
    <n v="72823.034960999998"/>
    <n v="25493.615114709995"/>
    <n v="0"/>
    <n v="-14899.513952289999"/>
    <n v="62240.051906000001"/>
    <n v="0"/>
    <n v="1245328.5959431899"/>
    <n v="574021.31202359009"/>
    <n v="65.044221292995815"/>
    <n v="70"/>
    <n v="42368.197294999998"/>
    <n v="51054.691656000003"/>
    <n v="293745.32742300001"/>
    <n v="273357.917403"/>
    <n v="236544.02693500003"/>
    <n v="326175.23331700003"/>
    <n v="47340.537953710002"/>
    <n v="326175.23331700003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</r>
  <r>
    <s v="54"/>
    <s v="54000"/>
    <x v="2"/>
    <s v="NORTE_DE_SANTANDER"/>
    <n v="2"/>
    <s v="N/A"/>
    <x v="4"/>
    <n v="0"/>
    <n v="574389.423022"/>
    <n v="1219852.4850320001"/>
    <n v="287270.10701000004"/>
    <n v="67425.084814000002"/>
    <n v="1138734.0118140001"/>
    <n v="27279.170419999999"/>
    <n v="356431.93287400005"/>
    <n v="206786.49425200006"/>
    <n v="10961.530954"/>
    <n v="-68526.9654039999"/>
    <n v="146827.785753"/>
    <n v="0"/>
    <n v="2526590.06709813"/>
    <n v="1607305.2774115899"/>
    <n v="47.268782012456519"/>
    <n v="60"/>
    <n v="245595.33630900001"/>
    <n v="317317.02929899999"/>
    <n v="1138734.0118140001"/>
    <n v="908178.66924700001"/>
    <n v="574389.423022"/>
    <n v="1219852.4850320001"/>
    <n v="89262.351303000105"/>
    <n v="1219852.485032000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</r>
  <r>
    <s v="47"/>
    <s v="47000"/>
    <x v="2"/>
    <s v="MAGDALENA"/>
    <n v="3"/>
    <s v="N/A"/>
    <x v="3"/>
    <n v="0"/>
    <n v="689104.31501599995"/>
    <n v="1223324.3602209999"/>
    <n v="277499.74871899997"/>
    <n v="174340.826007"/>
    <n v="948841.02318099909"/>
    <n v="20858.243491999998"/>
    <n v="452777.67980399996"/>
    <n v="257576.32448299997"/>
    <n v="5193.8250440000002"/>
    <n v="79281.981719000731"/>
    <n v="281072.62861900002"/>
    <n v="0"/>
    <n v="2160031.4465727098"/>
    <n v="1023075.3640255901"/>
    <n v="44.81782840250181"/>
    <n v="70"/>
    <n v="368420.90929699998"/>
    <n v="438889.99632999999"/>
    <n v="948841.02318100003"/>
    <n v="872354.02603499999"/>
    <n v="689104.31501599995"/>
    <n v="1223324.3602209999"/>
    <n v="365548.43538200075"/>
    <n v="1223324.3602209999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</r>
  <r>
    <s v="86"/>
    <s v="86000"/>
    <x v="2"/>
    <s v="PUTUMAYO"/>
    <n v="4"/>
    <s v="N/A"/>
    <x v="0"/>
    <n v="21414.164553999999"/>
    <n v="327927.172265"/>
    <n v="465998.71775100002"/>
    <n v="53482.48141"/>
    <n v="21122.064774000002"/>
    <n v="443877.21294199902"/>
    <n v="26680.269411000001"/>
    <n v="96829.871471000006"/>
    <n v="30663.860529000012"/>
    <n v="0"/>
    <n v="-44044.506132999028"/>
    <n v="87767.825695000007"/>
    <n v="0"/>
    <n v="1543856.76087306"/>
    <n v="521413.19074354996"/>
    <n v="65.178204088456809"/>
    <n v="70"/>
    <n v="48951.438408000002"/>
    <n v="58685.461440999999"/>
    <n v="443877.21294200001"/>
    <n v="387355.24359899998"/>
    <n v="349341.33681900002"/>
    <n v="465998.71775100002"/>
    <n v="43723.319562000979"/>
    <n v="465998.71775100002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</r>
  <r>
    <s v="66"/>
    <s v="66000"/>
    <x v="2"/>
    <s v="RISARALDA"/>
    <n v="2"/>
    <s v="N/A"/>
    <x v="1"/>
    <n v="0"/>
    <n v="199020.24036300002"/>
    <n v="860399.06939900015"/>
    <n v="242057.36808500002"/>
    <n v="107499.11524800002"/>
    <n v="601440.35049500014"/>
    <n v="1855.853881"/>
    <n v="349895.58065100003"/>
    <n v="251838.82924000002"/>
    <n v="1620.61032"/>
    <n v="214440.68268600001"/>
    <n v="115694.27179699999"/>
    <n v="0"/>
    <n v="2736898.5714560002"/>
    <n v="1416198.8449800001"/>
    <n v="43.914829875049989"/>
    <n v="60"/>
    <n v="194681.85857899999"/>
    <n v="265178.13941800001"/>
    <n v="547901.63530199998"/>
    <n v="481051.01163199998"/>
    <n v="199020.24036300002"/>
    <n v="860399.06939900015"/>
    <n v="331755.56480300002"/>
    <n v="860399.06939900015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</r>
  <r>
    <s v="27"/>
    <s v="27000"/>
    <x v="2"/>
    <s v="CHOCO"/>
    <n v="4"/>
    <s v="N/A"/>
    <x v="5"/>
    <n v="0"/>
    <n v="462717.73322699999"/>
    <n v="599708.56495799997"/>
    <n v="90826.660070999991"/>
    <n v="8648.926508999999"/>
    <n v="570590.54774499906"/>
    <n v="35283.378062999996"/>
    <n v="99475.586579999988"/>
    <n v="16888.301557999977"/>
    <n v="1577.5975880000001"/>
    <n v="3001.2558540009195"/>
    <n v="49060.770587999999"/>
    <n v="0"/>
    <n v="1945097.42928372"/>
    <n v="618986.08825091005"/>
    <n v="65.999982578873343"/>
    <n v="70"/>
    <n v="102074.364124"/>
    <n v="92668.206894000003"/>
    <n v="481463.59428999998"/>
    <n v="431747.94697200001"/>
    <n v="462717.73322699999"/>
    <n v="599708.56495799997"/>
    <n v="53639.624030000923"/>
    <n v="599708.56495799997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</r>
  <r>
    <s v="68"/>
    <s v="68000"/>
    <x v="2"/>
    <s v="SANTANDER"/>
    <n v="1"/>
    <s v="N/A"/>
    <x v="4"/>
    <n v="0"/>
    <n v="695592.43047999998"/>
    <n v="1729681.4293709998"/>
    <n v="711150.01786499994"/>
    <n v="73389.315663000001"/>
    <n v="1703023.0995329989"/>
    <n v="159064.28687699902"/>
    <n v="785177.73752799991"/>
    <n v="374531.93435699993"/>
    <n v="16429.548910000001"/>
    <n v="-108580.74114799895"/>
    <n v="402482.58755400003"/>
    <n v="0"/>
    <n v="5145515.5677054394"/>
    <n v="4990902.4668351794"/>
    <n v="40.652017346596359"/>
    <n v="55"/>
    <n v="611108.64599999995"/>
    <n v="736211.01805800002"/>
    <n v="1427616.3673479999"/>
    <n v="1201680.943434"/>
    <n v="695592.43047999998"/>
    <n v="1729681.4293709998"/>
    <n v="310331.39531600109"/>
    <n v="1729681.4293709998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</r>
  <r>
    <s v="44"/>
    <s v="44000"/>
    <x v="2"/>
    <s v="LA_GUAJIRA"/>
    <n v="4"/>
    <s v="N/A"/>
    <x v="3"/>
    <n v="0"/>
    <n v="357451.35559999995"/>
    <n v="547267.03744099999"/>
    <n v="144048.90871000002"/>
    <n v="6760.5772550000002"/>
    <n v="503049.57647600002"/>
    <n v="27701.972943000001"/>
    <n v="151254.14069700002"/>
    <n v="95950.82526800003"/>
    <n v="0"/>
    <n v="-11085.854463999975"/>
    <n v="111976.148084"/>
    <n v="0"/>
    <n v="1643700.5991958599"/>
    <n v="853006.44674622"/>
    <n v="39.097334235174152"/>
    <n v="70"/>
    <n v="78235.328703000006"/>
    <n v="147287.91797800001"/>
    <n v="503049.57647600002"/>
    <n v="454146.20763899997"/>
    <n v="357451.35559999995"/>
    <n v="547267.03744099999"/>
    <n v="100890.29362000003"/>
    <n v="547267.03744099999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</r>
  <r>
    <s v="94"/>
    <s v="94000"/>
    <x v="2"/>
    <s v="GUAINIA"/>
    <n v="4"/>
    <s v="N/A"/>
    <x v="2"/>
    <n v="21203.164553999999"/>
    <n v="109508.94024699999"/>
    <n v="187148.714645"/>
    <n v="23696.350337"/>
    <n v="3070.645368"/>
    <n v="188624.65685500001"/>
    <n v="5342.921980000001"/>
    <n v="47970.160258999997"/>
    <n v="25710.889961000001"/>
    <n v="0"/>
    <n v="-23735.212507999997"/>
    <n v="65302.176076999996"/>
    <n v="0"/>
    <n v="1017379.44514829"/>
    <n v="204422.13386970002"/>
    <n v="50.678099567650357"/>
    <n v="70"/>
    <n v="19215.554644"/>
    <n v="26165.331584"/>
    <n v="188624.65685500001"/>
    <n v="137886.597962"/>
    <n v="130712.10480099999"/>
    <n v="187148.714645"/>
    <n v="41566.963569"/>
    <n v="187148.714645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</r>
  <r>
    <s v="18"/>
    <s v="18000"/>
    <x v="2"/>
    <s v="CAQUETA"/>
    <n v="4"/>
    <s v="N/A"/>
    <x v="0"/>
    <n v="0"/>
    <n v="241838.70787399999"/>
    <n v="376888.02044300002"/>
    <n v="68850.132134999993"/>
    <n v="30077.805372999999"/>
    <n v="403866.28250199993"/>
    <n v="6458.7650410000006"/>
    <n v="100031.46369799999"/>
    <n v="43886.518732999997"/>
    <n v="302.708752"/>
    <n v="-28381.571984999871"/>
    <n v="80571.011507000003"/>
    <n v="0"/>
    <n v="1150234.685698"/>
    <n v="517183.89894400002"/>
    <n v="61.160171155204182"/>
    <n v="70"/>
    <n v="58162.722000000002"/>
    <n v="72456.518056000001"/>
    <n v="349124.64746299997"/>
    <n v="316055.321719"/>
    <n v="241838.70787399999"/>
    <n v="376888.02044300002"/>
    <n v="52492.14827400013"/>
    <n v="376888.02044300002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</r>
  <r>
    <s v="97"/>
    <s v="97000"/>
    <x v="2"/>
    <s v="VAUPES"/>
    <n v="4"/>
    <s v="N/A"/>
    <x v="2"/>
    <n v="24448.164553999999"/>
    <n v="87975.558932"/>
    <n v="152298.114084"/>
    <n v="13674.786845000001"/>
    <n v="6242.9669690000001"/>
    <n v="151098.856246999"/>
    <n v="10863.183561999002"/>
    <n v="44438.794859000001"/>
    <n v="26944.791105000004"/>
    <n v="0"/>
    <n v="-16294.745916999003"/>
    <n v="74062.254142999998"/>
    <n v="0"/>
    <n v="683455.55801389995"/>
    <n v="68390.571605749996"/>
    <n v="39.780076251264006"/>
    <n v="70"/>
    <n v="11368.936368999999"/>
    <n v="17932.211865000001"/>
    <n v="151098.85624699999"/>
    <n v="123447.304775"/>
    <n v="112423.723486"/>
    <n v="152298.114084"/>
    <n v="57767.508226000995"/>
    <n v="152298.114084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</r>
  <r>
    <s v="85"/>
    <s v="85000"/>
    <x v="2"/>
    <s v="CASANARE"/>
    <n v="3"/>
    <s v="N/A"/>
    <x v="2"/>
    <n v="21414.164553999999"/>
    <n v="204418.17079199999"/>
    <n v="456087.67351399997"/>
    <n v="135227.122049"/>
    <n v="29152.457986000001"/>
    <n v="878544.21789800003"/>
    <n v="0"/>
    <n v="187460.669887"/>
    <n v="103225.843999"/>
    <n v="0"/>
    <n v="-39510.302674999984"/>
    <n v="95431.227178999994"/>
    <n v="0"/>
    <n v="2916766.6471600602"/>
    <n v="570195.25089145999"/>
    <n v="68.72220498254265"/>
    <n v="70"/>
    <n v="92449.080071999997"/>
    <n v="163265.83620600001"/>
    <n v="411363.15030099999"/>
    <n v="350125.29098300001"/>
    <n v="225832.33534599998"/>
    <n v="456087.67351399997"/>
    <n v="55920.92450400001"/>
    <n v="456087.67351399997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</r>
  <r>
    <s v="19"/>
    <s v="19000"/>
    <x v="2"/>
    <s v="CAUCA"/>
    <n v="3"/>
    <s v="N/A"/>
    <x v="5"/>
    <n v="0"/>
    <n v="1001504.451166"/>
    <n v="1402957.1760780001"/>
    <n v="148387.05001800001"/>
    <n v="114218.50507699999"/>
    <n v="1327799.3988300003"/>
    <n v="1027.1153749999999"/>
    <n v="263702.73362200003"/>
    <n v="146927.80170400103"/>
    <n v="1371.576468"/>
    <n v="73471.070431000786"/>
    <n v="275881.29616500001"/>
    <n v="0"/>
    <n v="3328135.1911249999"/>
    <n v="1384787.928692"/>
    <n v="46.114558996883325"/>
    <n v="70"/>
    <n v="122812.919532"/>
    <n v="161072.63925199999"/>
    <n v="1212711.1737289999"/>
    <n v="1178807.770673"/>
    <n v="1001504.451166"/>
    <n v="1402957.1760780001"/>
    <n v="350723.94306400081"/>
    <n v="1402957.176078000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</r>
  <r>
    <s v="52"/>
    <s v="52000"/>
    <x v="2"/>
    <s v="NARIÑO"/>
    <n v="2"/>
    <s v="N/A"/>
    <x v="5"/>
    <n v="0"/>
    <n v="727175.85146699997"/>
    <n v="1296323.6730729998"/>
    <n v="246455.63723999998"/>
    <n v="104368.300821"/>
    <n v="1229271.0733440004"/>
    <n v="94211.542596999992"/>
    <n v="355292.26555099996"/>
    <n v="209258.19138999996"/>
    <n v="0"/>
    <n v="50733.014281999553"/>
    <n v="234199.52967600001"/>
    <n v="0"/>
    <n v="3465952.4058371698"/>
    <n v="2303160.62849788"/>
    <n v="35.566961271585733"/>
    <n v="60"/>
    <n v="133375.67124699999"/>
    <n v="176621.18709799999"/>
    <n v="1060841.818407"/>
    <n v="953878.26940500003"/>
    <n v="727175.85146699997"/>
    <n v="1296323.6730729998"/>
    <n v="284932.54395799956"/>
    <n v="1296323.6730729998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</r>
  <r>
    <s v="15"/>
    <s v="15000"/>
    <x v="2"/>
    <s v="BOYACÁ"/>
    <n v="1"/>
    <s v="N/A"/>
    <x v="4"/>
    <n v="0"/>
    <n v="719740.04197200004"/>
    <n v="1291822.9808430001"/>
    <n v="403773.56935400009"/>
    <n v="38371.823922999996"/>
    <n v="1255995.2632489989"/>
    <n v="3259.221618"/>
    <n v="444596.07160800009"/>
    <n v="267347.62609500007"/>
    <n v="10637.919648999999"/>
    <n v="-11832.686692998977"/>
    <n v="262243.75168300001"/>
    <n v="0"/>
    <n v="4326882.6956350002"/>
    <n v="3072938.6689309999"/>
    <n v="34.899107685839823"/>
    <n v="55"/>
    <n v="346458.587"/>
    <n v="416971.42256699997"/>
    <n v="1126407.222023"/>
    <n v="992648.88413599995"/>
    <n v="719740.04197200004"/>
    <n v="1291822.9808430001"/>
    <n v="261048.98463900102"/>
    <n v="1291822.980843000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</r>
  <r>
    <s v="23"/>
    <s v="23000"/>
    <x v="2"/>
    <s v="CORDOBA"/>
    <n v="2"/>
    <s v="N/A"/>
    <x v="3"/>
    <n v="0"/>
    <n v="908501.80338100006"/>
    <n v="1374879.8797130003"/>
    <n v="289200.84723499999"/>
    <n v="25375.170160999998"/>
    <n v="1485072.416281"/>
    <n v="204969.961954"/>
    <n v="314971.69619699998"/>
    <n v="123479.564908"/>
    <n v="10849.335374"/>
    <n v="-41712.905881999759"/>
    <n v="236668.94558"/>
    <n v="0"/>
    <n v="2987369.2097149198"/>
    <n v="2370908.1765469201"/>
    <n v="52.689214060559351"/>
    <n v="60"/>
    <n v="239593.62985900001"/>
    <n v="300173.98116000002"/>
    <n v="1225100.6543060001"/>
    <n v="1083150.0963920001"/>
    <n v="908501.80338100006"/>
    <n v="1374879.8797130003"/>
    <n v="205805.37507200026"/>
    <n v="1374879.8797130003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</r>
  <r>
    <s v="91"/>
    <s v="91000"/>
    <x v="2"/>
    <s v="AMAZONAS"/>
    <n v="4"/>
    <s v="N/A"/>
    <x v="0"/>
    <n v="27484.375062999999"/>
    <n v="147377.69007300001"/>
    <n v="237060.88230500001"/>
    <n v="18643.743096999999"/>
    <n v="4467.7941929999997"/>
    <n v="211744.89240300001"/>
    <n v="0"/>
    <n v="50939.673945999995"/>
    <n v="20439.834503999999"/>
    <n v="0"/>
    <n v="-5183.8495399999956"/>
    <n v="62583.543255999997"/>
    <n v="0"/>
    <n v="1026020.419626"/>
    <n v="357726.83288100001"/>
    <n v="58.585303491843845"/>
    <n v="70"/>
    <n v="18079.069972000001"/>
    <n v="20048.682058999999"/>
    <n v="211744.89240300001"/>
    <n v="167261.16360599999"/>
    <n v="174862.06513599999"/>
    <n v="237060.88230500001"/>
    <n v="57399.693716000002"/>
    <n v="237060.8823050000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</r>
  <r>
    <s v="13"/>
    <s v="13000"/>
    <x v="2"/>
    <s v="BOLIVAR"/>
    <n v="1"/>
    <s v="N/A"/>
    <x v="3"/>
    <n v="0"/>
    <n v="827847.98440900003"/>
    <n v="1651003.351267"/>
    <n v="382618.33313899999"/>
    <n v="139073.58487799999"/>
    <n v="1773408.3013679991"/>
    <n v="0"/>
    <n v="521691.91801699996"/>
    <n v="191103.50160199997"/>
    <n v="14769.883715"/>
    <n v="103732.41791800107"/>
    <n v="191626.57978599999"/>
    <n v="0"/>
    <n v="4312832.9145214604"/>
    <n v="2581812.4645820302"/>
    <n v="52.814365072053427"/>
    <n v="55"/>
    <n v="371834.696772"/>
    <n v="404405.57156100002"/>
    <n v="1221682.516934"/>
    <n v="1046056.8068350001"/>
    <n v="827847.98440900003"/>
    <n v="1651003.351267"/>
    <n v="310128.88141900103"/>
    <n v="1651003.351267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</r>
  <r>
    <s v="99"/>
    <s v="99000"/>
    <x v="2"/>
    <s v="VICHADA"/>
    <n v="4"/>
    <s v="N/A"/>
    <x v="2"/>
    <n v="24145.021270000001"/>
    <n v="84870.922787999996"/>
    <n v="160606.444143"/>
    <n v="17212.860812999999"/>
    <n v="1934.698535"/>
    <n v="144619.84922099998"/>
    <n v="13.042388000000001"/>
    <n v="43418.356082999999"/>
    <n v="15302.119566199999"/>
    <n v="13.326851"/>
    <n v="-12129.641594799992"/>
    <n v="36466.284346"/>
    <n v="0"/>
    <n v="662768.51649099996"/>
    <n v="161440.65052299999"/>
    <n v="74.058560554216598"/>
    <n v="70"/>
    <n v="16175.418578999999"/>
    <n v="18038.871997999999"/>
    <n v="144619.84922100001"/>
    <n v="112813.766389"/>
    <n v="109015.94405799999"/>
    <n v="160606.444143"/>
    <n v="24349.969602200006"/>
    <n v="160606.444143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</r>
  <r>
    <s v="63"/>
    <s v="63000"/>
    <x v="2"/>
    <s v="QUINDIO"/>
    <n v="3"/>
    <s v="N/A"/>
    <x v="1"/>
    <n v="0"/>
    <n v="176128.55166600001"/>
    <n v="429799.70546700002"/>
    <n v="138152.63939"/>
    <n v="53918.444669999997"/>
    <n v="251139.80498400002"/>
    <n v="2978.8376850000004"/>
    <n v="193296.32545400001"/>
    <n v="103249.04642100001"/>
    <n v="1995.192669"/>
    <n v="97216.158131000004"/>
    <n v="85627.558885999999"/>
    <n v="0"/>
    <n v="1368282.3056876899"/>
    <n v="823558.50605547999"/>
    <n v="79.777609051135855"/>
    <n v="70"/>
    <n v="119436.538155"/>
    <n v="147249.97887600001"/>
    <n v="242536.26830299999"/>
    <n v="230938.234486"/>
    <n v="176128.55166600001"/>
    <n v="429799.70546700002"/>
    <n v="184838.909686"/>
    <n v="429799.70546700002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</r>
  <r>
    <s v="91"/>
    <s v="91000"/>
    <x v="3"/>
    <s v="AMAZONAS"/>
    <n v="4"/>
    <s v="N/A"/>
    <x v="0"/>
    <n v="34557.430219000002"/>
    <n v="168915.013336"/>
    <n v="245955.03864899999"/>
    <n v="16258.542930000001"/>
    <n v="4667.3536889999996"/>
    <n v="254174.61194199999"/>
    <n v="617.15029100000004"/>
    <n v="55775.180199000002"/>
    <n v="23766.996714000001"/>
    <n v="685.55854099999999"/>
    <n v="-40227.756777999981"/>
    <n v="56179.647369999999"/>
    <n v="7500"/>
    <n v="1105764.0715439999"/>
    <n v="359243.17229800002"/>
    <n v="51.589238217229607"/>
    <n v="70"/>
    <n v="21797.5"/>
    <n v="19306.410107"/>
    <n v="254174.61194199999"/>
    <n v="220409.96067500001"/>
    <n v="203472.44355500001"/>
    <n v="245955.03864899999"/>
    <n v="16637.449133000016"/>
    <n v="253455.03864899999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</r>
  <r>
    <s v="05"/>
    <s v="05000"/>
    <x v="3"/>
    <s v="ANTIOQUIA"/>
    <s v="ESP"/>
    <s v="N/A"/>
    <x v="1"/>
    <n v="0"/>
    <n v="1708148.793023"/>
    <n v="5664596.7314109998"/>
    <n v="1966806.0016119999"/>
    <n v="1246195.7623409999"/>
    <n v="4564607.303692"/>
    <n v="254340.86568200003"/>
    <n v="3225182.6409119996"/>
    <n v="1980997.5266229997"/>
    <n v="262444.20826400002"/>
    <n v="-39182.918036999181"/>
    <n v="943595.33242700004"/>
    <n v="450647.795942"/>
    <n v="14361624.727996999"/>
    <n v="10956548.592325"/>
    <n v="27.189236154129446"/>
    <n v="50"/>
    <n v="1792060.7955149999"/>
    <n v="2180396.2604109999"/>
    <n v="4459594.5351590002"/>
    <n v="4227348.3222249998"/>
    <n v="1708148.793023"/>
    <n v="5664596.7314109998"/>
    <n v="1166856.6226540008"/>
    <n v="6115244.5273529999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</r>
  <r>
    <s v="81"/>
    <s v="81000"/>
    <x v="3"/>
    <s v="ARAUCA"/>
    <n v="4"/>
    <s v="N/A"/>
    <x v="2"/>
    <n v="30109.057852999998"/>
    <n v="244620.76264100001"/>
    <n v="370058.700901"/>
    <n v="49513.888716999994"/>
    <n v="8792.1599659999993"/>
    <n v="333259.83750200004"/>
    <n v="18501.991699999999"/>
    <n v="89284.392137999996"/>
    <n v="37605.030095999995"/>
    <n v="0"/>
    <n v="-14880.498643000028"/>
    <n v="56672.337827000003"/>
    <n v="0"/>
    <n v="1290623.2658160001"/>
    <n v="677132.26076900004"/>
    <n v="64.187469361036165"/>
    <n v="70"/>
    <n v="49324.494471999998"/>
    <n v="58822.049183000003"/>
    <n v="333353.27889399999"/>
    <n v="311804.13501899998"/>
    <n v="274729.82049399999"/>
    <n v="370058.700901"/>
    <n v="41791.839183999975"/>
    <n v="370058.70090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</r>
  <r>
    <s v="08"/>
    <s v="08000"/>
    <x v="3"/>
    <s v="ATLANTICO"/>
    <n v="1"/>
    <s v="N/A"/>
    <x v="3"/>
    <n v="0"/>
    <n v="481591.39182599995"/>
    <n v="1603683.2893439999"/>
    <n v="639026.43422399997"/>
    <n v="296363.20218499994"/>
    <n v="1607868.4976029999"/>
    <n v="25905.723109999999"/>
    <n v="936342.46884999995"/>
    <n v="555787.702819"/>
    <n v="113958.637302"/>
    <n v="-310647.51297100005"/>
    <n v="136837.24488700001"/>
    <n v="527712.31049599999"/>
    <n v="5003770.71215"/>
    <n v="2536165.0810890002"/>
    <n v="32.333513805782218"/>
    <n v="55"/>
    <n v="899465.62714"/>
    <n v="822926.98657199997"/>
    <n v="1549243.4210349999"/>
    <n v="1227197.63579"/>
    <n v="481591.39182599995"/>
    <n v="1603683.2893439999"/>
    <n v="-59851.630782000022"/>
    <n v="2131395.5998399998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</r>
  <r>
    <s v="13"/>
    <s v="13000"/>
    <x v="3"/>
    <s v="BOLIVAR"/>
    <n v="1"/>
    <s v="N/A"/>
    <x v="3"/>
    <n v="0"/>
    <n v="913695.39040799998"/>
    <n v="1666732.3174399999"/>
    <n v="421059.49491000001"/>
    <n v="160789.46922299999"/>
    <n v="1622824.5231549998"/>
    <n v="961.45631100000003"/>
    <n v="581848.964133"/>
    <n v="216733.41467299999"/>
    <n v="51713.429916000001"/>
    <n v="-60513.404335999861"/>
    <n v="173209.12760599999"/>
    <n v="45000"/>
    <n v="3719552.3405789998"/>
    <n v="3258556.5031349999"/>
    <n v="61.617439621570469"/>
    <n v="55"/>
    <n v="474580.80184899998"/>
    <n v="450190.37723799999"/>
    <n v="1363635.791775"/>
    <n v="1181509.1197510001"/>
    <n v="913695.39040799998"/>
    <n v="1666732.3174399999"/>
    <n v="164409.15318600013"/>
    <n v="1711732.3174399999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</r>
  <r>
    <s v="15"/>
    <s v="15000"/>
    <x v="3"/>
    <s v="BOYACÁ"/>
    <n v="1"/>
    <s v="N/A"/>
    <x v="4"/>
    <n v="0"/>
    <n v="792473.63756200008"/>
    <n v="1420268.732081"/>
    <n v="404855.47992299998"/>
    <n v="43990.007371"/>
    <n v="1417519.699948"/>
    <n v="10674.980749999999"/>
    <n v="451441.32001299999"/>
    <n v="253509.68873699996"/>
    <n v="16085.080384999999"/>
    <n v="-70528.433475000085"/>
    <n v="222701.51098799999"/>
    <n v="31671.411477000001"/>
    <n v="4782029.6766579999"/>
    <n v="2336981.9760139999"/>
    <n v="43.501004097567922"/>
    <n v="55"/>
    <n v="419333.21735200001"/>
    <n v="417105.59775900003"/>
    <n v="1292865.53428"/>
    <n v="1139800.6235430001"/>
    <n v="792473.63756200008"/>
    <n v="1420268.732081"/>
    <n v="168258.15789799992"/>
    <n v="1451940.143558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</r>
  <r>
    <s v="17"/>
    <s v="17000"/>
    <x v="3"/>
    <s v="CALDAS"/>
    <n v="2"/>
    <s v="N/A"/>
    <x v="1"/>
    <n v="0"/>
    <n v="450286.99479899998"/>
    <n v="984962.23442300013"/>
    <n v="233923.67282499999"/>
    <n v="123832.357439"/>
    <n v="834837.01954600005"/>
    <n v="169075.44768500002"/>
    <n v="361659.43781600002"/>
    <n v="164886.484191"/>
    <n v="21753.611606999999"/>
    <n v="-6649.2221240000799"/>
    <n v="138264.37872099999"/>
    <n v="44237.847815000001"/>
    <n v="3529365.723183"/>
    <n v="2207580.019353"/>
    <n v="39.399462547470627"/>
    <n v="60"/>
    <n v="223151.64033600001"/>
    <n v="265962.122042"/>
    <n v="794838.50292200001"/>
    <n v="735214.10199999996"/>
    <n v="450286.99479899998"/>
    <n v="984962.23442300013"/>
    <n v="153368.76820399991"/>
    <n v="1029200.082238000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</r>
  <r>
    <s v="18"/>
    <s v="18000"/>
    <x v="3"/>
    <s v="CAQUETA"/>
    <n v="4"/>
    <s v="N/A"/>
    <x v="0"/>
    <n v="0"/>
    <n v="268438.70236300002"/>
    <n v="417207.44781899999"/>
    <n v="77392.158637"/>
    <n v="27446.771142000001"/>
    <n v="393850.55815900001"/>
    <n v="3050.981683"/>
    <n v="105954.90638499999"/>
    <n v="38555.959730999995"/>
    <n v="841.21625500000005"/>
    <n v="-29150.735068000038"/>
    <n v="64940.249766000001"/>
    <n v="2500"/>
    <n v="1150291.720405"/>
    <n v="662833.46281499998"/>
    <n v="63.850091459608407"/>
    <n v="70"/>
    <n v="65088.055999999997"/>
    <n v="82206.178755999994"/>
    <n v="378959.236233"/>
    <n v="348813.037389"/>
    <n v="268438.70236300002"/>
    <n v="417207.44781899999"/>
    <n v="36630.730952999962"/>
    <n v="419707.44781899999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</r>
  <r>
    <s v="85"/>
    <s v="85000"/>
    <x v="3"/>
    <s v="CASANARE"/>
    <n v="3"/>
    <s v="N/A"/>
    <x v="2"/>
    <n v="30109.057851999998"/>
    <n v="228911.26804300002"/>
    <n v="553078.37683600001"/>
    <n v="158427.985507"/>
    <n v="50541.451228000005"/>
    <n v="1096573.1743999999"/>
    <n v="0"/>
    <n v="240786.19702600001"/>
    <n v="135206.35305400001"/>
    <n v="0"/>
    <n v="-563.64433600008488"/>
    <n v="68535.564731000006"/>
    <n v="0"/>
    <n v="3392284.5204039998"/>
    <n v="669984.83466499997"/>
    <n v="57.852022612366049"/>
    <n v="70"/>
    <n v="121316.393381"/>
    <n v="207675.249453"/>
    <n v="448062.17719999998"/>
    <n v="400751.83343399997"/>
    <n v="259020.32589500002"/>
    <n v="553078.37683600001"/>
    <n v="67971.920394999921"/>
    <n v="553078.3768360000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</r>
  <r>
    <s v="19"/>
    <s v="19000"/>
    <x v="3"/>
    <s v="CAUCA"/>
    <n v="3"/>
    <s v="N/A"/>
    <x v="5"/>
    <n v="0"/>
    <n v="1114309.8660890001"/>
    <n v="1539779.4888460003"/>
    <n v="148586.424994"/>
    <n v="119385.03152999999"/>
    <n v="1451083.9791770002"/>
    <n v="6274.7557669999997"/>
    <n v="269104.36723199999"/>
    <n v="129390.91616899997"/>
    <n v="3436.8677309999998"/>
    <n v="-6281.0528810000978"/>
    <n v="339729.42427900003"/>
    <n v="4634.6248189999997"/>
    <n v="3571240.4643020001"/>
    <n v="1337492.1441220001"/>
    <n v="48.266820190145872"/>
    <n v="70"/>
    <n v="156637.01415999999"/>
    <n v="163984.65431000001"/>
    <n v="1406347.090664"/>
    <n v="1310442.6065450001"/>
    <n v="1114309.8660890001"/>
    <n v="1539779.4888460003"/>
    <n v="336885.23912899994"/>
    <n v="1544414.1136650003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</r>
  <r>
    <s v="20"/>
    <s v="20000"/>
    <x v="3"/>
    <s v="CESAR"/>
    <n v="2"/>
    <s v="N/A"/>
    <x v="3"/>
    <n v="0"/>
    <n v="568496.49386499997"/>
    <n v="1057632.6996209999"/>
    <n v="221033.41530599998"/>
    <n v="98338.136108000006"/>
    <n v="1803062.6119929999"/>
    <n v="961268.41009000002"/>
    <n v="320364.55025099998"/>
    <n v="202046.06509399999"/>
    <n v="10757.321447"/>
    <n v="-55264.31556300004"/>
    <n v="163743.40888100001"/>
    <n v="46398"/>
    <n v="4477617.1364430003"/>
    <n v="1242687.811797"/>
    <n v="51.788428483941516"/>
    <n v="60"/>
    <n v="204462.58078300001"/>
    <n v="264984.52338899998"/>
    <n v="994578.56992499996"/>
    <n v="846432.20963699999"/>
    <n v="568496.49386499997"/>
    <n v="1057632.6996209999"/>
    <n v="119236.41476499996"/>
    <n v="1104030.6996209999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</r>
  <r>
    <s v="27"/>
    <s v="27000"/>
    <x v="3"/>
    <s v="CHOCO"/>
    <n v="3"/>
    <s v="N/A"/>
    <x v="5"/>
    <n v="0"/>
    <n v="518697.60873800004"/>
    <n v="656112.21831000003"/>
    <n v="100633.80316"/>
    <n v="9516.3565689999978"/>
    <n v="598844.99029499991"/>
    <n v="13348.375322999998"/>
    <n v="110150.15972899999"/>
    <n v="32795.823357000001"/>
    <n v="4120.9272810000002"/>
    <n v="-20087.108356999815"/>
    <n v="56057.526241"/>
    <n v="3999.9996259999998"/>
    <n v="2226540.3175889999"/>
    <n v="618554.82496899995"/>
    <n v="68.497339794911397"/>
    <n v="70"/>
    <n v="102019.77401199999"/>
    <n v="102596.66250000001"/>
    <n v="598844.99029500003"/>
    <n v="522746.90524599998"/>
    <n v="518697.60873800004"/>
    <n v="656112.21831000003"/>
    <n v="40091.345165000181"/>
    <n v="660112.21793599997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</r>
  <r>
    <s v="23"/>
    <s v="23000"/>
    <x v="3"/>
    <s v="CORDOBA"/>
    <n v="1"/>
    <s v="N/A"/>
    <x v="3"/>
    <n v="0"/>
    <n v="978445.12108700001"/>
    <n v="1456149.1216790001"/>
    <n v="297648.30452199996"/>
    <n v="28289.356760999995"/>
    <n v="1477039.1428989999"/>
    <n v="168084.338192"/>
    <n v="327068.46887499996"/>
    <n v="96150.111237999954"/>
    <n v="21058.249906000001"/>
    <n v="-134771.30760299973"/>
    <n v="277637.59239300003"/>
    <n v="35966.985868000003"/>
    <n v="3474160.7841400001"/>
    <n v="2461583.4731490002"/>
    <n v="53.432429362089771"/>
    <n v="55"/>
    <n v="262658.07809199998"/>
    <n v="310692.86822800001"/>
    <n v="1360002.071645"/>
    <n v="1231526.206156"/>
    <n v="978445.12108700001"/>
    <n v="1456149.1216790001"/>
    <n v="163924.53469600028"/>
    <n v="1492116.107547000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</r>
  <r>
    <s v="25"/>
    <s v="25000"/>
    <x v="3"/>
    <s v="CUNDINAMARCA"/>
    <s v="ESP"/>
    <s v="N/A"/>
    <x v="4"/>
    <n v="0"/>
    <n v="1030276.7389849999"/>
    <n v="3890273.0365129998"/>
    <n v="2021570.7743540001"/>
    <n v="483032.25101999997"/>
    <n v="3679655.6525650001"/>
    <n v="65209.160143000001"/>
    <n v="2506279.2171089998"/>
    <n v="1643874.4981379998"/>
    <n v="151873.143553"/>
    <n v="-537294.77478800062"/>
    <n v="637762.48821099999"/>
    <n v="302881.69056700001"/>
    <n v="9858466.470005"/>
    <n v="6064243.4129560003"/>
    <n v="38.317461322288672"/>
    <n v="50"/>
    <n v="1922463.3929999999"/>
    <n v="2170041.9152560001"/>
    <n v="3565163.0923299999"/>
    <n v="3441575.7587660002"/>
    <n v="1030276.7389849999"/>
    <n v="3890273.0365129998"/>
    <n v="252340.85697599937"/>
    <n v="4193154.7270799996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</r>
  <r>
    <s v="94"/>
    <s v="94000"/>
    <x v="3"/>
    <s v="GUAINIA"/>
    <n v="4"/>
    <s v="N/A"/>
    <x v="2"/>
    <n v="32052.834347"/>
    <n v="121758.90069400001"/>
    <n v="229426.096036"/>
    <n v="32052.448767999998"/>
    <n v="10662.393081"/>
    <n v="211980.30491799998"/>
    <n v="21277.377533999999"/>
    <n v="74767.676196"/>
    <n v="49399.980131000004"/>
    <n v="0"/>
    <n v="2327.8700890000036"/>
    <n v="57423.3"/>
    <n v="0"/>
    <n v="1190668.2160080001"/>
    <n v="210115.538382"/>
    <n v="39.905063745860033"/>
    <n v="70"/>
    <n v="25305.142346000001"/>
    <n v="42181.569073999999"/>
    <n v="201730.529882"/>
    <n v="169284.409526"/>
    <n v="153811.73504100001"/>
    <n v="229426.096036"/>
    <n v="59751.170089000007"/>
    <n v="229426.096036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</r>
  <r>
    <s v="44"/>
    <s v="44000"/>
    <x v="3"/>
    <s v="LA_GUAJIRA"/>
    <n v="4"/>
    <s v="N/A"/>
    <x v="3"/>
    <n v="0"/>
    <n v="432792.04677300004"/>
    <n v="659772.82426100003"/>
    <n v="149588.67584499999"/>
    <n v="6202.2442130000009"/>
    <n v="590639.87921599997"/>
    <n v="19963.567631999998"/>
    <n v="156183.56567099999"/>
    <n v="97733.370874999993"/>
    <n v="0"/>
    <n v="44708.357206999906"/>
    <n v="132664.319858"/>
    <n v="0"/>
    <n v="1843736.4700579999"/>
    <n v="970017.64069699997"/>
    <n v="54.858545092602739"/>
    <n v="70"/>
    <n v="169936.40880400001"/>
    <n v="151841.199964"/>
    <n v="556614.27225799998"/>
    <n v="506383.101104"/>
    <n v="432792.04677300004"/>
    <n v="659772.82426100003"/>
    <n v="177372.67706499991"/>
    <n v="659772.82426100003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</r>
  <r>
    <s v="95"/>
    <s v="95000"/>
    <x v="3"/>
    <s v="GUAVIARE"/>
    <n v="4"/>
    <s v="N/A"/>
    <x v="2"/>
    <n v="30109.057851999998"/>
    <n v="115904.68685700002"/>
    <n v="213747.46528800001"/>
    <n v="39885.399039999997"/>
    <n v="12972.119031999999"/>
    <n v="199091.13940800002"/>
    <n v="30446.000562999998"/>
    <n v="83555.023097999991"/>
    <n v="27939.247814999981"/>
    <n v="2023.8711129999999"/>
    <n v="-14336.350742000039"/>
    <n v="36566.169228999999"/>
    <n v="10336.739"/>
    <n v="1033793.912004"/>
    <n v="239034.512476"/>
    <n v="76.223272471524439"/>
    <n v="70"/>
    <n v="29629.268241000002"/>
    <n v="51606.82518"/>
    <n v="173275.300621"/>
    <n v="151020.09189499999"/>
    <n v="146013.74470900002"/>
    <n v="213747.46528800001"/>
    <n v="24253.689599999962"/>
    <n v="224084.2042880000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</r>
  <r>
    <s v="41"/>
    <s v="41000"/>
    <x v="3"/>
    <s v="HUILA"/>
    <n v="2"/>
    <s v="N/A"/>
    <x v="0"/>
    <n v="0"/>
    <n v="552386.17730700003"/>
    <n v="1072217.7698230001"/>
    <n v="242796.02807599999"/>
    <n v="99937.971677999987"/>
    <n v="1392260.4980540001"/>
    <n v="137666.498433"/>
    <n v="345242.59515000001"/>
    <n v="152099.53471400001"/>
    <n v="8785"/>
    <n v="-146184.68955200003"/>
    <n v="159765.89663599999"/>
    <n v="39664.536824000003"/>
    <n v="2592812.929238"/>
    <n v="1665205.7061040001"/>
    <n v="43.901676421073141"/>
    <n v="60"/>
    <n v="259314.56281599999"/>
    <n v="263296.37923600001"/>
    <n v="1025259.398939"/>
    <n v="896200.36975800002"/>
    <n v="552386.17730700003"/>
    <n v="1072217.7698230001"/>
    <n v="22366.207083999965"/>
    <n v="1111882.306647000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</r>
  <r>
    <s v="47"/>
    <s v="47000"/>
    <x v="3"/>
    <s v="MAGDALENA"/>
    <n v="2"/>
    <s v="N/A"/>
    <x v="3"/>
    <n v="0"/>
    <n v="769770.56024000002"/>
    <n v="1403563.094885"/>
    <n v="315338.45581700001"/>
    <n v="191139.329726"/>
    <n v="1290305.846896"/>
    <n v="139782.42813699998"/>
    <n v="508133.867264"/>
    <n v="260088.06254700001"/>
    <n v="11948.434433"/>
    <n v="-48598.716215000022"/>
    <n v="370610.926783"/>
    <n v="52000"/>
    <n v="2540860.1916809999"/>
    <n v="1148459.874636"/>
    <n v="56.190341891655848"/>
    <n v="60"/>
    <n v="467800.92988399998"/>
    <n v="491807.41420699999"/>
    <n v="1204116.0063829999"/>
    <n v="951819.28443999996"/>
    <n v="769770.56024000002"/>
    <n v="1403563.094885"/>
    <n v="333960.64500099997"/>
    <n v="1455563.094885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</r>
  <r>
    <s v="50"/>
    <s v="50000"/>
    <x v="3"/>
    <s v="META"/>
    <n v="1"/>
    <s v="N/A"/>
    <x v="2"/>
    <n v="0"/>
    <n v="367742.22785100003"/>
    <n v="1003491.107913"/>
    <n v="392754.42291100003"/>
    <n v="83630.413635999997"/>
    <n v="1036143.394596"/>
    <n v="1690.0210619999998"/>
    <n v="478357.34229000006"/>
    <n v="238175.20581000004"/>
    <n v="20531.735135999999"/>
    <n v="14013.970280000125"/>
    <n v="214831.07516099999"/>
    <n v="9589.5893020000003"/>
    <n v="9281976.9695849996"/>
    <n v="1517473.794581"/>
    <n v="47.133611605767292"/>
    <n v="55"/>
    <n v="396975.78305000003"/>
    <n v="428118.18178099999"/>
    <n v="749295.00115300005"/>
    <n v="699508.50942400005"/>
    <n v="367742.22785100003"/>
    <n v="1003491.107913"/>
    <n v="249376.78057700011"/>
    <n v="1013080.697215000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</r>
  <r>
    <s v="52"/>
    <s v="52000"/>
    <x v="3"/>
    <s v="NARIÑO"/>
    <n v="1"/>
    <s v="N/A"/>
    <x v="5"/>
    <n v="0"/>
    <n v="838042.98374599998"/>
    <n v="1418053.782226"/>
    <n v="262920.875451"/>
    <n v="112400.97011699998"/>
    <n v="1318807.2755100003"/>
    <n v="68129.740449000004"/>
    <n v="380352.763034"/>
    <n v="201675.24735200001"/>
    <n v="0"/>
    <n v="-24226.290997000178"/>
    <n v="307094.85618599999"/>
    <n v="0"/>
    <n v="3663680.8840509998"/>
    <n v="1839751.5539210001"/>
    <n v="40.974796783731129"/>
    <n v="55"/>
    <n v="169458.29485100001"/>
    <n v="241042.38814699999"/>
    <n v="1263602.557541"/>
    <n v="1058052.3178630001"/>
    <n v="838042.98374599998"/>
    <n v="1418053.782226"/>
    <n v="282868.56518899981"/>
    <n v="1418053.782226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</r>
  <r>
    <s v="54"/>
    <s v="54000"/>
    <x v="3"/>
    <s v="NORTE DE SANTANDER"/>
    <n v="2"/>
    <s v="N/A"/>
    <x v="4"/>
    <n v="0"/>
    <n v="657569.02635299996"/>
    <n v="1264450.177254"/>
    <n v="359782.37497800001"/>
    <n v="114017.61197199998"/>
    <n v="1278002.1065479999"/>
    <n v="19148.126222999999"/>
    <n v="475945.67609299999"/>
    <n v="267853.75635199994"/>
    <n v="28984.038911"/>
    <n v="-220493.13948399993"/>
    <n v="304822.466954"/>
    <n v="35000"/>
    <n v="2737803.3007220002"/>
    <n v="1531063.4872610001"/>
    <n v="47.293900337534566"/>
    <n v="60"/>
    <n v="316082.59749900002"/>
    <n v="406252.47766799998"/>
    <n v="1276851.3969970001"/>
    <n v="1039302.6069660001"/>
    <n v="657569.02635299996"/>
    <n v="1264450.177254"/>
    <n v="113313.36638100009"/>
    <n v="1299450.177254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</r>
  <r>
    <s v="86"/>
    <s v="86000"/>
    <x v="3"/>
    <s v="PUTUMAYO"/>
    <n v="4"/>
    <s v="N/A"/>
    <x v="0"/>
    <n v="30109.057853999999"/>
    <n v="361245.93584399996"/>
    <n v="532641.1586529999"/>
    <n v="59075.089930999995"/>
    <n v="28024.984209999991"/>
    <n v="496786.292197"/>
    <n v="53313.271164999998"/>
    <n v="117813.18519299998"/>
    <n v="41798.974231999979"/>
    <n v="757.12473299999999"/>
    <n v="-40159.344505000161"/>
    <n v="71100.773107000001"/>
    <n v="0"/>
    <n v="1589336.115431"/>
    <n v="432224.62767199997"/>
    <n v="64.818630015215476"/>
    <n v="70"/>
    <n v="52924.317827999999"/>
    <n v="68250.256492999993"/>
    <n v="496786.292197"/>
    <n v="437892.78838500002"/>
    <n v="391354.99369799998"/>
    <n v="532641.1586529999"/>
    <n v="31698.553334999837"/>
    <n v="532641.1586529999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</r>
  <r>
    <s v="63"/>
    <s v="63000"/>
    <x v="3"/>
    <s v="QUINDIO"/>
    <n v="3"/>
    <s v="N/A"/>
    <x v="1"/>
    <n v="0"/>
    <n v="192184.54999000003"/>
    <n v="476193.105568"/>
    <n v="174488.99472399999"/>
    <n v="63919.002297999985"/>
    <n v="414232.60491700005"/>
    <n v="6599.0570420000004"/>
    <n v="245155.94325699998"/>
    <n v="122746.74656199997"/>
    <n v="2864.5663129999998"/>
    <n v="-47320.299210000027"/>
    <n v="96895.836473000003"/>
    <n v="14841"/>
    <n v="1478197.7244180001"/>
    <n v="875866.68843600003"/>
    <n v="70.70008694576758"/>
    <n v="70"/>
    <n v="157728.98678000001"/>
    <n v="191371.76823799999"/>
    <n v="399373.20808299998"/>
    <n v="367906.08167500002"/>
    <n v="192184.54999000003"/>
    <n v="476193.105568"/>
    <n v="52440.10357599998"/>
    <n v="491034.105568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</r>
  <r>
    <s v="66"/>
    <s v="66000"/>
    <x v="3"/>
    <s v="RISARALDA"/>
    <n v="2"/>
    <s v="N/A"/>
    <x v="1"/>
    <n v="0"/>
    <n v="225678.87617500001"/>
    <n v="751998.12486500002"/>
    <n v="266481.76376399997"/>
    <n v="117822.26447500002"/>
    <n v="657700.67057800002"/>
    <n v="7661.1679019999992"/>
    <n v="384683.95663000003"/>
    <n v="243460.19305200002"/>
    <n v="2125.2653949999999"/>
    <n v="-44206.707900000038"/>
    <n v="342417.71611699997"/>
    <n v="12540.445141"/>
    <n v="2928379.5990399998"/>
    <n v="1362417.347688"/>
    <n v="59.191628274728544"/>
    <n v="60"/>
    <n v="259071.10682399999"/>
    <n v="298277.47541200003"/>
    <n v="654981.06918700004"/>
    <n v="609097.87561800005"/>
    <n v="225678.87617500001"/>
    <n v="751998.12486500002"/>
    <n v="300336.27361199993"/>
    <n v="764538.57000599999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</r>
  <r>
    <s v="88"/>
    <s v="88000"/>
    <x v="3"/>
    <s v="SAN ANDRES"/>
    <n v="3"/>
    <s v="N/A"/>
    <x v="3"/>
    <n v="59527.163401999998"/>
    <n v="63826.354435000001"/>
    <n v="471556.57726699999"/>
    <n v="60685.420497999999"/>
    <n v="102286.42011799999"/>
    <n v="272635.160172"/>
    <n v="61789.106067000001"/>
    <n v="222983.817882"/>
    <n v="-18194.058334000001"/>
    <n v="0"/>
    <n v="-42256.459121000022"/>
    <n v="93363.497713999997"/>
    <n v="0"/>
    <n v="1885018.8876"/>
    <n v="358866.16067999997"/>
    <n v="83.494438600324543"/>
    <n v="70"/>
    <n v="233789.5"/>
    <n v="162889.64419299999"/>
    <n v="272635.160172"/>
    <n v="248155.70200700001"/>
    <n v="123353.51783699999"/>
    <n v="471556.57726699999"/>
    <n v="51107.038592999976"/>
    <n v="471556.57726699999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</r>
  <r>
    <s v="68"/>
    <s v="68000"/>
    <x v="3"/>
    <s v="SANTANDER"/>
    <n v="1"/>
    <s v="N/A"/>
    <x v="4"/>
    <n v="0"/>
    <n v="760865.00191399991"/>
    <n v="1880718.7261239998"/>
    <n v="758862.68155999994"/>
    <n v="89511.249306000012"/>
    <n v="1755374.0170819999"/>
    <n v="224636.59049900001"/>
    <n v="851049.97987899999"/>
    <n v="357382.97740999999"/>
    <n v="39885.072628000002"/>
    <n v="-92915.5612420002"/>
    <n v="423910.55848800001"/>
    <n v="0"/>
    <n v="6204947.1158199999"/>
    <n v="5118431.6710839998"/>
    <n v="55.327929440342459"/>
    <n v="55"/>
    <n v="747914.07731199998"/>
    <n v="799197.89053800004"/>
    <n v="1479967.2848970001"/>
    <n v="1280178.212299"/>
    <n v="760865.00191399991"/>
    <n v="1880718.7261239998"/>
    <n v="370880.0698739998"/>
    <n v="1880718.7261239998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</r>
  <r>
    <s v="70"/>
    <s v="70000"/>
    <x v="3"/>
    <s v="SUCRE"/>
    <n v="3"/>
    <s v="N/A"/>
    <x v="3"/>
    <n v="0"/>
    <n v="622135.80472399993"/>
    <n v="874096.66727399989"/>
    <n v="193730.11619000003"/>
    <n v="25296.859053"/>
    <n v="1001046.6668789999"/>
    <n v="171697.10267699999"/>
    <n v="220152.42357800002"/>
    <n v="124817.00716700002"/>
    <n v="4364.0891140000003"/>
    <n v="-146021.2798919999"/>
    <n v="148676.87523400001"/>
    <n v="29741.495198000001"/>
    <n v="1827951.2538069999"/>
    <n v="643440.89253099996"/>
    <n v="68.509472017601155"/>
    <n v="70"/>
    <n v="161093.271656"/>
    <n v="215601.21788499999"/>
    <n v="924782.53075499996"/>
    <n v="831177.22487000003"/>
    <n v="622135.80472399993"/>
    <n v="874096.66727399989"/>
    <n v="7019.6844560001045"/>
    <n v="903838.16247199988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</r>
  <r>
    <s v="73"/>
    <s v="73000"/>
    <x v="3"/>
    <s v="TOLIMA"/>
    <n v="2"/>
    <s v="N/A"/>
    <x v="0"/>
    <n v="0"/>
    <n v="781651.69561299996"/>
    <n v="1398515.6663210001"/>
    <n v="323801.35674800002"/>
    <n v="109464.46976399996"/>
    <n v="1309026.6474750002"/>
    <n v="38356.491267999998"/>
    <n v="449397.64377299999"/>
    <n v="163486.732953"/>
    <n v="11022.610366999999"/>
    <n v="-108118.2007360002"/>
    <n v="111357.31282399999"/>
    <n v="0"/>
    <n v="2903897.1383859999"/>
    <n v="2409190.2070439998"/>
    <n v="45.23033447574992"/>
    <n v="60"/>
    <n v="365408.52856300003"/>
    <n v="368856.357862"/>
    <n v="1220722.9562369999"/>
    <n v="1089822.754153"/>
    <n v="781651.69561299996"/>
    <n v="1398515.6663210001"/>
    <n v="14261.722454999792"/>
    <n v="1398515.666321000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</r>
  <r>
    <s v="76"/>
    <s v="76000"/>
    <x v="3"/>
    <s v="VALLE DEL CAUCA"/>
    <s v="ESP"/>
    <s v="N/A"/>
    <x v="5"/>
    <n v="0"/>
    <n v="666471.29688000004"/>
    <n v="2927856.9061650001"/>
    <n v="1255262.0270110001"/>
    <n v="536532.74213900021"/>
    <n v="2861466.0987970005"/>
    <n v="131006.24646900001"/>
    <n v="1799060.1740150002"/>
    <n v="1145701.8042320004"/>
    <n v="83466.884858000005"/>
    <n v="-456089.08877800032"/>
    <n v="656796.71949699998"/>
    <n v="282700"/>
    <n v="7642654.332711"/>
    <n v="5487223.3509569997"/>
    <n v="41.506255663648851"/>
    <n v="50"/>
    <n v="1337333.3999999999"/>
    <n v="1401963.2016739999"/>
    <n v="2735442.0966579998"/>
    <n v="2473164.8479860001"/>
    <n v="666471.29688000004"/>
    <n v="2927856.9061650001"/>
    <n v="284174.51557699963"/>
    <n v="3210556.906165000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</r>
  <r>
    <s v="97"/>
    <s v="97000"/>
    <x v="3"/>
    <s v="VAUPES"/>
    <n v="4"/>
    <s v="N/A"/>
    <x v="2"/>
    <n v="33878.025674000004"/>
    <n v="93061.367834999997"/>
    <n v="171401.18383600001"/>
    <n v="16325.403121000001"/>
    <n v="6869.1605740000005"/>
    <n v="143151.347431"/>
    <n v="3685.1894430000002"/>
    <n v="57169.944511000009"/>
    <n v="37849.19728800001"/>
    <n v="0"/>
    <n v="8929.0891819999961"/>
    <n v="71354.469631999993"/>
    <n v="0"/>
    <n v="795563.97648800001"/>
    <n v="82848.783683999995"/>
    <n v="31.699567882771845"/>
    <n v="70"/>
    <n v="13923.240895000001"/>
    <n v="20907.741061000001"/>
    <n v="143151.347431"/>
    <n v="127383.235881"/>
    <n v="126939.393509"/>
    <n v="171401.18383600001"/>
    <n v="80283.558813999989"/>
    <n v="171401.1838360000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</r>
  <r>
    <s v="99"/>
    <s v="99000"/>
    <x v="3"/>
    <s v="VICHADA"/>
    <n v="4"/>
    <s v="N/A"/>
    <x v="2"/>
    <n v="31815.996584"/>
    <n v="92002.330484000006"/>
    <n v="186330.676661"/>
    <n v="25586.605261999997"/>
    <n v="3279.0660430000003"/>
    <n v="336885.50049100001"/>
    <n v="11241.129569000001"/>
    <n v="60736.314959999996"/>
    <n v="26145.160438999999"/>
    <n v="0"/>
    <n v="-19452.488021999976"/>
    <n v="42707.098946999999"/>
    <n v="0"/>
    <n v="777997.68094999995"/>
    <n v="142866.19673"/>
    <n v="60.751441670887942"/>
    <n v="70"/>
    <n v="18779.037500999999"/>
    <n v="28606.393351999999"/>
    <n v="171192.01016199999"/>
    <n v="144835.52415899999"/>
    <n v="123818.32706800001"/>
    <n v="186330.676661"/>
    <n v="23254.610925000023"/>
    <n v="186330.67666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</r>
  <r>
    <s v="85"/>
    <s v="85000"/>
    <x v="4"/>
    <s v="CASANARE"/>
    <n v="3"/>
    <n v="2"/>
    <x v="2"/>
    <n v="38395.44728"/>
    <n v="308281.44166700001"/>
    <n v="660627.00222100003"/>
    <n v="156752.284017"/>
    <n v="33766.266918000001"/>
    <n v="1585364.5364659999"/>
    <n v="763817.85988799995"/>
    <n v="231171.32487400001"/>
    <n v="124862.96584200002"/>
    <n v="0"/>
    <n v="23172.669216000126"/>
    <n v="77702.277233999994"/>
    <n v="0"/>
    <n v="3349108.0104901399"/>
    <n v="760401.17518092005"/>
    <n v="58.857956198107821"/>
    <n v="70"/>
    <n v="132141.89499299999"/>
    <n v="190518.55093500001"/>
    <n v="531145.97397299996"/>
    <n v="483908.63408400002"/>
    <n v="346676.88894700003"/>
    <n v="660627.00222100003"/>
    <n v="100874.94645000012"/>
    <n v="660627.00222100003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</r>
  <r>
    <s v="20"/>
    <s v="20000"/>
    <x v="4"/>
    <s v="CESAR"/>
    <n v="2"/>
    <n v="1"/>
    <x v="3"/>
    <n v="0"/>
    <n v="733540.14494499995"/>
    <n v="1194410.662451"/>
    <n v="197634.02874699997"/>
    <n v="95108.676294000004"/>
    <n v="2247293.306084"/>
    <n v="1170419.7787840001"/>
    <n v="293817.31616699998"/>
    <n v="155223.90327099996"/>
    <n v="16430.388867999998"/>
    <n v="-140064.48679900006"/>
    <n v="264839.138033"/>
    <n v="0"/>
    <n v="4488299.4582816102"/>
    <n v="1128571.06672379"/>
    <n v="56.859487648151962"/>
    <n v="60"/>
    <n v="252189.04891300001"/>
    <n v="292742.70504099998"/>
    <n v="1195881.7363539999"/>
    <n v="981801.93388599996"/>
    <n v="733540.14494499995"/>
    <n v="1194410.662451"/>
    <n v="141205.04010199994"/>
    <n v="1194410.662451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</r>
  <r>
    <s v="08"/>
    <s v="08000"/>
    <x v="4"/>
    <s v="ATLANTICO"/>
    <n v="1"/>
    <n v="1"/>
    <x v="3"/>
    <n v="0"/>
    <n v="613214.49442399992"/>
    <n v="1792448.22015"/>
    <n v="648804.75106299995"/>
    <n v="312951.84524999995"/>
    <n v="1508455.6662699997"/>
    <n v="80998.806712999998"/>
    <n v="963048.00407799997"/>
    <n v="700025.650884"/>
    <n v="249.866985"/>
    <n v="107792.87727400032"/>
    <n v="156154.243514"/>
    <n v="146588.59011799999"/>
    <n v="5939780.0461517097"/>
    <n v="3685234.1660671402"/>
    <n v="36.7992801202994"/>
    <n v="55"/>
    <n v="1033190.3746569999"/>
    <n v="961756.59631299996"/>
    <n v="1421632.9896819997"/>
    <n v="1108603.8555920001"/>
    <n v="613214.49442399992"/>
    <n v="1792448.22015"/>
    <n v="264196.98777300026"/>
    <n v="1939036.810268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</r>
  <r>
    <s v="41"/>
    <s v="41000"/>
    <x v="4"/>
    <s v="HUILA"/>
    <n v="2"/>
    <n v="1"/>
    <x v="0"/>
    <n v="0"/>
    <n v="726090.31134199991"/>
    <n v="1261111.410192"/>
    <n v="249601.39709400001"/>
    <n v="104320.959225"/>
    <n v="1501813.0259969998"/>
    <n v="333724.66065000003"/>
    <n v="380551.81654100004"/>
    <n v="230279.28714900001"/>
    <n v="10892.071433999999"/>
    <n v="57069.969900999917"/>
    <n v="70168.469190999996"/>
    <n v="24006"/>
    <n v="2828675.3000359903"/>
    <n v="1992773.9845161699"/>
    <n v="42.378078734352705"/>
    <n v="60"/>
    <n v="346220.58923799999"/>
    <n v="353922.35631900001"/>
    <n v="1053768.910899"/>
    <n v="967476.52415800001"/>
    <n v="726090.31134199991"/>
    <n v="1261111.410192"/>
    <n v="138130.51052599991"/>
    <n v="1285117.410192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</r>
  <r>
    <s v="70"/>
    <s v="70000"/>
    <x v="4"/>
    <s v="SUCRE"/>
    <n v="3"/>
    <n v="1"/>
    <x v="3"/>
    <n v="0"/>
    <n v="794600.99794000003"/>
    <n v="1121664.691475"/>
    <n v="189688.68285000004"/>
    <n v="23895.687479"/>
    <n v="1323859.7135429999"/>
    <n v="294338.07861099998"/>
    <n v="214811.89594000005"/>
    <n v="106073.52391500006"/>
    <n v="8134.6273789999996"/>
    <n v="-134788.34735699976"/>
    <n v="72577.641629999998"/>
    <n v="19696.618559999999"/>
    <n v="1914616.78390003"/>
    <n v="658527.88325849001"/>
    <n v="73.022087157755863"/>
    <n v="70"/>
    <n v="225915.89512299999"/>
    <n v="213584.37032900006"/>
    <n v="1147714.6668069998"/>
    <n v="912722.37294499995"/>
    <n v="794600.99794000003"/>
    <n v="1121664.691475"/>
    <n v="-54076.078347999763"/>
    <n v="1141361.3100350001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</r>
  <r>
    <s v="81"/>
    <s v="81000"/>
    <x v="4"/>
    <s v="ARAUCA"/>
    <n v="4"/>
    <n v="3"/>
    <x v="2"/>
    <n v="38395.447283000001"/>
    <n v="334519.54699199996"/>
    <n v="470889.45357200003"/>
    <n v="46530.751636000001"/>
    <n v="7338.7985479999998"/>
    <n v="461033.86440700002"/>
    <n v="68984.892301999993"/>
    <n v="93143.385584000003"/>
    <n v="38973.168938000003"/>
    <n v="0"/>
    <n v="-28161.367277999932"/>
    <n v="49606.297112"/>
    <n v="0"/>
    <n v="1395880.8783835301"/>
    <n v="746298.07535215002"/>
    <n v="62.20677166019005"/>
    <n v="70"/>
    <n v="43614.66"/>
    <n v="53869.550184"/>
    <n v="444880.60420399997"/>
    <n v="396261.58978400001"/>
    <n v="372914.99427499995"/>
    <n v="470889.45357200003"/>
    <n v="21444.929834000068"/>
    <n v="470889.45357200003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</r>
  <r>
    <s v="95"/>
    <s v="95000"/>
    <x v="4"/>
    <s v="GUAVIARE"/>
    <n v="4"/>
    <n v="3"/>
    <x v="2"/>
    <n v="38395.447281000001"/>
    <n v="153598.708724"/>
    <n v="264537.82666999998"/>
    <n v="39890.196195000004"/>
    <n v="13253.501839999999"/>
    <n v="258662.48024799998"/>
    <n v="55051.211652999998"/>
    <n v="92109.642462999996"/>
    <n v="33377.357230000001"/>
    <n v="2713.6376319999999"/>
    <n v="9875.7509719999798"/>
    <n v="26459.691760000002"/>
    <n v="0"/>
    <n v="1055273.8893259999"/>
    <n v="229925.19654400001"/>
    <n v="64.189240597773178"/>
    <n v="70"/>
    <n v="31205.725396999998"/>
    <n v="53143.698035000001"/>
    <n v="195929.790465"/>
    <n v="183377.96952899999"/>
    <n v="191994.156005"/>
    <n v="264537.82666999998"/>
    <n v="39049.080363999979"/>
    <n v="264537.82666999998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</r>
  <r>
    <s v="99"/>
    <s v="99000"/>
    <x v="4"/>
    <s v="VICHADA"/>
    <n v="4"/>
    <n v="3"/>
    <x v="2"/>
    <n v="43789.647294000002"/>
    <n v="150808.18316300001"/>
    <n v="284467.94299100002"/>
    <n v="31602.745857000002"/>
    <n v="3565.9492529999998"/>
    <n v="381023.93484200002"/>
    <n v="86377.033859999996"/>
    <n v="79040.400446"/>
    <n v="44314.967016000002"/>
    <n v="0"/>
    <n v="63099.85115100001"/>
    <n v="58662.266529"/>
    <n v="0"/>
    <n v="799695.57270899997"/>
    <n v="183941.604567"/>
    <n v="49.148880312651386"/>
    <n v="70"/>
    <n v="22699.514874"/>
    <n v="35168.695110000001"/>
    <n v="186642.65841"/>
    <n v="162628.676385"/>
    <n v="194597.830457"/>
    <n v="284467.94299100002"/>
    <n v="121762.11768000001"/>
    <n v="284467.94299100002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</r>
  <r>
    <s v="17"/>
    <s v="17000"/>
    <x v="4"/>
    <s v="CALDAS"/>
    <n v="2"/>
    <n v="1"/>
    <x v="1"/>
    <n v="0"/>
    <n v="547697.65824500006"/>
    <n v="1108493.1248659999"/>
    <n v="255588.44728999998"/>
    <n v="131031.36120099999"/>
    <n v="991249.02254700009"/>
    <n v="199314.610128"/>
    <n v="390864.523254"/>
    <n v="179574.52416699997"/>
    <n v="23153.576560000001"/>
    <n v="-28744.894046000205"/>
    <n v="182715.21759799999"/>
    <n v="0"/>
    <n v="3763171.8214059998"/>
    <n v="2348179.566596"/>
    <n v="43.33356962532077"/>
    <n v="60"/>
    <n v="342822.15150400001"/>
    <n v="386619.80849099997"/>
    <n v="925948.01982500008"/>
    <n v="848491.87223600002"/>
    <n v="547697.65824500006"/>
    <n v="1108493.1248659999"/>
    <n v="177123.90011199977"/>
    <n v="1108493.1248659999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</r>
  <r>
    <s v="44"/>
    <s v="44000"/>
    <x v="4"/>
    <s v="LA_GUAJIRA"/>
    <n v="4"/>
    <n v="2"/>
    <x v="3"/>
    <n v="0"/>
    <n v="529266.39564200002"/>
    <n v="787928.97170700005"/>
    <n v="178577.22758599999"/>
    <n v="11270.064468"/>
    <n v="923482.92813000013"/>
    <n v="71587.703214000008"/>
    <n v="190214.12937399998"/>
    <n v="120400.45204799998"/>
    <n v="0"/>
    <n v="-8242.9542510000756"/>
    <n v="97771.430519999994"/>
    <n v="0"/>
    <n v="1882358.3930086598"/>
    <n v="919864.11451718991"/>
    <n v="56.121867755665754"/>
    <n v="70"/>
    <n v="163725.741197"/>
    <n v="189847.29205399999"/>
    <n v="726358.24863200018"/>
    <n v="663560.28995600005"/>
    <n v="529266.39564200002"/>
    <n v="787928.97170700005"/>
    <n v="89528.476268999919"/>
    <n v="787928.97170700005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</r>
  <r>
    <s v="86"/>
    <s v="86000"/>
    <x v="4"/>
    <s v="PUTUMAYO"/>
    <n v="4"/>
    <n v="3"/>
    <x v="0"/>
    <n v="38395.447281000001"/>
    <n v="475545.15639999998"/>
    <n v="670136.59288899996"/>
    <n v="56749.077140999994"/>
    <n v="33669.962288000002"/>
    <n v="580983.7935400001"/>
    <n v="34895.123702000004"/>
    <n v="129625.05613099999"/>
    <n v="42785.293429999991"/>
    <n v="705.011619"/>
    <n v="2313.036647999892"/>
    <n v="42288.558229000002"/>
    <n v="0"/>
    <n v="1608240.8868507301"/>
    <n v="438661.56260007003"/>
    <n v="59.63003613516539"/>
    <n v="70"/>
    <n v="76452.411703000005"/>
    <n v="90419.039428999997"/>
    <n v="580983.7935400001"/>
    <n v="546872.92164700001"/>
    <n v="513940.60368099995"/>
    <n v="670136.59288899996"/>
    <n v="45306.606495999891"/>
    <n v="670136.59288899996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</r>
  <r>
    <s v="94"/>
    <s v="94000"/>
    <x v="4"/>
    <s v="GUAINIA"/>
    <n v="4"/>
    <n v="3"/>
    <x v="2"/>
    <n v="47578.505463000001"/>
    <n v="130245.510431"/>
    <n v="279469.08718999999"/>
    <n v="37811.921450000002"/>
    <n v="4357.0553110000001"/>
    <n v="261857.78476099996"/>
    <n v="7577.3214749999997"/>
    <n v="89747.482224000007"/>
    <n v="61049.601786000007"/>
    <n v="0"/>
    <n v="16597.179263000027"/>
    <n v="76474.107325000004"/>
    <n v="0"/>
    <n v="1344687.6497638898"/>
    <n v="202090.99397945998"/>
    <n v="40.579655239987225"/>
    <n v="70"/>
    <n v="36985.625482000003"/>
    <n v="42168.976760999998"/>
    <n v="234174.02748899997"/>
    <n v="179960.41031000001"/>
    <n v="177824.01589400001"/>
    <n v="279469.08718999999"/>
    <n v="93071.286588000032"/>
    <n v="279469.08718999999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</r>
  <r>
    <s v="66"/>
    <s v="66000"/>
    <x v="4"/>
    <s v="RISARALDA"/>
    <n v="2"/>
    <n v="1"/>
    <x v="1"/>
    <n v="0"/>
    <n v="284735.83281400002"/>
    <n v="778410.57756100013"/>
    <n v="284209.30659400002"/>
    <n v="131837.036081"/>
    <n v="737223.13341199991"/>
    <n v="24542.074837"/>
    <n v="416624.24691000005"/>
    <n v="282832.13774800004"/>
    <n v="6730.276347"/>
    <n v="-63123.581061999896"/>
    <n v="302952.38820300001"/>
    <n v="0"/>
    <n v="2827515.7054590001"/>
    <n v="1489406.265048"/>
    <n v="38.100670362076649"/>
    <n v="60"/>
    <n v="366587.07485700003"/>
    <n v="416046.34267500002"/>
    <n v="707742.04946100002"/>
    <n v="646992.22171800002"/>
    <n v="284735.83281400002"/>
    <n v="778410.57756100013"/>
    <n v="246559.08348800012"/>
    <n v="778410.5775610001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</r>
  <r>
    <s v="97"/>
    <s v="97000"/>
    <x v="4"/>
    <s v="VAUPES"/>
    <n v="4"/>
    <n v="3"/>
    <x v="2"/>
    <n v="39243.516512000002"/>
    <n v="114381.297871"/>
    <n v="219720.16740199999"/>
    <n v="14204.409812999998"/>
    <n v="2468.894659"/>
    <n v="215313.48372300004"/>
    <n v="9940.8798700000007"/>
    <n v="56050.031894"/>
    <n v="33164.851843999997"/>
    <n v="0"/>
    <n v="-18478.496371000045"/>
    <n v="94494.120458000005"/>
    <n v="0"/>
    <n v="904982.18007643009"/>
    <n v="155716.04743124"/>
    <n v="35.673340508708584"/>
    <n v="70"/>
    <n v="15324.035715"/>
    <n v="16673.304472"/>
    <n v="215313.48372300004"/>
    <n v="172557.74295399999"/>
    <n v="153624.81438300002"/>
    <n v="219720.16740199999"/>
    <n v="76015.62408699996"/>
    <n v="219720.16740199999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</r>
  <r>
    <s v="27"/>
    <s v="27000"/>
    <x v="4"/>
    <s v="CHOCO"/>
    <n v="3"/>
    <n v="3"/>
    <x v="5"/>
    <n v="0"/>
    <n v="697181.19780099997"/>
    <n v="884464.58065999998"/>
    <n v="108414.43075599999"/>
    <n v="14041.734782"/>
    <n v="795101.06739600003"/>
    <n v="14099.388326999999"/>
    <n v="122585.24121999998"/>
    <n v="43437.606785999975"/>
    <n v="0"/>
    <n v="10215.878829999943"/>
    <n v="56804.907994000001"/>
    <n v="0"/>
    <n v="2415160.61956756"/>
    <n v="587798.06815544993"/>
    <n v="65.607177278687956"/>
    <n v="70"/>
    <n v="106739.682441"/>
    <n v="122456.16553799999"/>
    <n v="795101.06739600003"/>
    <n v="635898.94187400001"/>
    <n v="697181.19780099997"/>
    <n v="884464.58065999998"/>
    <n v="67020.786823999952"/>
    <n v="884464.58065999998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</r>
  <r>
    <s v="19"/>
    <s v="19000"/>
    <x v="4"/>
    <s v="CAUCA"/>
    <n v="3"/>
    <n v="2"/>
    <x v="5"/>
    <n v="0"/>
    <n v="1427772.6895050001"/>
    <n v="1853197.0564049999"/>
    <n v="164768.36675799999"/>
    <n v="120786.640801"/>
    <n v="1748202.1074060001"/>
    <n v="20032.813782999998"/>
    <n v="286731.92538099998"/>
    <n v="143500.05002099997"/>
    <n v="3336.9935070000001"/>
    <n v="46995.985376999946"/>
    <n v="283471.02739200002"/>
    <n v="0"/>
    <n v="3600160.6356799998"/>
    <n v="1217557.4699810001"/>
    <n v="40.362800755076059"/>
    <n v="70"/>
    <n v="296348.40035700001"/>
    <n v="285555.00755899999"/>
    <n v="1662969.195668"/>
    <n v="1627602.724533"/>
    <n v="1427772.6895050001"/>
    <n v="1853197.0564049999"/>
    <n v="333804.00627599994"/>
    <n v="1853197.0564049999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</r>
  <r>
    <s v="05"/>
    <s v="05000"/>
    <x v="4"/>
    <s v="ANTIOQUIA"/>
    <s v="ESP"/>
    <n v="1"/>
    <x v="1"/>
    <n v="0"/>
    <n v="2185756.971653"/>
    <n v="6362170.0811090004"/>
    <n v="2105396.8552489998"/>
    <n v="1262248.3300910001"/>
    <n v="5557896.2575310012"/>
    <n v="235150.95785900002"/>
    <n v="3392717.2894199998"/>
    <n v="2174780.558923"/>
    <n v="267602.986661"/>
    <n v="-176685.35771200061"/>
    <n v="1110806.930898"/>
    <n v="295876.12081400002"/>
    <n v="16095790.780893"/>
    <n v="13366808.623283001"/>
    <n v="22.328067188505255"/>
    <n v="50"/>
    <n v="3062505.434471"/>
    <n v="3367645.1853399999"/>
    <n v="5320918.7083240012"/>
    <n v="4228125.5784480004"/>
    <n v="2185756.971653"/>
    <n v="6362170.0811090004"/>
    <n v="1201724.5598469994"/>
    <n v="6658046.2019230006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</r>
  <r>
    <s v="76"/>
    <s v="76000"/>
    <x v="4"/>
    <s v="VALLE DEL CAUCA"/>
    <s v="ESP"/>
    <n v="1"/>
    <x v="5"/>
    <n v="0"/>
    <n v="844229.16659100004"/>
    <n v="3135605.3948600003"/>
    <n v="1352480.6639190002"/>
    <n v="536270.10542299994"/>
    <n v="2610293.7489539995"/>
    <n v="139266.69566999999"/>
    <n v="1898684.7041500001"/>
    <n v="1164245.1855330002"/>
    <n v="104937.465207"/>
    <n v="-137093.01294099959"/>
    <n v="536851.578645"/>
    <n v="99026.817550000007"/>
    <n v="7801580.7395869996"/>
    <n v="7030761.6766950004"/>
    <n v="36.923552388861985"/>
    <n v="50"/>
    <n v="2079941.328216"/>
    <n v="1888750.7693420001"/>
    <n v="2538258.889184"/>
    <n v="2072622.598911"/>
    <n v="844229.16659100004"/>
    <n v="3135605.3948600003"/>
    <n v="504696.03091100045"/>
    <n v="3234632.2124100002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</r>
  <r>
    <s v="63"/>
    <s v="63000"/>
    <x v="4"/>
    <s v="QUINDIO"/>
    <n v="3"/>
    <n v="1"/>
    <x v="1"/>
    <n v="0"/>
    <n v="247915.077942"/>
    <n v="570595.63944100006"/>
    <n v="182889.382514"/>
    <n v="70655.147545"/>
    <n v="467817.60280400002"/>
    <n v="19002.664891"/>
    <n v="262696.91963700001"/>
    <n v="125312.79227000001"/>
    <n v="4780.9623449999999"/>
    <n v="-21218.394548999961"/>
    <n v="86608.220205999998"/>
    <n v="9992"/>
    <n v="1486724.1470891498"/>
    <n v="1033831.26306513"/>
    <n v="65.957669876017576"/>
    <n v="70"/>
    <n v="247840.51360000001"/>
    <n v="253544.53005900001"/>
    <n v="454429.90662299999"/>
    <n v="406866.05854300002"/>
    <n v="247915.077942"/>
    <n v="570595.63944100006"/>
    <n v="70170.788002000045"/>
    <n v="580587.63944100006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</r>
  <r>
    <s v="73"/>
    <s v="73000"/>
    <x v="4"/>
    <s v="TOLIMA"/>
    <n v="2"/>
    <n v="1"/>
    <x v="0"/>
    <n v="0"/>
    <n v="922607.49961099995"/>
    <n v="1533876.1647489998"/>
    <n v="339427.799467"/>
    <n v="120173.889303"/>
    <n v="1425343.4202559998"/>
    <n v="139679.12536199999"/>
    <n v="467996.62284900004"/>
    <n v="178381.20920400007"/>
    <n v="16515.602675999999"/>
    <n v="-35388.975594000192"/>
    <n v="75028.139406000002"/>
    <n v="25478.654648"/>
    <n v="2954459.2630480002"/>
    <n v="2546607.419522"/>
    <n v="54.018930330181824"/>
    <n v="60"/>
    <n v="438338.94099999999"/>
    <n v="459601.68877000001"/>
    <n v="1279649.726698"/>
    <n v="1107732.043514"/>
    <n v="922607.49961099995"/>
    <n v="1533876.1647489998"/>
    <n v="56154.766487999805"/>
    <n v="1559354.8193969997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</r>
  <r>
    <s v="15"/>
    <s v="15000"/>
    <x v="4"/>
    <s v="BOYACA"/>
    <n v="1"/>
    <n v="1"/>
    <x v="4"/>
    <n v="0"/>
    <n v="1037404.513596"/>
    <n v="1718143.27141"/>
    <n v="414084.73140799999"/>
    <n v="49767.182120000005"/>
    <n v="1808245.4589729998"/>
    <n v="82140.49567199999"/>
    <n v="466883.425468"/>
    <n v="193972.74046100001"/>
    <n v="15531.916338000001"/>
    <n v="-52567.197331999894"/>
    <n v="228876.6557"/>
    <n v="12988"/>
    <n v="4790164.257278"/>
    <n v="3144837.2145699998"/>
    <n v="47.421976111362262"/>
    <n v="55"/>
    <n v="474729.390266"/>
    <n v="463851.913528"/>
    <n v="1497799.7837349998"/>
    <n v="1358590.5652989999"/>
    <n v="1037404.513596"/>
    <n v="1718143.27141"/>
    <n v="191841.37470600012"/>
    <n v="1731131.27141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</r>
  <r>
    <s v="47"/>
    <s v="47000"/>
    <x v="4"/>
    <s v="MAGDALENA"/>
    <n v="2"/>
    <n v="2"/>
    <x v="3"/>
    <n v="0"/>
    <n v="978405.80939200008"/>
    <n v="1728010.500585"/>
    <n v="361342.20928299997"/>
    <n v="217174.20707800001"/>
    <n v="1372639.4936800001"/>
    <n v="73689.641975999999"/>
    <n v="579953.18987899995"/>
    <n v="340315.85727799998"/>
    <n v="14624.313248"/>
    <n v="119629.54046599986"/>
    <n v="365813.96740099997"/>
    <n v="0"/>
    <n v="2384504.73148567"/>
    <n v="1061797.99948857"/>
    <n v="53.84333155105454"/>
    <n v="60"/>
    <n v="524388.88300100004"/>
    <n v="578516.41636099992"/>
    <n v="1368743.6275180001"/>
    <n v="1239754.137197"/>
    <n v="978405.80939200008"/>
    <n v="1728010.500585"/>
    <n v="500067.82111499982"/>
    <n v="1728010.500585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</r>
  <r>
    <s v="25"/>
    <s v="25000"/>
    <x v="4"/>
    <s v="CUNDINAMARCA"/>
    <s v="ESP"/>
    <n v="1"/>
    <x v="4"/>
    <n v="0"/>
    <n v="1372393.2780589999"/>
    <n v="4381426.5535510005"/>
    <n v="2125447.5530950003"/>
    <n v="488665.80982800003"/>
    <n v="3494692.3127859989"/>
    <n v="52161.21211800001"/>
    <n v="2616224.3748760005"/>
    <n v="1694866.3834730005"/>
    <n v="155747.80640199999"/>
    <n v="230843.84234100161"/>
    <n v="322741.12662599998"/>
    <n v="50000"/>
    <n v="11329020.975275001"/>
    <n v="8129267.4261490004"/>
    <n v="40.708009130634657"/>
    <n v="50"/>
    <n v="2513830.5830000001"/>
    <n v="2614113.3629230005"/>
    <n v="3229224.719806999"/>
    <n v="2376036.9288110002"/>
    <n v="1372393.2780589999"/>
    <n v="4381426.5535510005"/>
    <n v="709332.77536900167"/>
    <n v="4431426.5535510005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</r>
  <r>
    <s v="50"/>
    <s v="50000"/>
    <x v="4"/>
    <s v="META"/>
    <n v="1"/>
    <n v="2"/>
    <x v="2"/>
    <n v="0"/>
    <n v="477741.64059000002"/>
    <n v="1168811.3508339999"/>
    <n v="440063.11970799998"/>
    <n v="101478.55342"/>
    <n v="2097596.0306840003"/>
    <n v="108820.29268299999"/>
    <n v="543919.80503599998"/>
    <n v="276614.34844799998"/>
    <n v="16503.389425000001"/>
    <n v="108323.59092899971"/>
    <n v="229792.64669699999"/>
    <n v="1055.3461460000001"/>
    <n v="9793544.5702299997"/>
    <n v="1684628.5061890001"/>
    <n v="54.086360895312524"/>
    <n v="55"/>
    <n v="507315.76708199998"/>
    <n v="541541.67312799999"/>
    <n v="793182.30331700016"/>
    <n v="750403.41817700001"/>
    <n v="477741.64059000002"/>
    <n v="1168811.3508339999"/>
    <n v="354619.62705099973"/>
    <n v="1169866.69698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</r>
  <r>
    <s v="54"/>
    <s v="54000"/>
    <x v="4"/>
    <s v="NORTE DE SANTANDER"/>
    <n v="2"/>
    <n v="1"/>
    <x v="4"/>
    <n v="0"/>
    <n v="821121.2143179999"/>
    <n v="1494513.9546359999"/>
    <n v="411675.92043200007"/>
    <n v="94670.163279"/>
    <n v="1333218.9906040002"/>
    <n v="2456.1210999999998"/>
    <n v="508857.88486100006"/>
    <n v="273233.00115500006"/>
    <n v="27607.295819999999"/>
    <n v="-74329.919674000237"/>
    <n v="240354.87521100001"/>
    <n v="0"/>
    <n v="2875029.5734281098"/>
    <n v="1813946.13598935"/>
    <n v="49.937109007232792"/>
    <n v="60"/>
    <n v="419962.4"/>
    <n v="506346.08371100004"/>
    <n v="1333218.9906040002"/>
    <n v="1061863.448911"/>
    <n v="821121.2143179999"/>
    <n v="1494513.9546359999"/>
    <n v="193632.25135699977"/>
    <n v="1494513.9546359999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</r>
  <r>
    <s v="52"/>
    <s v="52000"/>
    <x v="4"/>
    <s v="NARIÑO"/>
    <n v="1"/>
    <n v="2"/>
    <x v="5"/>
    <n v="0"/>
    <n v="1074895.592919"/>
    <n v="1735087.2208159999"/>
    <n v="278240.79785899998"/>
    <n v="122600.39119900001"/>
    <n v="1437365.58791"/>
    <n v="52120.322970000001"/>
    <n v="402969.31321499997"/>
    <n v="192102.62461199996"/>
    <n v="0"/>
    <n v="156443.9962259999"/>
    <n v="243325.765235"/>
    <n v="0"/>
    <n v="3883445.1724989"/>
    <n v="2025692.5013949398"/>
    <n v="48.596816439583918"/>
    <n v="55"/>
    <n v="356107.267146"/>
    <n v="400841.18905799999"/>
    <n v="1367776.535987"/>
    <n v="1260477.7350910001"/>
    <n v="1074895.592919"/>
    <n v="1735087.2208159999"/>
    <n v="399769.7614609999"/>
    <n v="1735087.2208159999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</r>
  <r>
    <s v="91"/>
    <s v="91000"/>
    <x v="4"/>
    <s v="AMAZONAS"/>
    <n v="4"/>
    <n v="3"/>
    <x v="0"/>
    <n v="43197.547280999999"/>
    <n v="219355.65895299998"/>
    <n v="443840.16529599996"/>
    <n v="21279.93273"/>
    <n v="6135.4171969999998"/>
    <n v="289427.98662800004"/>
    <n v="0"/>
    <n v="70685.802807999993"/>
    <n v="35151.312221999986"/>
    <n v="656.08729100000005"/>
    <n v="118877.68808199989"/>
    <n v="46262.843449"/>
    <n v="0"/>
    <n v="1244982.1268081001"/>
    <n v="382819.50730571995"/>
    <n v="45.961654547627532"/>
    <n v="70"/>
    <n v="24515.865849000002"/>
    <n v="27415.349926999999"/>
    <n v="289427.98662800004"/>
    <n v="239689.44572399999"/>
    <n v="262553.20623399998"/>
    <n v="443840.16529599996"/>
    <n v="165796.6188219999"/>
    <n v="443840.16529599996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</r>
  <r>
    <s v="18"/>
    <s v="18000"/>
    <x v="4"/>
    <s v="CAQUETA"/>
    <n v="4"/>
    <n v="3"/>
    <x v="0"/>
    <n v="0"/>
    <n v="346295.09583499999"/>
    <n v="512439.10241000005"/>
    <n v="76704.725252000004"/>
    <n v="31243.289968000001"/>
    <n v="464746.88172500004"/>
    <n v="11276.177185999999"/>
    <n v="109070.695653"/>
    <n v="37149.191204000002"/>
    <n v="741.59935900000005"/>
    <n v="-9881.6285200000275"/>
    <n v="44838.909568000003"/>
    <n v="0"/>
    <n v="1130115.7486920001"/>
    <n v="573079.88855100004"/>
    <n v="69.830555858556821"/>
    <n v="70"/>
    <n v="90116.532999999996"/>
    <n v="107948.01522"/>
    <n v="450399.22648100008"/>
    <n v="414674.78165800002"/>
    <n v="346295.09583499999"/>
    <n v="512439.10241000005"/>
    <n v="35698.880406999975"/>
    <n v="512439.10241000005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</r>
  <r>
    <s v="68"/>
    <s v="68000"/>
    <x v="4"/>
    <s v="SANTANDER"/>
    <n v="1"/>
    <n v="1"/>
    <x v="4"/>
    <n v="0"/>
    <n v="981141.04008299997"/>
    <n v="2168607.0863290001"/>
    <n v="790653.72198299994"/>
    <n v="99969.87268"/>
    <n v="2107393.4342459999"/>
    <n v="280205.03399199998"/>
    <n v="894550.53268299997"/>
    <n v="367827.11225100001"/>
    <n v="38694.384578999998"/>
    <n v="67402.894890000112"/>
    <n v="342455.01967499999"/>
    <n v="0"/>
    <n v="5660699.5281680599"/>
    <n v="4303516.3952991096"/>
    <n v="46.246537109720173"/>
    <n v="55"/>
    <n v="851059.53658900002"/>
    <n v="890623.59466299997"/>
    <n v="1574480.771007"/>
    <n v="1347817.5299120001"/>
    <n v="981141.04008299997"/>
    <n v="2168607.0863290001"/>
    <n v="448552.29914400011"/>
    <n v="2168607.0863290001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</r>
  <r>
    <s v="13"/>
    <s v="13000"/>
    <x v="4"/>
    <s v="BOLIVAR"/>
    <n v="1"/>
    <n v="2"/>
    <x v="3"/>
    <n v="0"/>
    <n v="1159246.36628"/>
    <n v="2022516.7571640001"/>
    <n v="436822.22398699995"/>
    <n v="157991.862765"/>
    <n v="1635626.4830200002"/>
    <n v="106741.799318"/>
    <n v="595630.81067699997"/>
    <n v="230903.57934900001"/>
    <n v="34365.753580999997"/>
    <n v="22163.042816000059"/>
    <n v="50187.822085"/>
    <n v="30895.036613"/>
    <n v="3759587.7510910803"/>
    <n v="2951064.84132643"/>
    <n v="54.590696890531589"/>
    <n v="55"/>
    <n v="641950.70112600003"/>
    <n v="594814.08675199992"/>
    <n v="1635626.4830200002"/>
    <n v="1390535.3890539999"/>
    <n v="1159246.36628"/>
    <n v="2022516.7571640001"/>
    <n v="106716.61848200005"/>
    <n v="2053411.7937770002"/>
    <n v="57.317021585794457"/>
    <n v="42.682978414205543"/>
    <n v="6.5260498302102139"/>
    <n v="13.545333917096823"/>
    <n v="78.494373232011753"/>
    <n v="21.505626767988247"/>
    <n v="38.766224851020162"/>
    <n v="50"/>
    <n v="5.1970393276892537"/>
    <n v="80"/>
    <n v="41.546787819858125"/>
    <n v="33.237430255886501"/>
    <n v="0.40930310946841075"/>
    <n v="6.0245522025240197"/>
    <n v="92.65728438471659"/>
    <n v="100"/>
    <n v="85.015460650070466"/>
    <n v="80"/>
    <n v="0"/>
    <n v="62.008184067508012"/>
    <n v="62.008184067508012"/>
    <n v="12.401636813501604"/>
    <n v="45.639067069388105"/>
  </r>
  <r>
    <s v="23"/>
    <s v="23000"/>
    <x v="4"/>
    <s v="CORDOBA"/>
    <n v="1"/>
    <n v="2"/>
    <x v="3"/>
    <n v="0"/>
    <n v="1267892.8720769999"/>
    <n v="1688939.070971"/>
    <n v="306864.25913199998"/>
    <n v="27991.742260999999"/>
    <n v="1620861.9288910001"/>
    <n v="98004.888548000003"/>
    <n v="336201.20583599998"/>
    <n v="111814.69951299997"/>
    <n v="22769.443092000001"/>
    <n v="7887.4140069999266"/>
    <n v="292520.80486999999"/>
    <n v="0"/>
    <n v="3728887.3772898503"/>
    <n v="2624252.7756138998"/>
    <n v="49.700909574798821"/>
    <n v="55"/>
    <n v="315399.38257999998"/>
    <n v="334856.00139299995"/>
    <n v="1456665.1506410001"/>
    <n v="1319302.391914"/>
    <n v="1267892.8720769999"/>
    <n v="1688939.070971"/>
    <n v="323177.66196899989"/>
    <n v="1688939.070971"/>
    <n v="75.070373696078121"/>
    <n v="24.929626303921879"/>
    <n v="6.0464674258254263"/>
    <n v="12.549922607473576"/>
    <n v="70.376294859331551"/>
    <n v="29.623705140668449"/>
    <n v="33.258268433321305"/>
    <n v="40"/>
    <n v="19.134950900460815"/>
    <n v="40"/>
    <n v="29.420650810412781"/>
    <n v="23.536520648330225"/>
    <n v="5.2990904252011788"/>
    <n v="77.997567460414288"/>
    <n v="106.16888297429209"/>
    <n v="100"/>
    <n v="90.570052515737459"/>
    <n v="100"/>
    <n v="0"/>
    <n v="92.665855820138106"/>
    <n v="92.665855820138106"/>
    <n v="18.533171164027621"/>
    <n v="42.069691812357846"/>
  </r>
  <r>
    <s v="88"/>
    <s v="88000"/>
    <x v="4"/>
    <s v="SAN ANDRES"/>
    <n v="3"/>
    <n v="2"/>
    <x v="3"/>
    <n v="64182.671283000003"/>
    <n v="76521.985648000002"/>
    <n v="553561.25647799997"/>
    <n v="64177.966451"/>
    <n v="140908.93278499998"/>
    <n v="296146.51876000001"/>
    <n v="44269.375993000001"/>
    <n v="269913.48247199995"/>
    <n v="28755.074349999952"/>
    <n v="0"/>
    <n v="17613.17959399987"/>
    <n v="232673.12981899999"/>
    <n v="0"/>
    <n v="2134466.0723258201"/>
    <n v="351789.45838272996"/>
    <n v="75.262770292805868"/>
    <n v="70"/>
    <n v="16528.202331"/>
    <n v="205086.89923599997"/>
    <n v="294789.66876200004"/>
    <n v="210024.891764"/>
    <n v="140704.656931"/>
    <n v="553561.25647799997"/>
    <n v="250286.30941299986"/>
    <n v="553561.25647799997"/>
    <n v="25.418082512895658"/>
    <n v="74.581917487104334"/>
    <n v="14.948470837462835"/>
    <n v="31.026736588202823"/>
    <n v="16.48137972038144"/>
    <n v="83.51862027961856"/>
    <n v="10.653441275569818"/>
    <n v="20"/>
    <n v="45.213841554850021"/>
    <n v="0"/>
    <n v="41.825454870985141"/>
    <n v="33.460363896788117"/>
    <n v="0"/>
    <n v="0"/>
    <n v="1240.8300378277838"/>
    <n v="0"/>
    <n v="71.245675822365627"/>
    <n v="70"/>
    <n v="0"/>
    <n v="23.333333333333332"/>
    <n v="23.333333333333332"/>
    <n v="4.666666666666667"/>
    <n v="38.127030563454781"/>
  </r>
  <r>
    <m/>
    <m/>
    <x v="5"/>
    <m/>
    <m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s v="91"/>
    <s v="91000"/>
    <x v="0"/>
    <s v=" AMAZONAS"/>
    <x v="0"/>
    <s v="N/A"/>
    <x v="0"/>
    <n v="0"/>
    <n v="130959.10188"/>
    <n v="174009.20267700002"/>
    <m/>
    <m/>
    <n v="161167.91017700001"/>
    <n v="21438.246735000001"/>
    <n v="39576.982459000006"/>
    <n v="14620.794825000004"/>
    <n v="0"/>
    <n v="12278.558688999998"/>
    <n v="26890.689661"/>
    <n v="259.64236599999998"/>
    <n v="863395.92108100001"/>
    <n v="295765.82177400001"/>
    <n v="0.59281022494314861"/>
    <n v="70"/>
    <n v="17832.686947269998"/>
    <n v="14232.522504549999"/>
    <n v="136774.45635260001"/>
    <n v="136774.45635260001"/>
    <m/>
    <m/>
    <m/>
    <m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  <n v="43.715147709610889"/>
  </r>
  <r>
    <s v="05"/>
    <s v="05000"/>
    <x v="0"/>
    <s v=" ANTIOQUIA"/>
    <x v="1"/>
    <s v="N/A"/>
    <x v="1"/>
    <n v="0"/>
    <n v="1823047.055957"/>
    <n v="4090738.5152229993"/>
    <m/>
    <m/>
    <n v="3571604.038923"/>
    <n v="1222873.4755569999"/>
    <n v="1824093.1233649997"/>
    <n v="818518.62523999962"/>
    <n v="64011.114753000002"/>
    <n v="-371175.35987000074"/>
    <n v="665405.92350799998"/>
    <n v="171872.829203"/>
    <n v="13508051.740302"/>
    <n v="10477575.290440001"/>
    <n v="0.41196507317030118"/>
    <n v="50"/>
    <n v="2310752.6415400002"/>
    <n v="1590618.429792"/>
    <n v="3456339.3769680001"/>
    <n v="3143551.0794009999"/>
    <m/>
    <m/>
    <m/>
    <m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  <n v="65.636264881346705"/>
  </r>
  <r>
    <s v="81"/>
    <s v="81000"/>
    <x v="0"/>
    <s v=" ARAUCA"/>
    <x v="0"/>
    <s v="N/A"/>
    <x v="2"/>
    <n v="0"/>
    <n v="233214.514383"/>
    <n v="327076.537427"/>
    <m/>
    <m/>
    <n v="414671.794261"/>
    <n v="130231.497038"/>
    <n v="74222.102974000009"/>
    <n v="10364.976889000012"/>
    <n v="0"/>
    <n v="-27648.757681999938"/>
    <n v="88513.885553"/>
    <n v="0"/>
    <n v="1381738.19763729"/>
    <n v="675001.22452742001"/>
    <n v="0.71323396395455096"/>
    <n v="70"/>
    <n v="40045.367928"/>
    <n v="46354.786591689997"/>
    <n v="290868.1690209501"/>
    <n v="268874.40893251001"/>
    <m/>
    <m/>
    <m/>
    <m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  <n v="42.89064869585853"/>
  </r>
  <r>
    <s v="08"/>
    <s v="08000"/>
    <x v="0"/>
    <s v=" ATLANTICO"/>
    <x v="2"/>
    <s v="N/A"/>
    <x v="3"/>
    <n v="0"/>
    <n v="423897.05522500002"/>
    <n v="1108479.265132"/>
    <m/>
    <m/>
    <n v="959862.66274099995"/>
    <n v="207032.22905300002"/>
    <n v="641055.65673399996"/>
    <n v="436577.13126299996"/>
    <n v="20336.436952"/>
    <n v="-12199.531743000029"/>
    <n v="180126.67610800001"/>
    <n v="0"/>
    <n v="4136488.5105571202"/>
    <n v="1773273.4676698798"/>
    <n v="0.2664599280874963"/>
    <n v="55"/>
    <n v="680934.75025499996"/>
    <n v="625841.27555100003"/>
    <n v="916200.27140354994"/>
    <n v="711308.74987504003"/>
    <m/>
    <m/>
    <m/>
    <m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  <n v="65.270209361179894"/>
  </r>
  <r>
    <s v="13"/>
    <s v="13000"/>
    <x v="0"/>
    <s v=" BOLIVAR"/>
    <x v="2"/>
    <s v="N/A"/>
    <x v="3"/>
    <n v="0"/>
    <n v="849541.72838999995"/>
    <n v="1304675.519106"/>
    <m/>
    <m/>
    <n v="982722.09742600005"/>
    <n v="126866.03378100001"/>
    <n v="312476.20075199998"/>
    <n v="136689.626598"/>
    <n v="3957.7625739999999"/>
    <n v="156582.53782800003"/>
    <n v="39332.010616"/>
    <n v="0"/>
    <n v="3639178.1014322499"/>
    <n v="2508647.4591360199"/>
    <n v="0.41767080335769385"/>
    <n v="55"/>
    <n v="429944.91303900001"/>
    <n v="308887.05293399998"/>
    <n v="972306.40712400002"/>
    <n v="899886.27521500003"/>
    <m/>
    <m/>
    <m/>
    <m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  <n v="46.408403775507892"/>
  </r>
  <r>
    <s v="15"/>
    <s v="15000"/>
    <x v="0"/>
    <s v="BOYACÁ"/>
    <x v="2"/>
    <s v="N/A"/>
    <x v="4"/>
    <n v="0"/>
    <n v="735513.793772"/>
    <n v="1174448.7941949998"/>
    <m/>
    <m/>
    <n v="1053987.7997849998"/>
    <n v="197900.91534599999"/>
    <n v="305347.96344599995"/>
    <n v="127383.26872099994"/>
    <n v="6239.9699049999999"/>
    <n v="-6286.9507900001481"/>
    <n v="169419.93925200001"/>
    <n v="15164.550905"/>
    <n v="4425569.8076839997"/>
    <n v="2864148.5348410001"/>
    <n v="0.59334038548744361"/>
    <n v="55"/>
    <n v="338416.14628500002"/>
    <n v="278845.42071600002"/>
    <n v="969587.96775900002"/>
    <n v="851469.39978700003"/>
    <m/>
    <m/>
    <m/>
    <m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  <n v="44.924049321577627"/>
  </r>
  <r>
    <s v="17"/>
    <s v="17000"/>
    <x v="0"/>
    <s v=" CALDAS"/>
    <x v="3"/>
    <s v="N/A"/>
    <x v="1"/>
    <n v="0"/>
    <n v="374801.11080600001"/>
    <n v="721781.86418500007"/>
    <m/>
    <m/>
    <n v="701520.33515699999"/>
    <n v="197199.462481"/>
    <n v="235883.72903300001"/>
    <n v="119285.541243"/>
    <n v="3590.284302"/>
    <n v="30719.233647000161"/>
    <n v="61709.876664000003"/>
    <n v="14815.686782999999"/>
    <n v="2979685.0001210002"/>
    <n v="1729145.078578"/>
    <n v="0.51439540277856366"/>
    <n v="60"/>
    <n v="251197.860888"/>
    <n v="168877.847668"/>
    <n v="574464.44274800003"/>
    <n v="561980.301675"/>
    <m/>
    <m/>
    <m/>
    <m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  <n v="66.657356765300747"/>
  </r>
  <r>
    <s v="18"/>
    <s v="18000"/>
    <x v="0"/>
    <s v=" CAQUETA"/>
    <x v="0"/>
    <s v="N/A"/>
    <x v="0"/>
    <n v="0"/>
    <n v="252365.23491500001"/>
    <n v="336102.64341800002"/>
    <m/>
    <m/>
    <n v="423552.08822099998"/>
    <n v="149634.41928199999"/>
    <n v="66859.528201000008"/>
    <n v="24490.540512000007"/>
    <n v="0"/>
    <n v="20350.129827000026"/>
    <n v="30290.510962"/>
    <n v="0"/>
    <n v="1396255.0511729999"/>
    <n v="601675.13314799999"/>
    <n v="0.69405814467109539"/>
    <n v="70"/>
    <n v="74414.829500000007"/>
    <n v="55594.785823190003"/>
    <n v="273383.52590228"/>
    <n v="248564.72516834"/>
    <m/>
    <m/>
    <m/>
    <m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  <n v="49.806224210797701"/>
  </r>
  <r>
    <s v="85"/>
    <s v="85000"/>
    <x v="0"/>
    <s v=" CASANARE"/>
    <x v="4"/>
    <s v="N/A"/>
    <x v="2"/>
    <n v="0"/>
    <n v="224995.20421699999"/>
    <n v="385441.68354300002"/>
    <m/>
    <m/>
    <n v="367159.54338599998"/>
    <n v="65751.814072000008"/>
    <n v="125612.30413100001"/>
    <n v="58847.265349000008"/>
    <n v="0"/>
    <n v="-10582.229074999981"/>
    <n v="96772.200689999998"/>
    <n v="0"/>
    <n v="2844797.3708309601"/>
    <n v="511187.27396492998"/>
    <n v="0.81349048199814245"/>
    <n v="70"/>
    <n v="81344.475000000006"/>
    <n v="103091.38121944001"/>
    <n v="329258.87383333"/>
    <n v="285450.59743055998"/>
    <m/>
    <m/>
    <m/>
    <m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  <n v="52.074856875075852"/>
  </r>
  <r>
    <s v="19"/>
    <s v="19000"/>
    <x v="0"/>
    <s v=" CAUCA"/>
    <x v="4"/>
    <s v="N/A"/>
    <x v="5"/>
    <n v="0"/>
    <n v="974101.54360900004"/>
    <n v="1213453.361484"/>
    <m/>
    <m/>
    <n v="1197656.859008"/>
    <n v="164159.27259000001"/>
    <n v="201455.879499"/>
    <n v="114898.16617200001"/>
    <n v="243.877792"/>
    <n v="75816.92493800004"/>
    <n v="168863.30061899999"/>
    <n v="0"/>
    <n v="2978719.401238"/>
    <n v="1127163.8204940001"/>
    <n v="0.37647592551665665"/>
    <n v="70"/>
    <n v="190719.59179899999"/>
    <n v="174847.58821410997"/>
    <n v="1051078.723216"/>
    <n v="1025589.0454169499"/>
    <m/>
    <m/>
    <m/>
    <m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  <n v="55.642418596543294"/>
  </r>
  <r>
    <s v="20"/>
    <s v="20000"/>
    <x v="0"/>
    <s v=" CESAR"/>
    <x v="3"/>
    <s v="N/A"/>
    <x v="3"/>
    <n v="0"/>
    <n v="559175.75741800002"/>
    <n v="755093.39081400004"/>
    <m/>
    <m/>
    <n v="876700.96031100012"/>
    <n v="232071.064354"/>
    <n v="153895.765506"/>
    <n v="69627.708136000001"/>
    <n v="3722.0527910000001"/>
    <n v="-10913.576682999963"/>
    <n v="99013.684110000002"/>
    <n v="13000"/>
    <n v="2180519.67222013"/>
    <n v="633534.64266595"/>
    <n v="0.57757376607177258"/>
    <n v="60"/>
    <n v="177222.21504400001"/>
    <n v="140615.02988583999"/>
    <n v="681738.91012462985"/>
    <n v="637118.73170350993"/>
    <m/>
    <m/>
    <m/>
    <m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  <n v="63.964067437015117"/>
  </r>
  <r>
    <s v="27"/>
    <s v="27000"/>
    <x v="0"/>
    <s v=" CHOCO"/>
    <x v="0"/>
    <s v="N/A"/>
    <x v="5"/>
    <n v="0"/>
    <n v="424722.98897000001"/>
    <n v="516648.89210500004"/>
    <m/>
    <m/>
    <n v="636935.97236700007"/>
    <n v="140773.324777"/>
    <n v="72867.392906000008"/>
    <n v="14644.675380000008"/>
    <n v="293.445919"/>
    <n v="21354.708864000044"/>
    <n v="33464.458760000001"/>
    <n v="4000"/>
    <n v="1552859.41135975"/>
    <n v="594427.68954999"/>
    <n v="1.058443034490989"/>
    <n v="70"/>
    <n v="78933.666659179988"/>
    <n v="63987.925201760001"/>
    <n v="402354.69556309999"/>
    <n v="371898.77206799999"/>
    <m/>
    <m/>
    <m/>
    <m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  <n v="45.760693331786591"/>
  </r>
  <r>
    <s v="23"/>
    <s v="23000"/>
    <x v="0"/>
    <s v="CORDOBA"/>
    <x v="3"/>
    <s v="N/A"/>
    <x v="3"/>
    <n v="0"/>
    <n v="882592.33642299997"/>
    <n v="1165846.91812"/>
    <m/>
    <m/>
    <n v="1044683.213843"/>
    <n v="120148.791495"/>
    <n v="196850.63401200002"/>
    <n v="84211.583615000025"/>
    <n v="3201.6202309999999"/>
    <n v="44648.063164000167"/>
    <n v="171264.06792500001"/>
    <n v="0"/>
    <n v="2582211.8734305296"/>
    <n v="2406960.35024171"/>
    <n v="0.53927972187682582"/>
    <n v="60"/>
    <n v="223416.039193"/>
    <n v="184173.99381056"/>
    <n v="1008559.8045589501"/>
    <n v="954060.80530889006"/>
    <m/>
    <m/>
    <m/>
    <m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  <n v="41.337772468065161"/>
  </r>
  <r>
    <s v="25"/>
    <s v="25000"/>
    <x v="0"/>
    <s v=" CUNDINAMARCA"/>
    <x v="5"/>
    <s v="N/A"/>
    <x v="4"/>
    <n v="0"/>
    <n v="950747.97744399996"/>
    <n v="2336013.7325019999"/>
    <m/>
    <m/>
    <n v="2057403.8309760001"/>
    <n v="585827.30839400005"/>
    <n v="1324128.6298500001"/>
    <n v="902995.13054100005"/>
    <n v="34666.064218"/>
    <n v="-24875.484263000078"/>
    <n v="209487.14686899999"/>
    <n v="0"/>
    <n v="8161084.1474679997"/>
    <n v="6468882.7715290003"/>
    <n v="0.39491318375409079"/>
    <n v="50"/>
    <n v="1358007.5911969999"/>
    <n v="1229742.464799"/>
    <n v="1939755.7174559999"/>
    <n v="1673223.2069969999"/>
    <m/>
    <m/>
    <m/>
    <m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  <n v="73.550686132216313"/>
  </r>
  <r>
    <s v="94"/>
    <s v="94000"/>
    <x v="0"/>
    <s v=" GUAINIA"/>
    <x v="0"/>
    <s v="N/A"/>
    <x v="2"/>
    <n v="0"/>
    <n v="104184.44317"/>
    <n v="157095.44714100001"/>
    <m/>
    <m/>
    <n v="135991.64415599999"/>
    <n v="20350.627668000001"/>
    <n v="46649.638294000004"/>
    <n v="30007.966993000005"/>
    <n v="0"/>
    <n v="26614.593535000007"/>
    <n v="33191.025887999996"/>
    <n v="0"/>
    <n v="818597.90998776001"/>
    <n v="173205.72895945"/>
    <n v="0.35481372943872053"/>
    <n v="70"/>
    <n v="14430.641718999999"/>
    <n v="17693.46600891"/>
    <n v="113839.18230268"/>
    <n v="97905.799540369961"/>
    <m/>
    <m/>
    <m/>
    <m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  <n v="49.160811019794494"/>
  </r>
  <r>
    <s v="44"/>
    <s v="44000"/>
    <x v="0"/>
    <s v="LA_GUAJIRA"/>
    <x v="0"/>
    <s v="N/A"/>
    <x v="3"/>
    <n v="0"/>
    <n v="344698.20102099999"/>
    <n v="446730.51522599999"/>
    <m/>
    <m/>
    <n v="440477.41382700001"/>
    <n v="64024.855408999996"/>
    <n v="93704.114190000008"/>
    <n v="34476.511654000009"/>
    <n v="10639.576517"/>
    <n v="30235.19596599997"/>
    <n v="58418.589479000002"/>
    <n v="0"/>
    <n v="1855321.6650371298"/>
    <n v="763969.32662099996"/>
    <n v="0.55353444553340025"/>
    <n v="70"/>
    <n v="80626.019835399988"/>
    <n v="79173.134896790012"/>
    <n v="357267.71672085999"/>
    <n v="334868.79826294008"/>
    <m/>
    <m/>
    <m/>
    <m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  <n v="48.366540661532483"/>
  </r>
  <r>
    <s v="95"/>
    <s v="95000"/>
    <x v="0"/>
    <s v=" GUAVIARE"/>
    <x v="0"/>
    <s v="N/A"/>
    <x v="2"/>
    <n v="0"/>
    <n v="102708.161672"/>
    <n v="167443.71766900001"/>
    <m/>
    <m/>
    <n v="203759.442274"/>
    <n v="83569.350884999993"/>
    <n v="59244.894110000001"/>
    <n v="31991.052969000004"/>
    <n v="413.20304900000002"/>
    <n v="12631.379937999998"/>
    <n v="19659.574336000001"/>
    <n v="0"/>
    <n v="681034.67078000004"/>
    <n v="148480.80463299999"/>
    <n v="0.54403489873255206"/>
    <n v="70"/>
    <n v="22498.63318664"/>
    <n v="33105.063004750002"/>
    <n v="127558.49658492999"/>
    <n v="115089.43563832001"/>
    <m/>
    <m/>
    <m/>
    <m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  <n v="63.17562430207812"/>
  </r>
  <r>
    <s v="41"/>
    <s v="41000"/>
    <x v="0"/>
    <s v=" HUILA"/>
    <x v="3"/>
    <s v="N/A"/>
    <x v="0"/>
    <n v="0"/>
    <n v="562989.15482099995"/>
    <n v="851534.13150199992"/>
    <m/>
    <m/>
    <n v="764808.44419099996"/>
    <n v="121772.57840300001"/>
    <n v="184518.46966200002"/>
    <n v="68403.973279000027"/>
    <n v="2479.2347570000002"/>
    <n v="20800.604985999875"/>
    <n v="77122.455176000003"/>
    <n v="6750"/>
    <n v="2538160.34934283"/>
    <n v="1665734.3336429"/>
    <n v="0.613201677855436"/>
    <n v="60"/>
    <n v="209313.84672500001"/>
    <n v="182834.80452449"/>
    <n v="714619.03013009008"/>
    <n v="646554.31719686009"/>
    <m/>
    <m/>
    <m/>
    <m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  <n v="49.583799127966493"/>
  </r>
  <r>
    <s v="47"/>
    <s v="47000"/>
    <x v="0"/>
    <s v=" MAGDALENA"/>
    <x v="3"/>
    <s v="N/A"/>
    <x v="3"/>
    <n v="0"/>
    <n v="668278.09243399999"/>
    <n v="1030817.15071"/>
    <m/>
    <m/>
    <n v="908020.57822500006"/>
    <n v="121462.52815499999"/>
    <n v="300073.892903"/>
    <n v="146567.57591400002"/>
    <n v="2582.1207410000002"/>
    <n v="57544.821568999905"/>
    <n v="182184.576332"/>
    <n v="0"/>
    <n v="2065432.6019137199"/>
    <n v="1032544.22965119"/>
    <n v="0.53666286338769709"/>
    <n v="60"/>
    <n v="331272.38416800002"/>
    <n v="195845.96638999999"/>
    <n v="819766.01215199998"/>
    <n v="778918.51969900005"/>
    <m/>
    <m/>
    <m/>
    <m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  <n v="49.083229626987901"/>
  </r>
  <r>
    <s v="50"/>
    <s v="50000"/>
    <x v="0"/>
    <s v=" META"/>
    <x v="2"/>
    <s v="N/A"/>
    <x v="2"/>
    <n v="0"/>
    <n v="360076.01153600001"/>
    <n v="741598.89948699996"/>
    <m/>
    <m/>
    <n v="1248596.9768079999"/>
    <n v="736790.88059199997"/>
    <n v="276715.52591299999"/>
    <n v="151089.54109499999"/>
    <n v="4816.6335079999999"/>
    <n v="66868.809026999981"/>
    <n v="79419.181328999999"/>
    <n v="20725.953559000001"/>
    <n v="7793274.7629720001"/>
    <n v="1494779.557911"/>
    <n v="0.48319036212016719"/>
    <n v="55"/>
    <n v="291835.07135099999"/>
    <n v="233568.081718"/>
    <n v="549104.10564199998"/>
    <n v="424793.077536"/>
    <m/>
    <m/>
    <m/>
    <m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  <n v="69.305292237245908"/>
  </r>
  <r>
    <s v="52"/>
    <s v="52000"/>
    <x v="0"/>
    <s v="NARIÑO"/>
    <x v="2"/>
    <s v="N/A"/>
    <x v="5"/>
    <n v="0"/>
    <n v="756646.46359199996"/>
    <n v="1095642.9863399998"/>
    <m/>
    <m/>
    <n v="1001888.249933"/>
    <n v="97706.16294699999"/>
    <n v="275382.14987999998"/>
    <n v="151995.07492899999"/>
    <n v="0"/>
    <n v="37643.559714999981"/>
    <n v="186779.04984699999"/>
    <n v="0"/>
    <n v="2909535.9600492101"/>
    <n v="1872202.18830317"/>
    <n v="0.582111213543692"/>
    <n v="55"/>
    <n v="243880.511906"/>
    <n v="200224.188471"/>
    <n v="934612.35167400003"/>
    <n v="840373.27021700004"/>
    <m/>
    <m/>
    <m/>
    <m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  <n v="39.95960805769748"/>
  </r>
  <r>
    <s v="54"/>
    <s v="54000"/>
    <x v="0"/>
    <s v=" NORTE DE SANTANDER"/>
    <x v="3"/>
    <s v="N/A"/>
    <x v="4"/>
    <n v="0"/>
    <n v="566539.49374800001"/>
    <n v="890398.54063000006"/>
    <m/>
    <m/>
    <n v="869851.88189800002"/>
    <n v="173927.94392300001"/>
    <n v="261448.72087599998"/>
    <n v="141559.80219799996"/>
    <n v="8066.8577070000001"/>
    <n v="29858.984903000062"/>
    <n v="89894.795478999993"/>
    <n v="0"/>
    <n v="2312368.0840334799"/>
    <n v="1566736.1440166398"/>
    <n v="0.38609805823879106"/>
    <n v="60"/>
    <n v="260577.63392200001"/>
    <n v="240879.52262762"/>
    <n v="740650.63704846974"/>
    <n v="701367.59100686992"/>
    <m/>
    <m/>
    <m/>
    <m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  <n v="63.014608726090536"/>
  </r>
  <r>
    <s v="86"/>
    <s v="86000"/>
    <x v="0"/>
    <s v=" PUTUMAYO"/>
    <x v="0"/>
    <s v="N/A"/>
    <x v="0"/>
    <n v="0"/>
    <n v="338612.71387500002"/>
    <n v="455805.53979499999"/>
    <m/>
    <m/>
    <n v="478255.53993299999"/>
    <n v="79774.325607000006"/>
    <n v="85042.273524999997"/>
    <n v="32864.207079999993"/>
    <n v="0"/>
    <n v="2644.798982999986"/>
    <n v="56764.36"/>
    <n v="0"/>
    <n v="1439639.68213533"/>
    <n v="409930.90668413002"/>
    <n v="0.59613483149630442"/>
    <n v="70"/>
    <n v="49981.353394429992"/>
    <n v="54812.265347630004"/>
    <n v="400982.67436296993"/>
    <n v="343674.06447849999"/>
    <m/>
    <m/>
    <m/>
    <m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  <n v="54.034752283540165"/>
  </r>
  <r>
    <s v="63"/>
    <s v="63000"/>
    <x v="0"/>
    <s v=" QUINDIO"/>
    <x v="4"/>
    <s v="N/A"/>
    <x v="1"/>
    <n v="0"/>
    <n v="187122.14556400001"/>
    <n v="338837.17063800001"/>
    <m/>
    <m/>
    <n v="250206.95155299999"/>
    <n v="18397.167957000001"/>
    <n v="139493.730503"/>
    <n v="49778.321547"/>
    <n v="864.33332499999995"/>
    <n v="14790.701690000016"/>
    <n v="39765.666732999998"/>
    <n v="0"/>
    <n v="1331899.90950634"/>
    <n v="944653.10955903004"/>
    <n v="0.48391270433525868"/>
    <n v="70"/>
    <n v="148755.03251300001"/>
    <n v="112182.44490421"/>
    <n v="234331.05999179999"/>
    <n v="231838.15665761995"/>
    <m/>
    <m/>
    <m/>
    <m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  <n v="47.698702968366817"/>
  </r>
  <r>
    <s v="66"/>
    <s v="66000"/>
    <x v="0"/>
    <s v=" RISARALDA"/>
    <x v="3"/>
    <s v="N/A"/>
    <x v="1"/>
    <n v="0"/>
    <n v="216383.15373399999"/>
    <n v="487018.19393000007"/>
    <m/>
    <m/>
    <n v="479900.47848399996"/>
    <n v="114125.61822400001"/>
    <n v="230482.61197800006"/>
    <n v="111157.78105000006"/>
    <n v="2162.1927249999999"/>
    <n v="17583.184501000098"/>
    <n v="72991.799161000003"/>
    <n v="0"/>
    <n v="2371953.4851509999"/>
    <n v="920343.820159"/>
    <n v="0.39382462497839482"/>
    <n v="60"/>
    <n v="245150.95673000001"/>
    <n v="207134.44722999999"/>
    <n v="350110.17850099999"/>
    <n v="337286.38093599997"/>
    <m/>
    <m/>
    <m/>
    <m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  <n v="68.351578140937121"/>
  </r>
  <r>
    <s v="88"/>
    <s v="88000"/>
    <x v="0"/>
    <s v="SAN ANDRES"/>
    <x v="4"/>
    <s v="N/A"/>
    <x v="3"/>
    <n v="0"/>
    <n v="58123.463732999997"/>
    <n v="335416.83405"/>
    <m/>
    <m/>
    <n v="190186.46202200002"/>
    <n v="23034.527378999999"/>
    <n v="188497.18811300001"/>
    <n v="36074.162771000003"/>
    <n v="0"/>
    <n v="9017.7205709999544"/>
    <n v="174201.57258599999"/>
    <n v="0"/>
    <n v="1495340.2385750301"/>
    <n v="346387.66401549999"/>
    <n v="0.64900471999163301"/>
    <n v="70"/>
    <n v="179595.28959999999"/>
    <n v="76338.491081999993"/>
    <n v="173976.08813700001"/>
    <n v="137657.619828"/>
    <m/>
    <m/>
    <m/>
    <m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  <n v="38.857279272800881"/>
  </r>
  <r>
    <s v="68"/>
    <s v="68000"/>
    <x v="0"/>
    <s v=" SANTANDER"/>
    <x v="2"/>
    <s v="N/A"/>
    <x v="4"/>
    <n v="0"/>
    <n v="709121.95640000002"/>
    <n v="1324654.178688"/>
    <m/>
    <m/>
    <n v="1069481.365798"/>
    <n v="211246.996655"/>
    <n v="527660.78804499994"/>
    <n v="175878.63406299992"/>
    <n v="6419.5406620000003"/>
    <n v="-68555.57795600011"/>
    <n v="264929.48184999998"/>
    <n v="0"/>
    <n v="6123002.0014306903"/>
    <n v="3993245.8073587404"/>
    <n v="0.46877286476132218"/>
    <n v="55"/>
    <n v="546942.9922637"/>
    <n v="459509.69311829004"/>
    <n v="1041427.6026574498"/>
    <n v="884132.57800323993"/>
    <m/>
    <m/>
    <m/>
    <m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  <n v="47.508048714852137"/>
  </r>
  <r>
    <s v="70"/>
    <s v="70000"/>
    <x v="0"/>
    <s v=" SUCRE"/>
    <x v="4"/>
    <s v="N/A"/>
    <x v="3"/>
    <n v="0"/>
    <n v="595221.41052100004"/>
    <n v="782215.92260300007"/>
    <m/>
    <m/>
    <n v="870104.29049499996"/>
    <n v="284341.316291"/>
    <n v="105144.66100800001"/>
    <n v="47438.267169000006"/>
    <n v="0"/>
    <n v="39604.238794000004"/>
    <n v="99140.043518000006"/>
    <n v="0"/>
    <n v="1440859.79971439"/>
    <n v="442699.68105716998"/>
    <n v="0.75465378107201009"/>
    <n v="70"/>
    <n v="126926.62852300001"/>
    <n v="104411.720457"/>
    <n v="684905.28997000004"/>
    <n v="668440.10274400003"/>
    <m/>
    <m/>
    <m/>
    <m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  <n v="60.508968436902947"/>
  </r>
  <r>
    <s v="73"/>
    <s v="73000"/>
    <x v="0"/>
    <s v=" TOLIMA"/>
    <x v="3"/>
    <s v="N/A"/>
    <x v="0"/>
    <n v="0"/>
    <n v="661063.71440299996"/>
    <n v="1090749.046169"/>
    <m/>
    <m/>
    <n v="952539.47547599999"/>
    <n v="210149.00664199999"/>
    <n v="264258.95436600002"/>
    <n v="98140.442016000015"/>
    <n v="479.25375000000003"/>
    <n v="69826.509204000002"/>
    <n v="68108.638932999995"/>
    <n v="0"/>
    <n v="2143643.397508"/>
    <n v="1735599.659467"/>
    <n v="0.32039232771794712"/>
    <n v="60"/>
    <n v="286914.58299999998"/>
    <n v="233234.11642807996"/>
    <n v="854804.02461303968"/>
    <n v="793630.46288964979"/>
    <m/>
    <m/>
    <m/>
    <m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  <n v="58.122281149187231"/>
  </r>
  <r>
    <s v="76"/>
    <s v="76000"/>
    <x v="0"/>
    <s v=" VALLE DEL CAUCA"/>
    <x v="1"/>
    <s v="N/A"/>
    <x v="5"/>
    <n v="0"/>
    <n v="801933.00294200005"/>
    <n v="2376427.5186029999"/>
    <m/>
    <m/>
    <n v="1844386.9018139997"/>
    <n v="449118.76698199997"/>
    <n v="1200166.2014500001"/>
    <n v="780147.7692770001"/>
    <n v="12528.06885"/>
    <n v="130959.80646899994"/>
    <n v="345189.47594899999"/>
    <n v="39053.721640000003"/>
    <n v="6951931.8646999998"/>
    <n v="5406010.7802100005"/>
    <n v="0.38479524477315413"/>
    <n v="50"/>
    <n v="1238478.9450089999"/>
    <n v="1095325.2689110001"/>
    <n v="1824772.779961"/>
    <n v="1694691.986214"/>
    <m/>
    <m/>
    <m/>
    <m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  <n v="63.404561137728138"/>
  </r>
  <r>
    <s v="97"/>
    <s v="97000"/>
    <x v="0"/>
    <s v=" VAUPES"/>
    <x v="0"/>
    <s v="N/A"/>
    <x v="2"/>
    <n v="0"/>
    <n v="81044.919661000007"/>
    <n v="123076.37778100002"/>
    <m/>
    <m/>
    <n v="194037.12340300001"/>
    <n v="101439.905994"/>
    <n v="36135.284913000003"/>
    <n v="19748.181658000001"/>
    <n v="0"/>
    <n v="28186.638705999998"/>
    <n v="30331.152119999999"/>
    <n v="0"/>
    <n v="580941.3459033299"/>
    <n v="58513.208935339993"/>
    <n v="0.42714140172301496"/>
    <n v="70"/>
    <n v="5910.0770599999996"/>
    <n v="11547.125066000001"/>
    <n v="78469.145688999997"/>
    <n v="66704.330625999995"/>
    <m/>
    <m/>
    <m/>
    <m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  <n v="55.908880672398453"/>
  </r>
  <r>
    <s v="99"/>
    <s v="99000"/>
    <x v="0"/>
    <s v=" VICHADA"/>
    <x v="0"/>
    <s v="N/A"/>
    <x v="2"/>
    <n v="0"/>
    <n v="81388.049786999996"/>
    <n v="134318.118888"/>
    <m/>
    <m/>
    <n v="98588.905532000004"/>
    <n v="6668.1085739999999"/>
    <n v="38976.034129"/>
    <n v="20187.909470999999"/>
    <n v="0"/>
    <n v="22095.389936999985"/>
    <n v="19418.080136"/>
    <n v="0"/>
    <n v="558510.07537600002"/>
    <n v="138505.00026100001"/>
    <n v="0.39687618062935293"/>
    <n v="70"/>
    <n v="15711.788"/>
    <n v="12718.48170423"/>
    <n v="93434.604292350006"/>
    <n v="84156.781821830009"/>
    <m/>
    <m/>
    <m/>
    <m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  <n v="47.160425682469537"/>
  </r>
  <r>
    <s v="05"/>
    <s v="05000"/>
    <x v="1"/>
    <s v="ANTIOQUIA"/>
    <x v="5"/>
    <s v="N/A"/>
    <x v="1"/>
    <n v="0"/>
    <n v="1709401.2830000001"/>
    <n v="4592679.4110000003"/>
    <n v="1559056.101"/>
    <n v="926098.66299999994"/>
    <n v="3635276.6460159998"/>
    <n v="1041270.6330000001"/>
    <n v="2496946.9780000001"/>
    <n v="1552525.4240000001"/>
    <n v="87868.123999999996"/>
    <n v="52088.412000000477"/>
    <n v="457101.00599999999"/>
    <n v="0"/>
    <n v="13610541.498312"/>
    <n v="10408840.132896001"/>
    <n v="20.377259040043448"/>
    <n v="50"/>
    <n v="1398513.6009519999"/>
    <n v="1664061.5847759999"/>
    <n v="3596155.6391790002"/>
    <n v="3227210.3036949998"/>
    <n v="1709401.2830000001"/>
    <n v="4592679.4110000003"/>
    <n v="597057.54200000048"/>
    <n v="4592679.4110000003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  <n v="67.021451072467954"/>
  </r>
  <r>
    <s v="08"/>
    <s v="08000"/>
    <x v="1"/>
    <s v="ATLANTICO"/>
    <x v="6"/>
    <s v="N/A"/>
    <x v="3"/>
    <n v="1147.6300000000001"/>
    <n v="461663.31899999996"/>
    <n v="1271528.996"/>
    <n v="555954.07499999995"/>
    <n v="236938.87299999999"/>
    <n v="1407695.5684249999"/>
    <n v="450142.11042500002"/>
    <n v="795112.88"/>
    <n v="570037.55000000005"/>
    <n v="13174.616"/>
    <n v="-334165.3870000001"/>
    <n v="157956.807"/>
    <n v="0"/>
    <n v="4367073.4697419703"/>
    <n v="1892702.92174145"/>
    <n v="36.067361435706957"/>
    <n v="55.000000000000007"/>
    <n v="581213.35631800001"/>
    <n v="710424.65544799995"/>
    <n v="1388506.195082"/>
    <n v="1027325.556963"/>
    <n v="462810.94899999996"/>
    <n v="1271528.996"/>
    <n v="-163033.96400000012"/>
    <n v="1271528.996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  <n v="75.965847648560668"/>
  </r>
  <r>
    <s v="13"/>
    <s v="13000"/>
    <x v="1"/>
    <s v="BOLIVAR"/>
    <x v="6"/>
    <s v="N/A"/>
    <x v="3"/>
    <n v="0"/>
    <n v="882892.19"/>
    <n v="1447648.2719999999"/>
    <n v="333637.21100000001"/>
    <n v="91039.894"/>
    <n v="1802694.5998940002"/>
    <n v="466368.63399999996"/>
    <n v="424677.10499999998"/>
    <n v="152641.75699999998"/>
    <n v="17592.559000000001"/>
    <n v="-170245.82799999998"/>
    <n v="62363.190999999999"/>
    <n v="0"/>
    <n v="4100619.4388272204"/>
    <n v="2610867.4273052597"/>
    <n v="49.834133477079533"/>
    <n v="55.000000000000007"/>
    <n v="268329.24463700003"/>
    <n v="347103.26202099997"/>
    <n v="1274823.122064"/>
    <n v="985274.23757799994"/>
    <n v="882892.19"/>
    <n v="1447648.2719999999"/>
    <n v="-90290.07799999998"/>
    <n v="1447648.2719999999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  <n v="56.849877568087607"/>
  </r>
  <r>
    <s v="15"/>
    <s v="15000"/>
    <x v="1"/>
    <s v="BOYACÁ"/>
    <x v="6"/>
    <s v="N/A"/>
    <x v="4"/>
    <n v="9611.8389999999999"/>
    <n v="769485.47700000007"/>
    <n v="1217399.05"/>
    <n v="353477.13900000002"/>
    <n v="27468.102999999999"/>
    <n v="1085275.851062"/>
    <n v="153644.22700000001"/>
    <n v="392522.88700000005"/>
    <n v="224398.69100000005"/>
    <n v="5995.2690000000002"/>
    <n v="-7153.9679999998771"/>
    <n v="174000.791"/>
    <n v="0"/>
    <n v="4446077.2464549998"/>
    <n v="2968031.7643189998"/>
    <n v="40.66685409908078"/>
    <n v="55.000000000000007"/>
    <n v="307549.51351100003"/>
    <n v="358089.458086"/>
    <n v="1056933.2510520001"/>
    <n v="941109.47692799999"/>
    <n v="779097.31600000011"/>
    <n v="1217399.05"/>
    <n v="172842.09200000012"/>
    <n v="1217399.05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  <n v="57.508622733549423"/>
  </r>
  <r>
    <s v="17"/>
    <s v="17000"/>
    <x v="1"/>
    <s v="CALDAS"/>
    <x v="7"/>
    <s v="N/A"/>
    <x v="1"/>
    <n v="3519.482"/>
    <n v="380461.48599999998"/>
    <n v="821791.06400000001"/>
    <n v="261305.258"/>
    <n v="37630.343000000001"/>
    <n v="701091.14795199991"/>
    <n v="172047.09995199999"/>
    <n v="305201.83600000001"/>
    <n v="167742.99299999999"/>
    <n v="2312.3440000000001"/>
    <n v="926.50800000003073"/>
    <n v="96826.956999999995"/>
    <n v="0"/>
    <n v="3109285.7673209999"/>
    <n v="1888736.4966210001"/>
    <n v="44.140619056275021"/>
    <n v="60"/>
    <n v="234928.10247899999"/>
    <n v="286278.31102899997"/>
    <n v="683405.71311300003"/>
    <n v="669919.91699499998"/>
    <n v="383980.96799999999"/>
    <n v="821791.06400000001"/>
    <n v="100065.80900000002"/>
    <n v="821791.0640000000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  <n v="63.593460729914398"/>
  </r>
  <r>
    <s v="18"/>
    <s v="18000"/>
    <x v="1"/>
    <s v="CAQUETA"/>
    <x v="8"/>
    <s v="N/A"/>
    <x v="0"/>
    <n v="3113.48"/>
    <n v="264830.68"/>
    <n v="367026.60800000001"/>
    <n v="64565.973000000005"/>
    <n v="21189.221000000001"/>
    <n v="361018.84820499999"/>
    <n v="27255.903055000002"/>
    <n v="89556.649000000005"/>
    <n v="40655.760999999999"/>
    <n v="51.527000000000001"/>
    <n v="4708.76800000004"/>
    <n v="60034.999000000003"/>
    <n v="0"/>
    <n v="1473933.3616869999"/>
    <n v="757411.93328400003"/>
    <n v="57.637590380653258"/>
    <n v="70"/>
    <n v="59263.258520000003"/>
    <n v="66806.191844000001"/>
    <n v="313447.81499799999"/>
    <n v="281128.199188"/>
    <n v="267944.15999999997"/>
    <n v="367026.60800000001"/>
    <n v="64795.294000000045"/>
    <n v="367026.6080000000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  <n v="48.242112877432511"/>
  </r>
  <r>
    <s v="19"/>
    <s v="19000"/>
    <x v="1"/>
    <s v="CAUCA"/>
    <x v="9"/>
    <s v="N/A"/>
    <x v="5"/>
    <n v="0"/>
    <n v="1088713.8159999999"/>
    <n v="1394677.0459999999"/>
    <n v="135031.476"/>
    <n v="105602.66"/>
    <n v="1266578.9694400001"/>
    <n v="69160.597000000009"/>
    <n v="241487.06200000001"/>
    <n v="138207.12500000003"/>
    <n v="45.290999999999997"/>
    <n v="67443.680999999866"/>
    <n v="218383.46299999999"/>
    <n v="0"/>
    <n v="3279299.1611040002"/>
    <n v="1351266.651486"/>
    <n v="28.191374367510353"/>
    <n v="70"/>
    <n v="107253.130603"/>
    <n v="141658.62946500001"/>
    <n v="1221691.7315179999"/>
    <n v="1192998.3940870001"/>
    <n v="1088713.8159999999"/>
    <n v="1394677.0459999999"/>
    <n v="285872.43499999982"/>
    <n v="1394677.0459999999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  <n v="51.612100493011042"/>
  </r>
  <r>
    <s v="20"/>
    <s v="20000"/>
    <x v="1"/>
    <s v="CESAR"/>
    <x v="7"/>
    <s v="N/A"/>
    <x v="3"/>
    <n v="295.87400000000002"/>
    <n v="669840.929"/>
    <n v="884970.554"/>
    <n v="145592.38299999997"/>
    <n v="42925.482000000004"/>
    <n v="933865.88940900005"/>
    <n v="302570.76826600003"/>
    <n v="189588.44699999999"/>
    <n v="103001.70999999998"/>
    <n v="1158.1320000000001"/>
    <n v="73075.476000000024"/>
    <n v="89241.324999999997"/>
    <n v="0"/>
    <n v="2544924.47834806"/>
    <n v="600163.80057234992"/>
    <n v="31.605596742907053"/>
    <n v="60"/>
    <n v="128384.815682"/>
    <n v="148495.29013000001"/>
    <n v="733304.70518599998"/>
    <n v="667645.42780800001"/>
    <n v="670136.80299999996"/>
    <n v="884970.554"/>
    <n v="163474.93300000002"/>
    <n v="884970.554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  <n v="68.377552000934728"/>
  </r>
  <r>
    <s v="23"/>
    <s v="23000"/>
    <x v="1"/>
    <s v="CORDOBA"/>
    <x v="7"/>
    <s v="N/A"/>
    <x v="3"/>
    <n v="2519.2620000000002"/>
    <n v="933148.47599999991"/>
    <n v="1219001.24"/>
    <n v="247624.878"/>
    <n v="8449.0810000000001"/>
    <n v="1254063.529441"/>
    <n v="247356.26832099998"/>
    <n v="259226.22"/>
    <n v="134195.11900000001"/>
    <n v="3009.9160000000002"/>
    <n v="-28868.820999999996"/>
    <n v="222555.17499999999"/>
    <n v="0"/>
    <n v="2586901.2414681897"/>
    <n v="2442794.8657883299"/>
    <n v="52.708362595786042"/>
    <n v="60"/>
    <n v="203704.50381900001"/>
    <n v="248252.299871"/>
    <n v="1123161.673092"/>
    <n v="1040058.443121"/>
    <n v="935667.7379999999"/>
    <n v="1219001.24"/>
    <n v="196696.27"/>
    <n v="1219001.24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  <n v="45.369880949041338"/>
  </r>
  <r>
    <s v="25"/>
    <s v="25000"/>
    <x v="1"/>
    <s v="CUNDINAMARCA"/>
    <x v="5"/>
    <s v="N/A"/>
    <x v="4"/>
    <n v="0"/>
    <n v="1063021.0719999999"/>
    <n v="3006770.165"/>
    <n v="1591154.0919999999"/>
    <n v="285929.67199999996"/>
    <n v="2555574.7216389999"/>
    <n v="868879.14533099998"/>
    <n v="1878226.639"/>
    <n v="1367829.8530000001"/>
    <n v="27225.511999999999"/>
    <n v="-11860.236000000034"/>
    <n v="221617.26500000001"/>
    <n v="0"/>
    <n v="8565831.9599910006"/>
    <n v="6845744.8831230002"/>
    <n v="44.810485902071065"/>
    <n v="50"/>
    <n v="1339934.4525210001"/>
    <n v="1648897.5700020001"/>
    <n v="2519958.519266"/>
    <n v="2293416.860686"/>
    <n v="1063021.0719999999"/>
    <n v="3006770.165"/>
    <n v="236982.54099999997"/>
    <n v="3006770.165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  <n v="71.648254076249856"/>
  </r>
  <r>
    <s v="27"/>
    <s v="27000"/>
    <x v="1"/>
    <s v="CHOCO"/>
    <x v="8"/>
    <s v="N/A"/>
    <x v="5"/>
    <n v="10704.741"/>
    <n v="439380.97200000001"/>
    <n v="610313.68799999997"/>
    <n v="88527.983000000007"/>
    <n v="5528.9639999999999"/>
    <n v="592240.361424"/>
    <n v="104864.498865"/>
    <n v="104761.68800000001"/>
    <n v="27159.145999999993"/>
    <n v="2196.7139999999999"/>
    <n v="9040.841999999946"/>
    <n v="37725.678999999996"/>
    <n v="0"/>
    <n v="1760769.7670730602"/>
    <n v="610449.77051771001"/>
    <n v="67.478799311568636"/>
    <n v="70"/>
    <n v="78702.280257999999"/>
    <n v="88963.380858999997"/>
    <n v="486457.384234"/>
    <n v="429829.17858100001"/>
    <n v="450085.71299999999"/>
    <n v="610313.68799999997"/>
    <n v="48963.234999999942"/>
    <n v="610313.68799999997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  <n v="52.128463550265096"/>
  </r>
  <r>
    <s v="41"/>
    <s v="41000"/>
    <x v="1"/>
    <s v="HUILA"/>
    <x v="7"/>
    <s v="N/A"/>
    <x v="0"/>
    <n v="15539.933999999999"/>
    <n v="565745.56000000006"/>
    <n v="899003.31500000006"/>
    <n v="197440.63"/>
    <n v="66040.289999999994"/>
    <n v="866397.77479599998"/>
    <n v="158134.223165"/>
    <n v="280924.82799999998"/>
    <n v="175415.86699999997"/>
    <n v="2380.9549999999999"/>
    <n v="106855.52899999998"/>
    <n v="92324.804999999993"/>
    <n v="0"/>
    <n v="2680386.9332253998"/>
    <n v="1552854.1150158301"/>
    <n v="30.687034228382153"/>
    <n v="60"/>
    <n v="135635.04224000001"/>
    <n v="198585.96017000001"/>
    <n v="690292.83153900004"/>
    <n v="622465.52866199997"/>
    <n v="581285.49400000006"/>
    <n v="899003.31500000006"/>
    <n v="201561.28899999999"/>
    <n v="899003.31500000006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  <n v="54.065159520126599"/>
  </r>
  <r>
    <s v="44"/>
    <s v="44000"/>
    <x v="1"/>
    <s v="LA_GUAJIRA"/>
    <x v="8"/>
    <s v="N/A"/>
    <x v="3"/>
    <n v="581.46299999999997"/>
    <n v="460648.5039999999"/>
    <n v="625831.94299999997"/>
    <n v="116246.29699999999"/>
    <n v="3295.04"/>
    <n v="525421.18400000001"/>
    <n v="56307.485000000001"/>
    <n v="120122.79999999999"/>
    <n v="66774.037999999986"/>
    <n v="0"/>
    <n v="47061.996999999974"/>
    <n v="77759.767999999996"/>
    <n v="0"/>
    <n v="1849307.5297123501"/>
    <n v="763676.87493346992"/>
    <n v="34.03136278973772"/>
    <n v="70"/>
    <n v="74062.032865999994"/>
    <n v="117200.23901200001"/>
    <n v="526806.20623000001"/>
    <n v="474406.41069300001"/>
    <n v="461229.96699999989"/>
    <n v="625831.94299999997"/>
    <n v="124821.76499999997"/>
    <n v="625831.94299999997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  <n v="50.112734745348355"/>
  </r>
  <r>
    <s v="47"/>
    <s v="47000"/>
    <x v="1"/>
    <s v="MAGDALENA"/>
    <x v="7"/>
    <s v="N/A"/>
    <x v="3"/>
    <n v="9931.3330000000005"/>
    <n v="673568.46"/>
    <n v="1105602.209"/>
    <n v="232386.77399999998"/>
    <n v="140929.54"/>
    <n v="851340.00199999998"/>
    <n v="176253.14499999999"/>
    <n v="383939.60000000003"/>
    <n v="214768.93600000005"/>
    <n v="2178.1149999999998"/>
    <n v="85091.543000000063"/>
    <n v="198186.02600000001"/>
    <n v="0"/>
    <n v="2210930.3720315602"/>
    <n v="1025792.7074581999"/>
    <n v="46.771648740936314"/>
    <n v="60"/>
    <n v="345282.92687700002"/>
    <n v="363625.97706800001"/>
    <n v="842212.17716299999"/>
    <n v="793135.45005600003"/>
    <n v="683499.79299999995"/>
    <n v="1105602.209"/>
    <n v="285455.68400000007"/>
    <n v="1105602.209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  <n v="58.026375816822082"/>
  </r>
  <r>
    <s v="50"/>
    <s v="50000"/>
    <x v="1"/>
    <s v="META"/>
    <x v="6"/>
    <s v="N/A"/>
    <x v="2"/>
    <n v="1469.4960000000001"/>
    <n v="406290.05000000005"/>
    <n v="789069.40099999995"/>
    <n v="309258.15299999993"/>
    <n v="16453.125"/>
    <n v="618556.73"/>
    <n v="142162.821"/>
    <n v="332004.40899999993"/>
    <n v="186371.32399999991"/>
    <n v="8380.1790000000001"/>
    <n v="24879.58600000001"/>
    <n v="182495.11900000001"/>
    <n v="0"/>
    <n v="8151185.7173680002"/>
    <n v="1500266.4689730001"/>
    <n v="41.465562160010769"/>
    <n v="55.000000000000007"/>
    <n v="225554.81046499999"/>
    <n v="311967.03343100002"/>
    <n v="615161.18961700005"/>
    <n v="533139.54411400005"/>
    <n v="407759.54600000003"/>
    <n v="789069.40099999995"/>
    <n v="215754.88400000002"/>
    <n v="789069.40099999995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  <n v="63.346520051345749"/>
  </r>
  <r>
    <s v="52"/>
    <s v="52000"/>
    <x v="1"/>
    <s v="NARIÑO"/>
    <x v="6"/>
    <s v="N/A"/>
    <x v="5"/>
    <n v="229.60900000000001"/>
    <n v="798517.14399999985"/>
    <n v="1246873.0529999998"/>
    <n v="225865.05099999998"/>
    <n v="95343.696999999986"/>
    <n v="1087168.5599409998"/>
    <n v="197979.32070099999"/>
    <n v="322152.64699999994"/>
    <n v="191276.23999999993"/>
    <n v="0"/>
    <n v="101196.64899999998"/>
    <n v="175120.20499999999"/>
    <n v="0"/>
    <n v="3275623.10162109"/>
    <n v="2009304.9739025"/>
    <n v="33.426677924166611"/>
    <n v="55.000000000000007"/>
    <n v="122468.089301"/>
    <n v="163754.35043200001"/>
    <n v="1013771.780717"/>
    <n v="898978.21502799995"/>
    <n v="798746.75299999991"/>
    <n v="1246873.0529999998"/>
    <n v="276316.85399999993"/>
    <n v="1246873.0529999998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  <n v="52.548688707040263"/>
  </r>
  <r>
    <s v="54"/>
    <s v="54000"/>
    <x v="1"/>
    <s v="NORTE_DE_SANTANDER"/>
    <x v="7"/>
    <s v="N/A"/>
    <x v="4"/>
    <n v="0"/>
    <n v="768307.95600000001"/>
    <n v="1120634.862"/>
    <n v="273737.95399999997"/>
    <n v="43139.614999999998"/>
    <n v="1330734.3631520001"/>
    <n v="223964.14199999999"/>
    <n v="318269.93699999998"/>
    <n v="186914.66199999995"/>
    <n v="6280.0640000000003"/>
    <n v="-17286.08200000017"/>
    <n v="130985.663"/>
    <n v="0"/>
    <n v="2500756.8452041298"/>
    <n v="1766594.6538104399"/>
    <n v="28.514562165730045"/>
    <n v="60"/>
    <n v="216662.97361399999"/>
    <n v="247291.909453"/>
    <n v="825168.83210300002"/>
    <n v="664118.78174100001"/>
    <n v="768307.95600000001"/>
    <n v="1120634.862"/>
    <n v="119979.64499999983"/>
    <n v="1120634.862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  <n v="57.772156887655584"/>
  </r>
  <r>
    <s v="63"/>
    <s v="63000"/>
    <x v="1"/>
    <s v="QUINDIO"/>
    <x v="9"/>
    <s v="N/A"/>
    <x v="1"/>
    <n v="1411.366"/>
    <n v="208006.08899999998"/>
    <n v="400596.79"/>
    <n v="139838.891"/>
    <n v="40305.690999999999"/>
    <n v="284857.15756999998"/>
    <n v="31289.25661"/>
    <n v="182549.364"/>
    <n v="86366.70699999998"/>
    <n v="2655.99"/>
    <n v="21272.822999999975"/>
    <n v="46789.593000000001"/>
    <n v="0"/>
    <n v="1346328.2390123601"/>
    <n v="775789.47279531998"/>
    <n v="52.1457714458233"/>
    <n v="70"/>
    <n v="131344.59449600001"/>
    <n v="146897.12486400001"/>
    <n v="286065.23936200002"/>
    <n v="285435.94224399998"/>
    <n v="209417.45499999999"/>
    <n v="400596.79"/>
    <n v="70718.405999999974"/>
    <n v="400596.79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  <n v="61.468330179307671"/>
  </r>
  <r>
    <s v="66"/>
    <s v="66000"/>
    <x v="1"/>
    <s v="RISARALDA"/>
    <x v="7"/>
    <s v="N/A"/>
    <x v="1"/>
    <n v="0"/>
    <n v="249440.91699999999"/>
    <n v="582559.92200000002"/>
    <n v="209804.72600000002"/>
    <n v="82658.166000000012"/>
    <n v="477374.44612199999"/>
    <n v="60866.297000000006"/>
    <n v="292778.16200000007"/>
    <n v="192484.25100000005"/>
    <n v="1357.6859999999999"/>
    <n v="42815.082000000053"/>
    <n v="87820.456000000006"/>
    <n v="0"/>
    <n v="2417970.5466840002"/>
    <n v="1016066.001316"/>
    <n v="35.08552204243265"/>
    <n v="60"/>
    <n v="153351"/>
    <n v="246795.14448700001"/>
    <n v="440204.95085700002"/>
    <n v="411255.18237499997"/>
    <n v="249440.91699999999"/>
    <n v="582559.92200000002"/>
    <n v="131993.22400000005"/>
    <n v="582559.92200000002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  <n v="57.255454440138315"/>
  </r>
  <r>
    <s v="68"/>
    <s v="68000"/>
    <x v="1"/>
    <s v="SANTANDER"/>
    <x v="6"/>
    <s v="N/A"/>
    <x v="4"/>
    <n v="0"/>
    <n v="783482.70700000005"/>
    <n v="1644599.0279999999"/>
    <n v="595735.01"/>
    <n v="45534.195"/>
    <n v="1636662.003951"/>
    <n v="553673.77966100001"/>
    <n v="644114.56699999992"/>
    <n v="303483.37099999993"/>
    <n v="20459.276999999998"/>
    <n v="-90529.967000000179"/>
    <n v="291452.31699999998"/>
    <n v="0"/>
    <n v="5823434.5536785899"/>
    <n v="5281189.8542640805"/>
    <n v="43.365976393781622"/>
    <n v="55.000000000000007"/>
    <n v="390766.88153200003"/>
    <n v="654863.10763300001"/>
    <n v="1380994.0904409999"/>
    <n v="1086477.0220290001"/>
    <n v="783482.70700000005"/>
    <n v="1644599.0279999999"/>
    <n v="221381.6269999998"/>
    <n v="1644599.0279999999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  <n v="56.797822593655226"/>
  </r>
  <r>
    <s v="70"/>
    <s v="70000"/>
    <x v="1"/>
    <s v="SUCRE"/>
    <x v="9"/>
    <s v="N/A"/>
    <x v="3"/>
    <n v="2539.5500000000002"/>
    <n v="615305.37599999993"/>
    <n v="767668.16799999983"/>
    <n v="141086.42300000001"/>
    <n v="6956.6570000000002"/>
    <n v="771527.24511299981"/>
    <n v="125718.465"/>
    <n v="151433.67800000001"/>
    <n v="85922.378000000026"/>
    <n v="0"/>
    <n v="-56269.44299999997"/>
    <n v="109365.353"/>
    <n v="0"/>
    <n v="1601639.98055141"/>
    <n v="531411.47772359999"/>
    <n v="58.990685971755873"/>
    <n v="70"/>
    <n v="128870.256176"/>
    <n v="146239.20265799999"/>
    <n v="765691.46120999998"/>
    <n v="644987.21608599997"/>
    <n v="617844.92599999998"/>
    <n v="767668.16799999983"/>
    <n v="53095.910000000033"/>
    <n v="767668.16799999983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  <n v="70.327337918984554"/>
  </r>
  <r>
    <s v="73"/>
    <s v="73000"/>
    <x v="1"/>
    <s v="TOLIMA"/>
    <x v="7"/>
    <s v="N/A"/>
    <x v="0"/>
    <n v="6069.9350000000004"/>
    <n v="707352.897"/>
    <n v="1214613.713"/>
    <n v="265402.20600000001"/>
    <n v="71410.27"/>
    <n v="1183953.765259"/>
    <n v="327042.41334699997"/>
    <n v="345099.679"/>
    <n v="179199.76800000001"/>
    <n v="72.411000000000001"/>
    <n v="-106565.35900000017"/>
    <n v="134031.32999999999"/>
    <n v="0"/>
    <n v="2705198.1548449998"/>
    <n v="1913752.1812710001"/>
    <n v="24.04709669085338"/>
    <n v="60"/>
    <n v="243664.68812499999"/>
    <n v="280580.73980500002"/>
    <n v="1155279.1609489999"/>
    <n v="938629.32175300003"/>
    <n v="713422.83200000005"/>
    <n v="1214613.713"/>
    <n v="27538.381999999809"/>
    <n v="1214613.713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  <n v="69.457535515616172"/>
  </r>
  <r>
    <s v="76"/>
    <s v="76000"/>
    <x v="1"/>
    <s v="VALLE DEL CAUCA"/>
    <x v="5"/>
    <s v="N/A"/>
    <x v="5"/>
    <n v="2761.3649999999998"/>
    <n v="739573.49499999988"/>
    <n v="2377891.5599999996"/>
    <n v="1188201.8399999999"/>
    <n v="198856.56899999999"/>
    <n v="1995706.107843"/>
    <n v="562846.93999999994"/>
    <n v="1395266.6749999998"/>
    <n v="922974.61799999978"/>
    <n v="20263.793000000001"/>
    <n v="-68237.832000000402"/>
    <n v="536196.67099999997"/>
    <n v="0"/>
    <n v="6758418.8750999998"/>
    <n v="4924028.6024820004"/>
    <n v="31.822176244662703"/>
    <n v="50"/>
    <n v="949733.58363300003"/>
    <n v="1133158.693836"/>
    <n v="1965489.9293819999"/>
    <n v="1854046.51813"/>
    <n v="742334.85999999987"/>
    <n v="2377891.5599999996"/>
    <n v="488222.63199999958"/>
    <n v="2377891.5599999996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  <n v="69.686723042599894"/>
  </r>
  <r>
    <s v="81"/>
    <s v="81000"/>
    <x v="1"/>
    <s v="ARAUCA"/>
    <x v="8"/>
    <s v="N/A"/>
    <x v="2"/>
    <n v="20967.723999999998"/>
    <n v="263634.24"/>
    <n v="360487.20799999998"/>
    <n v="57533.785000000003"/>
    <n v="5152.0559999999996"/>
    <n v="402008.83312100003"/>
    <n v="56488.056423999995"/>
    <n v="87867.019"/>
    <n v="37769.505000000005"/>
    <n v="0"/>
    <n v="-76600.185000000056"/>
    <n v="130674.322"/>
    <n v="0"/>
    <n v="1305639.7396416599"/>
    <n v="600434.91266186"/>
    <n v="72.41082937899364"/>
    <n v="70"/>
    <n v="34506.343055999998"/>
    <n v="51526.663135000003"/>
    <n v="352279.26472400001"/>
    <n v="316320.27284200001"/>
    <n v="284601.96399999998"/>
    <n v="360487.20799999998"/>
    <n v="54074.136999999944"/>
    <n v="360487.20799999998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  <n v="40.293189955343266"/>
  </r>
  <r>
    <s v="85"/>
    <s v="85000"/>
    <x v="1"/>
    <s v="CASANARE"/>
    <x v="9"/>
    <s v="N/A"/>
    <x v="2"/>
    <n v="21090.57"/>
    <n v="248698.57800000001"/>
    <n v="403300.58200000005"/>
    <n v="104427.276"/>
    <n v="8661.4120000000003"/>
    <n v="614568.4219800001"/>
    <n v="37498.904999999999"/>
    <n v="135810.65"/>
    <n v="56051.055999999997"/>
    <n v="0"/>
    <n v="-13041.184999999998"/>
    <n v="88023.207999999999"/>
    <n v="0"/>
    <n v="3041468.0490214801"/>
    <n v="580186.15381703002"/>
    <n v="65.909907839454078"/>
    <n v="70"/>
    <n v="72980.234796000004"/>
    <n v="112725.543488"/>
    <n v="337341.88578299998"/>
    <n v="317379.87992699997"/>
    <n v="269789.14799999999"/>
    <n v="403300.58200000005"/>
    <n v="74982.023000000001"/>
    <n v="403300.58200000005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  <n v="46.880264994213825"/>
  </r>
  <r>
    <s v="86"/>
    <s v="86000"/>
    <x v="1"/>
    <s v="PUTUMAYO"/>
    <x v="8"/>
    <s v="N/A"/>
    <x v="0"/>
    <n v="26011.460999999999"/>
    <n v="354674.83100000001"/>
    <n v="478436.40500000003"/>
    <n v="47513.984000000004"/>
    <n v="19523.545000000002"/>
    <n v="431104.806324"/>
    <n v="54875.114323999995"/>
    <n v="93481.967000000004"/>
    <n v="35210.130000000005"/>
    <n v="0"/>
    <n v="8901.4580000000424"/>
    <n v="55515.32"/>
    <n v="0"/>
    <n v="1561976.96025574"/>
    <n v="395230.20788305998"/>
    <n v="59.615741400164893"/>
    <n v="70"/>
    <n v="47819.821390999998"/>
    <n v="49349.334778999997"/>
    <n v="414744.27569799998"/>
    <n v="355105.912044"/>
    <n v="380686.29200000002"/>
    <n v="478436.40500000003"/>
    <n v="64416.778000000042"/>
    <n v="478436.40500000003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  <n v="53.809124642813828"/>
  </r>
  <r>
    <s v="88"/>
    <s v="88000"/>
    <x v="1"/>
    <s v="SAN ANDRES"/>
    <x v="9"/>
    <s v="N/A"/>
    <x v="3"/>
    <n v="119183.045"/>
    <n v="76595.913"/>
    <n v="498562.70899999997"/>
    <n v="49905.727999999996"/>
    <n v="138995.61499999999"/>
    <n v="199549.19900000002"/>
    <n v="10983.412"/>
    <n v="308084.38799999998"/>
    <n v="118795.01799999998"/>
    <n v="0"/>
    <n v="109724.13999999996"/>
    <n v="210539.201"/>
    <n v="0"/>
    <n v="1660618.82861182"/>
    <n v="344515.3892795"/>
    <n v="58.347152083063492"/>
    <n v="70"/>
    <n v="81126.589076999997"/>
    <n v="186678.763205"/>
    <n v="169323.41753999999"/>
    <n v="139618.61489999999"/>
    <n v="195778.95799999998"/>
    <n v="498562.70899999997"/>
    <n v="320263.34099999996"/>
    <n v="498562.70899999997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  <n v="45.630413474656187"/>
  </r>
  <r>
    <s v="91"/>
    <s v="91000"/>
    <x v="1"/>
    <s v="AMAZONAS"/>
    <x v="8"/>
    <s v="N/A"/>
    <x v="0"/>
    <n v="27288.614000000001"/>
    <n v="154378.50199999998"/>
    <n v="205065.06299999997"/>
    <n v="16150.599999999999"/>
    <n v="459.76100000000002"/>
    <n v="161164.54700000002"/>
    <n v="16823.567000000003"/>
    <n v="44758.040999999997"/>
    <n v="17344.657999999996"/>
    <n v="0"/>
    <n v="16487.132999999943"/>
    <n v="42643.307000000001"/>
    <n v="0"/>
    <n v="966283.35043999995"/>
    <n v="333122.25690400001"/>
    <n v="62.909249342439566"/>
    <n v="70"/>
    <n v="14519.956894000001"/>
    <n v="16228.395227000001"/>
    <n v="163554.07363999999"/>
    <n v="146848.42225800001"/>
    <n v="181667.11599999998"/>
    <n v="205065.06299999997"/>
    <n v="59130.439999999944"/>
    <n v="205065.06299999997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  <n v="40.962653269645386"/>
  </r>
  <r>
    <s v="94"/>
    <s v="94000"/>
    <x v="1"/>
    <s v="GUAINIA"/>
    <x v="8"/>
    <s v="N/A"/>
    <x v="2"/>
    <n v="27156.856"/>
    <n v="120511.557"/>
    <n v="204548.73100000003"/>
    <n v="24643.221000000001"/>
    <n v="677.125"/>
    <n v="247384.38265299998"/>
    <n v="105956.75165299998"/>
    <n v="52477.202000000005"/>
    <n v="33736.965000000004"/>
    <n v="0"/>
    <n v="11215.003000000055"/>
    <n v="52312.982000000004"/>
    <n v="0"/>
    <n v="934672.21466518997"/>
    <n v="206157.69083567002"/>
    <n v="54.610036395137115"/>
    <n v="70"/>
    <n v="13621.619476"/>
    <n v="37935.542221000003"/>
    <n v="174593.490785"/>
    <n v="128623.757178"/>
    <n v="147668.413"/>
    <n v="204548.73100000003"/>
    <n v="63527.985000000059"/>
    <n v="204548.73100000003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  <n v="56.60552922786259"/>
  </r>
  <r>
    <s v="95"/>
    <s v="95000"/>
    <x v="1"/>
    <s v="GUAVIARE"/>
    <x v="8"/>
    <s v="N/A"/>
    <x v="2"/>
    <n v="23331.414000000001"/>
    <n v="128022.166"/>
    <n v="206644.58199999999"/>
    <n v="43068.071000000004"/>
    <n v="1984.1770000000001"/>
    <n v="266111.998135"/>
    <n v="114691.26356600001"/>
    <n v="68853.489000000001"/>
    <n v="36969.695000000007"/>
    <n v="198.33600000000001"/>
    <n v="855.30300000001444"/>
    <n v="30232.170999999998"/>
    <n v="0"/>
    <n v="886694.05316799995"/>
    <n v="168959.14295400001"/>
    <n v="54.326511938009403"/>
    <n v="70"/>
    <n v="23061.394586999999"/>
    <n v="43223.486043999997"/>
    <n v="169707.49721100001"/>
    <n v="157725.149554"/>
    <n v="151353.57999999999"/>
    <n v="206644.58199999999"/>
    <n v="31285.810000000012"/>
    <n v="206644.58199999999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  <n v="63.933533767117517"/>
  </r>
  <r>
    <s v="97"/>
    <s v="97000"/>
    <x v="1"/>
    <s v="VAUPES"/>
    <x v="8"/>
    <s v="N/A"/>
    <x v="2"/>
    <n v="24110.710999999999"/>
    <n v="86838.692999999999"/>
    <n v="133145.973"/>
    <n v="10889.958999999999"/>
    <n v="397.72800000000001"/>
    <n v="160089.75407200001"/>
    <n v="60733.424072000002"/>
    <n v="35445.463999999993"/>
    <n v="19130.557999999994"/>
    <n v="0"/>
    <n v="6325.8349999999919"/>
    <n v="57574.599000000002"/>
    <n v="0"/>
    <n v="661217.96552553005"/>
    <n v="63687.943693000001"/>
    <n v="38.857004192895666"/>
    <n v="70"/>
    <n v="8885.189531"/>
    <n v="10940.901218999999"/>
    <n v="110527.195011"/>
    <n v="90385.050529"/>
    <n v="110949.40399999999"/>
    <n v="133145.973"/>
    <n v="63900.433999999994"/>
    <n v="133145.973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  <n v="59.076647655798382"/>
  </r>
  <r>
    <s v="99"/>
    <s v="99000"/>
    <x v="1"/>
    <s v="VICHADA"/>
    <x v="8"/>
    <s v="N/A"/>
    <x v="2"/>
    <n v="25553.024000000001"/>
    <n v="82785.123999999996"/>
    <n v="133068.20799999998"/>
    <n v="11517.588"/>
    <n v="264.56299999999999"/>
    <n v="123019.601"/>
    <n v="18589.568999999996"/>
    <n v="37393.707000000002"/>
    <n v="15817.618000000002"/>
    <n v="182.727"/>
    <n v="-11527.482000000018"/>
    <n v="32994.565999999999"/>
    <n v="0"/>
    <n v="669778.100293"/>
    <n v="138404.87291400001"/>
    <n v="38.146327061576649"/>
    <n v="70"/>
    <n v="11790.4"/>
    <n v="9787.6997850000007"/>
    <n v="128272.993307"/>
    <n v="108084.081314"/>
    <n v="108338.148"/>
    <n v="133068.20799999998"/>
    <n v="21649.81099999998"/>
    <n v="133068.20799999998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  <n v="53.010389526023644"/>
  </r>
  <r>
    <s v="08"/>
    <s v="08000"/>
    <x v="2"/>
    <s v="ATLANTICO"/>
    <x v="6"/>
    <s v="N/A"/>
    <x v="3"/>
    <n v="0"/>
    <n v="436053.82109300001"/>
    <n v="1569969.3571200001"/>
    <n v="674382.50961499999"/>
    <n v="281475.84954800003"/>
    <n v="1587461.3580779999"/>
    <n v="174765.79506099998"/>
    <n v="956923.96782000002"/>
    <n v="619105.97923100006"/>
    <n v="45443.775835"/>
    <n v="-275774.40520599973"/>
    <n v="171328.126903"/>
    <n v="0"/>
    <n v="4509474.4042680897"/>
    <n v="2246925.24756794"/>
    <n v="22.942732727074912"/>
    <n v="55"/>
    <n v="787464.88290600001"/>
    <n v="852385.35538700002"/>
    <n v="1516215.9453499999"/>
    <n v="1066531.8900599999"/>
    <n v="436053.82109300001"/>
    <n v="1569969.3571200001"/>
    <n v="-59002.50246799973"/>
    <n v="1569969.357120000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  <n v="74.95498647627592"/>
  </r>
  <r>
    <s v="25"/>
    <s v="25000"/>
    <x v="2"/>
    <s v="CUNDINAMARCA"/>
    <x v="5"/>
    <s v="N/A"/>
    <x v="4"/>
    <n v="0"/>
    <n v="932557.15288399998"/>
    <n v="3554823.9348729998"/>
    <n v="1886324.9334750001"/>
    <n v="412735.705029"/>
    <n v="3333551.2341559995"/>
    <n v="388088.14334499999"/>
    <n v="2300641.8180999998"/>
    <n v="1639205.5287129998"/>
    <n v="72263.593798999995"/>
    <n v="-241175.02810899913"/>
    <n v="535719.33379099995"/>
    <n v="0"/>
    <n v="8767231.2337890007"/>
    <n v="7103861.2916949997"/>
    <n v="37.607161452806075"/>
    <n v="50"/>
    <n v="1473252.7549999999"/>
    <n v="1987670.1935650001"/>
    <n v="3134562.6735950001"/>
    <n v="2847453.544646"/>
    <n v="932557.15288399998"/>
    <n v="3554823.9348729998"/>
    <n v="366807.89948100084"/>
    <n v="3554823.9348729998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  <n v="71.937321253336677"/>
  </r>
  <r>
    <s v="70"/>
    <s v="70000"/>
    <x v="2"/>
    <s v="SUCRE"/>
    <x v="9"/>
    <s v="N/A"/>
    <x v="3"/>
    <n v="0"/>
    <n v="578699.46367799991"/>
    <n v="836404.30041499983"/>
    <n v="179740.51947500001"/>
    <n v="22124.968696"/>
    <n v="852754.52582199802"/>
    <n v="90245.483850999008"/>
    <n v="202983.26746999999"/>
    <n v="121778.08097700099"/>
    <n v="989.45435099999997"/>
    <n v="-64426.588871997199"/>
    <n v="137942.13736399999"/>
    <n v="0"/>
    <n v="1687581.5856451401"/>
    <n v="530734.74416770006"/>
    <n v="67.202289898686956"/>
    <n v="70"/>
    <n v="147710.40189000001"/>
    <n v="198297.62028999999"/>
    <n v="819625.70279400004"/>
    <n v="723977.27041300002"/>
    <n v="578699.46367799991"/>
    <n v="836404.30041499983"/>
    <n v="74505.002843002789"/>
    <n v="836404.30041499983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  <n v="68.205988113636295"/>
  </r>
  <r>
    <s v="50"/>
    <s v="50000"/>
    <x v="2"/>
    <s v="META"/>
    <x v="6"/>
    <s v="N/A"/>
    <x v="2"/>
    <n v="0"/>
    <n v="334261.29108099994"/>
    <n v="887838.80665799999"/>
    <n v="343144.55385000003"/>
    <n v="74181.047659999997"/>
    <n v="1311318.878393"/>
    <n v="270626.08982200001"/>
    <n v="423718.60675600002"/>
    <n v="215778.92516700001"/>
    <n v="11816.891799999999"/>
    <n v="48355.966997999814"/>
    <n v="159898.13665299999"/>
    <n v="0"/>
    <n v="8494587.3280650005"/>
    <n v="1496413.0753279999"/>
    <n v="49.238283033106924"/>
    <n v="55"/>
    <n v="365070.73131800001"/>
    <n v="373735.98364400002"/>
    <n v="631543.15807100001"/>
    <n v="559950.97079499997"/>
    <n v="334261.29108099994"/>
    <n v="887838.80665799999"/>
    <n v="220070.99545099982"/>
    <n v="887838.80665799999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  <n v="68.178979803432441"/>
  </r>
  <r>
    <s v="41"/>
    <s v="41000"/>
    <x v="2"/>
    <s v="HUILA"/>
    <x v="9"/>
    <s v="N/A"/>
    <x v="0"/>
    <n v="0"/>
    <n v="507781.275456"/>
    <n v="976823.20924400003"/>
    <n v="238032.43295400002"/>
    <n v="88097.546258000002"/>
    <n v="1233499.3546889999"/>
    <n v="116305.50101200001"/>
    <n v="327937.27965100005"/>
    <n v="200718.07497700004"/>
    <n v="4205.7967879999997"/>
    <n v="-78714.245823999867"/>
    <n v="195074.210273"/>
    <n v="0"/>
    <n v="2757635.8548494903"/>
    <n v="1751644.9545177601"/>
    <n v="34.088093512006296"/>
    <n v="70"/>
    <n v="183859.87119400001"/>
    <n v="249688.620494"/>
    <n v="928318.25039399997"/>
    <n v="812275.49421399995"/>
    <n v="507781.275456"/>
    <n v="976823.20924400003"/>
    <n v="120565.76123700014"/>
    <n v="976823.20924400003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  <n v="66.233994741658975"/>
  </r>
  <r>
    <s v="95"/>
    <s v="95000"/>
    <x v="2"/>
    <s v="GUAVIARE"/>
    <x v="8"/>
    <s v="N/A"/>
    <x v="2"/>
    <n v="23778.164551999998"/>
    <n v="103654.92590699998"/>
    <n v="194500.26311499998"/>
    <n v="35465.942702999993"/>
    <n v="11120.251118"/>
    <n v="165641.42309099899"/>
    <n v="31883.586985999002"/>
    <n v="70825.566270999989"/>
    <n v="35187.807159999989"/>
    <n v="525.85563400000001"/>
    <n v="-6778.919086998998"/>
    <n v="30096.76583"/>
    <n v="0"/>
    <n v="901488.60103200004"/>
    <n v="178039.29000199999"/>
    <n v="60.639893279458732"/>
    <n v="70"/>
    <n v="22970.051909000002"/>
    <n v="45353.246717000002"/>
    <n v="160396.72309099999"/>
    <n v="138308.607128"/>
    <n v="127433.09045899998"/>
    <n v="194500.26311499998"/>
    <n v="23843.702377001002"/>
    <n v="194500.26311499998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  <n v="65.529454179559906"/>
  </r>
  <r>
    <s v="05"/>
    <s v="05000"/>
    <x v="2"/>
    <s v="ANTIOQUIA"/>
    <x v="5"/>
    <s v="N/A"/>
    <x v="1"/>
    <n v="0"/>
    <n v="1548440.09916"/>
    <n v="5044817.4379440006"/>
    <n v="1748023.1876289998"/>
    <n v="1073334.1986080001"/>
    <n v="4336505.9294499997"/>
    <n v="338868.67157100001"/>
    <n v="2830271.5466410001"/>
    <n v="1932154.2197449999"/>
    <n v="145779.73674800002"/>
    <n v="85443.807489001192"/>
    <n v="751371.76904399996"/>
    <n v="0"/>
    <n v="13310231.460189"/>
    <n v="11006822.922897"/>
    <n v="20.080040978787288"/>
    <n v="50"/>
    <n v="1578074.8615590001"/>
    <n v="1902217.9787039999"/>
    <n v="4061256.3035590001"/>
    <n v="3623869.2646300001"/>
    <n v="1548440.09916"/>
    <n v="5044817.4379440006"/>
    <n v="982595.31328100117"/>
    <n v="5044817.4379440006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  <n v="63.706604590308586"/>
  </r>
  <r>
    <s v="76"/>
    <s v="76000"/>
    <x v="2"/>
    <s v="VALLE DEL CAUCA"/>
    <x v="5"/>
    <s v="N/A"/>
    <x v="5"/>
    <n v="0"/>
    <n v="607911.49011899997"/>
    <n v="2528949.9947520001"/>
    <n v="1120858.497376"/>
    <n v="484888.11108800001"/>
    <n v="2229780.7643549996"/>
    <n v="129486.148631"/>
    <n v="1612146.048838"/>
    <n v="1094887.861699"/>
    <n v="37948.436702999999"/>
    <n v="-150809.02241099952"/>
    <n v="568427.16128799994"/>
    <n v="0"/>
    <n v="6785306.6824190002"/>
    <n v="4568818.632797"/>
    <n v="40.420415029428575"/>
    <n v="50"/>
    <n v="1069439.5"/>
    <n v="1226817.013057"/>
    <n v="2162500.8300239998"/>
    <n v="2030272.4232399999"/>
    <n v="607911.49011899997"/>
    <n v="2528949.9947520001"/>
    <n v="455566.57558000041"/>
    <n v="2528949.994752000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  <n v="63.477218735238715"/>
  </r>
  <r>
    <s v="20"/>
    <s v="20000"/>
    <x v="2"/>
    <s v="CESAR"/>
    <x v="7"/>
    <s v="N/A"/>
    <x v="3"/>
    <n v="0"/>
    <n v="519202.52956399997"/>
    <n v="946737.18176499999"/>
    <n v="170013.47431299998"/>
    <n v="70819.290700000012"/>
    <n v="1751244.4582660003"/>
    <n v="996764.08921400004"/>
    <n v="241917.769034"/>
    <n v="143783.93098499998"/>
    <n v="3796.4052120000001"/>
    <n v="-408934.31969799998"/>
    <n v="126984.75463700001"/>
    <n v="0"/>
    <n v="2975264.3782754801"/>
    <n v="829394.55267201003"/>
    <n v="49.719730816383318"/>
    <n v="60"/>
    <n v="143080.90915399999"/>
    <n v="193315.49919999999"/>
    <n v="1257537.6634140001"/>
    <n v="733714.02175800002"/>
    <n v="519202.52956399997"/>
    <n v="946737.18176499999"/>
    <n v="-278153.15984899993"/>
    <n v="946737.18176499999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  <n v="62.088111579544844"/>
  </r>
  <r>
    <s v="17"/>
    <s v="17000"/>
    <x v="2"/>
    <s v="CALDAS"/>
    <x v="7"/>
    <s v="N/A"/>
    <x v="1"/>
    <n v="0"/>
    <n v="411042.57998799998"/>
    <n v="840770.33165999991"/>
    <n v="291864.594942"/>
    <n v="39614.497010000006"/>
    <n v="856208.96290699998"/>
    <n v="217450.579401"/>
    <n v="334419.22224799998"/>
    <n v="177878.96398999999"/>
    <n v="8920.4882379999999"/>
    <n v="-58626.739406000124"/>
    <n v="146780.726933"/>
    <n v="0"/>
    <n v="3217779.8682479998"/>
    <n v="1939962.3559049999"/>
    <n v="38.682199811748838"/>
    <n v="60"/>
    <n v="247665.88659000001"/>
    <n v="314010.073493"/>
    <n v="742856.81280800002"/>
    <n v="674388.63773399999"/>
    <n v="411042.57998799998"/>
    <n v="840770.33165999991"/>
    <n v="97074.475764999865"/>
    <n v="840770.3316599999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  <n v="60.504718834772305"/>
  </r>
  <r>
    <s v="88"/>
    <s v="88000"/>
    <x v="2"/>
    <s v="SAN ANDRES"/>
    <x v="9"/>
    <s v="N/A"/>
    <x v="3"/>
    <n v="10788.5359555"/>
    <n v="57466.396444999991"/>
    <n v="463777.38031149999"/>
    <n v="60644.703705"/>
    <n v="164407.157534"/>
    <n v="351927.14605599997"/>
    <n v="32999.921353999998"/>
    <n v="236180.3030175"/>
    <n v="346.93882149999263"/>
    <n v="0"/>
    <n v="-123983.12994049996"/>
    <n v="269964.59620199999"/>
    <n v="0"/>
    <n v="1762665.56195439"/>
    <n v="351589.29261950002"/>
    <n v="59.097711895223938"/>
    <n v="70"/>
    <n v="223280.57226099999"/>
    <n v="224679.49359699999"/>
    <n v="351927.14605600003"/>
    <n v="262051.619469"/>
    <n v="68254.932400499994"/>
    <n v="463777.38031149999"/>
    <n v="145981.46626150003"/>
    <n v="463777.38031149999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  <n v="60.385471887348842"/>
  </r>
  <r>
    <s v="73"/>
    <s v="73000"/>
    <x v="2"/>
    <s v="TOLIMA"/>
    <x v="7"/>
    <s v="N/A"/>
    <x v="0"/>
    <n v="0"/>
    <n v="692882.27621199994"/>
    <n v="1261784.0906759999"/>
    <n v="304529.42197199998"/>
    <n v="110845.179078"/>
    <n v="1365956.461968"/>
    <n v="50407.260083000001"/>
    <n v="432779.78275499999"/>
    <n v="243293.95307600001"/>
    <n v="1782.348608"/>
    <n v="-110256.55744700017"/>
    <n v="106371.77722800001"/>
    <n v="0"/>
    <n v="2689599.459551"/>
    <n v="2074614.567062"/>
    <n v="30.614211433518435"/>
    <n v="60"/>
    <n v="303718.35700000002"/>
    <n v="341476.618074"/>
    <n v="1182554.8184440001"/>
    <n v="1018414.8408680001"/>
    <n v="692882.27621199994"/>
    <n v="1261784.0906759999"/>
    <n v="-2102.4316110001673"/>
    <n v="1261784.0906759999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  <n v="58.088143128065255"/>
  </r>
  <r>
    <s v="81"/>
    <s v="81000"/>
    <x v="2"/>
    <s v="ARAUCA"/>
    <x v="8"/>
    <s v="N/A"/>
    <x v="2"/>
    <n v="21414.164552000002"/>
    <n v="215129.86238300003"/>
    <n v="326175.23331700003"/>
    <n v="43860.944031999999"/>
    <n v="6798.347694"/>
    <n v="425840.12829900003"/>
    <n v="64948.269012000004"/>
    <n v="72823.034960999998"/>
    <n v="25493.615114709995"/>
    <n v="0"/>
    <n v="-14899.513952289999"/>
    <n v="62240.051906000001"/>
    <n v="0"/>
    <n v="1245328.5959431899"/>
    <n v="574021.31202359009"/>
    <n v="65.044221292995815"/>
    <n v="70"/>
    <n v="42368.197294999998"/>
    <n v="51054.691656000003"/>
    <n v="293745.32742300001"/>
    <n v="273357.917403"/>
    <n v="236544.02693500003"/>
    <n v="326175.23331700003"/>
    <n v="47340.537953710002"/>
    <n v="326175.23331700003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  <n v="57.300690480227615"/>
  </r>
  <r>
    <s v="54"/>
    <s v="54000"/>
    <x v="2"/>
    <s v="NORTE_DE_SANTANDER"/>
    <x v="7"/>
    <s v="N/A"/>
    <x v="4"/>
    <n v="0"/>
    <n v="574389.423022"/>
    <n v="1219852.4850320001"/>
    <n v="287270.10701000004"/>
    <n v="67425.084814000002"/>
    <n v="1138734.0118140001"/>
    <n v="27279.170419999999"/>
    <n v="356431.93287400005"/>
    <n v="206786.49425200006"/>
    <n v="10961.530954"/>
    <n v="-68526.9654039999"/>
    <n v="146827.785753"/>
    <n v="0"/>
    <n v="2526590.06709813"/>
    <n v="1607305.2774115899"/>
    <n v="47.268782012456519"/>
    <n v="60"/>
    <n v="245595.33630900001"/>
    <n v="317317.02929899999"/>
    <n v="1138734.0118140001"/>
    <n v="908178.66924700001"/>
    <n v="574389.423022"/>
    <n v="1219852.4850320001"/>
    <n v="89262.351303000105"/>
    <n v="1219852.485032000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  <n v="54.812290357739414"/>
  </r>
  <r>
    <s v="47"/>
    <s v="47000"/>
    <x v="2"/>
    <s v="MAGDALENA"/>
    <x v="9"/>
    <s v="N/A"/>
    <x v="3"/>
    <n v="0"/>
    <n v="689104.31501599995"/>
    <n v="1223324.3602209999"/>
    <n v="277499.74871899997"/>
    <n v="174340.826007"/>
    <n v="948841.02318099909"/>
    <n v="20858.243491999998"/>
    <n v="452777.67980399996"/>
    <n v="257576.32448299997"/>
    <n v="5193.8250440000002"/>
    <n v="79281.981719000731"/>
    <n v="281072.62861900002"/>
    <n v="0"/>
    <n v="2160031.4465727098"/>
    <n v="1023075.3640255901"/>
    <n v="44.81782840250181"/>
    <n v="70"/>
    <n v="368420.90929699998"/>
    <n v="438889.99632999999"/>
    <n v="948841.02318100003"/>
    <n v="872354.02603499999"/>
    <n v="689104.31501599995"/>
    <n v="1223324.3602209999"/>
    <n v="365548.43538200075"/>
    <n v="1223324.3602209999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  <n v="53.44153511269154"/>
  </r>
  <r>
    <s v="86"/>
    <s v="86000"/>
    <x v="2"/>
    <s v="PUTUMAYO"/>
    <x v="8"/>
    <s v="N/A"/>
    <x v="0"/>
    <n v="21414.164553999999"/>
    <n v="327927.172265"/>
    <n v="465998.71775100002"/>
    <n v="53482.48141"/>
    <n v="21122.064774000002"/>
    <n v="443877.21294199902"/>
    <n v="26680.269411000001"/>
    <n v="96829.871471000006"/>
    <n v="30663.860529000012"/>
    <n v="0"/>
    <n v="-44044.506132999028"/>
    <n v="87767.825695000007"/>
    <n v="0"/>
    <n v="1543856.76087306"/>
    <n v="521413.19074354996"/>
    <n v="65.178204088456809"/>
    <n v="70"/>
    <n v="48951.438408000002"/>
    <n v="58685.461440999999"/>
    <n v="443877.21294200001"/>
    <n v="387355.24359899998"/>
    <n v="349341.33681900002"/>
    <n v="465998.71775100002"/>
    <n v="43723.319562000979"/>
    <n v="465998.71775100002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  <n v="52.085488236309267"/>
  </r>
  <r>
    <s v="66"/>
    <s v="66000"/>
    <x v="2"/>
    <s v="RISARALDA"/>
    <x v="7"/>
    <s v="N/A"/>
    <x v="1"/>
    <n v="0"/>
    <n v="199020.24036300002"/>
    <n v="860399.06939900015"/>
    <n v="242057.36808500002"/>
    <n v="107499.11524800002"/>
    <n v="601440.35049500014"/>
    <n v="1855.853881"/>
    <n v="349895.58065100003"/>
    <n v="251838.82924000002"/>
    <n v="1620.61032"/>
    <n v="214440.68268600001"/>
    <n v="115694.27179699999"/>
    <n v="0"/>
    <n v="2736898.5714560002"/>
    <n v="1416198.8449800001"/>
    <n v="43.914829875049989"/>
    <n v="60"/>
    <n v="194681.85857899999"/>
    <n v="265178.13941800001"/>
    <n v="547901.63530199998"/>
    <n v="481051.01163199998"/>
    <n v="199020.24036300002"/>
    <n v="860399.06939900015"/>
    <n v="331755.56480300002"/>
    <n v="860399.06939900015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  <n v="51.656281202566419"/>
  </r>
  <r>
    <s v="27"/>
    <s v="27000"/>
    <x v="2"/>
    <s v="CHOCO"/>
    <x v="8"/>
    <s v="N/A"/>
    <x v="5"/>
    <n v="0"/>
    <n v="462717.73322699999"/>
    <n v="599708.56495799997"/>
    <n v="90826.660070999991"/>
    <n v="8648.926508999999"/>
    <n v="570590.54774499906"/>
    <n v="35283.378062999996"/>
    <n v="99475.586579999988"/>
    <n v="16888.301557999977"/>
    <n v="1577.5975880000001"/>
    <n v="3001.2558540009195"/>
    <n v="49060.770587999999"/>
    <n v="0"/>
    <n v="1945097.42928372"/>
    <n v="618986.08825091005"/>
    <n v="65.999982578873343"/>
    <n v="70"/>
    <n v="102074.364124"/>
    <n v="92668.206894000003"/>
    <n v="481463.59428999998"/>
    <n v="431747.94697200001"/>
    <n v="462717.73322699999"/>
    <n v="599708.56495799997"/>
    <n v="53639.624030000923"/>
    <n v="599708.56495799997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  <n v="51.491295448780598"/>
  </r>
  <r>
    <s v="68"/>
    <s v="68000"/>
    <x v="2"/>
    <s v="SANTANDER"/>
    <x v="6"/>
    <s v="N/A"/>
    <x v="4"/>
    <n v="0"/>
    <n v="695592.43047999998"/>
    <n v="1729681.4293709998"/>
    <n v="711150.01786499994"/>
    <n v="73389.315663000001"/>
    <n v="1703023.0995329989"/>
    <n v="159064.28687699902"/>
    <n v="785177.73752799991"/>
    <n v="374531.93435699993"/>
    <n v="16429.548910000001"/>
    <n v="-108580.74114799895"/>
    <n v="402482.58755400003"/>
    <n v="0"/>
    <n v="5145515.5677054394"/>
    <n v="4990902.4668351794"/>
    <n v="40.652017346596359"/>
    <n v="55"/>
    <n v="611108.64599999995"/>
    <n v="736211.01805800002"/>
    <n v="1427616.3673479999"/>
    <n v="1201680.943434"/>
    <n v="695592.43047999998"/>
    <n v="1729681.4293709998"/>
    <n v="310331.39531600109"/>
    <n v="1729681.4293709998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  <n v="51.349174625630468"/>
  </r>
  <r>
    <s v="44"/>
    <s v="44000"/>
    <x v="2"/>
    <s v="LA_GUAJIRA"/>
    <x v="8"/>
    <s v="N/A"/>
    <x v="3"/>
    <n v="0"/>
    <n v="357451.35559999995"/>
    <n v="547267.03744099999"/>
    <n v="144048.90871000002"/>
    <n v="6760.5772550000002"/>
    <n v="503049.57647600002"/>
    <n v="27701.972943000001"/>
    <n v="151254.14069700002"/>
    <n v="95950.82526800003"/>
    <n v="0"/>
    <n v="-11085.854463999975"/>
    <n v="111976.148084"/>
    <n v="0"/>
    <n v="1643700.5991958599"/>
    <n v="853006.44674622"/>
    <n v="39.097334235174152"/>
    <n v="70"/>
    <n v="78235.328703000006"/>
    <n v="147287.91797800001"/>
    <n v="503049.57647600002"/>
    <n v="454146.20763899997"/>
    <n v="357451.35559999995"/>
    <n v="547267.03744099999"/>
    <n v="100890.29362000003"/>
    <n v="547267.03744099999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  <n v="50.417031254064376"/>
  </r>
  <r>
    <s v="94"/>
    <s v="94000"/>
    <x v="2"/>
    <s v="GUAINIA"/>
    <x v="8"/>
    <s v="N/A"/>
    <x v="2"/>
    <n v="21203.164553999999"/>
    <n v="109508.94024699999"/>
    <n v="187148.714645"/>
    <n v="23696.350337"/>
    <n v="3070.645368"/>
    <n v="188624.65685500001"/>
    <n v="5342.921980000001"/>
    <n v="47970.160258999997"/>
    <n v="25710.889961000001"/>
    <n v="0"/>
    <n v="-23735.212507999997"/>
    <n v="65302.176076999996"/>
    <n v="0"/>
    <n v="1017379.44514829"/>
    <n v="204422.13386970002"/>
    <n v="50.678099567650357"/>
    <n v="70"/>
    <n v="19215.554644"/>
    <n v="26165.331584"/>
    <n v="188624.65685500001"/>
    <n v="137886.597962"/>
    <n v="130712.10480099999"/>
    <n v="187148.714645"/>
    <n v="41566.963569"/>
    <n v="187148.714645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  <n v="49.734335628775931"/>
  </r>
  <r>
    <s v="18"/>
    <s v="18000"/>
    <x v="2"/>
    <s v="CAQUETA"/>
    <x v="8"/>
    <s v="N/A"/>
    <x v="0"/>
    <n v="0"/>
    <n v="241838.70787399999"/>
    <n v="376888.02044300002"/>
    <n v="68850.132134999993"/>
    <n v="30077.805372999999"/>
    <n v="403866.28250199993"/>
    <n v="6458.7650410000006"/>
    <n v="100031.46369799999"/>
    <n v="43886.518732999997"/>
    <n v="302.708752"/>
    <n v="-28381.571984999871"/>
    <n v="80571.011507000003"/>
    <n v="0"/>
    <n v="1150234.685698"/>
    <n v="517183.89894400002"/>
    <n v="61.160171155204182"/>
    <n v="70"/>
    <n v="58162.722000000002"/>
    <n v="72456.518056000001"/>
    <n v="349124.64746299997"/>
    <n v="316055.321719"/>
    <n v="241838.70787399999"/>
    <n v="376888.02044300002"/>
    <n v="52492.14827400013"/>
    <n v="376888.02044300002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  <n v="49.601751666582217"/>
  </r>
  <r>
    <s v="97"/>
    <s v="97000"/>
    <x v="2"/>
    <s v="VAUPES"/>
    <x v="8"/>
    <s v="N/A"/>
    <x v="2"/>
    <n v="24448.164553999999"/>
    <n v="87975.558932"/>
    <n v="152298.114084"/>
    <n v="13674.786845000001"/>
    <n v="6242.9669690000001"/>
    <n v="151098.856246999"/>
    <n v="10863.183561999002"/>
    <n v="44438.794859000001"/>
    <n v="26944.791105000004"/>
    <n v="0"/>
    <n v="-16294.745916999003"/>
    <n v="74062.254142999998"/>
    <n v="0"/>
    <n v="683455.55801389995"/>
    <n v="68390.571605749996"/>
    <n v="39.780076251264006"/>
    <n v="70"/>
    <n v="11368.936368999999"/>
    <n v="17932.211865000001"/>
    <n v="151098.85624699999"/>
    <n v="123447.304775"/>
    <n v="112423.723486"/>
    <n v="152298.114084"/>
    <n v="57767.508226000995"/>
    <n v="152298.114084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  <n v="49.364132354043178"/>
  </r>
  <r>
    <s v="85"/>
    <s v="85000"/>
    <x v="2"/>
    <s v="CASANARE"/>
    <x v="9"/>
    <s v="N/A"/>
    <x v="2"/>
    <n v="21414.164553999999"/>
    <n v="204418.17079199999"/>
    <n v="456087.67351399997"/>
    <n v="135227.122049"/>
    <n v="29152.457986000001"/>
    <n v="878544.21789800003"/>
    <n v="0"/>
    <n v="187460.669887"/>
    <n v="103225.843999"/>
    <n v="0"/>
    <n v="-39510.302674999984"/>
    <n v="95431.227178999994"/>
    <n v="0"/>
    <n v="2916766.6471600602"/>
    <n v="570195.25089145999"/>
    <n v="68.72220498254265"/>
    <n v="70"/>
    <n v="92449.080071999997"/>
    <n v="163265.83620600001"/>
    <n v="411363.15030099999"/>
    <n v="350125.29098300001"/>
    <n v="225832.33534599998"/>
    <n v="456087.67351399997"/>
    <n v="55920.92450400001"/>
    <n v="456087.67351399997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  <n v="49.3250610886939"/>
  </r>
  <r>
    <s v="19"/>
    <s v="19000"/>
    <x v="2"/>
    <s v="CAUCA"/>
    <x v="9"/>
    <s v="N/A"/>
    <x v="5"/>
    <n v="0"/>
    <n v="1001504.451166"/>
    <n v="1402957.1760780001"/>
    <n v="148387.05001800001"/>
    <n v="114218.50507699999"/>
    <n v="1327799.3988300003"/>
    <n v="1027.1153749999999"/>
    <n v="263702.73362200003"/>
    <n v="146927.80170400103"/>
    <n v="1371.576468"/>
    <n v="73471.070431000786"/>
    <n v="275881.29616500001"/>
    <n v="0"/>
    <n v="3328135.1911249999"/>
    <n v="1384787.928692"/>
    <n v="46.114558996883325"/>
    <n v="70"/>
    <n v="122812.919532"/>
    <n v="161072.63925199999"/>
    <n v="1212711.1737289999"/>
    <n v="1178807.770673"/>
    <n v="1001504.451166"/>
    <n v="1402957.1760780001"/>
    <n v="350723.94306400081"/>
    <n v="1402957.176078000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  <n v="47.400745099247189"/>
  </r>
  <r>
    <s v="52"/>
    <s v="52000"/>
    <x v="2"/>
    <s v="NARIÑO"/>
    <x v="7"/>
    <s v="N/A"/>
    <x v="5"/>
    <n v="0"/>
    <n v="727175.85146699997"/>
    <n v="1296323.6730729998"/>
    <n v="246455.63723999998"/>
    <n v="104368.300821"/>
    <n v="1229271.0733440004"/>
    <n v="94211.542596999992"/>
    <n v="355292.26555099996"/>
    <n v="209258.19138999996"/>
    <n v="0"/>
    <n v="50733.014281999553"/>
    <n v="234199.52967600001"/>
    <n v="0"/>
    <n v="3465952.4058371698"/>
    <n v="2303160.62849788"/>
    <n v="35.566961271585733"/>
    <n v="60"/>
    <n v="133375.67124699999"/>
    <n v="176621.18709799999"/>
    <n v="1060841.818407"/>
    <n v="953878.26940500003"/>
    <n v="727175.85146699997"/>
    <n v="1296323.6730729998"/>
    <n v="284932.54395799956"/>
    <n v="1296323.6730729998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  <n v="46.585275202102721"/>
  </r>
  <r>
    <s v="15"/>
    <s v="15000"/>
    <x v="2"/>
    <s v="BOYACÁ"/>
    <x v="6"/>
    <s v="N/A"/>
    <x v="4"/>
    <n v="0"/>
    <n v="719740.04197200004"/>
    <n v="1291822.9808430001"/>
    <n v="403773.56935400009"/>
    <n v="38371.823922999996"/>
    <n v="1255995.2632489989"/>
    <n v="3259.221618"/>
    <n v="444596.07160800009"/>
    <n v="267347.62609500007"/>
    <n v="10637.919648999999"/>
    <n v="-11832.686692998977"/>
    <n v="262243.75168300001"/>
    <n v="0"/>
    <n v="4326882.6956350002"/>
    <n v="3072938.6689309999"/>
    <n v="34.899107685839823"/>
    <n v="55"/>
    <n v="346458.587"/>
    <n v="416971.42256699997"/>
    <n v="1126407.222023"/>
    <n v="992648.88413599995"/>
    <n v="719740.04197200004"/>
    <n v="1291822.9808430001"/>
    <n v="261048.98463900102"/>
    <n v="1291822.980843000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  <n v="44.625743579637593"/>
  </r>
  <r>
    <s v="23"/>
    <s v="23000"/>
    <x v="2"/>
    <s v="CORDOBA"/>
    <x v="7"/>
    <s v="N/A"/>
    <x v="3"/>
    <n v="0"/>
    <n v="908501.80338100006"/>
    <n v="1374879.8797130003"/>
    <n v="289200.84723499999"/>
    <n v="25375.170160999998"/>
    <n v="1485072.416281"/>
    <n v="204969.961954"/>
    <n v="314971.69619699998"/>
    <n v="123479.564908"/>
    <n v="10849.335374"/>
    <n v="-41712.905881999759"/>
    <n v="236668.94558"/>
    <n v="0"/>
    <n v="2987369.2097149198"/>
    <n v="2370908.1765469201"/>
    <n v="52.689214060559351"/>
    <n v="60"/>
    <n v="239593.62985900001"/>
    <n v="300173.98116000002"/>
    <n v="1225100.6543060001"/>
    <n v="1083150.0963920001"/>
    <n v="908501.80338100006"/>
    <n v="1374879.8797130003"/>
    <n v="205805.37507200026"/>
    <n v="1374879.8797130003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  <n v="43.063566456892623"/>
  </r>
  <r>
    <s v="91"/>
    <s v="91000"/>
    <x v="2"/>
    <s v="AMAZONAS"/>
    <x v="8"/>
    <s v="N/A"/>
    <x v="0"/>
    <n v="27484.375062999999"/>
    <n v="147377.69007300001"/>
    <n v="237060.88230500001"/>
    <n v="18643.743096999999"/>
    <n v="4467.7941929999997"/>
    <n v="211744.89240300001"/>
    <n v="0"/>
    <n v="50939.673945999995"/>
    <n v="20439.834503999999"/>
    <n v="0"/>
    <n v="-5183.8495399999956"/>
    <n v="62583.543255999997"/>
    <n v="0"/>
    <n v="1026020.419626"/>
    <n v="357726.83288100001"/>
    <n v="58.585303491843845"/>
    <n v="70"/>
    <n v="18079.069972000001"/>
    <n v="20048.682058999999"/>
    <n v="211744.89240300001"/>
    <n v="167261.16360599999"/>
    <n v="174862.06513599999"/>
    <n v="237060.88230500001"/>
    <n v="57399.693716000002"/>
    <n v="237060.8823050000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  <n v="42.011141900483068"/>
  </r>
  <r>
    <s v="13"/>
    <s v="13000"/>
    <x v="2"/>
    <s v="BOLIVAR"/>
    <x v="6"/>
    <s v="N/A"/>
    <x v="3"/>
    <n v="0"/>
    <n v="827847.98440900003"/>
    <n v="1651003.351267"/>
    <n v="382618.33313899999"/>
    <n v="139073.58487799999"/>
    <n v="1773408.3013679991"/>
    <n v="0"/>
    <n v="521691.91801699996"/>
    <n v="191103.50160199997"/>
    <n v="14769.883715"/>
    <n v="103732.41791800107"/>
    <n v="191626.57978599999"/>
    <n v="0"/>
    <n v="4312832.9145214604"/>
    <n v="2581812.4645820302"/>
    <n v="52.814365072053427"/>
    <n v="55"/>
    <n v="371834.696772"/>
    <n v="404405.57156100002"/>
    <n v="1221682.516934"/>
    <n v="1046056.8068350001"/>
    <n v="827847.98440900003"/>
    <n v="1651003.351267"/>
    <n v="310128.88141900103"/>
    <n v="1651003.351267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  <n v="41.829241910614492"/>
  </r>
  <r>
    <s v="99"/>
    <s v="99000"/>
    <x v="2"/>
    <s v="VICHADA"/>
    <x v="8"/>
    <s v="N/A"/>
    <x v="2"/>
    <n v="24145.021270000001"/>
    <n v="84870.922787999996"/>
    <n v="160606.444143"/>
    <n v="17212.860812999999"/>
    <n v="1934.698535"/>
    <n v="144619.84922099998"/>
    <n v="13.042388000000001"/>
    <n v="43418.356082999999"/>
    <n v="15302.119566199999"/>
    <n v="13.326851"/>
    <n v="-12129.641594799992"/>
    <n v="36466.284346"/>
    <n v="0"/>
    <n v="662768.51649099996"/>
    <n v="161440.65052299999"/>
    <n v="74.058560554216598"/>
    <n v="70"/>
    <n v="16175.418578999999"/>
    <n v="18038.871997999999"/>
    <n v="144619.84922100001"/>
    <n v="112813.766389"/>
    <n v="109015.94405799999"/>
    <n v="160606.444143"/>
    <n v="24349.969602200006"/>
    <n v="160606.444143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  <n v="41.649701610927316"/>
  </r>
  <r>
    <s v="63"/>
    <s v="63000"/>
    <x v="2"/>
    <s v="QUINDIO"/>
    <x v="9"/>
    <s v="N/A"/>
    <x v="1"/>
    <n v="0"/>
    <n v="176128.55166600001"/>
    <n v="429799.70546700002"/>
    <n v="138152.63939"/>
    <n v="53918.444669999997"/>
    <n v="251139.80498400002"/>
    <n v="2978.8376850000004"/>
    <n v="193296.32545400001"/>
    <n v="103249.04642100001"/>
    <n v="1995.192669"/>
    <n v="97216.158131000004"/>
    <n v="85627.558885999999"/>
    <n v="0"/>
    <n v="1368282.3056876899"/>
    <n v="823558.50605547999"/>
    <n v="79.777609051135855"/>
    <n v="70"/>
    <n v="119436.538155"/>
    <n v="147249.97887600001"/>
    <n v="242536.26830299999"/>
    <n v="230938.234486"/>
    <n v="176128.55166600001"/>
    <n v="429799.70546700002"/>
    <n v="184838.909686"/>
    <n v="429799.70546700002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  <n v="40.171050290088061"/>
  </r>
  <r>
    <s v="91"/>
    <s v="91000"/>
    <x v="3"/>
    <s v="AMAZONAS"/>
    <x v="8"/>
    <s v="N/A"/>
    <x v="0"/>
    <n v="34557.430219000002"/>
    <n v="168915.013336"/>
    <n v="245955.03864899999"/>
    <n v="16258.542930000001"/>
    <n v="4667.3536889999996"/>
    <n v="254174.61194199999"/>
    <n v="617.15029100000004"/>
    <n v="55775.180199000002"/>
    <n v="23766.996714000001"/>
    <n v="685.55854099999999"/>
    <n v="-40227.756777999981"/>
    <n v="56179.647369999999"/>
    <n v="7500"/>
    <n v="1105764.0715439999"/>
    <n v="359243.17229800002"/>
    <n v="51.589238217229607"/>
    <n v="70"/>
    <n v="21797.5"/>
    <n v="19306.410107"/>
    <n v="254174.61194199999"/>
    <n v="220409.96067500001"/>
    <n v="203472.44355500001"/>
    <n v="245955.03864899999"/>
    <n v="16637.449133000016"/>
    <n v="253455.03864899999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  <n v="51.952856310515187"/>
  </r>
  <r>
    <s v="05"/>
    <s v="05000"/>
    <x v="3"/>
    <s v="ANTIOQUIA"/>
    <x v="5"/>
    <s v="N/A"/>
    <x v="1"/>
    <n v="0"/>
    <n v="1708148.793023"/>
    <n v="5664596.7314109998"/>
    <n v="1966806.0016119999"/>
    <n v="1246195.7623409999"/>
    <n v="4564607.303692"/>
    <n v="254340.86568200003"/>
    <n v="3225182.6409119996"/>
    <n v="1980997.5266229997"/>
    <n v="262444.20826400002"/>
    <n v="-39182.918036999181"/>
    <n v="943595.33242700004"/>
    <n v="450647.795942"/>
    <n v="14361624.727996999"/>
    <n v="10956548.592325"/>
    <n v="27.189236154129446"/>
    <n v="50"/>
    <n v="1792060.7955149999"/>
    <n v="2180396.2604109999"/>
    <n v="4459594.5351590002"/>
    <n v="4227348.3222249998"/>
    <n v="1708148.793023"/>
    <n v="5664596.7314109998"/>
    <n v="1166856.6226540008"/>
    <n v="6115244.5273529999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  <n v="68.843584130551861"/>
  </r>
  <r>
    <s v="81"/>
    <s v="81000"/>
    <x v="3"/>
    <s v="ARAUCA"/>
    <x v="8"/>
    <s v="N/A"/>
    <x v="2"/>
    <n v="30109.057852999998"/>
    <n v="244620.76264100001"/>
    <n v="370058.700901"/>
    <n v="49513.888716999994"/>
    <n v="8792.1599659999993"/>
    <n v="333259.83750200004"/>
    <n v="18501.991699999999"/>
    <n v="89284.392137999996"/>
    <n v="37605.030095999995"/>
    <n v="0"/>
    <n v="-14880.498643000028"/>
    <n v="56672.337827000003"/>
    <n v="0"/>
    <n v="1290623.2658160001"/>
    <n v="677132.26076900004"/>
    <n v="64.187469361036165"/>
    <n v="70"/>
    <n v="49324.494471999998"/>
    <n v="58822.049183000003"/>
    <n v="333353.27889399999"/>
    <n v="311804.13501899998"/>
    <n v="274729.82049399999"/>
    <n v="370058.700901"/>
    <n v="41791.839183999975"/>
    <n v="370058.70090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  <n v="51.186608356161841"/>
  </r>
  <r>
    <s v="08"/>
    <s v="08000"/>
    <x v="3"/>
    <s v="ATLANTICO"/>
    <x v="6"/>
    <s v="N/A"/>
    <x v="3"/>
    <n v="0"/>
    <n v="481591.39182599995"/>
    <n v="1603683.2893439999"/>
    <n v="639026.43422399997"/>
    <n v="296363.20218499994"/>
    <n v="1607868.4976029999"/>
    <n v="25905.723109999999"/>
    <n v="936342.46884999995"/>
    <n v="555787.702819"/>
    <n v="113958.637302"/>
    <n v="-310647.51297100005"/>
    <n v="136837.24488700001"/>
    <n v="527712.31049599999"/>
    <n v="5003770.71215"/>
    <n v="2536165.0810890002"/>
    <n v="32.333513805782218"/>
    <n v="55"/>
    <n v="899465.62714"/>
    <n v="822926.98657199997"/>
    <n v="1549243.4210349999"/>
    <n v="1227197.63579"/>
    <n v="481591.39182599995"/>
    <n v="1603683.2893439999"/>
    <n v="-59851.630782000022"/>
    <n v="2131395.5998399998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  <n v="67.899974692601404"/>
  </r>
  <r>
    <s v="13"/>
    <s v="13000"/>
    <x v="3"/>
    <s v="BOLIVAR"/>
    <x v="6"/>
    <s v="N/A"/>
    <x v="3"/>
    <n v="0"/>
    <n v="913695.39040799998"/>
    <n v="1666732.3174399999"/>
    <n v="421059.49491000001"/>
    <n v="160789.46922299999"/>
    <n v="1622824.5231549998"/>
    <n v="961.45631100000003"/>
    <n v="581848.964133"/>
    <n v="216733.41467299999"/>
    <n v="51713.429916000001"/>
    <n v="-60513.404335999861"/>
    <n v="173209.12760599999"/>
    <n v="45000"/>
    <n v="3719552.3405789998"/>
    <n v="3258556.5031349999"/>
    <n v="61.617439621570469"/>
    <n v="55"/>
    <n v="474580.80184899998"/>
    <n v="450190.37723799999"/>
    <n v="1363635.791775"/>
    <n v="1181509.1197510001"/>
    <n v="913695.39040799998"/>
    <n v="1666732.3174399999"/>
    <n v="164409.15318600013"/>
    <n v="1711732.3174399999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  <n v="42.085960409147482"/>
  </r>
  <r>
    <s v="15"/>
    <s v="15000"/>
    <x v="3"/>
    <s v="BOYACÁ"/>
    <x v="6"/>
    <s v="N/A"/>
    <x v="4"/>
    <n v="0"/>
    <n v="792473.63756200008"/>
    <n v="1420268.732081"/>
    <n v="404855.47992299998"/>
    <n v="43990.007371"/>
    <n v="1417519.699948"/>
    <n v="10674.980749999999"/>
    <n v="451441.32001299999"/>
    <n v="253509.68873699996"/>
    <n v="16085.080384999999"/>
    <n v="-70528.433475000085"/>
    <n v="222701.51098799999"/>
    <n v="31671.411477000001"/>
    <n v="4782029.6766579999"/>
    <n v="2336981.9760139999"/>
    <n v="43.501004097567922"/>
    <n v="55"/>
    <n v="419333.21735200001"/>
    <n v="417105.59775900003"/>
    <n v="1292865.53428"/>
    <n v="1139800.6235430001"/>
    <n v="792473.63756200008"/>
    <n v="1420268.732081"/>
    <n v="168258.15789799992"/>
    <n v="1451940.143558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  <n v="57.261420293666461"/>
  </r>
  <r>
    <s v="17"/>
    <s v="17000"/>
    <x v="3"/>
    <s v="CALDAS"/>
    <x v="7"/>
    <s v="N/A"/>
    <x v="1"/>
    <n v="0"/>
    <n v="450286.99479899998"/>
    <n v="984962.23442300013"/>
    <n v="233923.67282499999"/>
    <n v="123832.357439"/>
    <n v="834837.01954600005"/>
    <n v="169075.44768500002"/>
    <n v="361659.43781600002"/>
    <n v="164886.484191"/>
    <n v="21753.611606999999"/>
    <n v="-6649.2221240000799"/>
    <n v="138264.37872099999"/>
    <n v="44237.847815000001"/>
    <n v="3529365.723183"/>
    <n v="2207580.019353"/>
    <n v="39.399462547470627"/>
    <n v="60"/>
    <n v="223151.64033600001"/>
    <n v="265962.122042"/>
    <n v="794838.50292200001"/>
    <n v="735214.10199999996"/>
    <n v="450286.99479899998"/>
    <n v="984962.23442300013"/>
    <n v="153368.76820399991"/>
    <n v="1029200.082238000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  <n v="61.555646180142674"/>
  </r>
  <r>
    <s v="18"/>
    <s v="18000"/>
    <x v="3"/>
    <s v="CAQUETA"/>
    <x v="8"/>
    <s v="N/A"/>
    <x v="0"/>
    <n v="0"/>
    <n v="268438.70236300002"/>
    <n v="417207.44781899999"/>
    <n v="77392.158637"/>
    <n v="27446.771142000001"/>
    <n v="393850.55815900001"/>
    <n v="3050.981683"/>
    <n v="105954.90638499999"/>
    <n v="38555.959730999995"/>
    <n v="841.21625500000005"/>
    <n v="-29150.735068000038"/>
    <n v="64940.249766000001"/>
    <n v="2500"/>
    <n v="1150291.720405"/>
    <n v="662833.46281499998"/>
    <n v="63.850091459608407"/>
    <n v="70"/>
    <n v="65088.055999999997"/>
    <n v="82206.178755999994"/>
    <n v="378959.236233"/>
    <n v="348813.037389"/>
    <n v="268438.70236300002"/>
    <n v="417207.44781899999"/>
    <n v="36630.730952999962"/>
    <n v="419707.44781899999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  <n v="48.971250622754766"/>
  </r>
  <r>
    <s v="85"/>
    <s v="85000"/>
    <x v="3"/>
    <s v="CASANARE"/>
    <x v="9"/>
    <s v="N/A"/>
    <x v="2"/>
    <n v="30109.057851999998"/>
    <n v="228911.26804300002"/>
    <n v="553078.37683600001"/>
    <n v="158427.985507"/>
    <n v="50541.451228000005"/>
    <n v="1096573.1743999999"/>
    <n v="0"/>
    <n v="240786.19702600001"/>
    <n v="135206.35305400001"/>
    <n v="0"/>
    <n v="-563.64433600008488"/>
    <n v="68535.564731000006"/>
    <n v="0"/>
    <n v="3392284.5204039998"/>
    <n v="669984.83466499997"/>
    <n v="57.852022612366049"/>
    <n v="70"/>
    <n v="121316.393381"/>
    <n v="207675.249453"/>
    <n v="448062.17719999998"/>
    <n v="400751.83343399997"/>
    <n v="259020.32589500002"/>
    <n v="553078.37683600001"/>
    <n v="67971.920394999921"/>
    <n v="553078.3768360000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  <n v="55.796764264571728"/>
  </r>
  <r>
    <s v="19"/>
    <s v="19000"/>
    <x v="3"/>
    <s v="CAUCA"/>
    <x v="9"/>
    <s v="N/A"/>
    <x v="5"/>
    <n v="0"/>
    <n v="1114309.8660890001"/>
    <n v="1539779.4888460003"/>
    <n v="148586.424994"/>
    <n v="119385.03152999999"/>
    <n v="1451083.9791770002"/>
    <n v="6274.7557669999997"/>
    <n v="269104.36723199999"/>
    <n v="129390.91616899997"/>
    <n v="3436.8677309999998"/>
    <n v="-6281.0528810000978"/>
    <n v="339729.42427900003"/>
    <n v="4634.6248189999997"/>
    <n v="3571240.4643020001"/>
    <n v="1337492.1441220001"/>
    <n v="48.266820190145872"/>
    <n v="70"/>
    <n v="156637.01415999999"/>
    <n v="163984.65431000001"/>
    <n v="1406347.090664"/>
    <n v="1310442.6065450001"/>
    <n v="1114309.8660890001"/>
    <n v="1539779.4888460003"/>
    <n v="336885.23912899994"/>
    <n v="1544414.1136650003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  <n v="49.134093336695301"/>
  </r>
  <r>
    <s v="20"/>
    <s v="20000"/>
    <x v="3"/>
    <s v="CESAR"/>
    <x v="7"/>
    <s v="N/A"/>
    <x v="3"/>
    <n v="0"/>
    <n v="568496.49386499997"/>
    <n v="1057632.6996209999"/>
    <n v="221033.41530599998"/>
    <n v="98338.136108000006"/>
    <n v="1803062.6119929999"/>
    <n v="961268.41009000002"/>
    <n v="320364.55025099998"/>
    <n v="202046.06509399999"/>
    <n v="10757.321447"/>
    <n v="-55264.31556300004"/>
    <n v="163743.40888100001"/>
    <n v="46398"/>
    <n v="4477617.1364430003"/>
    <n v="1242687.811797"/>
    <n v="51.788428483941516"/>
    <n v="60"/>
    <n v="204462.58078300001"/>
    <n v="264984.52338899998"/>
    <n v="994578.56992499996"/>
    <n v="846432.20963699999"/>
    <n v="568496.49386499997"/>
    <n v="1057632.6996209999"/>
    <n v="119236.41476499996"/>
    <n v="1104030.6996209999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  <n v="73.040468377285023"/>
  </r>
  <r>
    <s v="27"/>
    <s v="27000"/>
    <x v="3"/>
    <s v="CHOCO"/>
    <x v="9"/>
    <s v="N/A"/>
    <x v="5"/>
    <n v="0"/>
    <n v="518697.60873800004"/>
    <n v="656112.21831000003"/>
    <n v="100633.80316"/>
    <n v="9516.3565689999978"/>
    <n v="598844.99029499991"/>
    <n v="13348.375322999998"/>
    <n v="110150.15972899999"/>
    <n v="32795.823357000001"/>
    <n v="4120.9272810000002"/>
    <n v="-20087.108356999815"/>
    <n v="56057.526241"/>
    <n v="3999.9996259999998"/>
    <n v="2226540.3175889999"/>
    <n v="618554.82496899995"/>
    <n v="68.497339794911397"/>
    <n v="70"/>
    <n v="102019.77401199999"/>
    <n v="102596.66250000001"/>
    <n v="598844.99029500003"/>
    <n v="522746.90524599998"/>
    <n v="518697.60873800004"/>
    <n v="656112.21831000003"/>
    <n v="40091.345165000181"/>
    <n v="660112.21793599997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  <n v="49.309712977695945"/>
  </r>
  <r>
    <s v="23"/>
    <s v="23000"/>
    <x v="3"/>
    <s v="CORDOBA"/>
    <x v="6"/>
    <s v="N/A"/>
    <x v="3"/>
    <n v="0"/>
    <n v="978445.12108700001"/>
    <n v="1456149.1216790001"/>
    <n v="297648.30452199996"/>
    <n v="28289.356760999995"/>
    <n v="1477039.1428989999"/>
    <n v="168084.338192"/>
    <n v="327068.46887499996"/>
    <n v="96150.111237999954"/>
    <n v="21058.249906000001"/>
    <n v="-134771.30760299973"/>
    <n v="277637.59239300003"/>
    <n v="35966.985868000003"/>
    <n v="3474160.7841400001"/>
    <n v="2461583.4731490002"/>
    <n v="53.432429362089771"/>
    <n v="55"/>
    <n v="262658.07809199998"/>
    <n v="310692.86822800001"/>
    <n v="1360002.071645"/>
    <n v="1231526.206156"/>
    <n v="978445.12108700001"/>
    <n v="1456149.1216790001"/>
    <n v="163924.53469600028"/>
    <n v="1492116.107547000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  <n v="54.743139869469104"/>
  </r>
  <r>
    <s v="25"/>
    <s v="25000"/>
    <x v="3"/>
    <s v="CUNDINAMARCA"/>
    <x v="5"/>
    <s v="N/A"/>
    <x v="4"/>
    <n v="0"/>
    <n v="1030276.7389849999"/>
    <n v="3890273.0365129998"/>
    <n v="2021570.7743540001"/>
    <n v="483032.25101999997"/>
    <n v="3679655.6525650001"/>
    <n v="65209.160143000001"/>
    <n v="2506279.2171089998"/>
    <n v="1643874.4981379998"/>
    <n v="151873.143553"/>
    <n v="-537294.77478800062"/>
    <n v="637762.48821099999"/>
    <n v="302881.69056700001"/>
    <n v="9858466.470005"/>
    <n v="6064243.4129560003"/>
    <n v="38.317461322288672"/>
    <n v="50"/>
    <n v="1922463.3929999999"/>
    <n v="2170041.9152560001"/>
    <n v="3565163.0923299999"/>
    <n v="3441575.7587660002"/>
    <n v="1030276.7389849999"/>
    <n v="3890273.0365129998"/>
    <n v="252340.85697599937"/>
    <n v="4193154.7270799996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  <n v="70.577998418508969"/>
  </r>
  <r>
    <s v="94"/>
    <s v="94000"/>
    <x v="3"/>
    <s v="GUAINIA"/>
    <x v="8"/>
    <s v="N/A"/>
    <x v="2"/>
    <n v="32052.834347"/>
    <n v="121758.90069400001"/>
    <n v="229426.096036"/>
    <n v="32052.448767999998"/>
    <n v="10662.393081"/>
    <n v="211980.30491799998"/>
    <n v="21277.377533999999"/>
    <n v="74767.676196"/>
    <n v="49399.980131000004"/>
    <n v="0"/>
    <n v="2327.8700890000036"/>
    <n v="57423.3"/>
    <n v="0"/>
    <n v="1190668.2160080001"/>
    <n v="210115.538382"/>
    <n v="39.905063745860033"/>
    <n v="70"/>
    <n v="25305.142346000001"/>
    <n v="42181.569073999999"/>
    <n v="201730.529882"/>
    <n v="169284.409526"/>
    <n v="153811.73504100001"/>
    <n v="229426.096036"/>
    <n v="59751.170089000007"/>
    <n v="229426.096036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  <n v="60.192762500214521"/>
  </r>
  <r>
    <s v="44"/>
    <s v="44000"/>
    <x v="3"/>
    <s v="LA_GUAJIRA"/>
    <x v="8"/>
    <s v="N/A"/>
    <x v="3"/>
    <n v="0"/>
    <n v="432792.04677300004"/>
    <n v="659772.82426100003"/>
    <n v="149588.67584499999"/>
    <n v="6202.2442130000009"/>
    <n v="590639.87921599997"/>
    <n v="19963.567631999998"/>
    <n v="156183.56567099999"/>
    <n v="97733.370874999993"/>
    <n v="0"/>
    <n v="44708.357206999906"/>
    <n v="132664.319858"/>
    <n v="0"/>
    <n v="1843736.4700579999"/>
    <n v="970017.64069699997"/>
    <n v="54.858545092602739"/>
    <n v="70"/>
    <n v="169936.40880400001"/>
    <n v="151841.199964"/>
    <n v="556614.27225799998"/>
    <n v="506383.101104"/>
    <n v="432792.04677300004"/>
    <n v="659772.82426100003"/>
    <n v="177372.67706499991"/>
    <n v="659772.82426100003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  <n v="51.289648405266874"/>
  </r>
  <r>
    <s v="95"/>
    <s v="95000"/>
    <x v="3"/>
    <s v="GUAVIARE"/>
    <x v="8"/>
    <s v="N/A"/>
    <x v="2"/>
    <n v="30109.057851999998"/>
    <n v="115904.68685700002"/>
    <n v="213747.46528800001"/>
    <n v="39885.399039999997"/>
    <n v="12972.119031999999"/>
    <n v="199091.13940800002"/>
    <n v="30446.000562999998"/>
    <n v="83555.023097999991"/>
    <n v="27939.247814999981"/>
    <n v="2023.8711129999999"/>
    <n v="-14336.350742000039"/>
    <n v="36566.169228999999"/>
    <n v="10336.739"/>
    <n v="1033793.912004"/>
    <n v="239034.512476"/>
    <n v="76.223272471524439"/>
    <n v="70"/>
    <n v="29629.268241000002"/>
    <n v="51606.82518"/>
    <n v="173275.300621"/>
    <n v="151020.09189499999"/>
    <n v="146013.74470900002"/>
    <n v="213747.46528800001"/>
    <n v="24253.689599999962"/>
    <n v="224084.2042880000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  <n v="54.703989321379105"/>
  </r>
  <r>
    <s v="41"/>
    <s v="41000"/>
    <x v="3"/>
    <s v="HUILA"/>
    <x v="7"/>
    <s v="N/A"/>
    <x v="0"/>
    <n v="0"/>
    <n v="552386.17730700003"/>
    <n v="1072217.7698230001"/>
    <n v="242796.02807599999"/>
    <n v="99937.971677999987"/>
    <n v="1392260.4980540001"/>
    <n v="137666.498433"/>
    <n v="345242.59515000001"/>
    <n v="152099.53471400001"/>
    <n v="8785"/>
    <n v="-146184.68955200003"/>
    <n v="159765.89663599999"/>
    <n v="39664.536824000003"/>
    <n v="2592812.929238"/>
    <n v="1665205.7061040001"/>
    <n v="43.901676421073141"/>
    <n v="60"/>
    <n v="259314.56281599999"/>
    <n v="263296.37923600001"/>
    <n v="1025259.398939"/>
    <n v="896200.36975800002"/>
    <n v="552386.17730700003"/>
    <n v="1072217.7698230001"/>
    <n v="22366.207083999965"/>
    <n v="1111882.306647000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  <n v="59.115468161383646"/>
  </r>
  <r>
    <s v="47"/>
    <s v="47000"/>
    <x v="3"/>
    <s v="MAGDALENA"/>
    <x v="7"/>
    <s v="N/A"/>
    <x v="3"/>
    <n v="0"/>
    <n v="769770.56024000002"/>
    <n v="1403563.094885"/>
    <n v="315338.45581700001"/>
    <n v="191139.329726"/>
    <n v="1290305.846896"/>
    <n v="139782.42813699998"/>
    <n v="508133.867264"/>
    <n v="260088.06254700001"/>
    <n v="11948.434433"/>
    <n v="-48598.716215000022"/>
    <n v="370610.926783"/>
    <n v="52000"/>
    <n v="2540860.1916809999"/>
    <n v="1148459.874636"/>
    <n v="56.190341891655848"/>
    <n v="60"/>
    <n v="467800.92988399998"/>
    <n v="491807.41420699999"/>
    <n v="1204116.0063829999"/>
    <n v="951819.28443999996"/>
    <n v="769770.56024000002"/>
    <n v="1403563.094885"/>
    <n v="333960.64500099997"/>
    <n v="1455563.094885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  <n v="47.286319359308919"/>
  </r>
  <r>
    <s v="50"/>
    <s v="50000"/>
    <x v="3"/>
    <s v="META"/>
    <x v="6"/>
    <s v="N/A"/>
    <x v="2"/>
    <n v="0"/>
    <n v="367742.22785100003"/>
    <n v="1003491.107913"/>
    <n v="392754.42291100003"/>
    <n v="83630.413635999997"/>
    <n v="1036143.394596"/>
    <n v="1690.0210619999998"/>
    <n v="478357.34229000006"/>
    <n v="238175.20581000004"/>
    <n v="20531.735135999999"/>
    <n v="14013.970280000125"/>
    <n v="214831.07516099999"/>
    <n v="9589.5893020000003"/>
    <n v="9281976.9695849996"/>
    <n v="1517473.794581"/>
    <n v="47.133611605767292"/>
    <n v="55"/>
    <n v="396975.78305000003"/>
    <n v="428118.18178099999"/>
    <n v="749295.00115300005"/>
    <n v="699508.50942400005"/>
    <n v="367742.22785100003"/>
    <n v="1003491.107913"/>
    <n v="249376.78057700011"/>
    <n v="1013080.697215000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  <n v="57.850808436658269"/>
  </r>
  <r>
    <s v="52"/>
    <s v="52000"/>
    <x v="3"/>
    <s v="NARIÑO"/>
    <x v="6"/>
    <s v="N/A"/>
    <x v="5"/>
    <n v="0"/>
    <n v="838042.98374599998"/>
    <n v="1418053.782226"/>
    <n v="262920.875451"/>
    <n v="112400.97011699998"/>
    <n v="1318807.2755100003"/>
    <n v="68129.740449000004"/>
    <n v="380352.763034"/>
    <n v="201675.24735200001"/>
    <n v="0"/>
    <n v="-24226.290997000178"/>
    <n v="307094.85618599999"/>
    <n v="0"/>
    <n v="3663680.8840509998"/>
    <n v="1839751.5539210001"/>
    <n v="40.974796783731129"/>
    <n v="55"/>
    <n v="169458.29485100001"/>
    <n v="241042.38814699999"/>
    <n v="1263602.557541"/>
    <n v="1058052.3178630001"/>
    <n v="838042.98374599998"/>
    <n v="1418053.782226"/>
    <n v="282868.56518899981"/>
    <n v="1418053.782226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  <n v="54.568742123437204"/>
  </r>
  <r>
    <s v="54"/>
    <s v="54000"/>
    <x v="3"/>
    <s v="NORTE DE SANTANDER"/>
    <x v="7"/>
    <s v="N/A"/>
    <x v="4"/>
    <n v="0"/>
    <n v="657569.02635299996"/>
    <n v="1264450.177254"/>
    <n v="359782.37497800001"/>
    <n v="114017.61197199998"/>
    <n v="1278002.1065479999"/>
    <n v="19148.126222999999"/>
    <n v="475945.67609299999"/>
    <n v="267853.75635199994"/>
    <n v="28984.038911"/>
    <n v="-220493.13948399993"/>
    <n v="304822.466954"/>
    <n v="35000"/>
    <n v="2737803.3007220002"/>
    <n v="1531063.4872610001"/>
    <n v="47.293900337534566"/>
    <n v="60"/>
    <n v="316082.59749900002"/>
    <n v="406252.47766799998"/>
    <n v="1276851.3969970001"/>
    <n v="1039302.6069660001"/>
    <n v="657569.02635299996"/>
    <n v="1264450.177254"/>
    <n v="113313.36638100009"/>
    <n v="1299450.177254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  <n v="58.138669449431433"/>
  </r>
  <r>
    <s v="86"/>
    <s v="86000"/>
    <x v="3"/>
    <s v="PUTUMAYO"/>
    <x v="8"/>
    <s v="N/A"/>
    <x v="0"/>
    <n v="30109.057853999999"/>
    <n v="361245.93584399996"/>
    <n v="532641.1586529999"/>
    <n v="59075.089930999995"/>
    <n v="28024.984209999991"/>
    <n v="496786.292197"/>
    <n v="53313.271164999998"/>
    <n v="117813.18519299998"/>
    <n v="41798.974231999979"/>
    <n v="757.12473299999999"/>
    <n v="-40159.344505000161"/>
    <n v="71100.773107000001"/>
    <n v="0"/>
    <n v="1589336.115431"/>
    <n v="432224.62767199997"/>
    <n v="64.818630015215476"/>
    <n v="70"/>
    <n v="52924.317827999999"/>
    <n v="68250.256492999993"/>
    <n v="496786.292197"/>
    <n v="437892.78838500002"/>
    <n v="391354.99369799998"/>
    <n v="532641.1586529999"/>
    <n v="31698.553334999837"/>
    <n v="532641.1586529999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  <n v="61.018549629217262"/>
  </r>
  <r>
    <s v="63"/>
    <s v="63000"/>
    <x v="3"/>
    <s v="QUINDIO"/>
    <x v="9"/>
    <s v="N/A"/>
    <x v="1"/>
    <n v="0"/>
    <n v="192184.54999000003"/>
    <n v="476193.105568"/>
    <n v="174488.99472399999"/>
    <n v="63919.002297999985"/>
    <n v="414232.60491700005"/>
    <n v="6599.0570420000004"/>
    <n v="245155.94325699998"/>
    <n v="122746.74656199997"/>
    <n v="2864.5663129999998"/>
    <n v="-47320.299210000027"/>
    <n v="96895.836473000003"/>
    <n v="14841"/>
    <n v="1478197.7244180001"/>
    <n v="875866.68843600003"/>
    <n v="70.70008694576758"/>
    <n v="70"/>
    <n v="157728.98678000001"/>
    <n v="191371.76823799999"/>
    <n v="399373.20808299998"/>
    <n v="367906.08167500002"/>
    <n v="192184.54999000003"/>
    <n v="476193.105568"/>
    <n v="52440.10357599998"/>
    <n v="491034.105568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  <n v="49.997613010596091"/>
  </r>
  <r>
    <s v="66"/>
    <s v="66000"/>
    <x v="3"/>
    <s v="RISARALDA"/>
    <x v="7"/>
    <s v="N/A"/>
    <x v="1"/>
    <n v="0"/>
    <n v="225678.87617500001"/>
    <n v="751998.12486500002"/>
    <n v="266481.76376399997"/>
    <n v="117822.26447500002"/>
    <n v="657700.67057800002"/>
    <n v="7661.1679019999992"/>
    <n v="384683.95663000003"/>
    <n v="243460.19305200002"/>
    <n v="2125.2653949999999"/>
    <n v="-44206.707900000038"/>
    <n v="342417.71611699997"/>
    <n v="12540.445141"/>
    <n v="2928379.5990399998"/>
    <n v="1362417.347688"/>
    <n v="59.191628274728544"/>
    <n v="60"/>
    <n v="259071.10682399999"/>
    <n v="298277.47541200003"/>
    <n v="654981.06918700004"/>
    <n v="609097.87561800005"/>
    <n v="225678.87617500001"/>
    <n v="751998.12486500002"/>
    <n v="300336.27361199993"/>
    <n v="764538.57000599999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  <n v="46.727185051941774"/>
  </r>
  <r>
    <s v="88"/>
    <s v="88000"/>
    <x v="3"/>
    <s v="SAN ANDRES"/>
    <x v="9"/>
    <s v="N/A"/>
    <x v="3"/>
    <n v="59527.163401999998"/>
    <n v="63826.354435000001"/>
    <n v="471556.57726699999"/>
    <n v="60685.420497999999"/>
    <n v="102286.42011799999"/>
    <n v="272635.160172"/>
    <n v="61789.106067000001"/>
    <n v="222983.817882"/>
    <n v="-18194.058334000001"/>
    <n v="0"/>
    <n v="-42256.459121000022"/>
    <n v="93363.497713999997"/>
    <n v="0"/>
    <n v="1885018.8876"/>
    <n v="358866.16067999997"/>
    <n v="83.494438600324543"/>
    <n v="70"/>
    <n v="233789.5"/>
    <n v="162889.64419299999"/>
    <n v="272635.160172"/>
    <n v="248155.70200700001"/>
    <n v="123353.51783699999"/>
    <n v="471556.57726699999"/>
    <n v="51107.038592999976"/>
    <n v="471556.57726699999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  <n v="61.035211188085682"/>
  </r>
  <r>
    <s v="68"/>
    <s v="68000"/>
    <x v="3"/>
    <s v="SANTANDER"/>
    <x v="6"/>
    <s v="N/A"/>
    <x v="4"/>
    <n v="0"/>
    <n v="760865.00191399991"/>
    <n v="1880718.7261239998"/>
    <n v="758862.68155999994"/>
    <n v="89511.249306000012"/>
    <n v="1755374.0170819999"/>
    <n v="224636.59049900001"/>
    <n v="851049.97987899999"/>
    <n v="357382.97740999999"/>
    <n v="39885.072628000002"/>
    <n v="-92915.5612420002"/>
    <n v="423910.55848800001"/>
    <n v="0"/>
    <n v="6204947.1158199999"/>
    <n v="5118431.6710839998"/>
    <n v="55.327929440342459"/>
    <n v="55"/>
    <n v="747914.07731199998"/>
    <n v="799197.89053800004"/>
    <n v="1479967.2848970001"/>
    <n v="1280178.212299"/>
    <n v="760865.00191399991"/>
    <n v="1880718.7261239998"/>
    <n v="370880.0698739998"/>
    <n v="1880718.7261239998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  <n v="54.728703106808155"/>
  </r>
  <r>
    <s v="70"/>
    <s v="70000"/>
    <x v="3"/>
    <s v="SUCRE"/>
    <x v="9"/>
    <s v="N/A"/>
    <x v="3"/>
    <n v="0"/>
    <n v="622135.80472399993"/>
    <n v="874096.66727399989"/>
    <n v="193730.11619000003"/>
    <n v="25296.859053"/>
    <n v="1001046.6668789999"/>
    <n v="171697.10267699999"/>
    <n v="220152.42357800002"/>
    <n v="124817.00716700002"/>
    <n v="4364.0891140000003"/>
    <n v="-146021.2798919999"/>
    <n v="148676.87523400001"/>
    <n v="29741.495198000001"/>
    <n v="1827951.2538069999"/>
    <n v="643440.89253099996"/>
    <n v="68.509472017601155"/>
    <n v="70"/>
    <n v="161093.271656"/>
    <n v="215601.21788499999"/>
    <n v="924782.53075499996"/>
    <n v="831177.22487000003"/>
    <n v="622135.80472399993"/>
    <n v="874096.66727399989"/>
    <n v="7019.6844560001045"/>
    <n v="903838.16247199988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  <n v="67.505629872697114"/>
  </r>
  <r>
    <s v="73"/>
    <s v="73000"/>
    <x v="3"/>
    <s v="TOLIMA"/>
    <x v="7"/>
    <s v="N/A"/>
    <x v="0"/>
    <n v="0"/>
    <n v="781651.69561299996"/>
    <n v="1398515.6663210001"/>
    <n v="323801.35674800002"/>
    <n v="109464.46976399996"/>
    <n v="1309026.6474750002"/>
    <n v="38356.491267999998"/>
    <n v="449397.64377299999"/>
    <n v="163486.732953"/>
    <n v="11022.610366999999"/>
    <n v="-108118.2007360002"/>
    <n v="111357.31282399999"/>
    <n v="0"/>
    <n v="2903897.1383859999"/>
    <n v="2409190.2070439998"/>
    <n v="45.23033447574992"/>
    <n v="60"/>
    <n v="365408.52856300003"/>
    <n v="368856.357862"/>
    <n v="1220722.9562369999"/>
    <n v="1089822.754153"/>
    <n v="781651.69561299996"/>
    <n v="1398515.6663210001"/>
    <n v="14261.722454999792"/>
    <n v="1398515.666321000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  <n v="53.32915750967652"/>
  </r>
  <r>
    <s v="76"/>
    <s v="76000"/>
    <x v="3"/>
    <s v="VALLE DEL CAUCA"/>
    <x v="5"/>
    <s v="N/A"/>
    <x v="5"/>
    <n v="0"/>
    <n v="666471.29688000004"/>
    <n v="2927856.9061650001"/>
    <n v="1255262.0270110001"/>
    <n v="536532.74213900021"/>
    <n v="2861466.0987970005"/>
    <n v="131006.24646900001"/>
    <n v="1799060.1740150002"/>
    <n v="1145701.8042320004"/>
    <n v="83466.884858000005"/>
    <n v="-456089.08877800032"/>
    <n v="656796.71949699998"/>
    <n v="282700"/>
    <n v="7642654.332711"/>
    <n v="5487223.3509569997"/>
    <n v="41.506255663648851"/>
    <n v="50"/>
    <n v="1337333.3999999999"/>
    <n v="1401963.2016739999"/>
    <n v="2735442.0966579998"/>
    <n v="2473164.8479860001"/>
    <n v="666471.29688000004"/>
    <n v="2927856.9061650001"/>
    <n v="284174.51557699963"/>
    <n v="3210556.906165000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  <n v="72.901944189514623"/>
  </r>
  <r>
    <s v="97"/>
    <s v="97000"/>
    <x v="3"/>
    <s v="VAUPES"/>
    <x v="8"/>
    <s v="N/A"/>
    <x v="2"/>
    <n v="33878.025674000004"/>
    <n v="93061.367834999997"/>
    <n v="171401.18383600001"/>
    <n v="16325.403121000001"/>
    <n v="6869.1605740000005"/>
    <n v="143151.347431"/>
    <n v="3685.1894430000002"/>
    <n v="57169.944511000009"/>
    <n v="37849.19728800001"/>
    <n v="0"/>
    <n v="8929.0891819999961"/>
    <n v="71354.469631999993"/>
    <n v="0"/>
    <n v="795563.97648800001"/>
    <n v="82848.783683999995"/>
    <n v="31.699567882771845"/>
    <n v="70"/>
    <n v="13923.240895000001"/>
    <n v="20907.741061000001"/>
    <n v="143151.347431"/>
    <n v="127383.235881"/>
    <n v="126939.393509"/>
    <n v="171401.18383600001"/>
    <n v="80283.558813999989"/>
    <n v="171401.1838360000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  <n v="49.247659183115147"/>
  </r>
  <r>
    <s v="99"/>
    <s v="99000"/>
    <x v="3"/>
    <s v="VICHADA"/>
    <x v="8"/>
    <s v="N/A"/>
    <x v="2"/>
    <n v="31815.996584"/>
    <n v="92002.330484000006"/>
    <n v="186330.676661"/>
    <n v="25586.605261999997"/>
    <n v="3279.0660430000003"/>
    <n v="336885.50049100001"/>
    <n v="11241.129569000001"/>
    <n v="60736.314959999996"/>
    <n v="26145.160438999999"/>
    <n v="0"/>
    <n v="-19452.488021999976"/>
    <n v="42707.098946999999"/>
    <n v="0"/>
    <n v="777997.68094999995"/>
    <n v="142866.19673"/>
    <n v="60.751441670887942"/>
    <n v="70"/>
    <n v="18779.037500999999"/>
    <n v="28606.393351999999"/>
    <n v="171192.01016199999"/>
    <n v="144835.52415899999"/>
    <n v="123818.32706800001"/>
    <n v="186330.676661"/>
    <n v="23254.610925000023"/>
    <n v="186330.67666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  <n v="49.265135076260194"/>
  </r>
  <r>
    <s v="85"/>
    <s v="85000"/>
    <x v="4"/>
    <s v="CASANARE"/>
    <x v="9"/>
    <n v="2"/>
    <x v="2"/>
    <n v="38395.44728"/>
    <n v="308281.44166700001"/>
    <n v="660627.00222100003"/>
    <n v="156752.284017"/>
    <n v="33766.266918000001"/>
    <n v="1585364.5364659999"/>
    <n v="763817.85988799995"/>
    <n v="231171.32487400001"/>
    <n v="124862.96584200002"/>
    <n v="0"/>
    <n v="23172.669216000126"/>
    <n v="77702.277233999994"/>
    <n v="0"/>
    <n v="3349108.0104901399"/>
    <n v="760401.17518092005"/>
    <n v="58.857956198107821"/>
    <n v="70"/>
    <n v="132141.89499299999"/>
    <n v="190518.55093500001"/>
    <n v="531145.97397299996"/>
    <n v="483908.63408400002"/>
    <n v="346676.88894700003"/>
    <n v="660627.00222100003"/>
    <n v="100874.94645000012"/>
    <n v="660627.00222100003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  <n v="70.904287562117048"/>
  </r>
  <r>
    <s v="20"/>
    <s v="20000"/>
    <x v="4"/>
    <s v="CESAR"/>
    <x v="7"/>
    <n v="1"/>
    <x v="3"/>
    <n v="0"/>
    <n v="733540.14494499995"/>
    <n v="1194410.662451"/>
    <n v="197634.02874699997"/>
    <n v="95108.676294000004"/>
    <n v="2247293.306084"/>
    <n v="1170419.7787840001"/>
    <n v="293817.31616699998"/>
    <n v="155223.90327099996"/>
    <n v="16430.388867999998"/>
    <n v="-140064.48679900006"/>
    <n v="264839.138033"/>
    <n v="0"/>
    <n v="4488299.4582816102"/>
    <n v="1128571.06672379"/>
    <n v="56.859487648151962"/>
    <n v="60"/>
    <n v="252189.04891300001"/>
    <n v="292742.70504099998"/>
    <n v="1195881.7363539999"/>
    <n v="981801.93388599996"/>
    <n v="733540.14494499995"/>
    <n v="1194410.662451"/>
    <n v="141205.04010199994"/>
    <n v="1194410.662451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  <n v="68.748150787999663"/>
  </r>
  <r>
    <s v="08"/>
    <s v="08000"/>
    <x v="4"/>
    <s v="ATLANTICO"/>
    <x v="6"/>
    <n v="1"/>
    <x v="3"/>
    <n v="0"/>
    <n v="613214.49442399992"/>
    <n v="1792448.22015"/>
    <n v="648804.75106299995"/>
    <n v="312951.84524999995"/>
    <n v="1508455.6662699997"/>
    <n v="80998.806712999998"/>
    <n v="963048.00407799997"/>
    <n v="700025.650884"/>
    <n v="249.866985"/>
    <n v="107792.87727400032"/>
    <n v="156154.243514"/>
    <n v="146588.59011799999"/>
    <n v="5939780.0461517097"/>
    <n v="3685234.1660671402"/>
    <n v="36.7992801202994"/>
    <n v="55"/>
    <n v="1033190.3746569999"/>
    <n v="961756.59631299996"/>
    <n v="1421632.9896819997"/>
    <n v="1108603.8555920001"/>
    <n v="613214.49442399992"/>
    <n v="1792448.22015"/>
    <n v="264196.98777300026"/>
    <n v="1939036.810268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  <n v="61.84893636683325"/>
  </r>
  <r>
    <s v="41"/>
    <s v="41000"/>
    <x v="4"/>
    <s v="HUILA"/>
    <x v="7"/>
    <n v="1"/>
    <x v="0"/>
    <n v="0"/>
    <n v="726090.31134199991"/>
    <n v="1261111.410192"/>
    <n v="249601.39709400001"/>
    <n v="104320.959225"/>
    <n v="1501813.0259969998"/>
    <n v="333724.66065000003"/>
    <n v="380551.81654100004"/>
    <n v="230279.28714900001"/>
    <n v="10892.071433999999"/>
    <n v="57069.969900999917"/>
    <n v="70168.469190999996"/>
    <n v="24006"/>
    <n v="2828675.3000359903"/>
    <n v="1992773.9845161699"/>
    <n v="42.378078734352705"/>
    <n v="60"/>
    <n v="346220.58923799999"/>
    <n v="353922.35631900001"/>
    <n v="1053768.910899"/>
    <n v="967476.52415800001"/>
    <n v="726090.31134199991"/>
    <n v="1261111.410192"/>
    <n v="138130.51052599991"/>
    <n v="1285117.410192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  <n v="60.742783661202992"/>
  </r>
  <r>
    <s v="70"/>
    <s v="70000"/>
    <x v="4"/>
    <s v="SUCRE"/>
    <x v="9"/>
    <n v="1"/>
    <x v="3"/>
    <n v="0"/>
    <n v="794600.99794000003"/>
    <n v="1121664.691475"/>
    <n v="189688.68285000004"/>
    <n v="23895.687479"/>
    <n v="1323859.7135429999"/>
    <n v="294338.07861099998"/>
    <n v="214811.89594000005"/>
    <n v="106073.52391500006"/>
    <n v="8134.6273789999996"/>
    <n v="-134788.34735699976"/>
    <n v="72577.641629999998"/>
    <n v="19696.618559999999"/>
    <n v="1914616.78390003"/>
    <n v="658527.88325849001"/>
    <n v="73.022087157755863"/>
    <n v="70"/>
    <n v="225915.89512299999"/>
    <n v="213584.37032900006"/>
    <n v="1147714.6668069998"/>
    <n v="912722.37294499995"/>
    <n v="794600.99794000003"/>
    <n v="1121664.691475"/>
    <n v="-54076.078347999763"/>
    <n v="1141361.3100350001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  <n v="60.525919514240925"/>
  </r>
  <r>
    <s v="81"/>
    <s v="81000"/>
    <x v="4"/>
    <s v="ARAUCA"/>
    <x v="8"/>
    <n v="3"/>
    <x v="2"/>
    <n v="38395.447283000001"/>
    <n v="334519.54699199996"/>
    <n v="470889.45357200003"/>
    <n v="46530.751636000001"/>
    <n v="7338.7985479999998"/>
    <n v="461033.86440700002"/>
    <n v="68984.892301999993"/>
    <n v="93143.385584000003"/>
    <n v="38973.168938000003"/>
    <n v="0"/>
    <n v="-28161.367277999932"/>
    <n v="49606.297112"/>
    <n v="0"/>
    <n v="1395880.8783835301"/>
    <n v="746298.07535215002"/>
    <n v="62.20677166019005"/>
    <n v="70"/>
    <n v="43614.66"/>
    <n v="53869.550184"/>
    <n v="444880.60420399997"/>
    <n v="396261.58978400001"/>
    <n v="372914.99427499995"/>
    <n v="470889.45357200003"/>
    <n v="21444.929834000068"/>
    <n v="470889.45357200003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  <n v="59.190463853359461"/>
  </r>
  <r>
    <s v="95"/>
    <s v="95000"/>
    <x v="4"/>
    <s v="GUAVIARE"/>
    <x v="8"/>
    <n v="3"/>
    <x v="2"/>
    <n v="38395.447281000001"/>
    <n v="153598.708724"/>
    <n v="264537.82666999998"/>
    <n v="39890.196195000004"/>
    <n v="13253.501839999999"/>
    <n v="258662.48024799998"/>
    <n v="55051.211652999998"/>
    <n v="92109.642462999996"/>
    <n v="33377.357230000001"/>
    <n v="2713.6376319999999"/>
    <n v="9875.7509719999798"/>
    <n v="26459.691760000002"/>
    <n v="0"/>
    <n v="1055273.8893259999"/>
    <n v="229925.19654400001"/>
    <n v="64.189240597773178"/>
    <n v="70"/>
    <n v="31205.725396999998"/>
    <n v="53143.698035000001"/>
    <n v="195929.790465"/>
    <n v="183377.96952899999"/>
    <n v="191994.156005"/>
    <n v="264537.82666999998"/>
    <n v="39049.080363999979"/>
    <n v="264537.82666999998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  <n v="58.566767148313708"/>
  </r>
  <r>
    <s v="99"/>
    <s v="99000"/>
    <x v="4"/>
    <s v="VICHADA"/>
    <x v="8"/>
    <n v="3"/>
    <x v="2"/>
    <n v="43789.647294000002"/>
    <n v="150808.18316300001"/>
    <n v="284467.94299100002"/>
    <n v="31602.745857000002"/>
    <n v="3565.9492529999998"/>
    <n v="381023.93484200002"/>
    <n v="86377.033859999996"/>
    <n v="79040.400446"/>
    <n v="44314.967016000002"/>
    <n v="0"/>
    <n v="63099.85115100001"/>
    <n v="58662.266529"/>
    <n v="0"/>
    <n v="799695.57270899997"/>
    <n v="183941.604567"/>
    <n v="49.148880312651386"/>
    <n v="70"/>
    <n v="22699.514874"/>
    <n v="35168.695110000001"/>
    <n v="186642.65841"/>
    <n v="162628.676385"/>
    <n v="194597.830457"/>
    <n v="284467.94299100002"/>
    <n v="121762.11768000001"/>
    <n v="284467.94299100002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  <n v="58.223626018736937"/>
  </r>
  <r>
    <s v="17"/>
    <s v="17000"/>
    <x v="4"/>
    <s v="CALDAS"/>
    <x v="7"/>
    <n v="1"/>
    <x v="1"/>
    <n v="0"/>
    <n v="547697.65824500006"/>
    <n v="1108493.1248659999"/>
    <n v="255588.44728999998"/>
    <n v="131031.36120099999"/>
    <n v="991249.02254700009"/>
    <n v="199314.610128"/>
    <n v="390864.523254"/>
    <n v="179574.52416699997"/>
    <n v="23153.576560000001"/>
    <n v="-28744.894046000205"/>
    <n v="182715.21759799999"/>
    <n v="0"/>
    <n v="3763171.8214059998"/>
    <n v="2348179.566596"/>
    <n v="43.33356962532077"/>
    <n v="60"/>
    <n v="342822.15150400001"/>
    <n v="386619.80849099997"/>
    <n v="925948.01982500008"/>
    <n v="848491.87223600002"/>
    <n v="547697.65824500006"/>
    <n v="1108493.1248659999"/>
    <n v="177123.90011199977"/>
    <n v="1108493.1248659999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  <n v="57.887935182259362"/>
  </r>
  <r>
    <s v="44"/>
    <s v="44000"/>
    <x v="4"/>
    <s v="LA_GUAJIRA"/>
    <x v="8"/>
    <n v="2"/>
    <x v="3"/>
    <n v="0"/>
    <n v="529266.39564200002"/>
    <n v="787928.97170700005"/>
    <n v="178577.22758599999"/>
    <n v="11270.064468"/>
    <n v="923482.92813000013"/>
    <n v="71587.703214000008"/>
    <n v="190214.12937399998"/>
    <n v="120400.45204799998"/>
    <n v="0"/>
    <n v="-8242.9542510000756"/>
    <n v="97771.430519999994"/>
    <n v="0"/>
    <n v="1882358.3930086598"/>
    <n v="919864.11451718991"/>
    <n v="56.121867755665754"/>
    <n v="70"/>
    <n v="163725.741197"/>
    <n v="189847.29205399999"/>
    <n v="726358.24863200018"/>
    <n v="663560.28995600005"/>
    <n v="529266.39564200002"/>
    <n v="787928.97170700005"/>
    <n v="89528.476268999919"/>
    <n v="787928.97170700005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  <n v="57.419127374306115"/>
  </r>
  <r>
    <s v="86"/>
    <s v="86000"/>
    <x v="4"/>
    <s v="PUTUMAYO"/>
    <x v="8"/>
    <n v="3"/>
    <x v="0"/>
    <n v="38395.447281000001"/>
    <n v="475545.15639999998"/>
    <n v="670136.59288899996"/>
    <n v="56749.077140999994"/>
    <n v="33669.962288000002"/>
    <n v="580983.7935400001"/>
    <n v="34895.123702000004"/>
    <n v="129625.05613099999"/>
    <n v="42785.293429999991"/>
    <n v="705.011619"/>
    <n v="2313.036647999892"/>
    <n v="42288.558229000002"/>
    <n v="0"/>
    <n v="1608240.8868507301"/>
    <n v="438661.56260007003"/>
    <n v="59.63003613516539"/>
    <n v="70"/>
    <n v="76452.411703000005"/>
    <n v="90419.039428999997"/>
    <n v="580983.7935400001"/>
    <n v="546872.92164700001"/>
    <n v="513940.60368099995"/>
    <n v="670136.59288899996"/>
    <n v="45306.606495999891"/>
    <n v="670136.59288899996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  <n v="56.380107254116687"/>
  </r>
  <r>
    <s v="94"/>
    <s v="94000"/>
    <x v="4"/>
    <s v="GUAINIA"/>
    <x v="8"/>
    <n v="3"/>
    <x v="2"/>
    <n v="47578.505463000001"/>
    <n v="130245.510431"/>
    <n v="279469.08718999999"/>
    <n v="37811.921450000002"/>
    <n v="4357.0553110000001"/>
    <n v="261857.78476099996"/>
    <n v="7577.3214749999997"/>
    <n v="89747.482224000007"/>
    <n v="61049.601786000007"/>
    <n v="0"/>
    <n v="16597.179263000027"/>
    <n v="76474.107325000004"/>
    <n v="0"/>
    <n v="1344687.6497638898"/>
    <n v="202090.99397945998"/>
    <n v="40.579655239987225"/>
    <n v="70"/>
    <n v="36985.625482000003"/>
    <n v="42168.976760999998"/>
    <n v="234174.02748899997"/>
    <n v="179960.41031000001"/>
    <n v="177824.01589400001"/>
    <n v="279469.08718999999"/>
    <n v="93071.286588000032"/>
    <n v="279469.08718999999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  <n v="55.457030868659032"/>
  </r>
  <r>
    <s v="66"/>
    <s v="66000"/>
    <x v="4"/>
    <s v="RISARALDA"/>
    <x v="7"/>
    <n v="1"/>
    <x v="1"/>
    <n v="0"/>
    <n v="284735.83281400002"/>
    <n v="778410.57756100013"/>
    <n v="284209.30659400002"/>
    <n v="131837.036081"/>
    <n v="737223.13341199991"/>
    <n v="24542.074837"/>
    <n v="416624.24691000005"/>
    <n v="282832.13774800004"/>
    <n v="6730.276347"/>
    <n v="-63123.581061999896"/>
    <n v="302952.38820300001"/>
    <n v="0"/>
    <n v="2827515.7054590001"/>
    <n v="1489406.265048"/>
    <n v="38.100670362076649"/>
    <n v="60"/>
    <n v="366587.07485700003"/>
    <n v="416046.34267500002"/>
    <n v="707742.04946100002"/>
    <n v="646992.22171800002"/>
    <n v="284735.83281400002"/>
    <n v="778410.57756100013"/>
    <n v="246559.08348800012"/>
    <n v="778410.5775610001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  <n v="54.74197396775984"/>
  </r>
  <r>
    <s v="97"/>
    <s v="97000"/>
    <x v="4"/>
    <s v="VAUPES"/>
    <x v="8"/>
    <n v="3"/>
    <x v="2"/>
    <n v="39243.516512000002"/>
    <n v="114381.297871"/>
    <n v="219720.16740199999"/>
    <n v="14204.409812999998"/>
    <n v="2468.894659"/>
    <n v="215313.48372300004"/>
    <n v="9940.8798700000007"/>
    <n v="56050.031894"/>
    <n v="33164.851843999997"/>
    <n v="0"/>
    <n v="-18478.496371000045"/>
    <n v="94494.120458000005"/>
    <n v="0"/>
    <n v="904982.18007643009"/>
    <n v="155716.04743124"/>
    <n v="35.673340508708584"/>
    <n v="70"/>
    <n v="15324.035715"/>
    <n v="16673.304472"/>
    <n v="215313.48372300004"/>
    <n v="172557.74295399999"/>
    <n v="153624.81438300002"/>
    <n v="219720.16740199999"/>
    <n v="76015.62408699996"/>
    <n v="219720.16740199999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  <n v="52.785252102588885"/>
  </r>
  <r>
    <s v="27"/>
    <s v="27000"/>
    <x v="4"/>
    <s v="CHOCO"/>
    <x v="9"/>
    <n v="3"/>
    <x v="5"/>
    <n v="0"/>
    <n v="697181.19780099997"/>
    <n v="884464.58065999998"/>
    <n v="108414.43075599999"/>
    <n v="14041.734782"/>
    <n v="795101.06739600003"/>
    <n v="14099.388326999999"/>
    <n v="122585.24121999998"/>
    <n v="43437.606785999975"/>
    <n v="0"/>
    <n v="10215.878829999943"/>
    <n v="56804.907994000001"/>
    <n v="0"/>
    <n v="2415160.61956756"/>
    <n v="587798.06815544993"/>
    <n v="65.607177278687956"/>
    <n v="70"/>
    <n v="106739.682441"/>
    <n v="122456.16553799999"/>
    <n v="795101.06739600003"/>
    <n v="635898.94187400001"/>
    <n v="697181.19780099997"/>
    <n v="884464.58065999998"/>
    <n v="67020.786823999952"/>
    <n v="884464.58065999998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  <n v="52.449158484693996"/>
  </r>
  <r>
    <s v="19"/>
    <s v="19000"/>
    <x v="4"/>
    <s v="CAUCA"/>
    <x v="9"/>
    <n v="2"/>
    <x v="5"/>
    <n v="0"/>
    <n v="1427772.6895050001"/>
    <n v="1853197.0564049999"/>
    <n v="164768.36675799999"/>
    <n v="120786.640801"/>
    <n v="1748202.1074060001"/>
    <n v="20032.813782999998"/>
    <n v="286731.92538099998"/>
    <n v="143500.05002099997"/>
    <n v="3336.9935070000001"/>
    <n v="46995.985376999946"/>
    <n v="283471.02739200002"/>
    <n v="0"/>
    <n v="3600160.6356799998"/>
    <n v="1217557.4699810001"/>
    <n v="40.362800755076059"/>
    <n v="70"/>
    <n v="296348.40035700001"/>
    <n v="285555.00755899999"/>
    <n v="1662969.195668"/>
    <n v="1627602.724533"/>
    <n v="1427772.6895050001"/>
    <n v="1853197.0564049999"/>
    <n v="333804.00627599994"/>
    <n v="1853197.0564049999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  <n v="52.242421503037733"/>
  </r>
  <r>
    <s v="05"/>
    <s v="05000"/>
    <x v="4"/>
    <s v="ANTIOQUIA"/>
    <x v="5"/>
    <n v="1"/>
    <x v="1"/>
    <n v="0"/>
    <n v="2185756.971653"/>
    <n v="6362170.0811090004"/>
    <n v="2105396.8552489998"/>
    <n v="1262248.3300910001"/>
    <n v="5557896.2575310012"/>
    <n v="235150.95785900002"/>
    <n v="3392717.2894199998"/>
    <n v="2174780.558923"/>
    <n v="267602.986661"/>
    <n v="-176685.35771200061"/>
    <n v="1110806.930898"/>
    <n v="295876.12081400002"/>
    <n v="16095790.780893"/>
    <n v="13366808.623283001"/>
    <n v="22.328067188505255"/>
    <n v="50"/>
    <n v="3062505.434471"/>
    <n v="3367645.1853399999"/>
    <n v="5320918.7083240012"/>
    <n v="4228125.5784480004"/>
    <n v="2185756.971653"/>
    <n v="6362170.0811090004"/>
    <n v="1201724.5598469994"/>
    <n v="6658046.2019230006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  <n v="51.715650716131883"/>
  </r>
  <r>
    <s v="76"/>
    <s v="76000"/>
    <x v="4"/>
    <s v="VALLE DEL CAUCA"/>
    <x v="5"/>
    <n v="1"/>
    <x v="5"/>
    <n v="0"/>
    <n v="844229.16659100004"/>
    <n v="3135605.3948600003"/>
    <n v="1352480.6639190002"/>
    <n v="536270.10542299994"/>
    <n v="2610293.7489539995"/>
    <n v="139266.69566999999"/>
    <n v="1898684.7041500001"/>
    <n v="1164245.1855330002"/>
    <n v="104937.465207"/>
    <n v="-137093.01294099959"/>
    <n v="536851.578645"/>
    <n v="99026.817550000007"/>
    <n v="7801580.7395869996"/>
    <n v="7030761.6766950004"/>
    <n v="36.923552388861985"/>
    <n v="50"/>
    <n v="2079941.328216"/>
    <n v="1888750.7693420001"/>
    <n v="2538258.889184"/>
    <n v="2072622.598911"/>
    <n v="844229.16659100004"/>
    <n v="3135605.3948600003"/>
    <n v="504696.03091100045"/>
    <n v="3234632.2124100002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  <n v="51.338436603757202"/>
  </r>
  <r>
    <s v="63"/>
    <s v="63000"/>
    <x v="4"/>
    <s v="QUINDIO"/>
    <x v="9"/>
    <n v="1"/>
    <x v="1"/>
    <n v="0"/>
    <n v="247915.077942"/>
    <n v="570595.63944100006"/>
    <n v="182889.382514"/>
    <n v="70655.147545"/>
    <n v="467817.60280400002"/>
    <n v="19002.664891"/>
    <n v="262696.91963700001"/>
    <n v="125312.79227000001"/>
    <n v="4780.9623449999999"/>
    <n v="-21218.394548999961"/>
    <n v="86608.220205999998"/>
    <n v="9992"/>
    <n v="1486724.1470891498"/>
    <n v="1033831.26306513"/>
    <n v="65.957669876017576"/>
    <n v="70"/>
    <n v="247840.51360000001"/>
    <n v="253544.53005900001"/>
    <n v="454429.90662299999"/>
    <n v="406866.05854300002"/>
    <n v="247915.077942"/>
    <n v="570595.63944100006"/>
    <n v="70170.788002000045"/>
    <n v="580587.63944100006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  <n v="51.266435649482084"/>
  </r>
  <r>
    <s v="73"/>
    <s v="73000"/>
    <x v="4"/>
    <s v="TOLIMA"/>
    <x v="7"/>
    <n v="1"/>
    <x v="0"/>
    <n v="0"/>
    <n v="922607.49961099995"/>
    <n v="1533876.1647489998"/>
    <n v="339427.799467"/>
    <n v="120173.889303"/>
    <n v="1425343.4202559998"/>
    <n v="139679.12536199999"/>
    <n v="467996.62284900004"/>
    <n v="178381.20920400007"/>
    <n v="16515.602675999999"/>
    <n v="-35388.975594000192"/>
    <n v="75028.139406000002"/>
    <n v="25478.654648"/>
    <n v="2954459.2630480002"/>
    <n v="2546607.419522"/>
    <n v="54.018930330181824"/>
    <n v="60"/>
    <n v="438338.94099999999"/>
    <n v="459601.68877000001"/>
    <n v="1279649.726698"/>
    <n v="1107732.043514"/>
    <n v="922607.49961099995"/>
    <n v="1533876.1647489998"/>
    <n v="56154.766487999805"/>
    <n v="1559354.8193969997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  <n v="51.019049352857991"/>
  </r>
  <r>
    <s v="15"/>
    <s v="15000"/>
    <x v="4"/>
    <s v="BOYACA"/>
    <x v="6"/>
    <n v="1"/>
    <x v="4"/>
    <n v="0"/>
    <n v="1037404.513596"/>
    <n v="1718143.27141"/>
    <n v="414084.73140799999"/>
    <n v="49767.182120000005"/>
    <n v="1808245.4589729998"/>
    <n v="82140.49567199999"/>
    <n v="466883.425468"/>
    <n v="193972.74046100001"/>
    <n v="15531.916338000001"/>
    <n v="-52567.197331999894"/>
    <n v="228876.6557"/>
    <n v="12988"/>
    <n v="4790164.257278"/>
    <n v="3144837.2145699998"/>
    <n v="47.421976111362262"/>
    <n v="55"/>
    <n v="474729.390266"/>
    <n v="463851.913528"/>
    <n v="1497799.7837349998"/>
    <n v="1358590.5652989999"/>
    <n v="1037404.513596"/>
    <n v="1718143.27141"/>
    <n v="191841.37470600012"/>
    <n v="1731131.27141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  <n v="50.830507842121456"/>
  </r>
  <r>
    <s v="47"/>
    <s v="47000"/>
    <x v="4"/>
    <s v="MAGDALENA"/>
    <x v="7"/>
    <n v="2"/>
    <x v="3"/>
    <n v="0"/>
    <n v="978405.80939200008"/>
    <n v="1728010.500585"/>
    <n v="361342.20928299997"/>
    <n v="217174.20707800001"/>
    <n v="1372639.4936800001"/>
    <n v="73689.641975999999"/>
    <n v="579953.18987899995"/>
    <n v="340315.85727799998"/>
    <n v="14624.313248"/>
    <n v="119629.54046599986"/>
    <n v="365813.96740099997"/>
    <n v="0"/>
    <n v="2384504.73148567"/>
    <n v="1061797.99948857"/>
    <n v="53.84333155105454"/>
    <n v="60"/>
    <n v="524388.88300100004"/>
    <n v="578516.41636099992"/>
    <n v="1368743.6275180001"/>
    <n v="1239754.137197"/>
    <n v="978405.80939200008"/>
    <n v="1728010.500585"/>
    <n v="500067.82111499982"/>
    <n v="1728010.500585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  <n v="50.456294378068634"/>
  </r>
  <r>
    <s v="25"/>
    <s v="25000"/>
    <x v="4"/>
    <s v="CUNDINAMARCA"/>
    <x v="5"/>
    <n v="1"/>
    <x v="4"/>
    <n v="0"/>
    <n v="1372393.2780589999"/>
    <n v="4381426.5535510005"/>
    <n v="2125447.5530950003"/>
    <n v="488665.80982800003"/>
    <n v="3494692.3127859989"/>
    <n v="52161.21211800001"/>
    <n v="2616224.3748760005"/>
    <n v="1694866.3834730005"/>
    <n v="155747.80640199999"/>
    <n v="230843.84234100161"/>
    <n v="322741.12662599998"/>
    <n v="50000"/>
    <n v="11329020.975275001"/>
    <n v="8129267.4261490004"/>
    <n v="40.708009130634657"/>
    <n v="50"/>
    <n v="2513830.5830000001"/>
    <n v="2614113.3629230005"/>
    <n v="3229224.719806999"/>
    <n v="2376036.9288110002"/>
    <n v="1372393.2780589999"/>
    <n v="4381426.5535510005"/>
    <n v="709332.77536900167"/>
    <n v="4431426.5535510005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  <n v="50.213012769362919"/>
  </r>
  <r>
    <s v="50"/>
    <s v="50000"/>
    <x v="4"/>
    <s v="META"/>
    <x v="6"/>
    <n v="2"/>
    <x v="2"/>
    <n v="0"/>
    <n v="477741.64059000002"/>
    <n v="1168811.3508339999"/>
    <n v="440063.11970799998"/>
    <n v="101478.55342"/>
    <n v="2097596.0306840003"/>
    <n v="108820.29268299999"/>
    <n v="543919.80503599998"/>
    <n v="276614.34844799998"/>
    <n v="16503.389425000001"/>
    <n v="108323.59092899971"/>
    <n v="229792.64669699999"/>
    <n v="1055.3461460000001"/>
    <n v="9793544.5702299997"/>
    <n v="1684628.5061890001"/>
    <n v="54.086360895312524"/>
    <n v="55"/>
    <n v="507315.76708199998"/>
    <n v="541541.67312799999"/>
    <n v="793182.30331700016"/>
    <n v="750403.41817700001"/>
    <n v="477741.64059000002"/>
    <n v="1168811.3508339999"/>
    <n v="354619.62705099973"/>
    <n v="1169866.69698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  <n v="49.869589935637997"/>
  </r>
  <r>
    <s v="54"/>
    <s v="54000"/>
    <x v="4"/>
    <s v="NORTE DE SANTANDER"/>
    <x v="7"/>
    <n v="1"/>
    <x v="4"/>
    <n v="0"/>
    <n v="821121.2143179999"/>
    <n v="1494513.9546359999"/>
    <n v="411675.92043200007"/>
    <n v="94670.163279"/>
    <n v="1333218.9906040002"/>
    <n v="2456.1210999999998"/>
    <n v="508857.88486100006"/>
    <n v="273233.00115500006"/>
    <n v="27607.295819999999"/>
    <n v="-74329.919674000237"/>
    <n v="240354.87521100001"/>
    <n v="0"/>
    <n v="2875029.5734281098"/>
    <n v="1813946.13598935"/>
    <n v="49.937109007232792"/>
    <n v="60"/>
    <n v="419962.4"/>
    <n v="506346.08371100004"/>
    <n v="1333218.9906040002"/>
    <n v="1061863.448911"/>
    <n v="821121.2143179999"/>
    <n v="1494513.9546359999"/>
    <n v="193632.25135699977"/>
    <n v="1494513.9546359999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  <n v="49.750536717839175"/>
  </r>
  <r>
    <s v="52"/>
    <s v="52000"/>
    <x v="4"/>
    <s v="NARIÑO"/>
    <x v="6"/>
    <n v="2"/>
    <x v="5"/>
    <n v="0"/>
    <n v="1074895.592919"/>
    <n v="1735087.2208159999"/>
    <n v="278240.79785899998"/>
    <n v="122600.39119900001"/>
    <n v="1437365.58791"/>
    <n v="52120.322970000001"/>
    <n v="402969.31321499997"/>
    <n v="192102.62461199996"/>
    <n v="0"/>
    <n v="156443.9962259999"/>
    <n v="243325.765235"/>
    <n v="0"/>
    <n v="3883445.1724989"/>
    <n v="2025692.5013949398"/>
    <n v="48.596816439583918"/>
    <n v="55"/>
    <n v="356107.267146"/>
    <n v="400841.18905799999"/>
    <n v="1367776.535987"/>
    <n v="1260477.7350910001"/>
    <n v="1074895.592919"/>
    <n v="1735087.2208159999"/>
    <n v="399769.7614609999"/>
    <n v="1735087.2208159999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  <n v="48.962741969314941"/>
  </r>
  <r>
    <s v="91"/>
    <s v="91000"/>
    <x v="4"/>
    <s v="AMAZONAS"/>
    <x v="8"/>
    <n v="3"/>
    <x v="0"/>
    <n v="43197.547280999999"/>
    <n v="219355.65895299998"/>
    <n v="443840.16529599996"/>
    <n v="21279.93273"/>
    <n v="6135.4171969999998"/>
    <n v="289427.98662800004"/>
    <n v="0"/>
    <n v="70685.802807999993"/>
    <n v="35151.312221999986"/>
    <n v="656.08729100000005"/>
    <n v="118877.68808199989"/>
    <n v="46262.843449"/>
    <n v="0"/>
    <n v="1244982.1268081001"/>
    <n v="382819.50730571995"/>
    <n v="45.961654547627532"/>
    <n v="70"/>
    <n v="24515.865849000002"/>
    <n v="27415.349926999999"/>
    <n v="289427.98662800004"/>
    <n v="239689.44572399999"/>
    <n v="262553.20623399998"/>
    <n v="443840.16529599996"/>
    <n v="165796.6188219999"/>
    <n v="443840.16529599996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  <n v="47.48204325840198"/>
  </r>
  <r>
    <s v="18"/>
    <s v="18000"/>
    <x v="4"/>
    <s v="CAQUETA"/>
    <x v="8"/>
    <n v="3"/>
    <x v="0"/>
    <n v="0"/>
    <n v="346295.09583499999"/>
    <n v="512439.10241000005"/>
    <n v="76704.725252000004"/>
    <n v="31243.289968000001"/>
    <n v="464746.88172500004"/>
    <n v="11276.177185999999"/>
    <n v="109070.695653"/>
    <n v="37149.191204000002"/>
    <n v="741.59935900000005"/>
    <n v="-9881.6285200000275"/>
    <n v="44838.909568000003"/>
    <n v="0"/>
    <n v="1130115.7486920001"/>
    <n v="573079.88855100004"/>
    <n v="69.830555858556821"/>
    <n v="70"/>
    <n v="90116.532999999996"/>
    <n v="107948.01522"/>
    <n v="450399.22648100008"/>
    <n v="414674.78165800002"/>
    <n v="346295.09583499999"/>
    <n v="512439.10241000005"/>
    <n v="35698.880406999975"/>
    <n v="512439.10241000005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  <n v="47.389088088997127"/>
  </r>
  <r>
    <s v="68"/>
    <s v="68000"/>
    <x v="4"/>
    <s v="SANTANDER"/>
    <x v="6"/>
    <n v="1"/>
    <x v="4"/>
    <n v="0"/>
    <n v="981141.04008299997"/>
    <n v="2168607.0863290001"/>
    <n v="790653.72198299994"/>
    <n v="99969.87268"/>
    <n v="2107393.4342459999"/>
    <n v="280205.03399199998"/>
    <n v="894550.53268299997"/>
    <n v="367827.11225100001"/>
    <n v="38694.384578999998"/>
    <n v="67402.894890000112"/>
    <n v="342455.01967499999"/>
    <n v="0"/>
    <n v="5660699.5281680599"/>
    <n v="4303516.3952991096"/>
    <n v="46.246537109720173"/>
    <n v="55"/>
    <n v="851059.53658900002"/>
    <n v="890623.59466299997"/>
    <n v="1574480.771007"/>
    <n v="1347817.5299120001"/>
    <n v="981141.04008299997"/>
    <n v="2168607.0863290001"/>
    <n v="448552.29914400011"/>
    <n v="2168607.0863290001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  <n v="46.548663847397748"/>
  </r>
  <r>
    <s v="13"/>
    <s v="13000"/>
    <x v="4"/>
    <s v="BOLIVAR"/>
    <x v="6"/>
    <n v="2"/>
    <x v="3"/>
    <n v="0"/>
    <n v="1159246.36628"/>
    <n v="2022516.7571640001"/>
    <n v="436822.22398699995"/>
    <n v="157991.862765"/>
    <n v="1635626.4830200002"/>
    <n v="106741.799318"/>
    <n v="595630.81067699997"/>
    <n v="230903.57934900001"/>
    <n v="34365.753580999997"/>
    <n v="22163.042816000059"/>
    <n v="50187.822085"/>
    <n v="30895.036613"/>
    <n v="3759587.7510910803"/>
    <n v="2951064.84132643"/>
    <n v="54.590696890531589"/>
    <n v="55"/>
    <n v="641950.70112600003"/>
    <n v="594814.08675199992"/>
    <n v="1635626.4830200002"/>
    <n v="1390535.3890539999"/>
    <n v="1159246.36628"/>
    <n v="2022516.7571640001"/>
    <n v="106716.61848200005"/>
    <n v="2053411.7937770002"/>
    <n v="57.317021585794457"/>
    <n v="42.682978414205543"/>
    <n v="6.5260498302102139"/>
    <n v="13.545333917096823"/>
    <n v="78.494373232011753"/>
    <n v="21.505626767988247"/>
    <n v="38.766224851020162"/>
    <n v="50"/>
    <n v="5.1970393276892537"/>
    <n v="80"/>
    <n v="41.546787819858125"/>
    <n v="33.237430255886501"/>
    <n v="0.40930310946841075"/>
    <n v="6.0245522025240197"/>
    <n v="92.65728438471659"/>
    <n v="100"/>
    <n v="85.015460650070466"/>
    <n v="80"/>
    <n v="0"/>
    <n v="62.008184067508012"/>
    <n v="62.008184067508012"/>
    <n v="12.401636813501604"/>
    <n v="45.639067069388105"/>
    <n v="45.639067069388105"/>
  </r>
  <r>
    <s v="23"/>
    <s v="23000"/>
    <x v="4"/>
    <s v="CORDOBA"/>
    <x v="6"/>
    <n v="2"/>
    <x v="3"/>
    <n v="0"/>
    <n v="1267892.8720769999"/>
    <n v="1688939.070971"/>
    <n v="306864.25913199998"/>
    <n v="27991.742260999999"/>
    <n v="1620861.9288910001"/>
    <n v="98004.888548000003"/>
    <n v="336201.20583599998"/>
    <n v="111814.69951299997"/>
    <n v="22769.443092000001"/>
    <n v="7887.4140069999266"/>
    <n v="292520.80486999999"/>
    <n v="0"/>
    <n v="3728887.3772898503"/>
    <n v="2624252.7756138998"/>
    <n v="49.700909574798821"/>
    <n v="55"/>
    <n v="315399.38257999998"/>
    <n v="334856.00139299995"/>
    <n v="1456665.1506410001"/>
    <n v="1319302.391914"/>
    <n v="1267892.8720769999"/>
    <n v="1688939.070971"/>
    <n v="323177.66196899989"/>
    <n v="1688939.070971"/>
    <n v="75.070373696078121"/>
    <n v="24.929626303921879"/>
    <n v="6.0464674258254263"/>
    <n v="12.549922607473576"/>
    <n v="70.376294859331551"/>
    <n v="29.623705140668449"/>
    <n v="33.258268433321305"/>
    <n v="40"/>
    <n v="19.134950900460815"/>
    <n v="40"/>
    <n v="29.420650810412781"/>
    <n v="23.536520648330225"/>
    <n v="5.2990904252011788"/>
    <n v="77.997567460414288"/>
    <n v="106.16888297429209"/>
    <n v="100"/>
    <n v="90.570052515737459"/>
    <n v="100"/>
    <n v="0"/>
    <n v="92.665855820138106"/>
    <n v="92.665855820138106"/>
    <n v="18.533171164027621"/>
    <n v="42.069691812357846"/>
    <n v="42.069691812357846"/>
  </r>
  <r>
    <s v="88"/>
    <s v="88000"/>
    <x v="4"/>
    <s v="SAN ANDRES"/>
    <x v="9"/>
    <n v="2"/>
    <x v="3"/>
    <n v="64182.671283000003"/>
    <n v="76521.985648000002"/>
    <n v="553561.25647799997"/>
    <n v="64177.966451"/>
    <n v="140908.93278499998"/>
    <n v="296146.51876000001"/>
    <n v="44269.375993000001"/>
    <n v="269913.48247199995"/>
    <n v="28755.074349999952"/>
    <n v="0"/>
    <n v="17613.17959399987"/>
    <n v="232673.12981899999"/>
    <n v="0"/>
    <n v="2134466.0723258201"/>
    <n v="351789.45838272996"/>
    <n v="75.262770292805868"/>
    <n v="70"/>
    <n v="16528.202331"/>
    <n v="205086.89923599997"/>
    <n v="294789.66876200004"/>
    <n v="210024.891764"/>
    <n v="140704.656931"/>
    <n v="553561.25647799997"/>
    <n v="250286.30941299986"/>
    <n v="553561.25647799997"/>
    <n v="25.418082512895658"/>
    <n v="74.581917487104334"/>
    <n v="14.948470837462835"/>
    <n v="31.026736588202823"/>
    <n v="16.48137972038144"/>
    <n v="83.51862027961856"/>
    <n v="10.653441275569818"/>
    <n v="20"/>
    <n v="45.213841554850021"/>
    <n v="0"/>
    <n v="41.825454870985141"/>
    <n v="33.460363896788117"/>
    <n v="0"/>
    <n v="0"/>
    <n v="1240.8300378277838"/>
    <n v="0"/>
    <n v="71.245675822365627"/>
    <n v="70"/>
    <n v="0"/>
    <n v="23.333333333333332"/>
    <n v="23.333333333333332"/>
    <n v="4.666666666666667"/>
    <n v="38.127030563454781"/>
    <n v="38.127030563454781"/>
  </r>
  <r>
    <m/>
    <m/>
    <x v="5"/>
    <m/>
    <x v="1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m/>
    <x v="0"/>
    <x v="0"/>
    <x v="0"/>
    <x v="0"/>
    <n v="56.772308693398671"/>
    <n v="43.227691306601329"/>
    <n v="10.740577722704522"/>
    <n v="27.068310558023747"/>
    <n v="48.772759354630594"/>
    <n v="51.227240645369392"/>
    <n v="49.451027647957595"/>
    <n v="66.5625"/>
    <n v="17.948128604878296"/>
    <n v="45"/>
    <n v="46.617148501998905"/>
    <n v="37.293718801599113"/>
    <n v="11.718719067743843"/>
    <n v="68.111359632216733"/>
    <n v="147.78086158912376"/>
    <n v="88.125"/>
    <n v="86.296927838123466"/>
    <n v="86.25"/>
    <n v="1.3835420556772327E-2"/>
    <n v="80.828786544072244"/>
    <n v="80.842621964629018"/>
    <n v="16.168524392925804"/>
    <n v="53.459476110413569"/>
    <x v="0"/>
    <x v="0"/>
  </r>
  <r>
    <s v="91"/>
    <s v="91000"/>
    <x v="1"/>
    <x v="1"/>
    <x v="1"/>
    <x v="1"/>
    <n v="89.804355073144066"/>
    <n v="10.195644926855934"/>
    <n v="13.301808475059209"/>
    <n v="25.444075753686121"/>
    <n v="34.256105982489643"/>
    <n v="65.743894017510357"/>
    <n v="36.942672019390308"/>
    <n v="50"/>
    <n v="22.476334390312374"/>
    <n v="20"/>
    <n v="34.27672293961048"/>
    <n v="27.421378351688386"/>
    <n v="10.718977505685135"/>
    <n v="74.406540368837511"/>
    <n v="79.811430249600463"/>
    <n v="70"/>
    <n v="93.059857981720597"/>
    <n v="100"/>
    <n v="0"/>
    <n v="81.468846789612499"/>
    <n v="81.468846789612499"/>
    <n v="16.2937693579225"/>
    <n v="43.715147709610889"/>
    <x v="1"/>
    <x v="1"/>
  </r>
  <r>
    <s v="05"/>
    <s v="05000"/>
    <x v="1"/>
    <x v="2"/>
    <x v="2"/>
    <x v="1"/>
    <n v="44.565230683233246"/>
    <n v="55.434769316766754"/>
    <n v="34.23877513381219"/>
    <n v="100"/>
    <n v="77.565406854191934"/>
    <n v="22.434593145808066"/>
    <n v="44.87263368056756"/>
    <n v="50"/>
    <n v="8.4042773183967068"/>
    <n v="80"/>
    <n v="61.573872492514965"/>
    <n v="49.259097994011974"/>
    <n v="8.8034926829698819"/>
    <n v="85.657503310021056"/>
    <n v="68.83551277612878"/>
    <n v="60"/>
    <n v="90.950301360701829"/>
    <n v="100"/>
    <n v="0"/>
    <n v="81.88583443667369"/>
    <n v="81.88583443667369"/>
    <n v="16.377166887334738"/>
    <n v="65.636264881346705"/>
    <x v="2"/>
    <x v="2"/>
  </r>
  <r>
    <s v="81"/>
    <s v="81000"/>
    <x v="1"/>
    <x v="3"/>
    <x v="1"/>
    <x v="1"/>
    <n v="78.155980179120576"/>
    <n v="21.844019820879424"/>
    <n v="31.405921222611671"/>
    <n v="60.074135047179965"/>
    <n v="48.851600518943577"/>
    <n v="51.148399481056423"/>
    <n v="13.964811658099826"/>
    <n v="20"/>
    <n v="18.608833378818716"/>
    <n v="40"/>
    <n v="38.613310869823167"/>
    <n v="30.890648695858534"/>
    <n v="0"/>
    <n v="0"/>
    <n v="115.75567659918642"/>
    <n v="80"/>
    <n v="92.438581312465317"/>
    <n v="100"/>
    <n v="0"/>
    <n v="60"/>
    <n v="60"/>
    <n v="12"/>
    <n v="42.89064869585853"/>
    <x v="3"/>
    <x v="1"/>
  </r>
  <r>
    <s v="08"/>
    <s v="08000"/>
    <x v="1"/>
    <x v="4"/>
    <x v="3"/>
    <x v="1"/>
    <n v="38.243780552676213"/>
    <n v="61.756219447323787"/>
    <n v="21.568942838321821"/>
    <n v="36.551642440572301"/>
    <n v="42.86905338052172"/>
    <n v="57.13094661947828"/>
    <n v="68.102843595084835"/>
    <n v="100"/>
    <n v="16.983951548663491"/>
    <n v="40"/>
    <n v="59.087761701474868"/>
    <n v="47.270209361179894"/>
    <n v="28.354007191250375"/>
    <n v="100"/>
    <n v="91.909140386304529"/>
    <n v="100"/>
    <n v="77.636819380698128"/>
    <n v="70"/>
    <n v="0"/>
    <n v="90"/>
    <n v="90"/>
    <n v="18"/>
    <n v="65.270209361179894"/>
    <x v="4"/>
    <x v="2"/>
  </r>
  <r>
    <s v="13"/>
    <s v="13000"/>
    <x v="1"/>
    <x v="5"/>
    <x v="3"/>
    <x v="1"/>
    <n v="65.390272425176576"/>
    <n v="34.609727574823424"/>
    <n v="12.909655141905787"/>
    <n v="21.877247406843697"/>
    <n v="68.934451384742786"/>
    <n v="31.065548615257214"/>
    <n v="43.744011950044531"/>
    <n v="50"/>
    <n v="15.319695057584745"/>
    <n v="40"/>
    <n v="35.510504719384869"/>
    <n v="28.408403775507896"/>
    <n v="13.23291966423062"/>
    <n v="100"/>
    <n v="71.843402158355346"/>
    <n v="70"/>
    <n v="92.551717094695221"/>
    <n v="100"/>
    <n v="0"/>
    <n v="90"/>
    <n v="90"/>
    <n v="18"/>
    <n v="46.408403775507892"/>
    <x v="5"/>
    <x v="1"/>
  </r>
  <r>
    <s v="15"/>
    <s v="15000"/>
    <x v="1"/>
    <x v="6"/>
    <x v="3"/>
    <x v="1"/>
    <n v="62.992444872412619"/>
    <n v="37.007555127587381"/>
    <n v="18.776395266280055"/>
    <n v="31.819273259723719"/>
    <n v="64.718186794117557"/>
    <n v="35.281813205882443"/>
    <n v="41.717412254340239"/>
    <n v="50"/>
    <n v="14.237647809235213"/>
    <n v="60"/>
    <n v="42.821728318638705"/>
    <n v="34.257382654910963"/>
    <n v="0"/>
    <n v="0"/>
    <n v="82.397197585592735"/>
    <n v="80"/>
    <n v="87.817653281629887"/>
    <n v="80"/>
    <n v="0"/>
    <n v="53.333333333333336"/>
    <n v="53.333333333333336"/>
    <n v="10.666666666666668"/>
    <n v="44.924049321577627"/>
    <x v="6"/>
    <x v="1"/>
  </r>
  <r>
    <s v="17"/>
    <s v="17000"/>
    <x v="1"/>
    <x v="7"/>
    <x v="4"/>
    <x v="1"/>
    <n v="52.651310012632159"/>
    <n v="47.348689987367841"/>
    <n v="28.110298817904805"/>
    <n v="100"/>
    <n v="58.031136798278418"/>
    <n v="41.968863201721582"/>
    <n v="50.569635189340254"/>
    <n v="70"/>
    <n v="13.035529983342494"/>
    <n v="60"/>
    <n v="63.863510637817875"/>
    <n v="51.090808510254305"/>
    <n v="8.5604597221436318"/>
    <n v="73.498223825696613"/>
    <n v="67.229015036595598"/>
    <n v="60"/>
    <n v="97.826820923279243"/>
    <n v="100"/>
    <n v="0"/>
    <n v="77.832741275232209"/>
    <n v="77.832741275232209"/>
    <n v="15.566548255046442"/>
    <n v="66.657356765300747"/>
    <x v="7"/>
    <x v="2"/>
  </r>
  <r>
    <s v="18"/>
    <s v="18000"/>
    <x v="1"/>
    <x v="8"/>
    <x v="1"/>
    <x v="1"/>
    <n v="75.748215841722029"/>
    <n v="24.251784158277971"/>
    <n v="35.328457453838382"/>
    <n v="67.577273376155702"/>
    <n v="43.092064923419983"/>
    <n v="56.907935076580017"/>
    <n v="36.629843450845208"/>
    <n v="50"/>
    <n v="15.067016514362813"/>
    <n v="40"/>
    <n v="47.747398522202744"/>
    <n v="38.197918817762194"/>
    <n v="0.59418553289045661"/>
    <n v="4.1245808955326373"/>
    <n v="74.709283346795814"/>
    <n v="70"/>
    <n v="90.92161802653338"/>
    <n v="100"/>
    <n v="0"/>
    <n v="58.041526965177546"/>
    <n v="58.041526965177546"/>
    <n v="11.60830539303551"/>
    <n v="49.806224210797701"/>
    <x v="8"/>
    <x v="1"/>
  </r>
  <r>
    <s v="85"/>
    <s v="85000"/>
    <x v="1"/>
    <x v="9"/>
    <x v="5"/>
    <x v="1"/>
    <n v="63.863413399744218"/>
    <n v="36.136586600255782"/>
    <n v="17.908240506464026"/>
    <n v="54.800466928779933"/>
    <n v="17.96919805981166"/>
    <n v="82.03080194018834"/>
    <n v="46.848328876786375"/>
    <n v="70"/>
    <n v="22.361352000836369"/>
    <n v="20"/>
    <n v="52.593571093844808"/>
    <n v="42.074856875075852"/>
    <n v="0"/>
    <n v="0"/>
    <n v="126.73433717463909"/>
    <n v="70"/>
    <n v="86.694883605492237"/>
    <n v="80"/>
    <n v="0"/>
    <n v="50"/>
    <n v="50"/>
    <n v="10"/>
    <n v="52.074856875075852"/>
    <x v="9"/>
    <x v="1"/>
  </r>
  <r>
    <s v="19"/>
    <s v="19000"/>
    <x v="1"/>
    <x v="10"/>
    <x v="5"/>
    <x v="1"/>
    <n v="81.337802905168687"/>
    <n v="18.662197094831313"/>
    <n v="13.706703331200432"/>
    <n v="41.943469674361552"/>
    <n v="37.840550540797302"/>
    <n v="62.159449459202698"/>
    <n v="57.03391058019249"/>
    <n v="80"/>
    <n v="20.184055780229464"/>
    <n v="20"/>
    <n v="44.553023245679114"/>
    <n v="35.642418596543294"/>
    <n v="32.352407448334333"/>
    <n v="100"/>
    <n v="91.677832657267032"/>
    <n v="100"/>
    <n v="97.57490307471366"/>
    <n v="100"/>
    <n v="0"/>
    <n v="100"/>
    <n v="100"/>
    <n v="20"/>
    <n v="55.642418596543294"/>
    <x v="10"/>
    <x v="1"/>
  </r>
  <r>
    <s v="20"/>
    <s v="20000"/>
    <x v="1"/>
    <x v="11"/>
    <x v="4"/>
    <x v="1"/>
    <n v="74.1945477327058"/>
    <n v="25.8054522672942"/>
    <n v="26.47094903051952"/>
    <n v="94.168152398504191"/>
    <n v="29.054296126615856"/>
    <n v="70.945703873384147"/>
    <n v="45.243420380715669"/>
    <n v="70"/>
    <n v="11.954556739602971"/>
    <n v="60"/>
    <n v="64.183861707836513"/>
    <n v="51.347089366269216"/>
    <n v="2.2426233928227401"/>
    <n v="19.254671061188517"/>
    <n v="79.343907224570387"/>
    <n v="70"/>
    <n v="93.454946203237412"/>
    <n v="100"/>
    <n v="0"/>
    <n v="63.084890353729499"/>
    <n v="63.084890353729499"/>
    <n v="12.616978070745901"/>
    <n v="63.964067437015117"/>
    <x v="11"/>
    <x v="2"/>
  </r>
  <r>
    <s v="27"/>
    <s v="27000"/>
    <x v="1"/>
    <x v="12"/>
    <x v="1"/>
    <x v="1"/>
    <n v="82.992761894640353"/>
    <n v="17.007238105359647"/>
    <n v="22.101644574077682"/>
    <n v="42.276651319878155"/>
    <n v="38.2795561015716"/>
    <n v="61.7204438984284"/>
    <n v="20.097707350243546"/>
    <n v="30"/>
    <n v="10.585370367384821"/>
    <n v="60"/>
    <n v="42.20086666473324"/>
    <n v="33.760693331786591"/>
    <n v="0"/>
    <n v="0"/>
    <n v="81.065441287615897"/>
    <n v="80"/>
    <n v="92.430578335248057"/>
    <n v="100"/>
    <n v="0"/>
    <n v="60"/>
    <n v="60"/>
    <n v="12"/>
    <n v="45.760693331786591"/>
    <x v="12"/>
    <x v="1"/>
  </r>
  <r>
    <s v="23"/>
    <s v="23000"/>
    <x v="1"/>
    <x v="13"/>
    <x v="4"/>
    <x v="1"/>
    <n v="76.061675026422805"/>
    <n v="23.938324973577195"/>
    <n v="11.500978469158836"/>
    <n v="40.913753865303299"/>
    <n v="93.213123795453939"/>
    <n v="6.7868762045460613"/>
    <n v="42.779432252103632"/>
    <n v="50"/>
    <n v="18.794384401112847"/>
    <n v="40"/>
    <n v="32.32779100868531"/>
    <n v="25.862232806948249"/>
    <n v="6.0720278123174154"/>
    <n v="52.133094916753628"/>
    <n v="82.435439494771273"/>
    <n v="80"/>
    <n v="94.596354226719072"/>
    <n v="100"/>
    <n v="0"/>
    <n v="77.377698305584545"/>
    <n v="77.377698305584545"/>
    <n v="15.47553966111691"/>
    <n v="41.337772468065161"/>
    <x v="13"/>
    <x v="1"/>
  </r>
  <r>
    <s v="25"/>
    <s v="25000"/>
    <x v="1"/>
    <x v="14"/>
    <x v="2"/>
    <x v="1"/>
    <n v="40.873211152245766"/>
    <n v="59.126788847754234"/>
    <n v="28.474104090498013"/>
    <n v="83.163325730010328"/>
    <n v="79.264992918079272"/>
    <n v="20.735007081920728"/>
    <n v="68.195423781698082"/>
    <n v="100"/>
    <n v="9.3868338089408976"/>
    <n v="80"/>
    <n v="68.605024331937059"/>
    <n v="54.884019465549649"/>
    <n v="10.50868162459092"/>
    <n v="100"/>
    <n v="90.554903578635958"/>
    <n v="100"/>
    <n v="86.259480610859669"/>
    <n v="80"/>
    <n v="0"/>
    <n v="93.333333333333329"/>
    <n v="93.333333333333329"/>
    <n v="18.666666666666668"/>
    <n v="73.550686132216313"/>
    <x v="14"/>
    <x v="3"/>
  </r>
  <r>
    <s v="94"/>
    <s v="94000"/>
    <x v="1"/>
    <x v="15"/>
    <x v="1"/>
    <x v="1"/>
    <n v="84.377510674785938"/>
    <n v="15.622489325214062"/>
    <n v="14.964616241167878"/>
    <n v="28.62474151383557"/>
    <n v="21.158828632000766"/>
    <n v="78.841171367999237"/>
    <n v="64.326258660101075"/>
    <n v="80"/>
    <n v="38.069607051897471"/>
    <n v="0"/>
    <n v="40.617680441409775"/>
    <n v="32.494144353127822"/>
    <n v="34.51862705612794"/>
    <n v="100"/>
    <n v="122.61038942997266"/>
    <n v="70"/>
    <n v="86.003603996429149"/>
    <n v="80"/>
    <n v="0"/>
    <n v="83.333333333333329"/>
    <n v="83.333333333333329"/>
    <n v="16.666666666666668"/>
    <n v="49.160811019794494"/>
    <x v="15"/>
    <x v="1"/>
  </r>
  <r>
    <s v="44"/>
    <s v="44000"/>
    <x v="1"/>
    <x v="16"/>
    <x v="1"/>
    <x v="1"/>
    <n v="79.335525760469196"/>
    <n v="20.664474239530804"/>
    <n v="14.535332209824977"/>
    <n v="27.803594867962826"/>
    <n v="41.177189972915613"/>
    <n v="58.822810027084387"/>
    <n v="36.792954025576073"/>
    <n v="50"/>
    <n v="22.226679973220023"/>
    <n v="20"/>
    <n v="35.4581758269156"/>
    <n v="28.366540661532483"/>
    <n v="14.646555446659971"/>
    <n v="100"/>
    <n v="98.197994962946112"/>
    <n v="100"/>
    <n v="93.730494693585598"/>
    <n v="100"/>
    <n v="0"/>
    <n v="100"/>
    <n v="100"/>
    <n v="20"/>
    <n v="48.366540661532483"/>
    <x v="16"/>
    <x v="1"/>
  </r>
  <r>
    <s v="95"/>
    <s v="95000"/>
    <x v="1"/>
    <x v="17"/>
    <x v="1"/>
    <x v="1"/>
    <n v="75.969002863073896"/>
    <n v="24.030997136926104"/>
    <n v="41.013731659425318"/>
    <n v="78.452226796110708"/>
    <n v="21.802238711715297"/>
    <n v="78.19776128828471"/>
    <n v="53.997991640599793"/>
    <n v="70"/>
    <n v="19.531432876836288"/>
    <n v="40"/>
    <n v="58.136197044264307"/>
    <n v="46.508957635411448"/>
    <n v="15.596510126744789"/>
    <n v="100"/>
    <n v="147.14255186136484"/>
    <n v="50"/>
    <n v="90.224829172153235"/>
    <n v="100"/>
    <n v="0"/>
    <n v="83.333333333333329"/>
    <n v="83.333333333333329"/>
    <n v="16.666666666666668"/>
    <n v="63.17562430207812"/>
    <x v="17"/>
    <x v="2"/>
  </r>
  <r>
    <s v="41"/>
    <s v="41000"/>
    <x v="1"/>
    <x v="18"/>
    <x v="4"/>
    <x v="1"/>
    <n v="66.11469041504624"/>
    <n v="33.88530958495376"/>
    <n v="15.921970962521048"/>
    <n v="56.641059085361185"/>
    <n v="65.627624120524345"/>
    <n v="34.372375879475655"/>
    <n v="37.071613158456209"/>
    <n v="50"/>
    <n v="11.69802530815705"/>
    <n v="60"/>
    <n v="46.979748909958118"/>
    <n v="37.583799127966493"/>
    <n v="0"/>
    <n v="0"/>
    <n v="87.349598406980405"/>
    <n v="80"/>
    <n v="90.475384776579574"/>
    <n v="100"/>
    <n v="0"/>
    <n v="60"/>
    <n v="60"/>
    <n v="12"/>
    <n v="49.583799127966493"/>
    <x v="18"/>
    <x v="1"/>
  </r>
  <r>
    <s v="47"/>
    <s v="47000"/>
    <x v="1"/>
    <x v="19"/>
    <x v="4"/>
    <x v="1"/>
    <n v="65.982640937291663"/>
    <n v="34.017359062708337"/>
    <n v="13.376627255786991"/>
    <n v="47.586215082376754"/>
    <n v="49.991668994402893"/>
    <n v="50.008331005597107"/>
    <n v="48.843827930535269"/>
    <n v="70"/>
    <n v="23.506741081587752"/>
    <n v="20"/>
    <n v="44.322381030136441"/>
    <n v="35.457904824109157"/>
    <n v="6.3337136612302896"/>
    <n v="54.379872043181081"/>
    <n v="59.119315629605737"/>
    <n v="50"/>
    <n v="95.017176627539186"/>
    <n v="100"/>
    <n v="0"/>
    <n v="68.126624014393698"/>
    <n v="68.126624014393698"/>
    <n v="13.62532480287874"/>
    <n v="49.083229626987901"/>
    <x v="19"/>
    <x v="1"/>
  </r>
  <r>
    <s v="50"/>
    <s v="50000"/>
    <x v="1"/>
    <x v="20"/>
    <x v="3"/>
    <x v="1"/>
    <n v="49.780681041783495"/>
    <n v="50.219318958216505"/>
    <n v="59.009503809274264"/>
    <n v="100"/>
    <n v="19.180377997361397"/>
    <n v="80.819622002638596"/>
    <n v="54.601034978609363"/>
    <n v="70"/>
    <n v="19.821552880013744"/>
    <n v="40"/>
    <n v="68.207788192171023"/>
    <n v="54.566230553736823"/>
    <n v="6.6809637879832851"/>
    <n v="71.085925252636358"/>
    <n v="80.03427437173228"/>
    <n v="80"/>
    <n v="77.361118442074229"/>
    <n v="70"/>
    <n v="0"/>
    <n v="73.695308417545448"/>
    <n v="73.695308417545448"/>
    <n v="14.739061683509091"/>
    <n v="69.305292237245908"/>
    <x v="20"/>
    <x v="2"/>
  </r>
  <r>
    <s v="52"/>
    <s v="52000"/>
    <x v="1"/>
    <x v="21"/>
    <x v="3"/>
    <x v="1"/>
    <n v="69.098503618683793"/>
    <n v="30.901496381316207"/>
    <n v="9.7522017004924422"/>
    <n v="16.526493312014143"/>
    <n v="64.347105999387779"/>
    <n v="35.652894000612221"/>
    <n v="55.194236443877386"/>
    <n v="80"/>
    <n v="20.483187713516486"/>
    <n v="20"/>
    <n v="36.616176738788511"/>
    <n v="29.292941391030809"/>
    <n v="0"/>
    <n v="0"/>
    <n v="82.099298097329466"/>
    <n v="80"/>
    <n v="89.916773377945759"/>
    <n v="80"/>
    <n v="0"/>
    <n v="53.333333333333336"/>
    <n v="53.333333333333336"/>
    <n v="10.666666666666668"/>
    <n v="39.95960805769748"/>
    <x v="21"/>
    <x v="4"/>
  </r>
  <r>
    <s v="54"/>
    <s v="54000"/>
    <x v="1"/>
    <x v="22"/>
    <x v="4"/>
    <x v="1"/>
    <n v="64.535025677314039"/>
    <n v="35.464974322685961"/>
    <n v="19.995121875633885"/>
    <n v="71.130947433749895"/>
    <n v="67.754617218369972"/>
    <n v="32.245382781630028"/>
    <n v="54.144385072413115"/>
    <n v="70"/>
    <n v="14.355441103773684"/>
    <n v="60"/>
    <n v="53.768260907613168"/>
    <n v="43.014608726090536"/>
    <n v="21.390194176120893"/>
    <n v="100"/>
    <n v="92.440597837235586"/>
    <n v="100"/>
    <n v="94.696143623376244"/>
    <n v="100"/>
    <n v="0"/>
    <n v="100"/>
    <n v="100"/>
    <n v="20"/>
    <n v="63.014608726090536"/>
    <x v="22"/>
    <x v="2"/>
  </r>
  <r>
    <s v="86"/>
    <s v="86000"/>
    <x v="1"/>
    <x v="23"/>
    <x v="1"/>
    <x v="1"/>
    <n v="80.755888091344744"/>
    <n v="19.244111908655256"/>
    <n v="16.680272144505796"/>
    <n v="31.906496686723401"/>
    <n v="28.474548997989864"/>
    <n v="71.525451002010129"/>
    <n v="38.644553723435976"/>
    <n v="50"/>
    <n v="13.033882609175713"/>
    <n v="60"/>
    <n v="46.53521191947776"/>
    <n v="37.228169535582211"/>
    <n v="10.386516850369553"/>
    <n v="72.098741219369302"/>
    <n v="109.66542845504134"/>
    <n v="100"/>
    <n v="85.707958585613568"/>
    <n v="80"/>
    <n v="0"/>
    <n v="84.032913739789763"/>
    <n v="84.032913739789763"/>
    <n v="16.806582747957954"/>
    <n v="54.034752283540165"/>
    <x v="23"/>
    <x v="1"/>
  </r>
  <r>
    <s v="63"/>
    <s v="63000"/>
    <x v="1"/>
    <x v="24"/>
    <x v="5"/>
    <x v="1"/>
    <n v="55.957895766567944"/>
    <n v="44.042104233432056"/>
    <n v="7.3527805054221389"/>
    <n v="22.500021974605659"/>
    <n v="70.925232655745091"/>
    <n v="29.074767344254909"/>
    <n v="35.684988398764958"/>
    <n v="50"/>
    <n v="16.356145827698835"/>
    <n v="40"/>
    <n v="37.123378710458525"/>
    <n v="29.69870296836682"/>
    <n v="21.608729566474128"/>
    <n v="100"/>
    <n v="75.414218268149114"/>
    <n v="70"/>
    <n v="98.936161798496855"/>
    <n v="100"/>
    <n v="0"/>
    <n v="90"/>
    <n v="90"/>
    <n v="18"/>
    <n v="47.698702968366817"/>
    <x v="24"/>
    <x v="1"/>
  </r>
  <r>
    <s v="66"/>
    <s v="66000"/>
    <x v="1"/>
    <x v="25"/>
    <x v="4"/>
    <x v="1"/>
    <n v="45.267459796725213"/>
    <n v="54.732540203274787"/>
    <n v="23.781101153414454"/>
    <n v="84.599247085438762"/>
    <n v="38.801090574523236"/>
    <n v="61.198909425476764"/>
    <n v="48.228272014120641"/>
    <n v="70"/>
    <n v="19.041829965048361"/>
    <n v="40"/>
    <n v="62.106139342838063"/>
    <n v="49.68491147427045"/>
    <n v="20.617537502160516"/>
    <n v="100"/>
    <n v="84.492612222651871"/>
    <n v="80"/>
    <n v="96.337210868902687"/>
    <n v="100"/>
    <n v="0"/>
    <n v="93.333333333333329"/>
    <n v="93.333333333333329"/>
    <n v="18.666666666666668"/>
    <n v="68.351578140937121"/>
    <x v="25"/>
    <x v="2"/>
  </r>
  <r>
    <s v="88"/>
    <s v="88000"/>
    <x v="1"/>
    <x v="26"/>
    <x v="5"/>
    <x v="1"/>
    <n v="48.194698972354693"/>
    <n v="51.805301027645307"/>
    <n v="12.111549441587202"/>
    <n v="37.062187342771708"/>
    <n v="23.164471541646385"/>
    <n v="76.835528458353622"/>
    <n v="19.13777236261706"/>
    <n v="30"/>
    <n v="54.624358278239484"/>
    <n v="0"/>
    <n v="39.140603365754131"/>
    <n v="31.312482692603307"/>
    <n v="5.0995280008366954"/>
    <n v="43.171948702963576"/>
    <n v="42.505842581964913"/>
    <n v="0"/>
    <n v="79.124448251531831"/>
    <n v="70"/>
    <n v="0"/>
    <n v="37.723982900987856"/>
    <n v="37.723982900987856"/>
    <n v="7.5447965801975716"/>
    <n v="38.857279272800881"/>
    <x v="26"/>
    <x v="4"/>
  </r>
  <r>
    <s v="68"/>
    <s v="68000"/>
    <x v="1"/>
    <x v="27"/>
    <x v="3"/>
    <x v="1"/>
    <n v="54.008228760550011"/>
    <n v="45.991771239449989"/>
    <n v="19.752283995839122"/>
    <n v="33.473055560136302"/>
    <n v="65.217123992866334"/>
    <n v="34.782876007133666"/>
    <n v="33.331761246583405"/>
    <n v="40"/>
    <n v="15.30916127534932"/>
    <n v="40"/>
    <n v="38.849540561343993"/>
    <n v="31.079632449075195"/>
    <n v="8.1227135238677857"/>
    <n v="86.426243986654057"/>
    <n v="84.014184223562481"/>
    <n v="80"/>
    <n v="84.896211291804221"/>
    <n v="80"/>
    <n v="0"/>
    <n v="82.142081328884686"/>
    <n v="82.142081328884686"/>
    <n v="16.428416265776939"/>
    <n v="47.508048714852137"/>
    <x v="27"/>
    <x v="1"/>
  </r>
  <r>
    <s v="70"/>
    <s v="70000"/>
    <x v="1"/>
    <x v="28"/>
    <x v="5"/>
    <x v="1"/>
    <n v="76.094259055768958"/>
    <n v="23.905740944231042"/>
    <n v="32.678992552632856"/>
    <n v="100"/>
    <n v="30.724688213587662"/>
    <n v="69.275311786412345"/>
    <n v="45.117143100010217"/>
    <n v="70"/>
    <n v="17.737338029414829"/>
    <n v="40"/>
    <n v="60.63621054612868"/>
    <n v="48.508968436902947"/>
    <n v="0"/>
    <n v="0"/>
    <n v="82.261477888447857"/>
    <n v="80"/>
    <n v="97.59599064759432"/>
    <n v="100"/>
    <n v="0"/>
    <n v="60"/>
    <n v="60"/>
    <n v="12"/>
    <n v="60.508968436902947"/>
    <x v="28"/>
    <x v="2"/>
  </r>
  <r>
    <s v="73"/>
    <s v="73000"/>
    <x v="1"/>
    <x v="29"/>
    <x v="4"/>
    <x v="1"/>
    <n v="60.92106276937723"/>
    <n v="39.07893723062277"/>
    <n v="22.061973498472071"/>
    <n v="78.483596497450733"/>
    <n v="80.964943212320037"/>
    <n v="19.035056787679963"/>
    <n v="37.137981663272228"/>
    <n v="50"/>
    <n v="12.689848537860115"/>
    <n v="60"/>
    <n v="49.319518103150692"/>
    <n v="39.455614482520559"/>
    <n v="27.960767228205285"/>
    <n v="100"/>
    <n v="81.290436334523974"/>
    <n v="80"/>
    <n v="92.843557123975572"/>
    <n v="100"/>
    <n v="0"/>
    <n v="93.333333333333329"/>
    <n v="93.333333333333329"/>
    <n v="18.666666666666668"/>
    <n v="58.122281149187231"/>
    <x v="29"/>
    <x v="1"/>
  </r>
  <r>
    <s v="76"/>
    <s v="76000"/>
    <x v="1"/>
    <x v="30"/>
    <x v="2"/>
    <x v="1"/>
    <n v="33.745317147876754"/>
    <n v="66.254682852123238"/>
    <n v="24.350572352269509"/>
    <n v="71.119869963520756"/>
    <n v="77.762712371509821"/>
    <n v="22.237287628490179"/>
    <n v="65.003311069287903"/>
    <n v="100"/>
    <n v="20.231055539840934"/>
    <n v="20"/>
    <n v="55.922368088826829"/>
    <n v="44.737894471061466"/>
    <n v="11.520475522684587"/>
    <n v="100"/>
    <n v="88.441169979118257"/>
    <n v="80"/>
    <n v="92.871397733706871"/>
    <n v="100"/>
    <n v="0"/>
    <n v="93.333333333333329"/>
    <n v="93.333333333333329"/>
    <n v="18.666666666666668"/>
    <n v="63.404561137728138"/>
    <x v="30"/>
    <x v="2"/>
  </r>
  <r>
    <s v="97"/>
    <s v="97000"/>
    <x v="1"/>
    <x v="31"/>
    <x v="1"/>
    <x v="1"/>
    <n v="85.497358679371601"/>
    <n v="14.502641320628399"/>
    <n v="52.278607420559013"/>
    <n v="100"/>
    <n v="10.072137118138039"/>
    <n v="89.927862881861955"/>
    <n v="54.650687563543777"/>
    <n v="70"/>
    <n v="47.545915699701155"/>
    <n v="0"/>
    <n v="54.886100840498067"/>
    <n v="43.908880672398453"/>
    <n v="27.285859827698498"/>
    <n v="100"/>
    <n v="195.38027928860882"/>
    <n v="0"/>
    <n v="85.007081497193852"/>
    <n v="80"/>
    <n v="0"/>
    <n v="60"/>
    <n v="60"/>
    <n v="12"/>
    <n v="55.908880672398453"/>
    <x v="31"/>
    <x v="1"/>
  </r>
  <r>
    <s v="99"/>
    <s v="99000"/>
    <x v="1"/>
    <x v="32"/>
    <x v="1"/>
    <x v="1"/>
    <n v="80.052497901387966"/>
    <n v="19.947502098612034"/>
    <n v="6.7635486346236631"/>
    <n v="12.937507267961081"/>
    <n v="24.799015517805241"/>
    <n v="75.200984482194755"/>
    <n v="51.795699388458935"/>
    <n v="70"/>
    <n v="30.906828071062876"/>
    <n v="0"/>
    <n v="35.617198769753578"/>
    <n v="28.493759015802866"/>
    <n v="30.312381937064703"/>
    <n v="100"/>
    <n v="80.948659084694881"/>
    <n v="80"/>
    <n v="90.070250159683482"/>
    <n v="100"/>
    <n v="0"/>
    <n v="93.333333333333329"/>
    <n v="93.333333333333329"/>
    <n v="18.666666666666668"/>
    <n v="47.160425682469537"/>
    <x v="32"/>
    <x v="1"/>
  </r>
  <r>
    <s v="05"/>
    <s v="05000"/>
    <x v="2"/>
    <x v="2"/>
    <x v="6"/>
    <x v="1"/>
    <n v="37.220130778250834"/>
    <n v="62.779869221749166"/>
    <n v="28.643504591078571"/>
    <n v="84.247178293392253"/>
    <n v="76.476311645550027"/>
    <n v="23.523688354449973"/>
    <n v="62.176947996049925"/>
    <n v="80"/>
    <n v="11.869938483000308"/>
    <n v="60"/>
    <n v="62.110147173918278"/>
    <n v="49.688117739134626"/>
    <n v="29.622740959956552"/>
    <n v="100"/>
    <n v="118.98787281319505"/>
    <n v="80"/>
    <n v="89.740562631259465"/>
    <n v="80"/>
    <n v="0"/>
    <n v="86.666666666666671"/>
    <n v="86.666666666666671"/>
    <n v="17.333333333333336"/>
    <n v="67.021451072467954"/>
    <x v="33"/>
    <x v="2"/>
  </r>
  <r>
    <s v="08"/>
    <s v="08000"/>
    <x v="2"/>
    <x v="4"/>
    <x v="7"/>
    <x v="1"/>
    <n v="36.397986239867073"/>
    <n v="63.602013760132927"/>
    <n v="31.977234319821118"/>
    <n v="94.524838136154926"/>
    <n v="43.34030409278369"/>
    <n v="56.65969590721631"/>
    <n v="71.692657022484667"/>
    <n v="100"/>
    <n v="-11.263148675786724"/>
    <n v="60"/>
    <n v="74.957309560700836"/>
    <n v="59.965847648560668"/>
    <n v="18.932638564293047"/>
    <n v="100"/>
    <n v="122.23130245123005"/>
    <n v="70"/>
    <n v="73.987826673134137"/>
    <n v="70"/>
    <n v="0"/>
    <n v="80"/>
    <n v="80"/>
    <n v="16"/>
    <n v="75.965847648560668"/>
    <x v="34"/>
    <x v="3"/>
  </r>
  <r>
    <s v="13"/>
    <s v="13000"/>
    <x v="2"/>
    <x v="5"/>
    <x v="7"/>
    <x v="1"/>
    <n v="60.98803190503169"/>
    <n v="39.01196809496831"/>
    <n v="25.870640208686641"/>
    <n v="76.473720452084606"/>
    <n v="63.670073906004049"/>
    <n v="36.329926093995951"/>
    <n v="35.943015341031867"/>
    <n v="50"/>
    <n v="-5.779604211073984"/>
    <n v="80"/>
    <n v="56.363122928209769"/>
    <n v="45.09049834256782"/>
    <n v="5.1658665229204708"/>
    <n v="36.390688382796789"/>
    <n v="129.35722399195311"/>
    <n v="70"/>
    <n v="77.287132663768574"/>
    <n v="70"/>
    <n v="0"/>
    <n v="58.796896127598927"/>
    <n v="58.796896127598927"/>
    <n v="11.759379225519787"/>
    <n v="56.849877568087607"/>
    <x v="35"/>
    <x v="1"/>
  </r>
  <r>
    <s v="15"/>
    <s v="15000"/>
    <x v="2"/>
    <x v="6"/>
    <x v="7"/>
    <x v="1"/>
    <n v="63.996872348471122"/>
    <n v="36.003127651528878"/>
    <n v="14.157158924125232"/>
    <n v="41.848620877799689"/>
    <n v="66.756189777978037"/>
    <n v="33.243810222021963"/>
    <n v="57.168307487761858"/>
    <n v="80"/>
    <n v="14.119233098286626"/>
    <n v="60"/>
    <n v="50.219111750270109"/>
    <n v="40.175289400216087"/>
    <n v="14.333145900919225"/>
    <n v="100"/>
    <n v="116.43310828166611"/>
    <n v="80"/>
    <n v="89.041524239234889"/>
    <n v="80"/>
    <n v="0"/>
    <n v="86.666666666666671"/>
    <n v="86.666666666666671"/>
    <n v="17.333333333333336"/>
    <n v="57.508622733549423"/>
    <x v="36"/>
    <x v="1"/>
  </r>
  <r>
    <s v="17"/>
    <s v="17000"/>
    <x v="2"/>
    <x v="7"/>
    <x v="8"/>
    <x v="1"/>
    <n v="46.724889673417039"/>
    <n v="53.275110326582961"/>
    <n v="24.539904754834982"/>
    <n v="75.740892324862799"/>
    <n v="60.745027571021865"/>
    <n v="39.254972428978135"/>
    <n v="54.961331556340966"/>
    <n v="70"/>
    <n v="11.454485769301865"/>
    <n v="60"/>
    <n v="59.654195016084785"/>
    <n v="47.723356012867832"/>
    <n v="15.859380943724977"/>
    <n v="68.051570755698435"/>
    <n v="121.85783991278359"/>
    <n v="70"/>
    <n v="98.026677878273716"/>
    <n v="100"/>
    <n v="0"/>
    <n v="79.350523585232807"/>
    <n v="79.350523585232807"/>
    <n v="15.870104717046562"/>
    <n v="63.593460729914398"/>
    <x v="37"/>
    <x v="2"/>
  </r>
  <r>
    <s v="18"/>
    <s v="18000"/>
    <x v="2"/>
    <x v="8"/>
    <x v="9"/>
    <x v="1"/>
    <n v="73.004015011358518"/>
    <n v="26.995984988641482"/>
    <n v="7.5497174705745778"/>
    <n v="17.517205225428381"/>
    <n v="51.387121899262752"/>
    <n v="48.612878100737248"/>
    <n v="45.396697457940839"/>
    <n v="70"/>
    <n v="17.534676149761871"/>
    <n v="40"/>
    <n v="40.625213662961428"/>
    <n v="32.500170930369144"/>
    <n v="12.362409619346737"/>
    <n v="76.129129205950463"/>
    <n v="112.72784101376138"/>
    <n v="80"/>
    <n v="89.688996297451865"/>
    <n v="80"/>
    <n v="0"/>
    <n v="78.709709735316821"/>
    <n v="78.709709735316821"/>
    <n v="15.741941947063365"/>
    <n v="48.242112877432511"/>
    <x v="38"/>
    <x v="1"/>
  </r>
  <r>
    <s v="19"/>
    <s v="19000"/>
    <x v="2"/>
    <x v="10"/>
    <x v="10"/>
    <x v="1"/>
    <n v="78.06207316041251"/>
    <n v="21.93792683958749"/>
    <n v="5.4604251822196597"/>
    <n v="33.510326410552217"/>
    <n v="41.205958502154047"/>
    <n v="58.794041497845953"/>
    <n v="57.231689290252753"/>
    <n v="80"/>
    <n v="20.256897246646119"/>
    <n v="20"/>
    <n v="42.848458949597131"/>
    <n v="34.278767159677706"/>
    <n v="41.808625632489644"/>
    <n v="100"/>
    <n v="132.07878284630476"/>
    <n v="60"/>
    <n v="97.651343895456563"/>
    <n v="100"/>
    <n v="0"/>
    <n v="86.666666666666671"/>
    <n v="86.666666666666671"/>
    <n v="17.333333333333336"/>
    <n v="51.612100493011042"/>
    <x v="39"/>
    <x v="1"/>
  </r>
  <r>
    <s v="20"/>
    <s v="20000"/>
    <x v="2"/>
    <x v="11"/>
    <x v="8"/>
    <x v="1"/>
    <n v="75.7241921746472"/>
    <n v="24.2758078253528"/>
    <n v="32.399809404911757"/>
    <n v="100"/>
    <n v="23.582774486177414"/>
    <n v="76.417225513822586"/>
    <n v="54.32910687854308"/>
    <n v="70"/>
    <n v="18.472358459962955"/>
    <n v="40"/>
    <n v="62.138606667835077"/>
    <n v="49.710885334268063"/>
    <n v="28.394403257092943"/>
    <n v="100"/>
    <n v="115.66421569495587"/>
    <n v="80"/>
    <n v="91.046112630445251"/>
    <n v="100"/>
    <n v="0"/>
    <n v="93.333333333333329"/>
    <n v="93.333333333333329"/>
    <n v="18.666666666666668"/>
    <n v="68.377552000934728"/>
    <x v="40"/>
    <x v="2"/>
  </r>
  <r>
    <s v="23"/>
    <s v="23000"/>
    <x v="2"/>
    <x v="13"/>
    <x v="8"/>
    <x v="1"/>
    <n v="76.756914373606364"/>
    <n v="23.243085626393636"/>
    <n v="19.724380983414711"/>
    <n v="60.878077203826173"/>
    <n v="94.42938240664833"/>
    <n v="5.5706175933516704"/>
    <n v="51.767571582843743"/>
    <n v="70"/>
    <n v="15.579983775281775"/>
    <n v="40"/>
    <n v="39.9383560847143"/>
    <n v="31.950684867771443"/>
    <n v="7.291637404213958"/>
    <n v="31.287941219048399"/>
    <n v="121.868832164645"/>
    <n v="70"/>
    <n v="92.600955680563644"/>
    <n v="100"/>
    <n v="0"/>
    <n v="67.095980406349469"/>
    <n v="67.095980406349469"/>
    <n v="13.419196081269895"/>
    <n v="45.369880949041338"/>
    <x v="41"/>
    <x v="1"/>
  </r>
  <r>
    <s v="25"/>
    <s v="25000"/>
    <x v="2"/>
    <x v="14"/>
    <x v="6"/>
    <x v="1"/>
    <n v="35.354251029027353"/>
    <n v="64.645748970972647"/>
    <n v="33.999363742874657"/>
    <n v="100"/>
    <n v="79.919205922995857"/>
    <n v="20.080794077004143"/>
    <n v="72.825601798953087"/>
    <n v="100"/>
    <n v="7.1403138739673686"/>
    <n v="80"/>
    <n v="72.945308609595358"/>
    <n v="58.356246887676292"/>
    <n v="5.1895140979289378"/>
    <n v="29.380107828603467"/>
    <n v="123.05807697531068"/>
    <n v="70"/>
    <n v="91.010103664484689"/>
    <n v="100"/>
    <n v="0"/>
    <n v="66.460035942867819"/>
    <n v="66.460035942867819"/>
    <n v="13.292007188573564"/>
    <n v="71.648254076249856"/>
    <x v="42"/>
    <x v="3"/>
  </r>
  <r>
    <s v="27"/>
    <s v="27000"/>
    <x v="2"/>
    <x v="12"/>
    <x v="9"/>
    <x v="1"/>
    <n v="73.746619459729374"/>
    <n v="26.253380540270626"/>
    <n v="17.706408697451952"/>
    <n v="41.083232076891264"/>
    <n v="34.669482741770658"/>
    <n v="65.330517258229349"/>
    <n v="25.92469300418297"/>
    <n v="40"/>
    <n v="8.0226342555829984"/>
    <n v="80"/>
    <n v="50.533425975078252"/>
    <n v="40.426740780062602"/>
    <n v="2.5212006884313576"/>
    <n v="15.52584155303734"/>
    <n v="113.03786950945042"/>
    <n v="80"/>
    <n v="88.359061350837635"/>
    <n v="80"/>
    <n v="0"/>
    <n v="58.508613851012448"/>
    <n v="58.508613851012448"/>
    <n v="11.70172277020249"/>
    <n v="52.128463550265096"/>
    <x v="43"/>
    <x v="1"/>
  </r>
  <r>
    <s v="41"/>
    <s v="41000"/>
    <x v="2"/>
    <x v="18"/>
    <x v="8"/>
    <x v="1"/>
    <n v="64.65888215328772"/>
    <n v="35.34111784671228"/>
    <n v="18.251919356814359"/>
    <n v="56.333415819561573"/>
    <n v="57.933953332149265"/>
    <n v="42.066046667850735"/>
    <n v="62.44227975463955"/>
    <n v="80"/>
    <n v="22.4205278931591"/>
    <n v="20"/>
    <n v="46.74811606682492"/>
    <n v="37.398492853459935"/>
    <n v="29.312965771617844"/>
    <n v="100"/>
    <n v="146.41198682167342"/>
    <n v="50"/>
    <n v="90.17412614212148"/>
    <n v="100"/>
    <n v="0"/>
    <n v="83.333333333333329"/>
    <n v="83.333333333333329"/>
    <n v="16.666666666666668"/>
    <n v="54.065159520126599"/>
    <x v="44"/>
    <x v="1"/>
  </r>
  <r>
    <s v="44"/>
    <s v="44000"/>
    <x v="2"/>
    <x v="16"/>
    <x v="9"/>
    <x v="1"/>
    <n v="73.698693740213884"/>
    <n v="26.301306259786116"/>
    <n v="10.716637759318056"/>
    <n v="24.865240810430262"/>
    <n v="41.295288245122528"/>
    <n v="58.704711754877472"/>
    <n v="55.588146463452389"/>
    <n v="80"/>
    <n v="19.944933523471491"/>
    <n v="40"/>
    <n v="45.974251765018771"/>
    <n v="36.779401412015019"/>
    <n v="35.96863721026228"/>
    <n v="100"/>
    <n v="158.24604655944256"/>
    <n v="0"/>
    <n v="90.053307095223815"/>
    <n v="100"/>
    <n v="0"/>
    <n v="66.666666666666671"/>
    <n v="66.666666666666671"/>
    <n v="13.333333333333336"/>
    <n v="50.112734745348355"/>
    <x v="45"/>
    <x v="1"/>
  </r>
  <r>
    <s v="47"/>
    <s v="47000"/>
    <x v="2"/>
    <x v="19"/>
    <x v="8"/>
    <x v="1"/>
    <n v="61.821493068308428"/>
    <n v="38.178506931691572"/>
    <n v="20.703026356795107"/>
    <n v="63.898605383945757"/>
    <n v="46.396427514613613"/>
    <n v="53.603572485386387"/>
    <n v="55.93820903079547"/>
    <n v="80"/>
    <n v="25.819022581203981"/>
    <n v="20"/>
    <n v="51.136136960204745"/>
    <n v="40.9089095681638"/>
    <n v="13.228351259063681"/>
    <n v="56.761993729874263"/>
    <n v="105.31246950346151"/>
    <n v="100"/>
    <n v="94.17287846961375"/>
    <n v="100"/>
    <n v="0"/>
    <n v="85.587331243291416"/>
    <n v="85.587331243291416"/>
    <n v="17.117466248658285"/>
    <n v="58.026375816822082"/>
    <x v="46"/>
    <x v="1"/>
  </r>
  <r>
    <s v="50"/>
    <s v="50000"/>
    <x v="2"/>
    <x v="20"/>
    <x v="7"/>
    <x v="1"/>
    <n v="51.676005365718147"/>
    <n v="48.323994634281853"/>
    <n v="22.982988318630046"/>
    <n v="67.937809410773255"/>
    <n v="18.405499776263628"/>
    <n v="81.594500223736375"/>
    <n v="56.13519548169613"/>
    <n v="80"/>
    <n v="26.802868851526291"/>
    <n v="20"/>
    <n v="59.571260853758289"/>
    <n v="47.657008683006637"/>
    <n v="13.534437839989232"/>
    <n v="95.342670525086646"/>
    <n v="138.310964322975"/>
    <n v="60"/>
    <n v="86.666641705068102"/>
    <n v="80"/>
    <n v="0"/>
    <n v="78.447556841695544"/>
    <n v="78.447556841695544"/>
    <n v="15.68951136833911"/>
    <n v="63.346520051345749"/>
    <x v="47"/>
    <x v="2"/>
  </r>
  <r>
    <s v="52"/>
    <s v="52000"/>
    <x v="2"/>
    <x v="21"/>
    <x v="7"/>
    <x v="1"/>
    <n v="64.059989994827475"/>
    <n v="35.940010005172525"/>
    <n v="18.210545079756926"/>
    <n v="53.830447274428494"/>
    <n v="61.341152860599401"/>
    <n v="38.658847139400599"/>
    <n v="59.374412031449161"/>
    <n v="80"/>
    <n v="22.160784799637497"/>
    <n v="20"/>
    <n v="45.685860883800324"/>
    <n v="36.548688707040263"/>
    <n v="21.573322075833389"/>
    <n v="100"/>
    <n v="133.71185209685711"/>
    <n v="60"/>
    <n v="88.676586992013995"/>
    <n v="80"/>
    <n v="0"/>
    <n v="80"/>
    <n v="80"/>
    <n v="16"/>
    <n v="52.548688707040263"/>
    <x v="48"/>
    <x v="1"/>
  </r>
  <r>
    <s v="54"/>
    <s v="54000"/>
    <x v="2"/>
    <x v="22"/>
    <x v="8"/>
    <x v="1"/>
    <n v="68.560061983865012"/>
    <n v="31.439938016134988"/>
    <n v="16.830116377961016"/>
    <n v="51.945109206135015"/>
    <n v="70.642400007755967"/>
    <n v="29.357599992244033"/>
    <n v="58.728343544429698"/>
    <n v="80"/>
    <n v="10.706399476620945"/>
    <n v="60"/>
    <n v="50.548529442902804"/>
    <n v="40.438823554322248"/>
    <n v="31.485437834269952"/>
    <n v="100"/>
    <n v="114.13667288328074"/>
    <n v="80"/>
    <n v="80.482775876113408"/>
    <n v="80"/>
    <n v="0"/>
    <n v="86.666666666666671"/>
    <n v="86.666666666666671"/>
    <n v="17.333333333333336"/>
    <n v="57.772156887655584"/>
    <x v="49"/>
    <x v="1"/>
  </r>
  <r>
    <s v="63"/>
    <s v="63000"/>
    <x v="2"/>
    <x v="24"/>
    <x v="10"/>
    <x v="1"/>
    <n v="52.276368714786756"/>
    <n v="47.723631285213244"/>
    <n v="10.98419182333906"/>
    <n v="67.40937584032325"/>
    <n v="57.622610171530226"/>
    <n v="42.377389828469774"/>
    <n v="47.31142585629604"/>
    <n v="70"/>
    <n v="17.653263272528964"/>
    <n v="40"/>
    <n v="53.502079390801256"/>
    <n v="42.801663512641007"/>
    <n v="17.8542285541767"/>
    <n v="100"/>
    <n v="111.84101289259654"/>
    <n v="80"/>
    <n v="99.780016223081304"/>
    <n v="100"/>
    <n v="0"/>
    <n v="93.333333333333329"/>
    <n v="93.333333333333329"/>
    <n v="18.666666666666668"/>
    <n v="61.468330179307671"/>
    <x v="50"/>
    <x v="2"/>
  </r>
  <r>
    <s v="66"/>
    <s v="66000"/>
    <x v="2"/>
    <x v="25"/>
    <x v="8"/>
    <x v="1"/>
    <n v="42.818070310027259"/>
    <n v="57.181929689972741"/>
    <n v="12.750221025539506"/>
    <n v="39.352765524622484"/>
    <n v="42.02143829706408"/>
    <n v="57.97856170293592"/>
    <n v="65.744060173449682"/>
    <n v="100"/>
    <n v="22.657450163555886"/>
    <n v="20"/>
    <n v="54.902651383506225"/>
    <n v="43.92212110680498"/>
    <n v="24.91447795756735"/>
    <n v="100"/>
    <n v="160.93481261093831"/>
    <n v="0"/>
    <n v="93.423570446983831"/>
    <n v="100"/>
    <n v="0"/>
    <n v="66.666666666666671"/>
    <n v="66.666666666666671"/>
    <n v="13.333333333333336"/>
    <n v="57.255454440138315"/>
    <x v="51"/>
    <x v="1"/>
  </r>
  <r>
    <s v="68"/>
    <s v="68000"/>
    <x v="2"/>
    <x v="27"/>
    <x v="7"/>
    <x v="1"/>
    <n v="47.639740365941648"/>
    <n v="52.360259634058352"/>
    <n v="33.829451549825087"/>
    <n v="100"/>
    <n v="90.6885757122147"/>
    <n v="9.3114242877853002"/>
    <n v="47.116365092236762"/>
    <n v="70"/>
    <n v="13.399265032532998"/>
    <n v="60"/>
    <n v="58.334336784368737"/>
    <n v="46.667469427494993"/>
    <n v="11.634023606218385"/>
    <n v="81.955297492403446"/>
    <n v="167.58408621160825"/>
    <n v="0"/>
    <n v="78.673546074483909"/>
    <n v="70"/>
    <n v="0"/>
    <n v="50.651765830801146"/>
    <n v="50.651765830801146"/>
    <n v="10.13035316616023"/>
    <n v="56.797822593655226"/>
    <x v="52"/>
    <x v="1"/>
  </r>
  <r>
    <s v="70"/>
    <s v="70000"/>
    <x v="2"/>
    <x v="28"/>
    <x v="10"/>
    <x v="1"/>
    <n v="80.483332741237248"/>
    <n v="19.516667258762752"/>
    <n v="16.294753788194086"/>
    <n v="100"/>
    <n v="33.179209071731997"/>
    <n v="66.820790928267996"/>
    <n v="56.739279620481788"/>
    <n v="80"/>
    <n v="6.8361057452488332"/>
    <n v="80"/>
    <n v="69.267491637406152"/>
    <n v="55.413993309924926"/>
    <n v="11.009314028244122"/>
    <n v="63.700169135894441"/>
    <n v="113.47785516797528"/>
    <n v="80"/>
    <n v="84.235916000257518"/>
    <n v="80"/>
    <n v="0"/>
    <n v="74.566723045298147"/>
    <n v="74.566723045298147"/>
    <n v="14.91334460905963"/>
    <n v="70.327337918984554"/>
    <x v="53"/>
    <x v="3"/>
  </r>
  <r>
    <s v="73"/>
    <s v="73000"/>
    <x v="2"/>
    <x v="29"/>
    <x v="8"/>
    <x v="1"/>
    <n v="58.736602786897741"/>
    <n v="41.263397213102259"/>
    <n v="27.622904115301889"/>
    <n v="85.25637842522093"/>
    <n v="70.743511999055499"/>
    <n v="29.256488000944501"/>
    <n v="51.926958761384427"/>
    <n v="70"/>
    <n v="2.2433453735909121"/>
    <n v="100"/>
    <n v="65.155252727853536"/>
    <n v="52.124202182282829"/>
    <n v="35.952903309146613"/>
    <n v="100"/>
    <n v="115.15034942652917"/>
    <n v="80"/>
    <n v="81.246970730603877"/>
    <n v="80"/>
    <n v="0"/>
    <n v="86.666666666666671"/>
    <n v="86.666666666666671"/>
    <n v="17.333333333333336"/>
    <n v="69.457535515616172"/>
    <x v="54"/>
    <x v="2"/>
  </r>
  <r>
    <s v="76"/>
    <s v="76000"/>
    <x v="2"/>
    <x v="30"/>
    <x v="6"/>
    <x v="1"/>
    <n v="31.218196510189049"/>
    <n v="68.781803489810954"/>
    <n v="28.202897099329743"/>
    <n v="82.951249654606571"/>
    <n v="72.857700794834841"/>
    <n v="27.142299205165159"/>
    <n v="66.150409419045289"/>
    <n v="100"/>
    <n v="19.746973861127174"/>
    <n v="40"/>
    <n v="63.775070469916535"/>
    <n v="51.02005637593323"/>
    <n v="18.177823755337297"/>
    <n v="100"/>
    <n v="119.31332253213023"/>
    <n v="80"/>
    <n v="94.329993271090402"/>
    <n v="100"/>
    <n v="0"/>
    <n v="93.333333333333329"/>
    <n v="93.333333333333329"/>
    <n v="18.666666666666668"/>
    <n v="69.686723042599894"/>
    <x v="55"/>
    <x v="2"/>
  </r>
  <r>
    <s v="81"/>
    <s v="81000"/>
    <x v="2"/>
    <x v="3"/>
    <x v="9"/>
    <x v="1"/>
    <n v="78.949254698657711"/>
    <n v="21.050745301342289"/>
    <n v="14.051446577791424"/>
    <n v="32.602819161997438"/>
    <n v="45.987793909110998"/>
    <n v="54.012206090889002"/>
    <n v="42.984848501574866"/>
    <n v="50"/>
    <n v="15.000292881405086"/>
    <n v="40"/>
    <n v="39.53315411084575"/>
    <n v="31.626523288676601"/>
    <n v="0"/>
    <n v="0"/>
    <n v="149.32519233167622"/>
    <n v="50"/>
    <n v="89.792475605916579"/>
    <n v="80"/>
    <n v="0"/>
    <n v="43.333333333333336"/>
    <n v="43.333333333333336"/>
    <n v="8.6666666666666679"/>
    <n v="40.293189955343266"/>
    <x v="56"/>
    <x v="1"/>
  </r>
  <r>
    <s v="85"/>
    <s v="85000"/>
    <x v="2"/>
    <x v="9"/>
    <x v="10"/>
    <x v="1"/>
    <n v="66.895303414166634"/>
    <n v="33.104696585833366"/>
    <n v="6.1016647876548928"/>
    <n v="37.445578294504124"/>
    <n v="19.075858909768627"/>
    <n v="80.924141090231373"/>
    <n v="41.2714731871175"/>
    <n v="50"/>
    <n v="18.592093923633364"/>
    <n v="40"/>
    <n v="48.29488319411378"/>
    <n v="38.635906555291029"/>
    <n v="4.0900921605459111"/>
    <n v="23.665376583841891"/>
    <n v="154.46037383011873"/>
    <n v="0"/>
    <n v="94.082559356758665"/>
    <n v="100"/>
    <n v="0"/>
    <n v="41.221792194613961"/>
    <n v="41.221792194613961"/>
    <n v="8.2443584389227933"/>
    <n v="46.880264994213825"/>
    <x v="57"/>
    <x v="1"/>
  </r>
  <r>
    <s v="86"/>
    <s v="86000"/>
    <x v="2"/>
    <x v="23"/>
    <x v="9"/>
    <x v="1"/>
    <n v="79.568838830314348"/>
    <n v="20.431161169685652"/>
    <n v="12.728949786460555"/>
    <n v="29.534300665244967"/>
    <n v="25.303203436390611"/>
    <n v="74.696796563609382"/>
    <n v="37.665157388055391"/>
    <n v="50"/>
    <n v="13.464020991462814"/>
    <n v="60"/>
    <n v="46.932451679708002"/>
    <n v="37.5459613437664"/>
    <n v="10.384258599835105"/>
    <n v="63.947449485711466"/>
    <n v="103.19849247343249"/>
    <n v="100"/>
    <n v="85.620449238598724"/>
    <n v="80"/>
    <n v="0"/>
    <n v="81.315816495237158"/>
    <n v="81.315816495237158"/>
    <n v="16.263163299047431"/>
    <n v="53.809124642813828"/>
    <x v="58"/>
    <x v="1"/>
  </r>
  <r>
    <s v="88"/>
    <s v="88000"/>
    <x v="2"/>
    <x v="26"/>
    <x v="10"/>
    <x v="1"/>
    <n v="39.268672619475836"/>
    <n v="60.731327380524164"/>
    <n v="5.5041122966371816"/>
    <n v="33.778431808064717"/>
    <n v="20.746205170243353"/>
    <n v="79.253794829756643"/>
    <n v="38.559246306242557"/>
    <n v="50"/>
    <n v="64.237323654304831"/>
    <n v="0"/>
    <n v="44.752710803669103"/>
    <n v="35.802168642935285"/>
    <n v="11.652847916936505"/>
    <n v="67.423672475813504"/>
    <n v="230.10798966022949"/>
    <n v="0"/>
    <n v="82.45676642276446"/>
    <n v="80"/>
    <n v="0"/>
    <n v="49.141224158604501"/>
    <n v="49.141224158604501"/>
    <n v="9.8282448317209017"/>
    <n v="45.630413474656187"/>
    <x v="59"/>
    <x v="1"/>
  </r>
  <r>
    <s v="91"/>
    <s v="91000"/>
    <x v="2"/>
    <x v="1"/>
    <x v="9"/>
    <x v="1"/>
    <n v="88.589988632046996"/>
    <n v="11.410011367953004"/>
    <n v="10.438751768402266"/>
    <n v="24.220476824080333"/>
    <n v="34.474593477400994"/>
    <n v="65.525406522599013"/>
    <n v="38.752049045220716"/>
    <n v="50"/>
    <n v="28.834965417780577"/>
    <n v="20"/>
    <n v="34.231178942926469"/>
    <n v="27.384943154341176"/>
    <n v="7.0907506575604291"/>
    <n v="43.665651729563166"/>
    <n v="111.76613915228612"/>
    <n v="80"/>
    <n v="89.785854298700684"/>
    <n v="80"/>
    <n v="0"/>
    <n v="67.888550576521055"/>
    <n v="67.888550576521055"/>
    <n v="13.577710115304212"/>
    <n v="40.962653269645386"/>
    <x v="60"/>
    <x v="1"/>
  </r>
  <r>
    <s v="94"/>
    <s v="94000"/>
    <x v="2"/>
    <x v="15"/>
    <x v="9"/>
    <x v="1"/>
    <n v="72.192289963412179"/>
    <n v="27.807710036587821"/>
    <n v="42.830816770524649"/>
    <n v="99.378050935845096"/>
    <n v="22.056683359258518"/>
    <n v="77.943316640741486"/>
    <n v="64.28880297390856"/>
    <n v="80"/>
    <n v="31.057628512004825"/>
    <n v="0"/>
    <n v="57.025815522634879"/>
    <n v="45.620652418107909"/>
    <n v="15.389963604862878"/>
    <n v="94.773152146320243"/>
    <n v="278.49509588664421"/>
    <n v="0"/>
    <n v="73.670419555555711"/>
    <n v="70"/>
    <n v="0"/>
    <n v="54.924384048773412"/>
    <n v="54.924384048773412"/>
    <n v="10.984876809754683"/>
    <n v="56.60552922786259"/>
    <x v="61"/>
    <x v="1"/>
  </r>
  <r>
    <s v="95"/>
    <s v="95000"/>
    <x v="2"/>
    <x v="17"/>
    <x v="9"/>
    <x v="1"/>
    <n v="73.243430113255997"/>
    <n v="26.756569886744003"/>
    <n v="43.098869787831411"/>
    <n v="100"/>
    <n v="19.054953887458598"/>
    <n v="80.945046112541405"/>
    <n v="53.693277620252488"/>
    <n v="70"/>
    <n v="15.139913031932291"/>
    <n v="40"/>
    <n v="63.540323199857085"/>
    <n v="50.832258559885673"/>
    <n v="15.673488061990593"/>
    <n v="96.519128108477645"/>
    <n v="187.42789331728284"/>
    <n v="0"/>
    <n v="92.939411720802084"/>
    <n v="100"/>
    <n v="0"/>
    <n v="65.50637603615921"/>
    <n v="65.50637603615921"/>
    <n v="13.101275207231843"/>
    <n v="63.933533767117517"/>
    <x v="62"/>
    <x v="2"/>
  </r>
  <r>
    <s v="97"/>
    <s v="97000"/>
    <x v="2"/>
    <x v="31"/>
    <x v="9"/>
    <x v="1"/>
    <n v="83.329147326145574"/>
    <n v="16.670852673854426"/>
    <n v="37.937108732570906"/>
    <n v="88.023442190779022"/>
    <n v="9.6319136825602438"/>
    <n v="90.368086317439762"/>
    <n v="53.971808635372909"/>
    <n v="70"/>
    <n v="47.992765053434994"/>
    <n v="0"/>
    <n v="53.012476236414635"/>
    <n v="42.409980989131711"/>
    <n v="31.142995807104327"/>
    <n v="100"/>
    <n v="123.13638533908275"/>
    <n v="70"/>
    <n v="81.776299959484717"/>
    <n v="80"/>
    <n v="0"/>
    <n v="83.333333333333329"/>
    <n v="83.333333333333329"/>
    <n v="16.666666666666668"/>
    <n v="59.076647655798382"/>
    <x v="63"/>
    <x v="1"/>
  </r>
  <r>
    <s v="99"/>
    <s v="99000"/>
    <x v="2"/>
    <x v="32"/>
    <x v="9"/>
    <x v="1"/>
    <n v="81.41550083848729"/>
    <n v="18.58449916151271"/>
    <n v="15.111062667159844"/>
    <n v="35.061389640956016"/>
    <n v="20.664287598154321"/>
    <n v="79.335712401845683"/>
    <n v="42.300213776612203"/>
    <n v="50"/>
    <n v="16.26970959133979"/>
    <n v="40"/>
    <n v="44.59632024086288"/>
    <n v="35.677056192690308"/>
    <n v="31.853672938423351"/>
    <n v="100"/>
    <n v="83.014145279210211"/>
    <n v="80"/>
    <n v="84.260980060953898"/>
    <n v="80"/>
    <n v="0"/>
    <n v="86.666666666666671"/>
    <n v="86.666666666666671"/>
    <n v="17.333333333333336"/>
    <n v="53.010389526023644"/>
    <x v="64"/>
    <x v="1"/>
  </r>
  <r>
    <s v="08"/>
    <s v="08000"/>
    <x v="3"/>
    <x v="4"/>
    <x v="7"/>
    <x v="1"/>
    <n v="27.77467083134097"/>
    <n v="72.22532916865903"/>
    <n v="11.009136957676603"/>
    <n v="53.344779643791099"/>
    <n v="49.826765741064833"/>
    <n v="50.173234258935167"/>
    <n v="64.697509943387217"/>
    <n v="80"/>
    <n v="-3.7581945278368827"/>
    <n v="100"/>
    <n v="71.148668614277057"/>
    <n v="56.91893489142165"/>
    <n v="32.057267272925088"/>
    <n v="100"/>
    <n v="108.24423715777934"/>
    <n v="100"/>
    <n v="70.34168802477565"/>
    <n v="70"/>
    <n v="0.18025792427137546"/>
    <n v="90"/>
    <n v="90.180257924271373"/>
    <n v="18.036051584854274"/>
    <n v="74.918934891421657"/>
    <x v="65"/>
    <x v="3"/>
  </r>
  <r>
    <s v="25"/>
    <s v="25000"/>
    <x v="3"/>
    <x v="14"/>
    <x v="6"/>
    <x v="1"/>
    <n v="26.233567961990126"/>
    <n v="73.766432038009867"/>
    <n v="11.641883267567584"/>
    <n v="100"/>
    <n v="81.027420199853339"/>
    <n v="18.972579800146661"/>
    <n v="71.249923209113376"/>
    <n v="100"/>
    <n v="10.318595412914746"/>
    <n v="60"/>
    <n v="70.547802367631306"/>
    <n v="56.438241894105047"/>
    <n v="12.392838547193925"/>
    <n v="71.645420430745844"/>
    <n v="134.9171204207251"/>
    <n v="60"/>
    <n v="90.840536341239684"/>
    <n v="100"/>
    <n v="0.28025665257616239"/>
    <n v="77.215140143581948"/>
    <n v="77.495396796158104"/>
    <n v="15.499079359231622"/>
    <n v="71.881269922821446"/>
    <x v="66"/>
    <x v="3"/>
  </r>
  <r>
    <s v="70"/>
    <s v="70000"/>
    <x v="3"/>
    <x v="28"/>
    <x v="10"/>
    <x v="1"/>
    <n v="69.188963207251064"/>
    <n v="30.811036792748936"/>
    <n v="10.582820860904658"/>
    <n v="100"/>
    <n v="31.44942731552781"/>
    <n v="68.550572684472186"/>
    <n v="59.994147544698109"/>
    <n v="80"/>
    <n v="8.9077737651558628"/>
    <n v="80"/>
    <n v="71.87232189544423"/>
    <n v="57.497857516355388"/>
    <n v="2.7977101013130437"/>
    <n v="19.592334223666246"/>
    <n v="134.24756669315158"/>
    <n v="60"/>
    <n v="88.330230243518884"/>
    <n v="80"/>
    <n v="0.34320824518242921"/>
    <n v="53.197444741222078"/>
    <n v="53.54065298640451"/>
    <n v="10.708130597280903"/>
    <n v="68.137346464599801"/>
    <x v="67"/>
    <x v="2"/>
  </r>
  <r>
    <s v="50"/>
    <s v="50000"/>
    <x v="3"/>
    <x v="20"/>
    <x v="7"/>
    <x v="1"/>
    <n v="37.648871458911017"/>
    <n v="62.351128541088983"/>
    <n v="20.637702566567782"/>
    <n v="100"/>
    <n v="17.616077362393433"/>
    <n v="82.38392263760656"/>
    <n v="50.925053024932922"/>
    <n v="70"/>
    <n v="24.787269243094968"/>
    <n v="20"/>
    <n v="66.947010235739114"/>
    <n v="53.557608188591296"/>
    <n v="5.7617169668930757"/>
    <n v="38.693395345693467"/>
    <n v="102.3735817699535"/>
    <n v="100"/>
    <n v="88.663927973715545"/>
    <n v="80"/>
    <n v="0.20905962564121183"/>
    <n v="72.897798448564487"/>
    <n v="73.106858074205704"/>
    <n v="14.621371614841141"/>
    <n v="68.137167878304197"/>
    <x v="68"/>
    <x v="2"/>
  </r>
  <r>
    <s v="41"/>
    <s v="41000"/>
    <x v="3"/>
    <x v="18"/>
    <x v="10"/>
    <x v="1"/>
    <n v="51.982924919340405"/>
    <n v="48.017075080659595"/>
    <n v="9.428906514614587"/>
    <n v="89.09634433525288"/>
    <n v="63.519806338366728"/>
    <n v="36.480193661633272"/>
    <n v="61.206238946242955"/>
    <n v="80"/>
    <n v="12.342638882455557"/>
    <n v="60"/>
    <n v="62.718722615509151"/>
    <n v="50.174978092407322"/>
    <n v="35.911906487993704"/>
    <n v="100"/>
    <n v="135.80376124083145"/>
    <n v="60"/>
    <n v="87.49967954085264"/>
    <n v="80"/>
    <n v="0.29508324625827953"/>
    <n v="80"/>
    <n v="80.295083246258287"/>
    <n v="16.059016649251657"/>
    <n v="66.174978092407315"/>
    <x v="69"/>
    <x v="2"/>
  </r>
  <r>
    <s v="95"/>
    <s v="95000"/>
    <x v="3"/>
    <x v="17"/>
    <x v="9"/>
    <x v="1"/>
    <n v="65.518209805019168"/>
    <n v="34.481790194980832"/>
    <n v="19.248558960087543"/>
    <n v="100"/>
    <n v="19.749477674835308"/>
    <n v="80.250522325164695"/>
    <n v="49.682352027177338"/>
    <n v="70"/>
    <n v="12.258956360847288"/>
    <n v="60"/>
    <n v="68.9464625040291"/>
    <n v="55.157170003223285"/>
    <n v="9.3601067205412676"/>
    <n v="75.584262645049222"/>
    <n v="197.44512070183845"/>
    <n v="0"/>
    <n v="86.229072803146707"/>
    <n v="80"/>
    <n v="0"/>
    <n v="51.861420881683074"/>
    <n v="51.861420881683074"/>
    <n v="10.372284176336615"/>
    <n v="65.529454179559906"/>
    <x v="70"/>
    <x v="2"/>
  </r>
  <r>
    <s v="05"/>
    <s v="05000"/>
    <x v="3"/>
    <x v="2"/>
    <x v="6"/>
    <x v="1"/>
    <n v="30.693679567343512"/>
    <n v="69.306320432656491"/>
    <n v="7.8143251060647998"/>
    <n v="67.122517263459031"/>
    <n v="82.694451676655575"/>
    <n v="17.305548323344425"/>
    <n v="68.267450239469198"/>
    <n v="100"/>
    <n v="19.477321535771068"/>
    <n v="40"/>
    <n v="58.746877203891998"/>
    <n v="46.997501763113604"/>
    <n v="29.919959021212712"/>
    <n v="100"/>
    <n v="120.54041446581151"/>
    <n v="70"/>
    <n v="89.230252753422505"/>
    <n v="80"/>
    <n v="0.21218080264158748"/>
    <n v="83.333333333333329"/>
    <n v="83.545514135974912"/>
    <n v="16.709102827194982"/>
    <n v="63.664168429780275"/>
    <x v="71"/>
    <x v="2"/>
  </r>
  <r>
    <s v="76"/>
    <s v="76000"/>
    <x v="3"/>
    <x v="30"/>
    <x v="6"/>
    <x v="1"/>
    <n v="24.038098474881643"/>
    <n v="75.96190152511835"/>
    <n v="5.8071246600091637"/>
    <n v="49.881316678263559"/>
    <n v="67.334003408202477"/>
    <n v="32.665996591797523"/>
    <n v="67.914930070273201"/>
    <n v="100"/>
    <n v="18.0140602433966"/>
    <n v="40"/>
    <n v="59.701842959035886"/>
    <n v="47.761474367228715"/>
    <n v="9.5795849705714247"/>
    <n v="55.381451969617423"/>
    <n v="114.71588743982245"/>
    <n v="80"/>
    <n v="93.88539394074904"/>
    <n v="100"/>
    <n v="0.11823785017751598"/>
    <n v="78.460483989872472"/>
    <n v="78.578721840049994"/>
    <n v="15.71574436801"/>
    <n v="63.453571165203208"/>
    <x v="72"/>
    <x v="2"/>
  </r>
  <r>
    <s v="20"/>
    <s v="20000"/>
    <x v="3"/>
    <x v="11"/>
    <x v="8"/>
    <x v="1"/>
    <n v="54.841252626843271"/>
    <n v="45.158747373156729"/>
    <n v="56.917472858183885"/>
    <n v="100"/>
    <n v="27.876331217084743"/>
    <n v="72.12366878291526"/>
    <n v="59.435043386495543"/>
    <n v="80"/>
    <n v="-29.380187575440907"/>
    <n v="20"/>
    <n v="63.456483231214392"/>
    <n v="50.765186584971516"/>
    <n v="10.280269183616682"/>
    <n v="59.206412834292593"/>
    <n v="135.10921921241902"/>
    <n v="60"/>
    <n v="58.345292002315993"/>
    <n v="50"/>
    <n v="0.21248736143576388"/>
    <n v="56.402137611430867"/>
    <n v="56.614624972866629"/>
    <n v="11.322924994573327"/>
    <n v="62.045614107257691"/>
    <x v="73"/>
    <x v="2"/>
  </r>
  <r>
    <s v="17"/>
    <s v="17000"/>
    <x v="3"/>
    <x v="7"/>
    <x v="8"/>
    <x v="1"/>
    <n v="48.888806432601612"/>
    <n v="51.111193567398388"/>
    <n v="25.396905290819653"/>
    <n v="44.620577856818812"/>
    <n v="60.288846202560798"/>
    <n v="39.711153797439202"/>
    <n v="53.190412558907205"/>
    <n v="70"/>
    <n v="11.545896912577538"/>
    <n v="60"/>
    <n v="53.088585044331282"/>
    <n v="42.470868035465031"/>
    <n v="21.317800188251162"/>
    <n v="100"/>
    <n v="126.78777760492703"/>
    <n v="70"/>
    <n v="90.78312618347131"/>
    <n v="100"/>
    <n v="0.16925399653633602"/>
    <n v="90"/>
    <n v="90.169253996536341"/>
    <n v="18.03385079930727"/>
    <n v="60.470868035465031"/>
    <x v="74"/>
    <x v="2"/>
  </r>
  <r>
    <s v="88"/>
    <s v="88000"/>
    <x v="3"/>
    <x v="26"/>
    <x v="10"/>
    <x v="1"/>
    <n v="14.717175804187775"/>
    <n v="85.282824195812225"/>
    <n v="9.3769184116160584"/>
    <n v="88.605094377591925"/>
    <n v="19.946454971847778"/>
    <n v="80.053545028152229"/>
    <n v="0.14689574747233933"/>
    <n v="20"/>
    <n v="31.476624876239185"/>
    <n v="0"/>
    <n v="54.788292720311276"/>
    <n v="43.830634176249021"/>
    <n v="10.902288104776062"/>
    <n v="76.348608188970104"/>
    <n v="100.62653070163432"/>
    <n v="100"/>
    <n v="74.461894288569979"/>
    <n v="70"/>
    <n v="0.65798582584237475"/>
    <n v="82.116202729656706"/>
    <n v="82.77418855549908"/>
    <n v="16.554837711099818"/>
    <n v="60.253874722180363"/>
    <x v="75"/>
    <x v="2"/>
  </r>
  <r>
    <s v="73"/>
    <s v="73000"/>
    <x v="3"/>
    <x v="29"/>
    <x v="8"/>
    <x v="1"/>
    <n v="54.912903192557195"/>
    <n v="45.087096807442805"/>
    <n v="3.6902537882046262"/>
    <n v="6.4835165774125239"/>
    <n v="77.134703447937738"/>
    <n v="22.865296552062262"/>
    <n v="56.216570822054926"/>
    <n v="80"/>
    <n v="-0.16662372164431011"/>
    <n v="100"/>
    <n v="50.887181987383521"/>
    <n v="40.709745589906817"/>
    <n v="29.385788566481565"/>
    <n v="100"/>
    <n v="112.43199833126978"/>
    <n v="80"/>
    <n v="86.119884252640858"/>
    <n v="80"/>
    <n v="0.22532102412550192"/>
    <n v="86.666666666666671"/>
    <n v="86.891987690792178"/>
    <n v="17.378397538158435"/>
    <n v="58.043078923240152"/>
    <x v="76"/>
    <x v="1"/>
  </r>
  <r>
    <s v="81"/>
    <s v="81000"/>
    <x v="3"/>
    <x v="3"/>
    <x v="9"/>
    <x v="1"/>
    <n v="72.520535826553669"/>
    <n v="27.479464173446331"/>
    <n v="15.251796318828163"/>
    <n v="79.236042295182799"/>
    <n v="46.093963785424556"/>
    <n v="53.906036214575444"/>
    <n v="35.007625167452808"/>
    <n v="50"/>
    <n v="14.513835852062115"/>
    <n v="60"/>
    <n v="54.12430853664091"/>
    <n v="43.299446829312728"/>
    <n v="4.9557787070041854"/>
    <n v="40.018654763723248"/>
    <n v="120.50239310518204"/>
    <n v="70"/>
    <n v="93.059494699419787"/>
    <n v="100"/>
    <n v="0"/>
    <n v="70.006218254574421"/>
    <n v="70.006218254574421"/>
    <n v="14.001243650914885"/>
    <n v="57.300690480227615"/>
    <x v="77"/>
    <x v="1"/>
  </r>
  <r>
    <s v="54"/>
    <s v="54000"/>
    <x v="3"/>
    <x v="22"/>
    <x v="8"/>
    <x v="1"/>
    <n v="47.086793695955144"/>
    <n v="52.913206304044856"/>
    <n v="2.3955700046707449"/>
    <n v="4.2088481522002388"/>
    <n v="63.615593932007805"/>
    <n v="36.384406067992195"/>
    <n v="58.015703751520995"/>
    <n v="80"/>
    <n v="7.3174709563885099"/>
    <n v="80"/>
    <n v="50.701292104847461"/>
    <n v="40.561033683877973"/>
    <n v="12.731217987543481"/>
    <n v="73.321985503563326"/>
    <n v="129.20319826422195"/>
    <n v="70"/>
    <n v="79.753362929792004"/>
    <n v="70"/>
    <n v="0.14895486811942527"/>
    <n v="71.10732850118778"/>
    <n v="71.256283369307212"/>
    <n v="14.251256673861443"/>
    <n v="54.782499384115532"/>
    <x v="78"/>
    <x v="1"/>
  </r>
  <r>
    <s v="47"/>
    <s v="47000"/>
    <x v="3"/>
    <x v="19"/>
    <x v="10"/>
    <x v="1"/>
    <n v="56.330466180818121"/>
    <n v="43.669533819181879"/>
    <n v="2.198286433914137"/>
    <n v="20.772216243734277"/>
    <n v="47.363910634212701"/>
    <n v="52.636089365787299"/>
    <n v="56.888034894851828"/>
    <n v="80"/>
    <n v="29.881562672058827"/>
    <n v="20"/>
    <n v="43.415567885740685"/>
    <n v="34.732454308592551"/>
    <n v="25.18217159749819"/>
    <n v="100"/>
    <n v="119.12733106475015"/>
    <n v="80"/>
    <n v="91.938902800642353"/>
    <n v="100"/>
    <n v="0.21207068716161395"/>
    <n v="93.333333333333329"/>
    <n v="93.545404020494942"/>
    <n v="18.709080804098988"/>
    <n v="53.399120975259223"/>
    <x v="79"/>
    <x v="1"/>
  </r>
  <r>
    <s v="86"/>
    <s v="86000"/>
    <x v="3"/>
    <x v="23"/>
    <x v="9"/>
    <x v="1"/>
    <n v="74.966158384509924"/>
    <n v="25.033841615490076"/>
    <n v="6.010731939620042"/>
    <n v="31.226919127210888"/>
    <n v="33.773417583680995"/>
    <n v="66.226582416319005"/>
    <n v="31.667769525216876"/>
    <n v="40"/>
    <n v="9.3827124188277136"/>
    <n v="80"/>
    <n v="48.497468631803997"/>
    <n v="38.797974905443198"/>
    <n v="4.821795911543191"/>
    <n v="38.936723637893508"/>
    <n v="119.88506027518324"/>
    <n v="80"/>
    <n v="87.266305254019528"/>
    <n v="80"/>
    <n v="0.12532544169917081"/>
    <n v="66.312241212631179"/>
    <n v="66.437566654330354"/>
    <n v="13.287513330866071"/>
    <n v="52.060423147969431"/>
    <x v="80"/>
    <x v="1"/>
  </r>
  <r>
    <s v="66"/>
    <s v="66000"/>
    <x v="3"/>
    <x v="25"/>
    <x v="8"/>
    <x v="1"/>
    <n v="23.131154767754253"/>
    <n v="76.868845232245747"/>
    <n v="0.3085682361472068"/>
    <n v="0.54213270662251345"/>
    <n v="51.744659438606732"/>
    <n v="48.255340561393268"/>
    <n v="71.975424431323205"/>
    <n v="100"/>
    <n v="38.55833607941203"/>
    <n v="0"/>
    <n v="45.133263700052304"/>
    <n v="36.106610960041841"/>
    <n v="16.085170124950011"/>
    <n v="92.638160141306486"/>
    <n v="136.21101696560666"/>
    <n v="60"/>
    <n v="87.798790994089231"/>
    <n v="80"/>
    <n v="0.20229783218738828"/>
    <n v="77.546053380435495"/>
    <n v="77.748351212622879"/>
    <n v="15.549670242524577"/>
    <n v="51.615821636128942"/>
    <x v="81"/>
    <x v="1"/>
  </r>
  <r>
    <s v="27"/>
    <s v="27000"/>
    <x v="3"/>
    <x v="12"/>
    <x v="9"/>
    <x v="1"/>
    <n v="77.157099341978892"/>
    <n v="22.842900658021108"/>
    <n v="6.183659754344264"/>
    <n v="32.125312690504607"/>
    <n v="31.822883467531547"/>
    <n v="68.17711653246846"/>
    <n v="16.97733297045513"/>
    <n v="30"/>
    <n v="8.9442818002370075"/>
    <n v="80"/>
    <n v="46.629065976198838"/>
    <n v="37.30325278095907"/>
    <n v="4.0000174211266568"/>
    <n v="32.300739336626528"/>
    <n v="90.784995517019937"/>
    <n v="100"/>
    <n v="89.674058868082398"/>
    <n v="80"/>
    <n v="0.17330022689879279"/>
    <n v="70.76691311220884"/>
    <n v="70.940213339107629"/>
    <n v="14.188042667821527"/>
    <n v="51.456635403400838"/>
    <x v="82"/>
    <x v="1"/>
  </r>
  <r>
    <s v="68"/>
    <s v="68000"/>
    <x v="3"/>
    <x v="27"/>
    <x v="7"/>
    <x v="1"/>
    <n v="40.21506033818914"/>
    <n v="59.78493966181086"/>
    <n v="9.3401132915118694"/>
    <n v="45.257524481637134"/>
    <n v="96.995187385290379"/>
    <n v="3.0048126147096212"/>
    <n v="47.700274276261418"/>
    <n v="70"/>
    <n v="17.941534784752434"/>
    <n v="40"/>
    <n v="43.609455351631524"/>
    <n v="34.887564281305224"/>
    <n v="14.347982653403641"/>
    <n v="96.355334427450671"/>
    <n v="120.4713798236787"/>
    <n v="70"/>
    <n v="84.173939926612988"/>
    <n v="80"/>
    <n v="0.18960691247602626"/>
    <n v="82.118444809150205"/>
    <n v="82.308051721626242"/>
    <n v="16.461610344325248"/>
    <n v="51.311253243135269"/>
    <x v="83"/>
    <x v="1"/>
  </r>
  <r>
    <s v="44"/>
    <s v="44000"/>
    <x v="3"/>
    <x v="16"/>
    <x v="9"/>
    <x v="1"/>
    <n v="65.315710822166267"/>
    <n v="34.684289177833733"/>
    <n v="5.5068077260018589"/>
    <n v="28.608935024280971"/>
    <n v="51.895487971686116"/>
    <n v="48.104512028313884"/>
    <n v="63.436825481831661"/>
    <n v="80"/>
    <n v="18.435295151661101"/>
    <n v="40"/>
    <n v="46.27954724608572"/>
    <n v="37.023637796868577"/>
    <n v="30.902665764825848"/>
    <n v="100"/>
    <n v="188.26266907772589"/>
    <n v="0"/>
    <n v="90.278618425726236"/>
    <n v="100"/>
    <n v="0.30030061931231911"/>
    <n v="66.666666666666671"/>
    <n v="66.966967285978996"/>
    <n v="13.393393457195799"/>
    <n v="50.356971130201913"/>
    <x v="84"/>
    <x v="1"/>
  </r>
  <r>
    <s v="94"/>
    <s v="94000"/>
    <x v="3"/>
    <x v="15"/>
    <x v="9"/>
    <x v="1"/>
    <n v="69.843976780148409"/>
    <n v="30.156023219851591"/>
    <n v="2.8325681642497167"/>
    <n v="14.715741423153444"/>
    <n v="20.093008055603491"/>
    <n v="79.906991944396509"/>
    <n v="53.597673683352376"/>
    <n v="70"/>
    <n v="22.210659393438977"/>
    <n v="20"/>
    <n v="42.955751317480306"/>
    <n v="34.364601053984245"/>
    <n v="19.321900432349643"/>
    <n v="100"/>
    <n v="136.16745427730888"/>
    <n v="60"/>
    <n v="73.101046417275398"/>
    <n v="70"/>
    <n v="0.18200620729174866"/>
    <n v="76.666666666666671"/>
    <n v="76.848672873958421"/>
    <n v="15.369734574791686"/>
    <n v="49.697934387317581"/>
    <x v="85"/>
    <x v="1"/>
  </r>
  <r>
    <s v="18"/>
    <s v="18000"/>
    <x v="3"/>
    <x v="8"/>
    <x v="9"/>
    <x v="1"/>
    <n v="64.167257847500437"/>
    <n v="35.832742152499563"/>
    <n v="1.599233538632435"/>
    <n v="8.3083286491653379"/>
    <n v="44.963337080219929"/>
    <n v="55.036662919780071"/>
    <n v="43.872714754525234"/>
    <n v="50"/>
    <n v="13.927783698802642"/>
    <n v="60"/>
    <n v="41.835546744288997"/>
    <n v="33.468437395431202"/>
    <n v="8.839828844795818"/>
    <n v="71.382940931221754"/>
    <n v="124.57552804354653"/>
    <n v="70"/>
    <n v="90.527931504032622"/>
    <n v="100"/>
    <n v="0.20559104534780459"/>
    <n v="80.460980310407251"/>
    <n v="80.666571355755053"/>
    <n v="16.133314271151011"/>
    <n v="49.560633457512651"/>
    <x v="86"/>
    <x v="1"/>
  </r>
  <r>
    <s v="97"/>
    <s v="97000"/>
    <x v="3"/>
    <x v="31"/>
    <x v="9"/>
    <x v="1"/>
    <n v="73.818198053321083"/>
    <n v="26.181801946678917"/>
    <n v="7.1894545278629511"/>
    <n v="37.350611766680814"/>
    <n v="10.006586500589858"/>
    <n v="89.993413499410138"/>
    <n v="60.633487452783584"/>
    <n v="80"/>
    <n v="37.930547317309085"/>
    <n v="0"/>
    <n v="46.70516544255397"/>
    <n v="37.364132354043178"/>
    <n v="30.219923748735994"/>
    <n v="100"/>
    <n v="157.72989911260538"/>
    <n v="0"/>
    <n v="81.699695048122507"/>
    <n v="80"/>
    <n v="0"/>
    <n v="60"/>
    <n v="60"/>
    <n v="12"/>
    <n v="49.364132354043178"/>
    <x v="87"/>
    <x v="1"/>
  </r>
  <r>
    <s v="85"/>
    <s v="85000"/>
    <x v="3"/>
    <x v="9"/>
    <x v="10"/>
    <x v="1"/>
    <n v="49.51511484755526"/>
    <n v="50.48488515244474"/>
    <n v="0"/>
    <n v="0"/>
    <n v="19.548881342517969"/>
    <n v="80.451118657482027"/>
    <n v="55.065334003780009"/>
    <n v="80"/>
    <n v="12.261003256928293"/>
    <n v="60"/>
    <n v="54.187200761985352"/>
    <n v="43.349760609588287"/>
    <n v="1.2777950174573505"/>
    <n v="8.9483849808492426"/>
    <n v="176.60082293825684"/>
    <n v="0"/>
    <n v="85.113430973777938"/>
    <n v="80"/>
    <n v="0.22704073524496227"/>
    <n v="29.64946166028308"/>
    <n v="29.876502395528043"/>
    <n v="5.9753004791056092"/>
    <n v="49.279652941644905"/>
    <x v="88"/>
    <x v="1"/>
  </r>
  <r>
    <s v="19"/>
    <s v="19000"/>
    <x v="3"/>
    <x v="10"/>
    <x v="10"/>
    <x v="1"/>
    <n v="71.385247407602932"/>
    <n v="28.614752592397068"/>
    <n v="7.7354710049202441E-2"/>
    <n v="0.73094604043585676"/>
    <n v="41.608523968159602"/>
    <n v="58.391476031840398"/>
    <n v="55.717208420983631"/>
    <n v="80"/>
    <n v="24.998905814392558"/>
    <n v="20"/>
    <n v="37.547434932934664"/>
    <n v="30.037947946347732"/>
    <n v="23.885441003116675"/>
    <n v="100"/>
    <n v="131.1528460245024"/>
    <n v="60"/>
    <n v="97.204329951727146"/>
    <n v="100"/>
    <n v="0.14731909783062724"/>
    <n v="86.666666666666671"/>
    <n v="86.813985764497303"/>
    <n v="17.362797152899461"/>
    <n v="47.371281279681071"/>
    <x v="89"/>
    <x v="1"/>
  </r>
  <r>
    <s v="52"/>
    <s v="52000"/>
    <x v="3"/>
    <x v="21"/>
    <x v="8"/>
    <x v="1"/>
    <n v="56.095238139344737"/>
    <n v="43.904761860655263"/>
    <n v="7.6640168828438497"/>
    <n v="13.465139082930801"/>
    <n v="66.451017175510586"/>
    <n v="33.548982824489414"/>
    <n v="58.897480097258772"/>
    <n v="80"/>
    <n v="21.980046332298535"/>
    <n v="20"/>
    <n v="38.183776753615099"/>
    <n v="30.547021402892081"/>
    <n v="24.433038728414267"/>
    <n v="100"/>
    <n v="132.42384120482748"/>
    <n v="60"/>
    <n v="89.917106665099183"/>
    <n v="80"/>
    <n v="0.19126899605320691"/>
    <n v="80"/>
    <n v="80.191268996053211"/>
    <n v="16.038253799210644"/>
    <n v="46.547021402892085"/>
    <x v="90"/>
    <x v="1"/>
  </r>
  <r>
    <s v="15"/>
    <s v="15000"/>
    <x v="3"/>
    <x v="6"/>
    <x v="7"/>
    <x v="1"/>
    <n v="55.715067206988522"/>
    <n v="44.284932793011478"/>
    <n v="0.25949314566434512"/>
    <n v="1.2573741908884433"/>
    <n v="71.019689811119889"/>
    <n v="28.980310188880111"/>
    <n v="60.132700931896721"/>
    <n v="80"/>
    <n v="20.207798476278015"/>
    <n v="20"/>
    <n v="34.904523434556005"/>
    <n v="27.923618747644806"/>
    <n v="20.100892314160177"/>
    <n v="100"/>
    <n v="120.35245718040174"/>
    <n v="70"/>
    <n v="88.125223696029465"/>
    <n v="80"/>
    <n v="0.17729082663059426"/>
    <n v="83.333333333333329"/>
    <n v="83.510624159963925"/>
    <n v="16.702124831992787"/>
    <n v="44.590285414311474"/>
    <x v="91"/>
    <x v="1"/>
  </r>
  <r>
    <s v="23"/>
    <s v="23000"/>
    <x v="3"/>
    <x v="13"/>
    <x v="8"/>
    <x v="1"/>
    <n v="66.078631070711822"/>
    <n v="33.921368929288178"/>
    <n v="13.802017982887127"/>
    <n v="24.249175674535596"/>
    <n v="79.36441765673726"/>
    <n v="20.63558234326274"/>
    <n v="39.203384430697966"/>
    <n v="50"/>
    <n v="14.968971334060191"/>
    <n v="60"/>
    <n v="37.761225389417305"/>
    <n v="30.208980311533846"/>
    <n v="7.3107859394406489"/>
    <n v="42.10448216312038"/>
    <n v="125.28462519502349"/>
    <n v="70"/>
    <n v="88.41315140800306"/>
    <n v="80"/>
    <n v="0.23810333908707426"/>
    <n v="64.034827387706798"/>
    <n v="64.272930726793874"/>
    <n v="12.854586145358775"/>
    <n v="43.015945789075204"/>
    <x v="92"/>
    <x v="1"/>
  </r>
  <r>
    <s v="91"/>
    <s v="91000"/>
    <x v="3"/>
    <x v="1"/>
    <x v="9"/>
    <x v="1"/>
    <n v="73.762513425148029"/>
    <n v="26.237486574851971"/>
    <n v="0"/>
    <n v="0"/>
    <n v="34.865469150350528"/>
    <n v="65.134530849649479"/>
    <n v="40.125569954899611"/>
    <n v="50"/>
    <n v="24.213060019809664"/>
    <n v="20"/>
    <n v="32.27440348490029"/>
    <n v="25.819522787920235"/>
    <n v="11.414696508156155"/>
    <n v="92.175382679409182"/>
    <n v="110.89443256788341"/>
    <n v="80"/>
    <n v="78.991829133551377"/>
    <n v="70"/>
    <n v="0.23296800301111475"/>
    <n v="80.725127559803056"/>
    <n v="80.958095562814165"/>
    <n v="16.191619112562833"/>
    <n v="41.964548299880846"/>
    <x v="93"/>
    <x v="1"/>
  </r>
  <r>
    <s v="13"/>
    <s v="13000"/>
    <x v="3"/>
    <x v="5"/>
    <x v="7"/>
    <x v="1"/>
    <n v="50.142114113438922"/>
    <n v="49.857885886561078"/>
    <n v="0"/>
    <n v="0"/>
    <n v="59.86349380447772"/>
    <n v="40.13650619552228"/>
    <n v="36.63148594066827"/>
    <n v="50"/>
    <n v="18.784267226411405"/>
    <n v="40"/>
    <n v="35.998878416416673"/>
    <n v="28.799102733133338"/>
    <n v="2.1856349279465732"/>
    <n v="14.677853291706551"/>
    <n v="108.75950390637475"/>
    <n v="100"/>
    <n v="85.624275729200122"/>
    <n v="80"/>
    <n v="0.25807812350358572"/>
    <n v="64.89261776390218"/>
    <n v="65.15069588740576"/>
    <n v="13.030139177481153"/>
    <n v="41.777626285913776"/>
    <x v="94"/>
    <x v="1"/>
  </r>
  <r>
    <s v="99"/>
    <s v="99000"/>
    <x v="3"/>
    <x v="32"/>
    <x v="9"/>
    <x v="1"/>
    <n v="67.877689864632643"/>
    <n v="32.122310135367357"/>
    <n v="9.0183941348668892E-3"/>
    <n v="4.685230802766481E-2"/>
    <n v="24.358527375099335"/>
    <n v="75.641472624900672"/>
    <n v="35.243433760937307"/>
    <n v="50"/>
    <n v="15.161265621770067"/>
    <n v="40"/>
    <n v="39.562127013659143"/>
    <n v="31.649701610927316"/>
    <n v="0"/>
    <n v="0"/>
    <n v="111.52027942831265"/>
    <n v="80"/>
    <n v="78.007111054724092"/>
    <n v="70"/>
    <n v="0"/>
    <n v="50"/>
    <n v="50"/>
    <n v="10"/>
    <n v="41.649701610927316"/>
    <x v="95"/>
    <x v="1"/>
  </r>
  <r>
    <s v="63"/>
    <s v="63000"/>
    <x v="3"/>
    <x v="24"/>
    <x v="10"/>
    <x v="1"/>
    <n v="40.979216464242818"/>
    <n v="59.020783535757182"/>
    <n v="1.1861272589543423"/>
    <n v="11.208044381967815"/>
    <n v="60.189224302039392"/>
    <n v="39.810775697960608"/>
    <n v="53.414903867673814"/>
    <n v="70"/>
    <n v="43.005825116879222"/>
    <n v="0"/>
    <n v="36.007920723137126"/>
    <n v="28.806336578509701"/>
    <n v="0"/>
    <n v="0"/>
    <n v="123.28721273292837"/>
    <n v="70"/>
    <n v="95.218020835337256"/>
    <n v="100"/>
    <n v="0.15690189122515541"/>
    <n v="56.666666666666664"/>
    <n v="56.823568557891818"/>
    <n v="11.364713711578364"/>
    <n v="40.139669911843036"/>
    <x v="96"/>
    <x v="1"/>
  </r>
  <r>
    <s v="91"/>
    <s v="91000"/>
    <x v="4"/>
    <x v="1"/>
    <x v="9"/>
    <x v="1"/>
    <n v="82.727495510012105"/>
    <n v="17.272504489987895"/>
    <n v="0.2428056391174219"/>
    <n v="1.5877438892687177"/>
    <n v="32.488229771870031"/>
    <n v="67.511770228129961"/>
    <n v="42.612137924434926"/>
    <n v="50"/>
    <n v="6.5642605574871089"/>
    <n v="80"/>
    <n v="43.274403721477313"/>
    <n v="34.619522977181852"/>
    <n v="18.410761782770393"/>
    <n v="100"/>
    <n v="88.571671554077298"/>
    <n v="80"/>
    <n v="86.715962302834285"/>
    <n v="80"/>
    <n v="0"/>
    <n v="86.666666666666671"/>
    <n v="86.666666666666671"/>
    <n v="17.333333333333336"/>
    <n v="51.952856310515187"/>
    <x v="97"/>
    <x v="1"/>
  </r>
  <r>
    <s v="05"/>
    <s v="05000"/>
    <x v="4"/>
    <x v="2"/>
    <x v="6"/>
    <x v="1"/>
    <n v="30.154817262649438"/>
    <n v="69.845182737350569"/>
    <n v="5.5720207404540814"/>
    <n v="100"/>
    <n v="76.290453203152993"/>
    <n v="23.709546796847007"/>
    <n v="61.422801347548614"/>
    <n v="80"/>
    <n v="19.081111432825693"/>
    <n v="40"/>
    <n v="62.710945906839513"/>
    <n v="50.16875672547161"/>
    <n v="22.810763845870554"/>
    <n v="100"/>
    <n v="121.66977068344384"/>
    <n v="80"/>
    <n v="94.792212361393069"/>
    <n v="100"/>
    <n v="4.0803692067927881E-2"/>
    <n v="93.333333333333329"/>
    <n v="93.374137025401254"/>
    <n v="18.674827405080251"/>
    <n v="68.835423392138281"/>
    <x v="98"/>
    <x v="2"/>
  </r>
  <r>
    <s v="81"/>
    <s v="81000"/>
    <x v="4"/>
    <x v="3"/>
    <x v="9"/>
    <x v="1"/>
    <n v="74.239524655170072"/>
    <n v="25.760475344829928"/>
    <n v="5.5518216172355181"/>
    <n v="36.304226207912556"/>
    <n v="52.465524115659058"/>
    <n v="47.534475884340942"/>
    <n v="42.118257396966762"/>
    <n v="50"/>
    <n v="11.293299977070486"/>
    <n v="60"/>
    <n v="43.919835487416684"/>
    <n v="35.13586838993335"/>
    <n v="5.8125306389638354"/>
    <n v="40.761099493427366"/>
    <n v="119.25524997806409"/>
    <n v="100"/>
    <n v="93.535643643135657"/>
    <n v="100"/>
    <n v="0"/>
    <n v="80.253699831142455"/>
    <n v="80.253699831142455"/>
    <n v="16.050739966228491"/>
    <n v="51.186608356161841"/>
    <x v="99"/>
    <x v="1"/>
  </r>
  <r>
    <s v="08"/>
    <s v="08000"/>
    <x v="4"/>
    <x v="4"/>
    <x v="7"/>
    <x v="1"/>
    <n v="30.030330491440047"/>
    <n v="69.969669508559946"/>
    <n v="1.6111841950147094"/>
    <n v="12.590250174201204"/>
    <n v="50.685077854002444"/>
    <n v="49.314922145997556"/>
    <n v="59.357310098473818"/>
    <n v="80"/>
    <n v="-2.8080958216528638"/>
    <n v="100"/>
    <n v="62.374968365751741"/>
    <n v="49.899974692601397"/>
    <n v="22.666486194217782"/>
    <n v="100"/>
    <n v="91.49065419971997"/>
    <n v="100"/>
    <n v="79.212705965221943"/>
    <n v="70"/>
    <n v="0"/>
    <n v="90"/>
    <n v="90"/>
    <n v="18"/>
    <n v="67.899974692601404"/>
    <x v="100"/>
    <x v="2"/>
  </r>
  <r>
    <s v="13"/>
    <s v="13000"/>
    <x v="4"/>
    <x v="5"/>
    <x v="7"/>
    <x v="1"/>
    <n v="54.819564056415544"/>
    <n v="45.180435943584456"/>
    <n v="5.9245857902787503E-2"/>
    <n v="0.46296393366399685"/>
    <n v="87.606147320076715"/>
    <n v="12.393852679923285"/>
    <n v="37.24908490572799"/>
    <n v="50"/>
    <n v="9.6048401675259623"/>
    <n v="80"/>
    <n v="37.607450511434351"/>
    <n v="30.085960409147482"/>
    <n v="0"/>
    <n v="0"/>
    <n v="94.860638164044303"/>
    <n v="100"/>
    <n v="86.644038450550525"/>
    <n v="80"/>
    <n v="0"/>
    <n v="60"/>
    <n v="60"/>
    <n v="12"/>
    <n v="42.085960409147482"/>
    <x v="101"/>
    <x v="1"/>
  </r>
  <r>
    <s v="15"/>
    <s v="15000"/>
    <x v="4"/>
    <x v="6"/>
    <x v="7"/>
    <x v="1"/>
    <n v="55.797443093804873"/>
    <n v="44.202556906195127"/>
    <n v="0.75307459574576618"/>
    <n v="5.8847384362456907"/>
    <n v="48.870085173692154"/>
    <n v="51.129914826307846"/>
    <n v="56.155623665485408"/>
    <n v="80"/>
    <n v="11.588505121545914"/>
    <n v="60"/>
    <n v="48.24344203374973"/>
    <n v="38.59475362699979"/>
    <n v="11.498995902432078"/>
    <n v="100"/>
    <n v="99.468771015311674"/>
    <n v="100"/>
    <n v="88.160801979902558"/>
    <n v="80"/>
    <n v="0"/>
    <n v="93.333333333333329"/>
    <n v="93.333333333333329"/>
    <n v="18.666666666666668"/>
    <n v="57.261420293666461"/>
    <x v="102"/>
    <x v="1"/>
  </r>
  <r>
    <s v="17"/>
    <s v="17000"/>
    <x v="4"/>
    <x v="7"/>
    <x v="8"/>
    <x v="1"/>
    <n v="45.716168504956151"/>
    <n v="54.283831495043849"/>
    <n v="20.252509618817143"/>
    <n v="37.987873635937838"/>
    <n v="62.548916505089977"/>
    <n v="37.451083494910023"/>
    <n v="45.591644223837072"/>
    <n v="70"/>
    <n v="14.901744651098243"/>
    <n v="60"/>
    <n v="51.944557725178342"/>
    <n v="41.555646180142674"/>
    <n v="20.600537452529373"/>
    <n v="100"/>
    <n v="119.18447995342545"/>
    <n v="100"/>
    <n v="92.498551504134767"/>
    <n v="100"/>
    <n v="0"/>
    <n v="100"/>
    <n v="100"/>
    <n v="20"/>
    <n v="61.555646180142674"/>
    <x v="103"/>
    <x v="2"/>
  </r>
  <r>
    <s v="18"/>
    <s v="18000"/>
    <x v="4"/>
    <x v="8"/>
    <x v="9"/>
    <x v="1"/>
    <n v="64.341780993195172"/>
    <n v="35.658219006804828"/>
    <n v="0.77465465512132115"/>
    <n v="5.0655874362441509"/>
    <n v="57.623075177975416"/>
    <n v="42.376924822024584"/>
    <n v="36.389027225320028"/>
    <n v="50"/>
    <n v="8.7276818992254501"/>
    <n v="80"/>
    <n v="42.62014625301471"/>
    <n v="34.096117002411766"/>
    <n v="6.1499085403915927"/>
    <n v="43.127004305144972"/>
    <n v="126.29994473333171"/>
    <n v="80"/>
    <n v="92.045002216157926"/>
    <n v="100"/>
    <n v="0"/>
    <n v="74.375668101714993"/>
    <n v="74.375668101714993"/>
    <n v="14.875133620343"/>
    <n v="48.971250622754766"/>
    <x v="104"/>
    <x v="1"/>
  </r>
  <r>
    <s v="85"/>
    <s v="85000"/>
    <x v="4"/>
    <x v="9"/>
    <x v="10"/>
    <x v="1"/>
    <n v="46.832481026790404"/>
    <n v="53.167518973209596"/>
    <n v="0"/>
    <n v="0"/>
    <n v="19.75025475119077"/>
    <n v="80.249745248809234"/>
    <n v="56.152036422337147"/>
    <n v="80"/>
    <n v="12.28974468028337"/>
    <n v="60"/>
    <n v="54.683452844403767"/>
    <n v="43.746762275523018"/>
    <n v="12.147977387633951"/>
    <n v="100"/>
    <n v="171.18481984605808"/>
    <n v="0"/>
    <n v="89.441120859241309"/>
    <n v="80"/>
    <n v="0.25000994524354037"/>
    <n v="60"/>
    <n v="60.250009945243541"/>
    <n v="12.05000198904871"/>
    <n v="55.746762275523018"/>
    <x v="105"/>
    <x v="1"/>
  </r>
  <r>
    <s v="19"/>
    <s v="19000"/>
    <x v="4"/>
    <x v="10"/>
    <x v="10"/>
    <x v="1"/>
    <n v="72.368145839124551"/>
    <n v="27.631854160875449"/>
    <n v="0.43241851312828927"/>
    <n v="1.9079818125258918"/>
    <n v="37.451752619055668"/>
    <n v="62.548247380944332"/>
    <n v="48.082057344483601"/>
    <n v="70"/>
    <n v="21.813141705209379"/>
    <n v="20"/>
    <n v="36.41761667086913"/>
    <n v="29.134093336695305"/>
    <n v="21.733179809854128"/>
    <n v="100"/>
    <n v="104.69087092179542"/>
    <n v="100"/>
    <n v="93.18059640072785"/>
    <n v="100"/>
    <n v="0"/>
    <n v="100"/>
    <n v="100"/>
    <n v="20"/>
    <n v="49.134093336695301"/>
    <x v="106"/>
    <x v="1"/>
  </r>
  <r>
    <s v="20"/>
    <s v="20000"/>
    <x v="4"/>
    <x v="11"/>
    <x v="8"/>
    <x v="1"/>
    <n v="53.751788694574145"/>
    <n v="46.248211305425855"/>
    <n v="53.313090942941258"/>
    <n v="100.00000000000001"/>
    <n v="27.753328923164382"/>
    <n v="72.246671076835611"/>
    <n v="63.067547559709858"/>
    <n v="80"/>
    <n v="10.800099562986098"/>
    <n v="60"/>
    <n v="71.698976476452302"/>
    <n v="57.359181181161844"/>
    <n v="8.2115715160584841"/>
    <n v="74.64655179063358"/>
    <n v="129.60049823015441"/>
    <n v="80"/>
    <n v="85.104609653999333"/>
    <n v="80"/>
    <n v="0.19091871707136499"/>
    <n v="78.215517263544527"/>
    <n v="78.406435980615896"/>
    <n v="15.681287196123179"/>
    <n v="73.002284633870744"/>
    <x v="107"/>
    <x v="3"/>
  </r>
  <r>
    <s v="27"/>
    <s v="27000"/>
    <x v="4"/>
    <x v="12"/>
    <x v="10"/>
    <x v="1"/>
    <n v="79.056233714721898"/>
    <n v="20.943766285278102"/>
    <n v="2.2290201202859508"/>
    <n v="9.8352168562175244"/>
    <n v="27.780984700012056"/>
    <n v="72.219015299987944"/>
    <n v="29.773741080073641"/>
    <n v="40"/>
    <n v="6.0734135917610246"/>
    <n v="80"/>
    <n v="44.599599688296713"/>
    <n v="35.679679750637369"/>
    <n v="1.5026602050886027"/>
    <n v="24.450498405878616"/>
    <n v="100.56546732590502"/>
    <n v="100"/>
    <n v="87.292523727799249"/>
    <n v="80"/>
    <n v="0"/>
    <n v="68.150166135292878"/>
    <n v="68.150166135292878"/>
    <n v="13.630033227058576"/>
    <n v="49.309712977695945"/>
    <x v="108"/>
    <x v="1"/>
  </r>
  <r>
    <s v="23"/>
    <s v="23000"/>
    <x v="4"/>
    <x v="13"/>
    <x v="7"/>
    <x v="1"/>
    <n v="67.19401924706807"/>
    <n v="32.80598075293193"/>
    <n v="11.379816100343769"/>
    <n v="88.925109917940048"/>
    <n v="70.854045799677777"/>
    <n v="29.145954200322223"/>
    <n v="29.397548338646761"/>
    <n v="40"/>
    <n v="10.986044173565549"/>
    <n v="60"/>
    <n v="50.175408974238835"/>
    <n v="40.140327179391072"/>
    <n v="1.5675706379102294"/>
    <n v="19.042190351170426"/>
    <n v="118.28795462333927"/>
    <n v="100"/>
    <n v="90.553259574553365"/>
    <n v="100"/>
    <n v="0"/>
    <n v="73.01406345039014"/>
    <n v="73.01406345039014"/>
    <n v="14.602812690078029"/>
    <n v="54.743139869469104"/>
    <x v="109"/>
    <x v="1"/>
  </r>
  <r>
    <s v="25"/>
    <s v="25000"/>
    <x v="4"/>
    <x v="14"/>
    <x v="6"/>
    <x v="1"/>
    <n v="26.483404360442432"/>
    <n v="73.516595639557565"/>
    <n v="1.7721538725381614"/>
    <n v="31.804509622010904"/>
    <n v="61.513050040864258"/>
    <n v="38.486949959135742"/>
    <n v="65.590237788198777"/>
    <n v="100"/>
    <n v="6.0179238163177144"/>
    <n v="80"/>
    <n v="64.761611044140835"/>
    <n v="51.809288835312671"/>
    <n v="11.682538677711328"/>
    <n v="81.530643747944552"/>
    <n v="112.87819175946204"/>
    <n v="100"/>
    <n v="96.533473213893572"/>
    <n v="100"/>
    <n v="0"/>
    <n v="93.843547915981517"/>
    <n v="93.843547915981517"/>
    <n v="18.768709583196305"/>
    <n v="70.577998418508969"/>
    <x v="110"/>
    <x v="3"/>
  </r>
  <r>
    <s v="94"/>
    <s v="94000"/>
    <x v="4"/>
    <x v="15"/>
    <x v="9"/>
    <x v="1"/>
    <n v="67.041952811185396"/>
    <n v="32.958047188814604"/>
    <n v="10.037431327514456"/>
    <n v="65.636326702067777"/>
    <n v="17.646858760239908"/>
    <n v="82.353141239760092"/>
    <n v="66.071306003279076"/>
    <n v="100"/>
    <n v="26.043754882890155"/>
    <n v="20"/>
    <n v="60.189503026128499"/>
    <n v="48.151602420902805"/>
    <n v="30.094936254139967"/>
    <n v="100"/>
    <n v="166.69168857952567"/>
    <n v="0"/>
    <n v="83.916108099761104"/>
    <n v="80"/>
    <n v="0.20580039655857318"/>
    <n v="60"/>
    <n v="60.205800396558573"/>
    <n v="12.041160079311716"/>
    <n v="60.151602420902805"/>
    <x v="111"/>
    <x v="2"/>
  </r>
  <r>
    <s v="44"/>
    <s v="44000"/>
    <x v="4"/>
    <x v="16"/>
    <x v="9"/>
    <x v="1"/>
    <n v="65.59713144562491"/>
    <n v="34.40286855437509"/>
    <n v="3.3799897931882148"/>
    <n v="22.102279664641287"/>
    <n v="52.611512352765111"/>
    <n v="47.388487647234889"/>
    <n v="62.575963389691665"/>
    <n v="80"/>
    <n v="26.883901631394401"/>
    <n v="20"/>
    <n v="40.778727173250253"/>
    <n v="32.622981738600203"/>
    <n v="15.141454907397261"/>
    <n v="100"/>
    <n v="89.351776368964863"/>
    <n v="80"/>
    <n v="90.975586926611001"/>
    <n v="100"/>
    <n v="0"/>
    <n v="93.333333333333329"/>
    <n v="93.333333333333329"/>
    <n v="18.666666666666668"/>
    <n v="51.289648405266874"/>
    <x v="112"/>
    <x v="1"/>
  </r>
  <r>
    <s v="95"/>
    <s v="95000"/>
    <x v="4"/>
    <x v="17"/>
    <x v="9"/>
    <x v="1"/>
    <n v="68.311333896878438"/>
    <n v="31.688666103121562"/>
    <n v="15.292494007283075"/>
    <n v="100"/>
    <n v="23.12206617783556"/>
    <n v="76.877933822164437"/>
    <n v="33.438142650299554"/>
    <n v="40"/>
    <n v="10.823471327246414"/>
    <n v="60"/>
    <n v="61.713319985057204"/>
    <n v="49.370655988045769"/>
    <n v="0"/>
    <n v="0"/>
    <n v="174.17515937362296"/>
    <n v="0"/>
    <n v="87.156156332587656"/>
    <n v="80"/>
    <n v="0"/>
    <n v="26.666666666666668"/>
    <n v="26.666666666666668"/>
    <n v="5.3333333333333339"/>
    <n v="54.703989321379105"/>
    <x v="113"/>
    <x v="1"/>
  </r>
  <r>
    <s v="41"/>
    <s v="41000"/>
    <x v="4"/>
    <x v="18"/>
    <x v="8"/>
    <x v="1"/>
    <n v="51.518095750100002"/>
    <n v="48.481904249899998"/>
    <n v="9.8879842260424802"/>
    <n v="18.547009845340181"/>
    <n v="64.223904753259092"/>
    <n v="35.776095246740908"/>
    <n v="44.055842717760896"/>
    <n v="50"/>
    <n v="2.0115624603693583"/>
    <n v="100"/>
    <n v="50.561001868396218"/>
    <n v="40.448801494716975"/>
    <n v="16.098323578926859"/>
    <n v="100"/>
    <n v="101.5355159296724"/>
    <n v="100"/>
    <n v="87.412060858495138"/>
    <n v="80"/>
    <n v="0"/>
    <n v="93.333333333333329"/>
    <n v="93.333333333333329"/>
    <n v="18.666666666666668"/>
    <n v="59.115468161383646"/>
    <x v="114"/>
    <x v="1"/>
  </r>
  <r>
    <s v="47"/>
    <s v="47000"/>
    <x v="4"/>
    <x v="19"/>
    <x v="8"/>
    <x v="1"/>
    <n v="54.844029673142032"/>
    <n v="45.155970326857968"/>
    <n v="10.833278673677636"/>
    <n v="20.32010990559905"/>
    <n v="45.199648465356681"/>
    <n v="54.800351534643319"/>
    <n v="51.184949341680422"/>
    <n v="70"/>
    <n v="22.943742265421019"/>
    <n v="20"/>
    <n v="42.055286353420072"/>
    <n v="33.644229082736061"/>
    <n v="3.8096581083441521"/>
    <n v="34.631354148592855"/>
    <n v="105.13177353643843"/>
    <n v="100"/>
    <n v="79.047141587224232"/>
    <n v="70"/>
    <n v="0"/>
    <n v="68.210451382864292"/>
    <n v="68.210451382864292"/>
    <n v="13.642090276572858"/>
    <n v="47.286319359308919"/>
    <x v="115"/>
    <x v="1"/>
  </r>
  <r>
    <s v="50"/>
    <s v="50000"/>
    <x v="4"/>
    <x v="20"/>
    <x v="7"/>
    <x v="1"/>
    <n v="36.646286643815714"/>
    <n v="63.353713356184286"/>
    <n v="0.16310687022802972"/>
    <n v="1.2745633352511359"/>
    <n v="16.3486054700785"/>
    <n v="83.651394529921504"/>
    <n v="49.790226835403807"/>
    <n v="70"/>
    <n v="24.615687700155281"/>
    <n v="20"/>
    <n v="47.655934244271386"/>
    <n v="38.12474739541711"/>
    <n v="7.8663883942327075"/>
    <n v="95.557585448851285"/>
    <n v="107.84491146833446"/>
    <n v="100"/>
    <n v="93.355555335029663"/>
    <n v="100"/>
    <n v="0.11111005658870565"/>
    <n v="98.51919514961709"/>
    <n v="98.63030520620579"/>
    <n v="19.726061041241159"/>
    <n v="57.828586425340532"/>
    <x v="116"/>
    <x v="1"/>
  </r>
  <r>
    <s v="52"/>
    <s v="52000"/>
    <x v="4"/>
    <x v="21"/>
    <x v="7"/>
    <x v="1"/>
    <n v="59.098109976511331"/>
    <n v="40.901890023488669"/>
    <n v="5.1660118740741199"/>
    <n v="40.368681680677341"/>
    <n v="50.215933432683492"/>
    <n v="49.784066567316508"/>
    <n v="53.023210806535438"/>
    <n v="70"/>
    <n v="19.947661275933051"/>
    <n v="40"/>
    <n v="48.210927654296498"/>
    <n v="38.568742123437204"/>
    <n v="14.025203216268871"/>
    <n v="100"/>
    <n v="142.24289720307991"/>
    <n v="60"/>
    <n v="83.732999078602262"/>
    <n v="80"/>
    <n v="0"/>
    <n v="80"/>
    <n v="80"/>
    <n v="16"/>
    <n v="54.568742123437204"/>
    <x v="117"/>
    <x v="1"/>
  </r>
  <r>
    <s v="54"/>
    <s v="54000"/>
    <x v="4"/>
    <x v="22"/>
    <x v="8"/>
    <x v="1"/>
    <n v="52.004344511306826"/>
    <n v="47.995655488693174"/>
    <n v="1.4982859672055495"/>
    <n v="2.8103528433740625"/>
    <n v="55.923063824827565"/>
    <n v="44.076936175172435"/>
    <n v="56.278220352959188"/>
    <n v="80"/>
    <n v="8.7201008830099251"/>
    <n v="80"/>
    <n v="50.976588901447933"/>
    <n v="40.781271121158348"/>
    <n v="12.706099662465434"/>
    <n v="100"/>
    <n v="128.52731560752414"/>
    <n v="80"/>
    <n v="81.395737155499376"/>
    <n v="80"/>
    <n v="0.12032497469873672"/>
    <n v="86.666666666666671"/>
    <n v="86.786991641365404"/>
    <n v="17.357398328273081"/>
    <n v="58.114604454491683"/>
    <x v="118"/>
    <x v="1"/>
  </r>
  <r>
    <s v="86"/>
    <s v="86000"/>
    <x v="4"/>
    <x v="23"/>
    <x v="9"/>
    <x v="1"/>
    <n v="73.474418441057111"/>
    <n v="26.525581558942889"/>
    <n v="10.731630884826968"/>
    <n v="70.175805723487684"/>
    <n v="27.195293901365115"/>
    <n v="72.804706098634881"/>
    <n v="35.479029077709306"/>
    <n v="50"/>
    <n v="5.9512023845777406"/>
    <n v="80"/>
    <n v="59.901218676213091"/>
    <n v="47.920974940970474"/>
    <n v="5.1813699847845243"/>
    <n v="36.335006313138202"/>
    <n v="128.95821674038035"/>
    <n v="80"/>
    <n v="88.145102886887656"/>
    <n v="80"/>
    <n v="4.2871336854514164E-2"/>
    <n v="65.445002104379398"/>
    <n v="65.487873441233916"/>
    <n v="13.097574688246784"/>
    <n v="61.009975361846358"/>
    <x v="119"/>
    <x v="2"/>
  </r>
  <r>
    <s v="63"/>
    <s v="63000"/>
    <x v="4"/>
    <x v="24"/>
    <x v="10"/>
    <x v="1"/>
    <n v="40.358532650480846"/>
    <n v="59.641467349519154"/>
    <n v="1.5930800626672676"/>
    <n v="7.0292267633901711"/>
    <n v="59.252336407218365"/>
    <n v="40.747663592781635"/>
    <n v="50.068843908598637"/>
    <n v="70"/>
    <n v="10.679523678979546"/>
    <n v="60"/>
    <n v="47.483671541138193"/>
    <n v="37.986937232910556"/>
    <n v="0"/>
    <n v="0"/>
    <n v="121.3294855592554"/>
    <n v="80"/>
    <n v="92.120871963584435"/>
    <n v="100"/>
    <n v="5.3378888427658248E-2"/>
    <n v="60"/>
    <n v="60.053378888427659"/>
    <n v="12.010675777685533"/>
    <n v="49.986937232910556"/>
    <x v="120"/>
    <x v="1"/>
  </r>
  <r>
    <s v="66"/>
    <s v="66000"/>
    <x v="4"/>
    <x v="25"/>
    <x v="8"/>
    <x v="1"/>
    <n v="30.010563685316935"/>
    <n v="69.989436314683061"/>
    <n v="1.1648411267799403"/>
    <n v="2.1849063826117687"/>
    <n v="46.524615460872504"/>
    <n v="53.475384539127496"/>
    <n v="63.288366685426126"/>
    <n v="80"/>
    <n v="39.283338394509379"/>
    <n v="0"/>
    <n v="41.12994544728447"/>
    <n v="32.903956357827575"/>
    <n v="0.8083717252714564"/>
    <n v="7.3484304117129025"/>
    <n v="115.13343925868001"/>
    <n v="100"/>
    <n v="92.994729813190958"/>
    <n v="100"/>
    <n v="0"/>
    <n v="69.116143470570975"/>
    <n v="69.116143470570975"/>
    <n v="13.823228694114196"/>
    <n v="46.727185051941774"/>
    <x v="121"/>
    <x v="1"/>
  </r>
  <r>
    <s v="88"/>
    <s v="88000"/>
    <x v="4"/>
    <x v="26"/>
    <x v="10"/>
    <x v="1"/>
    <n v="26.158794889877235"/>
    <n v="73.841205110122758"/>
    <n v="22.663660119266531"/>
    <n v="100.00000000000001"/>
    <n v="19.037801851253981"/>
    <n v="80.962198148746012"/>
    <n v="-8.1593626420138019"/>
    <n v="0"/>
    <n v="10.837944173995195"/>
    <n v="60"/>
    <n v="62.960680651773757"/>
    <n v="50.368544521419011"/>
    <n v="0"/>
    <n v="0"/>
    <n v="69.67363555377807"/>
    <n v="60"/>
    <n v="91.021166107278162"/>
    <n v="100"/>
    <n v="0"/>
    <n v="53.333333333333336"/>
    <n v="53.333333333333336"/>
    <n v="10.666666666666668"/>
    <n v="61.035211188085682"/>
    <x v="122"/>
    <x v="2"/>
  </r>
  <r>
    <s v="68"/>
    <s v="68000"/>
    <x v="4"/>
    <x v="27"/>
    <x v="7"/>
    <x v="1"/>
    <n v="40.456076251342353"/>
    <n v="59.543923748657647"/>
    <n v="12.797078475185518"/>
    <n v="100.00000000000001"/>
    <n v="82.489529331106723"/>
    <n v="17.510470668893277"/>
    <n v="41.993183227712635"/>
    <n v="50"/>
    <n v="19.720124265384005"/>
    <n v="40"/>
    <n v="53.410878883510193"/>
    <n v="42.728703106808155"/>
    <n v="0"/>
    <n v="0"/>
    <n v="106.85691241570339"/>
    <n v="100"/>
    <n v="86.500439932906716"/>
    <n v="80"/>
    <n v="0"/>
    <n v="60"/>
    <n v="60"/>
    <n v="12"/>
    <n v="54.728703106808155"/>
    <x v="123"/>
    <x v="1"/>
  </r>
  <r>
    <s v="70"/>
    <s v="70000"/>
    <x v="4"/>
    <x v="28"/>
    <x v="10"/>
    <x v="1"/>
    <n v="71.174714195424485"/>
    <n v="28.825285804575515"/>
    <n v="17.151758090589961"/>
    <n v="75.679559260638285"/>
    <n v="35.200112212562104"/>
    <n v="64.799887787437896"/>
    <n v="56.695722508263621"/>
    <n v="80"/>
    <n v="0.77665280660436464"/>
    <n v="100"/>
    <n v="69.860946570530331"/>
    <n v="55.88875725642427"/>
    <n v="1.4905279823988451"/>
    <n v="24.253089244092639"/>
    <n v="133.83626495921987"/>
    <n v="70"/>
    <n v="89.878127800643057"/>
    <n v="80"/>
    <n v="0"/>
    <n v="58.084363081364209"/>
    <n v="58.084363081364209"/>
    <n v="11.616872616272843"/>
    <n v="67.505629872697114"/>
    <x v="124"/>
    <x v="2"/>
  </r>
  <r>
    <s v="73"/>
    <s v="73000"/>
    <x v="4"/>
    <x v="29"/>
    <x v="8"/>
    <x v="1"/>
    <n v="55.89152230730808"/>
    <n v="44.10847769269192"/>
    <n v="2.9301535871700066"/>
    <n v="5.4961240013377308"/>
    <n v="82.964033925218132"/>
    <n v="17.035966074781868"/>
    <n v="36.379081025084439"/>
    <n v="50"/>
    <n v="1.0197756663332445"/>
    <n v="100"/>
    <n v="43.328113553762307"/>
    <n v="34.662490843009849"/>
    <n v="14.76966552425008"/>
    <n v="100"/>
    <n v="100.94355468728628"/>
    <n v="100"/>
    <n v="89.276829651216445"/>
    <n v="80"/>
    <n v="0"/>
    <n v="93.333333333333329"/>
    <n v="93.333333333333329"/>
    <n v="18.666666666666668"/>
    <n v="53.32915750967652"/>
    <x v="125"/>
    <x v="1"/>
  </r>
  <r>
    <s v="76"/>
    <s v="76000"/>
    <x v="4"/>
    <x v="30"/>
    <x v="6"/>
    <x v="1"/>
    <n v="22.763110296703854"/>
    <n v="77.236889703296143"/>
    <n v="4.5782910559058108"/>
    <n v="82.165721722218706"/>
    <n v="71.797350921280952"/>
    <n v="28.202649078719048"/>
    <n v="63.683350939569394"/>
    <n v="80"/>
    <n v="8.8512530343667137"/>
    <n v="80"/>
    <n v="69.521052100846788"/>
    <n v="55.616841680677432"/>
    <n v="8.4937443363511491"/>
    <n v="59.276537632557776"/>
    <n v="104.8327366738915"/>
    <n v="100"/>
    <n v="90.411888118837012"/>
    <n v="100"/>
    <n v="0"/>
    <n v="86.425512544185935"/>
    <n v="86.425512544185935"/>
    <n v="17.285102508837188"/>
    <n v="72.901944189514623"/>
    <x v="126"/>
    <x v="3"/>
  </r>
  <r>
    <s v="97"/>
    <s v="97000"/>
    <x v="4"/>
    <x v="31"/>
    <x v="9"/>
    <x v="1"/>
    <n v="74.059811413238592"/>
    <n v="25.940188586761408"/>
    <n v="2.5743309505181489"/>
    <n v="16.833951017356092"/>
    <n v="10.413843026142807"/>
    <n v="89.586156973857186"/>
    <n v="66.204712304237916"/>
    <n v="100"/>
    <n v="46.839559107606199"/>
    <n v="0"/>
    <n v="46.472059315594933"/>
    <n v="37.177647452475945"/>
    <n v="38.300432117228155"/>
    <n v="100"/>
    <n v="150.16432753460595"/>
    <n v="0"/>
    <n v="88.985006545187886"/>
    <n v="80"/>
    <n v="0.35005865319602036"/>
    <n v="60"/>
    <n v="60.350058653196022"/>
    <n v="12.070011730639205"/>
    <n v="49.177647452475945"/>
    <x v="127"/>
    <x v="1"/>
  </r>
  <r>
    <s v="99"/>
    <s v="99000"/>
    <x v="4"/>
    <x v="32"/>
    <x v="9"/>
    <x v="1"/>
    <n v="66.450854624044752"/>
    <n v="33.549145375955248"/>
    <n v="3.3367804647621839"/>
    <n v="21.819727136548408"/>
    <n v="18.363319098271408"/>
    <n v="81.636680901728596"/>
    <n v="43.046998251735886"/>
    <n v="50"/>
    <n v="12.480291137088612"/>
    <n v="60"/>
    <n v="49.401110682846451"/>
    <n v="39.520888546277163"/>
    <n v="9.2485583291120577"/>
    <n v="64.856674250736532"/>
    <n v="152.33152045453176"/>
    <n v="0"/>
    <n v="84.604137787704758"/>
    <n v="80"/>
    <n v="0.43567456633630003"/>
    <n v="48.285558083578849"/>
    <n v="48.721232649915152"/>
    <n v="9.7442465299830303"/>
    <n v="49.17800016299293"/>
    <x v="128"/>
    <x v="1"/>
  </r>
  <r>
    <s v="85"/>
    <s v="85000"/>
    <x v="0"/>
    <x v="9"/>
    <x v="10"/>
    <x v="2"/>
    <n v="52.476948078338765"/>
    <n v="47.523051921661235"/>
    <n v="48.179320422459881"/>
    <n v="100"/>
    <n v="22.704587991763088"/>
    <n v="77.295412008236909"/>
    <n v="54.013172226294337"/>
    <n v="70"/>
    <n v="15.269576646256182"/>
    <n v="40"/>
    <n v="66.963692785979632"/>
    <n v="53.570954228783705"/>
    <n v="11.142043801892179"/>
    <n v="100"/>
    <n v="144.17725048145587"/>
    <n v="60"/>
    <n v="91.106523968230022"/>
    <n v="100"/>
    <n v="0"/>
    <n v="86.666666666666671"/>
    <n v="86.666666666666671"/>
    <n v="17.333333333333336"/>
    <n v="70.904287562117048"/>
    <x v="129"/>
    <x v="3"/>
  </r>
  <r>
    <s v="20"/>
    <s v="20000"/>
    <x v="0"/>
    <x v="11"/>
    <x v="8"/>
    <x v="3"/>
    <n v="61.414400256586212"/>
    <n v="38.585599743413788"/>
    <n v="52.081309351804371"/>
    <n v="100"/>
    <n v="25.144736379864334"/>
    <n v="74.855263620135673"/>
    <n v="52.830073222360298"/>
    <n v="70"/>
    <n v="11.822151672042093"/>
    <n v="60"/>
    <n v="68.688172672709896"/>
    <n v="54.950538138167921"/>
    <n v="3.140512351848038"/>
    <n v="26.964189747476148"/>
    <n v="116.08065707166776"/>
    <n v="100"/>
    <n v="82.0985808244981"/>
    <n v="80"/>
    <n v="0"/>
    <n v="68.988063249158714"/>
    <n v="68.988063249158714"/>
    <n v="13.797612649831743"/>
    <n v="68.748150787999663"/>
    <x v="130"/>
    <x v="2"/>
  </r>
  <r>
    <s v="08"/>
    <s v="08000"/>
    <x v="0"/>
    <x v="4"/>
    <x v="7"/>
    <x v="3"/>
    <n v="34.211001887278144"/>
    <n v="65.788998112721856"/>
    <n v="5.3696511289117304"/>
    <n v="10.310130823786015"/>
    <n v="62.043276643800063"/>
    <n v="37.956723356199937"/>
    <n v="72.688552171829528"/>
    <n v="100"/>
    <n v="13.625166184260571"/>
    <n v="60"/>
    <n v="54.811170458541561"/>
    <n v="43.84893636683325"/>
    <n v="18.2007198797006"/>
    <n v="100"/>
    <n v="93.086097190199368"/>
    <n v="100"/>
    <n v="77.981016453478617"/>
    <n v="70"/>
    <n v="0"/>
    <n v="90"/>
    <n v="90"/>
    <n v="18"/>
    <n v="61.84893636683325"/>
    <x v="131"/>
    <x v="2"/>
  </r>
  <r>
    <s v="41"/>
    <s v="41000"/>
    <x v="0"/>
    <x v="18"/>
    <x v="8"/>
    <x v="3"/>
    <n v="57.575429535718428"/>
    <n v="42.424570464281572"/>
    <n v="22.221451996559438"/>
    <n v="42.666845886027183"/>
    <n v="70.449018467790026"/>
    <n v="29.550981532209974"/>
    <n v="60.511940066955404"/>
    <n v="80"/>
    <n v="10.748473986152195"/>
    <n v="60"/>
    <n v="50.92847957650374"/>
    <n v="40.742783661202992"/>
    <n v="17.621921265647295"/>
    <n v="100"/>
    <n v="102.22452601618838"/>
    <n v="100"/>
    <n v="91.811071113553595"/>
    <n v="100"/>
    <n v="0"/>
    <n v="100"/>
    <n v="100"/>
    <n v="20"/>
    <n v="60.742783661202992"/>
    <x v="132"/>
    <x v="2"/>
  </r>
  <r>
    <s v="70"/>
    <s v="70000"/>
    <x v="0"/>
    <x v="28"/>
    <x v="10"/>
    <x v="3"/>
    <n v="70.841224117975216"/>
    <n v="29.158775882024784"/>
    <n v="22.233328471282896"/>
    <n v="42.68964960365885"/>
    <n v="34.394761855011211"/>
    <n v="65.605238144988789"/>
    <n v="49.379725201358433"/>
    <n v="70"/>
    <n v="-4.7378580185394146"/>
    <n v="100"/>
    <n v="61.490732726134482"/>
    <n v="49.19258618090759"/>
    <n v="0"/>
    <n v="0"/>
    <n v="94.541541759473787"/>
    <n v="100"/>
    <n v="79.525199018693357"/>
    <n v="70"/>
    <n v="0"/>
    <n v="56.666666666666664"/>
    <n v="56.666666666666664"/>
    <n v="11.333333333333334"/>
    <n v="60.525919514240925"/>
    <x v="133"/>
    <x v="2"/>
  </r>
  <r>
    <s v="81"/>
    <s v="81000"/>
    <x v="0"/>
    <x v="3"/>
    <x v="9"/>
    <x v="4"/>
    <n v="79.193745250865007"/>
    <n v="20.806254749134993"/>
    <n v="14.963085714046425"/>
    <n v="66.004741554158358"/>
    <n v="53.464309663471035"/>
    <n v="46.535690336528965"/>
    <n v="41.842121900167157"/>
    <n v="50"/>
    <n v="4.5541325403078048"/>
    <n v="100"/>
    <n v="56.66933732796447"/>
    <n v="45.335469862371582"/>
    <n v="7.79322833980995"/>
    <n v="47.824909864818181"/>
    <n v="123.51248452699161"/>
    <n v="80"/>
    <n v="89.071446594757433"/>
    <n v="80"/>
    <n v="0"/>
    <n v="69.274969954939394"/>
    <n v="69.274969954939394"/>
    <n v="13.854993990987879"/>
    <n v="59.190463853359461"/>
    <x v="134"/>
    <x v="1"/>
  </r>
  <r>
    <s v="95"/>
    <s v="95000"/>
    <x v="0"/>
    <x v="17"/>
    <x v="9"/>
    <x v="4"/>
    <n v="72.577203200699444"/>
    <n v="27.422796799300556"/>
    <n v="21.283029374889658"/>
    <n v="93.88309872878898"/>
    <n v="21.788201041423712"/>
    <n v="78.211798958576281"/>
    <n v="36.236550634107097"/>
    <n v="50"/>
    <n v="14.761246380356823"/>
    <n v="60"/>
    <n v="61.903538897333171"/>
    <n v="49.522831117866538"/>
    <n v="5.8107594022268216"/>
    <n v="35.659040456707515"/>
    <n v="170.30111416704653"/>
    <n v="0"/>
    <n v="93.59371491889479"/>
    <n v="100"/>
    <n v="0"/>
    <n v="45.219680152235838"/>
    <n v="45.219680152235838"/>
    <n v="9.0439360304471688"/>
    <n v="58.566767148313708"/>
    <x v="135"/>
    <x v="1"/>
  </r>
  <r>
    <s v="99"/>
    <s v="99000"/>
    <x v="0"/>
    <x v="32"/>
    <x v="9"/>
    <x v="4"/>
    <n v="68.407648472065858"/>
    <n v="31.592351527934142"/>
    <n v="22.669713359560507"/>
    <n v="99.999999999999986"/>
    <n v="23.001453408562792"/>
    <n v="76.998546591437204"/>
    <n v="56.066222799915799"/>
    <n v="80"/>
    <n v="42.803458414241184"/>
    <n v="0"/>
    <n v="57.718179623874263"/>
    <n v="46.174543699099416"/>
    <n v="20.851119687348614"/>
    <n v="100"/>
    <n v="154.93148336082805"/>
    <n v="0"/>
    <n v="87.133711966185018"/>
    <n v="80"/>
    <n v="0.24541159818759983"/>
    <n v="60"/>
    <n v="60.245411598187601"/>
    <n v="12.04908231963752"/>
    <n v="58.174543699099416"/>
    <x v="136"/>
    <x v="1"/>
  </r>
  <r>
    <s v="17"/>
    <s v="17000"/>
    <x v="0"/>
    <x v="7"/>
    <x v="8"/>
    <x v="3"/>
    <n v="49.409206602991652"/>
    <n v="50.590793397008348"/>
    <n v="20.10742059708306"/>
    <n v="38.607747860675538"/>
    <n v="62.398946368562861"/>
    <n v="37.601053631437139"/>
    <n v="45.942906936658709"/>
    <n v="70"/>
    <n v="15.978800060975693"/>
    <n v="40"/>
    <n v="47.359918977824201"/>
    <n v="37.887935182259362"/>
    <n v="16.66643037467923"/>
    <n v="100"/>
    <n v="112.77562047693085"/>
    <n v="100"/>
    <n v="91.634935662626191"/>
    <n v="100"/>
    <n v="0"/>
    <n v="100"/>
    <n v="100"/>
    <n v="20"/>
    <n v="57.887935182259362"/>
    <x v="137"/>
    <x v="1"/>
  </r>
  <r>
    <s v="44"/>
    <s v="44000"/>
    <x v="0"/>
    <x v="16"/>
    <x v="9"/>
    <x v="2"/>
    <n v="67.171840945939152"/>
    <n v="32.828159054060848"/>
    <n v="7.7519249174384841"/>
    <n v="16.089734868540713"/>
    <n v="48.867639549072742"/>
    <n v="51.132360450927258"/>
    <n v="63.297323098048096"/>
    <n v="80"/>
    <n v="11.362505947083267"/>
    <n v="60"/>
    <n v="48.010050874705762"/>
    <n v="38.408040699764612"/>
    <n v="13.878132244334246"/>
    <n v="85.166300118122564"/>
    <n v="115.95445570502545"/>
    <n v="100"/>
    <n v="91.354409646442136"/>
    <n v="100"/>
    <n v="0"/>
    <n v="95.055433372707512"/>
    <n v="95.055433372707512"/>
    <n v="19.011086674541502"/>
    <n v="57.419127374306115"/>
    <x v="138"/>
    <x v="1"/>
  </r>
  <r>
    <s v="86"/>
    <s v="86000"/>
    <x v="0"/>
    <x v="23"/>
    <x v="9"/>
    <x v="4"/>
    <n v="76.691917608225282"/>
    <n v="23.308082391774718"/>
    <n v="6.006212925386448"/>
    <n v="26.494437005545308"/>
    <n v="27.275861855437622"/>
    <n v="72.724138144562374"/>
    <n v="33.006962316576264"/>
    <n v="40"/>
    <n v="6.7608017494881647"/>
    <n v="80"/>
    <n v="48.505331508376479"/>
    <n v="38.804265206701189"/>
    <n v="10.36996386483461"/>
    <n v="63.637630711232461"/>
    <n v="118.26839391314054"/>
    <n v="100"/>
    <n v="94.128773939603605"/>
    <n v="100"/>
    <n v="0"/>
    <n v="87.879210237077487"/>
    <n v="87.879210237077487"/>
    <n v="17.575842047415499"/>
    <n v="56.380107254116687"/>
    <x v="139"/>
    <x v="1"/>
  </r>
  <r>
    <s v="94"/>
    <s v="94000"/>
    <x v="0"/>
    <x v="15"/>
    <x v="9"/>
    <x v="4"/>
    <n v="63.629225572667536"/>
    <n v="36.370774427332464"/>
    <n v="2.8936781398024474"/>
    <n v="12.764511372095031"/>
    <n v="15.028842870308551"/>
    <n v="84.971157129691449"/>
    <n v="68.023748714896314"/>
    <n v="100"/>
    <n v="33.302891394469164"/>
    <n v="0"/>
    <n v="46.821288585823787"/>
    <n v="37.457030868659032"/>
    <n v="29.420344760012775"/>
    <n v="100"/>
    <n v="114.01450215171461"/>
    <n v="100"/>
    <n v="76.849005092357402"/>
    <n v="70"/>
    <n v="0"/>
    <n v="90"/>
    <n v="90"/>
    <n v="18"/>
    <n v="55.457030868659032"/>
    <x v="140"/>
    <x v="1"/>
  </r>
  <r>
    <s v="66"/>
    <s v="66000"/>
    <x v="0"/>
    <x v="25"/>
    <x v="8"/>
    <x v="3"/>
    <n v="36.579132018756091"/>
    <n v="63.420867981243909"/>
    <n v="3.3289887043309276"/>
    <n v="6.3919067046565985"/>
    <n v="52.675437387401523"/>
    <n v="47.324562612598477"/>
    <n v="67.886624421333295"/>
    <n v="100"/>
    <n v="31.674683077990228"/>
    <n v="0"/>
    <n v="43.427467459699798"/>
    <n v="34.74197396775984"/>
    <n v="21.899329637923351"/>
    <n v="100"/>
    <n v="113.49181987316202"/>
    <n v="100"/>
    <n v="91.416388528946996"/>
    <n v="100"/>
    <n v="0"/>
    <n v="100"/>
    <n v="100"/>
    <n v="20"/>
    <n v="54.74197396775984"/>
    <x v="141"/>
    <x v="1"/>
  </r>
  <r>
    <s v="97"/>
    <s v="97000"/>
    <x v="0"/>
    <x v="31"/>
    <x v="9"/>
    <x v="4"/>
    <n v="69.918394929095456"/>
    <n v="30.081605070904544"/>
    <n v="4.6169332724135863"/>
    <n v="20.366085795551029"/>
    <n v="17.20653189194168"/>
    <n v="82.79346810805832"/>
    <n v="59.170085588390542"/>
    <n v="80"/>
    <n v="34.596562066112838"/>
    <n v="0"/>
    <n v="42.648231794902777"/>
    <n v="34.11858543592222"/>
    <n v="34.326659491291416"/>
    <n v="100"/>
    <n v="108.80491785645776"/>
    <n v="100"/>
    <n v="80.142562356194489"/>
    <n v="80"/>
    <n v="0"/>
    <n v="93.333333333333329"/>
    <n v="93.333333333333329"/>
    <n v="18.666666666666668"/>
    <n v="52.785252102588885"/>
    <x v="142"/>
    <x v="1"/>
  </r>
  <r>
    <s v="27"/>
    <s v="27000"/>
    <x v="0"/>
    <x v="12"/>
    <x v="10"/>
    <x v="4"/>
    <n v="78.825225231829364"/>
    <n v="21.174774768170636"/>
    <n v="1.7732825303802289"/>
    <n v="7.8222538690917407"/>
    <n v="24.337845830754581"/>
    <n v="75.662154169245412"/>
    <n v="35.43461378686186"/>
    <n v="50"/>
    <n v="7.5775546346907525"/>
    <n v="80"/>
    <n v="46.931836561301552"/>
    <n v="37.54546924904124"/>
    <n v="4.3928227213120437"/>
    <n v="53.555338534791332"/>
    <n v="114.72412390367305"/>
    <n v="100"/>
    <n v="79.977120890631454"/>
    <n v="70"/>
    <n v="0"/>
    <n v="74.518446178263773"/>
    <n v="74.518446178263773"/>
    <n v="14.903689235652756"/>
    <n v="52.449158484693996"/>
    <x v="143"/>
    <x v="1"/>
  </r>
  <r>
    <s v="19"/>
    <s v="19000"/>
    <x v="0"/>
    <x v="10"/>
    <x v="10"/>
    <x v="2"/>
    <n v="77.043759840344407"/>
    <n v="22.956240159655593"/>
    <n v="1.145909485987572"/>
    <n v="2.3784260050571002"/>
    <n v="33.819531770726876"/>
    <n v="66.180468229273117"/>
    <n v="50.046764004504141"/>
    <n v="70"/>
    <n v="18.012331992559027"/>
    <n v="40"/>
    <n v="40.303026878797162"/>
    <n v="32.242421503037733"/>
    <n v="29.637199244923941"/>
    <n v="100"/>
    <n v="96.357870403552838"/>
    <n v="100"/>
    <n v="97.873293670915317"/>
    <n v="100"/>
    <n v="0"/>
    <n v="100"/>
    <n v="100"/>
    <n v="20"/>
    <n v="52.242421503037733"/>
    <x v="144"/>
    <x v="1"/>
  </r>
  <r>
    <s v="05"/>
    <s v="05000"/>
    <x v="0"/>
    <x v="2"/>
    <x v="6"/>
    <x v="3"/>
    <n v="34.355525611349222"/>
    <n v="65.644474388650778"/>
    <n v="4.2309346371906154"/>
    <n v="8.1237101944020793"/>
    <n v="83.045367607228599"/>
    <n v="16.954632392771401"/>
    <n v="64.101437679612516"/>
    <n v="80"/>
    <n v="18.049207280957482"/>
    <n v="40"/>
    <n v="42.144563395164852"/>
    <n v="33.715650716131883"/>
    <n v="27.671932811494745"/>
    <n v="100"/>
    <n v="109.96372928630274"/>
    <n v="100"/>
    <n v="79.462322396197408"/>
    <n v="70"/>
    <n v="0"/>
    <n v="90"/>
    <n v="90"/>
    <n v="18"/>
    <n v="51.715650716131883"/>
    <x v="145"/>
    <x v="1"/>
  </r>
  <r>
    <s v="76"/>
    <s v="76000"/>
    <x v="0"/>
    <x v="30"/>
    <x v="6"/>
    <x v="3"/>
    <n v="26.923960775641337"/>
    <n v="73.076039224358667"/>
    <n v="5.335288249677153"/>
    <n v="10.244151531670949"/>
    <n v="90.119706651490674"/>
    <n v="9.8802933485093263"/>
    <n v="61.318510808470826"/>
    <n v="80"/>
    <n v="15.602887678379076"/>
    <n v="40"/>
    <n v="42.640096820907786"/>
    <n v="34.112077456726233"/>
    <n v="13.076447611138015"/>
    <n v="78.395387205464559"/>
    <n v="90.807886920637941"/>
    <n v="100"/>
    <n v="81.655287714851937"/>
    <n v="80"/>
    <n v="0"/>
    <n v="86.131795735154853"/>
    <n v="86.131795735154853"/>
    <n v="17.226359147030973"/>
    <n v="51.338436603757202"/>
    <x v="146"/>
    <x v="1"/>
  </r>
  <r>
    <s v="63"/>
    <s v="63000"/>
    <x v="0"/>
    <x v="24"/>
    <x v="10"/>
    <x v="3"/>
    <n v="43.448470476373934"/>
    <n v="56.551529523626066"/>
    <n v="4.0619815879312871"/>
    <n v="7.7993077334000596"/>
    <n v="69.537530892281751"/>
    <n v="30.462469107718249"/>
    <n v="47.702421651216845"/>
    <n v="70"/>
    <n v="12.086166365781004"/>
    <n v="60"/>
    <n v="44.962661272948878"/>
    <n v="35.970129018359103"/>
    <n v="4.0423301239824241"/>
    <n v="49.282288859269791"/>
    <n v="102.30148670051821"/>
    <n v="100"/>
    <n v="89.53329272858366"/>
    <n v="80"/>
    <n v="5.410353585830862E-2"/>
    <n v="76.427429619756595"/>
    <n v="76.481533155614898"/>
    <n v="15.296306631122981"/>
    <n v="51.255614942310423"/>
    <x v="147"/>
    <x v="1"/>
  </r>
  <r>
    <s v="73"/>
    <s v="73000"/>
    <x v="0"/>
    <x v="29"/>
    <x v="8"/>
    <x v="3"/>
    <n v="60.148760428908126"/>
    <n v="39.851239571091874"/>
    <n v="9.7996821942681596"/>
    <n v="18.816121015837414"/>
    <n v="86.195381042240697"/>
    <n v="13.804618957759303"/>
    <n v="38.115918041903285"/>
    <n v="50"/>
    <n v="3.6011538739922431"/>
    <n v="100"/>
    <n v="44.494395908937719"/>
    <n v="35.595516727150176"/>
    <n v="5.9810696698181758"/>
    <n v="51.352989385617136"/>
    <n v="104.8507549252851"/>
    <n v="100"/>
    <n v="86.565254569497284"/>
    <n v="80"/>
    <n v="0"/>
    <n v="77.11766312853905"/>
    <n v="77.11766312853905"/>
    <n v="15.423532625707811"/>
    <n v="51.019049352857991"/>
    <x v="148"/>
    <x v="1"/>
  </r>
  <r>
    <s v="15"/>
    <s v="15000"/>
    <x v="0"/>
    <x v="6"/>
    <x v="7"/>
    <x v="3"/>
    <n v="60.379395063174826"/>
    <n v="39.620604936825174"/>
    <n v="4.5425522992134049"/>
    <n v="8.7220393568235579"/>
    <n v="65.651970280389634"/>
    <n v="34.348029719610366"/>
    <n v="41.546289690314744"/>
    <n v="50"/>
    <n v="11.081850225589537"/>
    <n v="60"/>
    <n v="38.538134802651818"/>
    <n v="30.830507842121456"/>
    <n v="7.5780238886377376"/>
    <n v="100"/>
    <n v="97.708699532610524"/>
    <n v="100"/>
    <n v="90.705752534637185"/>
    <n v="100"/>
    <n v="0"/>
    <n v="100"/>
    <n v="100"/>
    <n v="20"/>
    <n v="50.830507842121456"/>
    <x v="149"/>
    <x v="1"/>
  </r>
  <r>
    <s v="47"/>
    <s v="47000"/>
    <x v="0"/>
    <x v="19"/>
    <x v="8"/>
    <x v="2"/>
    <n v="56.620362495527139"/>
    <n v="43.379637504472861"/>
    <n v="5.3684629005129789"/>
    <n v="11.142670451637063"/>
    <n v="44.529079161315607"/>
    <n v="55.470920838684393"/>
    <n v="58.679883690096204"/>
    <n v="80"/>
    <n v="28.938934164214107"/>
    <n v="20"/>
    <n v="41.998645758958865"/>
    <n v="33.598916607167091"/>
    <n v="6.1566684489454602"/>
    <n v="52.860666563523161"/>
    <n v="110.32202152155401"/>
    <n v="100"/>
    <n v="90.576066421225846"/>
    <n v="100"/>
    <n v="0"/>
    <n v="84.286888854507723"/>
    <n v="84.286888854507723"/>
    <n v="16.857377770901547"/>
    <n v="50.456294378068634"/>
    <x v="150"/>
    <x v="1"/>
  </r>
  <r>
    <s v="25"/>
    <s v="25000"/>
    <x v="0"/>
    <x v="14"/>
    <x v="6"/>
    <x v="3"/>
    <n v="31.322978059434107"/>
    <n v="68.677021940565893"/>
    <n v="1.4925838228206316"/>
    <n v="2.8658723088898701"/>
    <n v="71.756133596104235"/>
    <n v="28.243866403895765"/>
    <n v="64.782913871954534"/>
    <n v="80"/>
    <n v="16.006871981226848"/>
    <n v="40"/>
    <n v="43.957352130670309"/>
    <n v="35.165881704536247"/>
    <n v="9.2919908693653426"/>
    <n v="55.706965972400049"/>
    <n v="103.98924178109581"/>
    <n v="100"/>
    <n v="73.579175652817653"/>
    <n v="70"/>
    <n v="0"/>
    <n v="75.235655324133347"/>
    <n v="75.235655324133347"/>
    <n v="15.047131064826671"/>
    <n v="50.213012769362919"/>
    <x v="151"/>
    <x v="1"/>
  </r>
  <r>
    <s v="50"/>
    <s v="50000"/>
    <x v="0"/>
    <x v="20"/>
    <x v="7"/>
    <x v="2"/>
    <n v="40.874144510070821"/>
    <n v="59.125855489929179"/>
    <n v="5.1878574850046331"/>
    <n v="10.767809590328294"/>
    <n v="17.201417669654173"/>
    <n v="82.798582330345823"/>
    <n v="50.855722826583218"/>
    <n v="70"/>
    <n v="30.312823500869541"/>
    <n v="0"/>
    <n v="44.538449482120662"/>
    <n v="35.630759585696531"/>
    <n v="0.91363910468747633"/>
    <n v="13.447898032354962"/>
    <n v="106.74647000286666"/>
    <n v="100"/>
    <n v="94.606676805432542"/>
    <n v="100"/>
    <n v="4.4852405589005266E-2"/>
    <n v="71.149299344118319"/>
    <n v="71.194151749707331"/>
    <n v="14.238830349941466"/>
    <n v="49.860619454520197"/>
    <x v="152"/>
    <x v="1"/>
  </r>
  <r>
    <s v="54"/>
    <s v="54000"/>
    <x v="0"/>
    <x v="22"/>
    <x v="8"/>
    <x v="3"/>
    <n v="54.942358468508928"/>
    <n v="45.057641531491072"/>
    <n v="0.18422488108178545"/>
    <n v="0.35372551760817611"/>
    <n v="63.0931296413222"/>
    <n v="36.9068703586778"/>
    <n v="53.695345848799526"/>
    <n v="70"/>
    <n v="12.956202299506822"/>
    <n v="60"/>
    <n v="42.463647481555412"/>
    <n v="33.970917985244334"/>
    <n v="10.062890992767208"/>
    <n v="86.399183234377247"/>
    <n v="120.56938519043609"/>
    <n v="80"/>
    <n v="79.646588924594795"/>
    <n v="70"/>
    <n v="9.8365918181800738E-2"/>
    <n v="78.799727744792406"/>
    <n v="78.898093662974205"/>
    <n v="15.779618732594841"/>
    <n v="49.730863534202818"/>
    <x v="153"/>
    <x v="1"/>
  </r>
  <r>
    <s v="52"/>
    <s v="52000"/>
    <x v="0"/>
    <x v="21"/>
    <x v="7"/>
    <x v="2"/>
    <n v="61.950522142251948"/>
    <n v="38.049477857748052"/>
    <n v="3.626100653055532"/>
    <n v="7.5262594433879624"/>
    <n v="52.162253139046058"/>
    <n v="47.837746860953942"/>
    <n v="47.671775073727673"/>
    <n v="70"/>
    <n v="23.040326541797182"/>
    <n v="20"/>
    <n v="36.682696832417989"/>
    <n v="29.346157465934393"/>
    <n v="6.4031835604160818"/>
    <n v="94.248767550708152"/>
    <n v="112.56192334139017"/>
    <n v="100"/>
    <n v="92.155238953666355"/>
    <n v="100"/>
    <n v="0"/>
    <n v="98.082922516902727"/>
    <n v="98.082922516902727"/>
    <n v="19.616584503380547"/>
    <n v="48.962741969314941"/>
    <x v="154"/>
    <x v="1"/>
  </r>
  <r>
    <s v="91"/>
    <s v="91000"/>
    <x v="0"/>
    <x v="1"/>
    <x v="9"/>
    <x v="4"/>
    <n v="59.154900066086064"/>
    <n v="40.845099933913936"/>
    <n v="0"/>
    <n v="0"/>
    <n v="30.748996235568228"/>
    <n v="69.251003764431772"/>
    <n v="49.728956630059912"/>
    <n v="70"/>
    <n v="37.355028180342586"/>
    <n v="0"/>
    <n v="36.019220739669137"/>
    <n v="28.815376591735312"/>
    <n v="24.038345452372468"/>
    <n v="100"/>
    <n v="111.82696991351935"/>
    <n v="100"/>
    <n v="82.814882042513503"/>
    <n v="80"/>
    <n v="0"/>
    <n v="93.333333333333329"/>
    <n v="93.333333333333329"/>
    <n v="18.666666666666668"/>
    <n v="47.48204325840198"/>
    <x v="155"/>
    <x v="1"/>
  </r>
  <r>
    <s v="18"/>
    <s v="18000"/>
    <x v="0"/>
    <x v="8"/>
    <x v="9"/>
    <x v="4"/>
    <n v="67.577804700378024"/>
    <n v="32.422195299621976"/>
    <n v="2.4263050768939505"/>
    <n v="10.702848502805193"/>
    <n v="50.709840050834153"/>
    <n v="49.290159949165847"/>
    <n v="34.059736193658544"/>
    <n v="40"/>
    <n v="6.9664629883059694"/>
    <n v="80"/>
    <n v="42.483040750318608"/>
    <n v="33.986432600254886"/>
    <n v="0.16944414144317932"/>
    <n v="1.039832331133669"/>
    <n v="119.78713741683782"/>
    <n v="100"/>
    <n v="92.06827127521565"/>
    <n v="100"/>
    <n v="0"/>
    <n v="67.013277443711218"/>
    <n v="67.013277443711218"/>
    <n v="13.402655488742244"/>
    <n v="47.389088088997127"/>
    <x v="156"/>
    <x v="1"/>
  </r>
  <r>
    <s v="68"/>
    <s v="68000"/>
    <x v="0"/>
    <x v="27"/>
    <x v="7"/>
    <x v="3"/>
    <n v="45.242914046908666"/>
    <n v="54.757085953091334"/>
    <n v="13.296284853058488"/>
    <n v="25.529859019563673"/>
    <n v="76.024462593085772"/>
    <n v="23.975537406914228"/>
    <n v="41.118651078076788"/>
    <n v="50"/>
    <n v="20.68388976369646"/>
    <n v="20"/>
    <n v="34.852496475913846"/>
    <n v="27.881997180731076"/>
    <n v="8.7534628902798275"/>
    <n v="100"/>
    <n v="104.64880027460482"/>
    <n v="100"/>
    <n v="85.603937166534479"/>
    <n v="80"/>
    <n v="0"/>
    <n v="93.333333333333329"/>
    <n v="93.333333333333329"/>
    <n v="18.666666666666668"/>
    <n v="46.548663847397748"/>
    <x v="157"/>
    <x v="1"/>
  </r>
  <r>
    <s v="13"/>
    <s v="13000"/>
    <x v="0"/>
    <x v="5"/>
    <x v="7"/>
    <x v="2"/>
    <n v="57.317021585794457"/>
    <n v="42.682978414205543"/>
    <n v="6.5260498302102139"/>
    <n v="13.545333917096823"/>
    <n v="78.494373232011753"/>
    <n v="21.505626767988247"/>
    <n v="38.766224851020162"/>
    <n v="50"/>
    <n v="5.1970393276892537"/>
    <n v="80"/>
    <n v="41.546787819858125"/>
    <n v="33.237430255886501"/>
    <n v="0.40930310946841075"/>
    <n v="6.0245522025240197"/>
    <n v="92.65728438471659"/>
    <n v="100"/>
    <n v="85.015460650070466"/>
    <n v="80"/>
    <n v="0"/>
    <n v="62.008184067508012"/>
    <n v="62.008184067508012"/>
    <n v="12.401636813501604"/>
    <n v="45.639067069388105"/>
    <x v="158"/>
    <x v="1"/>
  </r>
  <r>
    <s v="23"/>
    <s v="23000"/>
    <x v="0"/>
    <x v="13"/>
    <x v="7"/>
    <x v="2"/>
    <n v="75.070373696078121"/>
    <n v="24.929626303921879"/>
    <n v="6.0464674258254263"/>
    <n v="12.549922607473576"/>
    <n v="70.376294859331551"/>
    <n v="29.623705140668449"/>
    <n v="33.258268433321305"/>
    <n v="40"/>
    <n v="19.134950900460815"/>
    <n v="40"/>
    <n v="29.420650810412781"/>
    <n v="23.536520648330225"/>
    <n v="5.2990904252011788"/>
    <n v="77.997567460414288"/>
    <n v="106.16888297429209"/>
    <n v="100"/>
    <n v="90.570052515737459"/>
    <n v="100"/>
    <n v="0"/>
    <n v="92.665855820138106"/>
    <n v="92.665855820138106"/>
    <n v="18.533171164027621"/>
    <n v="42.069691812357846"/>
    <x v="159"/>
    <x v="1"/>
  </r>
  <r>
    <s v="88"/>
    <s v="88000"/>
    <x v="0"/>
    <x v="26"/>
    <x v="10"/>
    <x v="2"/>
    <n v="25.418082512895658"/>
    <n v="74.581917487104334"/>
    <n v="14.948470837462835"/>
    <n v="31.026736588202823"/>
    <n v="16.48137972038144"/>
    <n v="83.51862027961856"/>
    <n v="10.653441275569818"/>
    <n v="20"/>
    <n v="45.213841554850021"/>
    <n v="0"/>
    <n v="41.825454870985141"/>
    <n v="33.460363896788117"/>
    <n v="0"/>
    <n v="0"/>
    <n v="1240.8300378277838"/>
    <n v="0"/>
    <n v="71.245675822365627"/>
    <n v="70"/>
    <n v="0"/>
    <n v="23.333333333333332"/>
    <n v="23.333333333333332"/>
    <n v="4.666666666666667"/>
    <n v="38.127030563454781"/>
    <x v="16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03EEF2-5ABC-4F5B-85E5-080F34CE1372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9" firstHeaderRow="0" firstDataRow="1" firstDataCol="1" rowPageCount="1" colPageCount="1"/>
  <pivotFields count="57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62">
        <item x="0"/>
        <item x="1"/>
        <item x="2"/>
        <item x="3"/>
        <item x="4"/>
        <item x="6"/>
        <item x="7"/>
        <item x="8"/>
        <item x="9"/>
        <item x="10"/>
        <item x="11"/>
        <item x="13"/>
        <item x="14"/>
        <item x="16"/>
        <item x="17"/>
        <item x="18"/>
        <item x="19"/>
        <item x="21"/>
        <item x="22"/>
        <item x="23"/>
        <item x="24"/>
        <item x="26"/>
        <item x="27"/>
        <item x="28"/>
        <item x="29"/>
        <item x="30"/>
        <item x="31"/>
        <item x="54"/>
        <item x="32"/>
        <item x="51"/>
        <item x="33"/>
        <item x="34"/>
        <item x="60"/>
        <item x="5"/>
        <item x="35"/>
        <item x="36"/>
        <item x="52"/>
        <item x="37"/>
        <item x="38"/>
        <item x="40"/>
        <item x="12"/>
        <item x="39"/>
        <item x="55"/>
        <item x="56"/>
        <item x="41"/>
        <item x="15"/>
        <item x="42"/>
        <item x="43"/>
        <item x="20"/>
        <item x="59"/>
        <item x="44"/>
        <item x="53"/>
        <item x="45"/>
        <item x="46"/>
        <item x="25"/>
        <item x="47"/>
        <item x="48"/>
        <item x="49"/>
        <item x="50"/>
        <item x="57"/>
        <item x="58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dataField="1" numFmtId="2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3" hier="-1"/>
  </pageFields>
  <dataFields count="12">
    <dataField name="Promedio de Dependencia de las transferencias &quot;Resultado&quot;" fld="32" subtotal="average" baseField="2" baseItem="0" numFmtId="2"/>
    <dataField name="Promedio de Relevancia FBKF &quot;Resultado&quot;" fld="34" subtotal="average" baseField="2" baseItem="0" numFmtId="2"/>
    <dataField name="Promedio de Endeudamiento &quot;Resultado&quot;" fld="36" subtotal="average" baseField="2" baseItem="0" numFmtId="2"/>
    <dataField name="Promedio de Ahorro corriente &quot;Resultado&quot;" fld="38" subtotal="average" baseField="2" baseItem="0" numFmtId="2"/>
    <dataField name="Promedio de Balance Fiscal Primario &quot;Resultado&quot;" fld="40" subtotal="average" baseField="2" baseItem="0" numFmtId="2"/>
    <dataField name="Promedio de Resultados" fld="42" subtotal="average" baseField="2" baseItem="0" numFmtId="2"/>
    <dataField name="Promedio de Holgura &quot;Resultado&quot;" fld="44" subtotal="average" baseField="2" baseItem="0" numFmtId="2"/>
    <dataField name="Promedio de Capacidad de programación y recaudo de ingresos &quot;Resultado&quot;" fld="46" subtotal="average" baseField="2" baseItem="0" numFmtId="2"/>
    <dataField name="Promedio de Capacidad de Ejecución de Inversión &quot;Resultado&quot;" fld="48" subtotal="average" baseField="2" baseItem="0" numFmtId="2"/>
    <dataField name="Promedio de Bonificación Esfuerzo Porpio &quot;Calificación&quot;" fld="50" subtotal="average" baseField="2" baseItem="0" numFmtId="2"/>
    <dataField name="Promedio de Resultados Gestión" fld="51" subtotal="average" baseField="2" baseItem="0" numFmtId="2"/>
    <dataField name="Promedio de Nuevo IDF" fld="55" subtotal="average" baseField="2" baseItem="0" numFmtId="2"/>
  </dataFields>
  <formats count="6">
    <format dxfId="480">
      <pivotArea field="2" type="button" dataOnly="0" labelOnly="1" outline="0" axis="axisRow" fieldPosition="0"/>
    </format>
    <format dxfId="47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78">
      <pivotArea field="2" type="button" dataOnly="0" labelOnly="1" outline="0" axis="axisRow" fieldPosition="0"/>
    </format>
    <format dxfId="47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76">
      <pivotArea field="2" type="button" dataOnly="0" labelOnly="1" outline="0" axis="axisRow" fieldPosition="0"/>
    </format>
    <format dxfId="47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078D6-B0A6-43BA-B005-4ECEC6DEFCD0}" name="TablaDinámica12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4:C69" firstHeaderRow="1" firstDataRow="1" firstDataCol="2"/>
  <pivotFields count="55">
    <pivotField compact="0" outline="0" showAll="0" defaultSubtotal="0"/>
    <pivotField compact="0" outline="0" showAll="0" defaultSubtotal="0"/>
    <pivotField axis="axisRow" compact="0" outline="0" showAll="0" defaultSubtotal="0">
      <items count="6">
        <item h="1" x="0"/>
        <item x="1"/>
        <item x="2"/>
        <item x="3"/>
        <item x="4"/>
        <item h="1"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3"/>
        <item x="4"/>
        <item x="0"/>
        <item x="2"/>
        <item x="1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2">
    <field x="6"/>
    <field x="2"/>
  </rowFields>
  <rowItems count="25">
    <i>
      <x/>
      <x v="1"/>
    </i>
    <i r="1">
      <x v="2"/>
    </i>
    <i r="1">
      <x v="3"/>
    </i>
    <i r="1">
      <x v="4"/>
    </i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>
      <x v="5"/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Promedio de Nuevo IDF (sin bonos)" fld="54" subtotal="average" baseField="2" baseItem="2"/>
  </dataFields>
  <formats count="1">
    <format dxfId="4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D9FD9-83A4-416E-8639-837C42955BA7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128:D133" firstHeaderRow="0" firstDataRow="1" firstDataCol="1"/>
  <pivotFields count="56">
    <pivotField compact="0" outline="0" showAll="0"/>
    <pivotField compact="0" outline="0" showAll="0"/>
    <pivotField axis="axisRow" compact="0" outline="0" showAll="0" defaultSubtotal="0">
      <items count="6">
        <item h="1" x="0"/>
        <item x="1"/>
        <item x="2"/>
        <item x="3"/>
        <item x="4"/>
        <item h="1" x="5"/>
      </items>
    </pivotField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alance Fiscal &quot;Resultado&quot;" fld="39" subtotal="average" baseField="2" baseItem="1"/>
    <dataField name="Relevancia FBKF &quot;Resultado&quot; " fld="33" subtotal="average" baseField="2" baseItem="1"/>
    <dataField name="Dependencia de las transferencias &quot;Resultado&quot; " fld="31" subtotal="average" baseField="2" baseItem="1"/>
  </dataFields>
  <formats count="2">
    <format dxfId="430">
      <pivotArea outline="0" fieldPosition="0">
        <references count="1">
          <reference field="2" count="0" selected="0"/>
        </references>
      </pivotArea>
    </format>
    <format dxfId="429">
      <pivotArea outline="0" collapsedLevelsAreSubtotals="1" fieldPosition="0"/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03BF7-79EB-4FF3-9A52-C27E8CE1530B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0:B35" firstHeaderRow="1" firstDataRow="1" firstDataCol="1"/>
  <pivotFields count="56">
    <pivotField compact="0" outline="0" showAll="0"/>
    <pivotField compact="0" outline="0" showAll="0"/>
    <pivotField axis="axisRow" compact="0" outline="0" showAll="0" defaultSubtotal="0">
      <items count="6">
        <item h="1" x="0"/>
        <item x="1"/>
        <item x="2"/>
        <item x="3"/>
        <item x="4"/>
        <item h="1" x="5"/>
      </items>
    </pivotField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Nuevo IDF" fld="54" subtotal="average" baseField="1" baseItem="2" numFmtId="2"/>
  </dataFields>
  <formats count="2">
    <format dxfId="432">
      <pivotArea outline="0" fieldPosition="0">
        <references count="1">
          <reference field="2" count="0" selected="0"/>
        </references>
      </pivotArea>
    </format>
    <format dxfId="4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4B2CC-DD0C-4A7D-BD39-615649B386C9}" name="TablaDinámica21" cacheId="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75:K82" firstHeaderRow="0" firstDataRow="1" firstDataCol="1" rowPageCount="1" colPageCount="1"/>
  <pivotFields count="56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3"/>
        <item x="4"/>
        <item x="0"/>
        <item x="2"/>
        <item x="1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numFmtId="2" outlin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2" hier="-1"/>
  </pageFields>
  <dataFields count="10">
    <dataField name="Dependencia Trasnferencias. " fld="33" subtotal="average" baseField="6" baseItem="0"/>
    <dataField name=" FBK " fld="35" subtotal="average" baseField="6" baseItem="0"/>
    <dataField name="Endeudamiento." fld="37" subtotal="average" baseField="6" baseItem="0"/>
    <dataField name="Ahorro corriente " fld="39" subtotal="average" baseField="6" baseItem="0"/>
    <dataField name=" Balance Fiscal      " fld="41" subtotal="average" baseField="6" baseItem="0"/>
    <dataField name="Holgura       " fld="45" subtotal="average" baseField="6" baseItem="0"/>
    <dataField name="Capacidad de programación y recaudo de Ingresos  " fld="47" subtotal="average" baseField="6" baseItem="0"/>
    <dataField name="Capacidad de Ejecución de Inversión    " fld="49" subtotal="average" baseField="6" baseItem="0"/>
    <dataField name="  Calificación Resultados " fld="43" subtotal="average" baseField="6" baseItem="0"/>
    <dataField name=" Calificación Resultados Gestión" fld="53" subtotal="average" baseField="6" baseItem="0"/>
  </dataFields>
  <formats count="4">
    <format dxfId="436">
      <pivotArea outline="0" collapsedLevelsAreSubtotals="1" fieldPosition="0"/>
    </format>
    <format dxfId="43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3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43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A06B4-6E6B-4698-8DC6-31D63D5A8963}" name="TablaDinámica4" cacheId="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172:L179" firstHeaderRow="0" firstDataRow="1" firstDataCol="1" rowPageCount="1" colPageCount="1"/>
  <pivotFields count="56"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6">
        <item h="1" x="0"/>
        <item h="1" x="1"/>
        <item h="1" x="2"/>
        <item h="1" x="3"/>
        <item x="4"/>
        <item h="1"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">
        <item x="3"/>
        <item x="4"/>
        <item x="0"/>
        <item x="2"/>
        <item x="1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2" outline="0" showAll="0" defaultSubtota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2" hier="-1"/>
  </pageFields>
  <dataFields count="11">
    <dataField name="Promedio de Dependencia de las transferencias &quot;Resultado&quot;" fld="32" subtotal="average" baseField="6" baseItem="3"/>
    <dataField name="Promedio de Relevancia FBKF &quot;Resultado&quot;" fld="34" subtotal="average" baseField="6" baseItem="3"/>
    <dataField name="Promedio de Endeudamiento &quot;Resultado&quot;" fld="36" subtotal="average" baseField="6" baseItem="3"/>
    <dataField name="Promedio de Ahorro corriente &quot;Resultado&quot;" fld="38" subtotal="average" baseField="6" baseItem="3"/>
    <dataField name="Promedio de Balance Fiscal Primario &quot;Resultado&quot;" fld="40" subtotal="average" baseField="6" baseItem="3"/>
    <dataField name="Promedio de Resultados" fld="42" subtotal="average" baseField="6" baseItem="3"/>
    <dataField name="Promedio de Holgura &quot;Resultado&quot;" fld="44" subtotal="average" baseField="6" baseItem="3"/>
    <dataField name="Promedio de Capacidad de programación y recaudo de ingresos &quot;Resultado&quot;" fld="46" subtotal="average" baseField="6" baseItem="0"/>
    <dataField name="Promedio de Capacidad de Ejecución de Inversión &quot;Resultado&quot;" fld="48" subtotal="average" baseField="6" baseItem="3"/>
    <dataField name="Promedio de Resultados Gestión" fld="51" subtotal="average" baseField="6" baseItem="3"/>
    <dataField name="Suma de Bonificación Esfuerzo Porpio &quot;Calificación&quot;" fld="50" baseField="0" baseItem="0"/>
  </dataFields>
  <formats count="3">
    <format dxfId="439">
      <pivotArea outline="0" collapsedLevelsAreSubtotals="1" fieldPosition="0"/>
    </format>
    <format dxfId="438">
      <pivotArea field="6" type="button" dataOnly="0" labelOnly="1" outline="0" axis="axisRow" fieldPosition="0"/>
    </format>
    <format dxfId="43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1939D-E5C5-4FD9-87DE-D0C613EFAEBD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24" firstHeaderRow="1" firstDataRow="1" firstDataCol="2"/>
  <pivotFields count="56">
    <pivotField compact="0" outline="0" showAll="0"/>
    <pivotField compact="0" outline="0" showAll="0"/>
    <pivotField axis="axisRow" compact="0" outline="0" showAll="0" defaultSubtotal="0">
      <items count="6">
        <item h="1" x="0"/>
        <item x="1"/>
        <item x="2"/>
        <item x="3"/>
        <item x="4"/>
        <item h="1" x="5"/>
      </items>
    </pivotField>
    <pivotField compact="0" outline="0" showAll="0"/>
    <pivotField axis="axisRow" compact="0" outline="0" showAll="0" defaultSubtotal="0">
      <items count="11">
        <item x="6"/>
        <item x="7"/>
        <item x="9"/>
        <item x="8"/>
        <item x="5"/>
        <item x="0"/>
        <item x="1"/>
        <item x="2"/>
        <item x="3"/>
        <item x="4"/>
        <item x="1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</pivotFields>
  <rowFields count="2">
    <field x="4"/>
    <field x="2"/>
  </rowFields>
  <rowItems count="21">
    <i>
      <x/>
      <x v="1"/>
    </i>
    <i r="1">
      <x v="2"/>
    </i>
    <i r="1">
      <x v="3"/>
    </i>
    <i r="1">
      <x v="4"/>
    </i>
    <i>
      <x v="1"/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  <i>
      <x v="3"/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Promedio de Nuevo IDF" fld="55" subtotal="average" baseField="3" baseItem="4" numFmtId="2"/>
  </dataFields>
  <formats count="1">
    <format dxfId="4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63ADA-0F4D-4642-8390-48C997958705}" name="TablaDinámica6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4" rowHeaderCaption="Tipología. ">
  <location ref="A55:B60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Balance Fiscal Primario &quot;Resultado&quot;" fld="14" subtotal="average" baseField="5" baseItem="0" numFmtId="2"/>
  </dataFields>
  <formats count="19">
    <format dxfId="119">
      <pivotArea field="5" type="button" dataOnly="0" labelOnly="1" outline="0" axis="axisRow" fieldPosition="0"/>
    </format>
    <format dxfId="118">
      <pivotArea dataOnly="0" labelOnly="1" outline="0" axis="axisValues" fieldPosition="0"/>
    </format>
    <format dxfId="117">
      <pivotArea field="5" type="button" dataOnly="0" labelOnly="1" outline="0" axis="axisRow" fieldPosition="0"/>
    </format>
    <format dxfId="116">
      <pivotArea dataOnly="0" labelOnly="1" outline="0" axis="axisValues" fieldPosition="0"/>
    </format>
    <format dxfId="115">
      <pivotArea field="5" type="button" dataOnly="0" labelOnly="1" outline="0" axis="axisRow" fieldPosition="0"/>
    </format>
    <format dxfId="114">
      <pivotArea dataOnly="0" labelOnly="1" outline="0" axis="axisValues" fieldPosition="0"/>
    </format>
    <format dxfId="113">
      <pivotArea outline="0" collapsedLevelsAreSubtotals="1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5" type="button" dataOnly="0" labelOnly="1" outline="0" axis="axisRow" fieldPosition="0"/>
    </format>
    <format dxfId="109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5" type="button" dataOnly="0" labelOnly="1" outline="0" axis="axisRow" fieldPosition="0"/>
    </format>
    <format dxfId="103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</formats>
  <chartFormats count="5">
    <chartFormat chart="1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2265C-9A4C-421C-BBBC-F5ADD372E8A7}" name="TablaDinámica7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 rowHeaderCaption="Tipología. ">
  <location ref="A69:B74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Resultados" fld="16" subtotal="average" baseField="5" baseItem="0" numFmtId="2"/>
  </dataFields>
  <formats count="19">
    <format dxfId="138">
      <pivotArea field="5" type="button" dataOnly="0" labelOnly="1" outline="0" axis="axisRow" fieldPosition="0"/>
    </format>
    <format dxfId="137">
      <pivotArea dataOnly="0" labelOnly="1" outline="0" axis="axisValues" fieldPosition="0"/>
    </format>
    <format dxfId="136">
      <pivotArea field="5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5" type="button" dataOnly="0" labelOnly="1" outline="0" axis="axisRow" fieldPosition="0"/>
    </format>
    <format dxfId="133">
      <pivotArea dataOnly="0" labelOnly="1" outline="0" axis="axisValues" fieldPosition="0"/>
    </format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5" type="button" dataOnly="0" labelOnly="1" outline="0" axis="axisRow" fieldPosition="0"/>
    </format>
    <format dxfId="128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5" type="button" dataOnly="0" labelOnly="1" outline="0" axis="axisRow" fieldPosition="0"/>
    </format>
    <format dxfId="122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axis="axisValues" fieldPosition="0"/>
    </format>
  </formats>
  <chartFormats count="5"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AF751-45F3-4CF3-8D4B-83B032C4A402}" name="TablaDinámica13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5" rowHeaderCaption="Tipología. ">
  <location ref="K44:L49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Capacidad de programación y recaudo de ingresos &quot;Resultado&quot;" fld="20" subtotal="average" baseField="5" baseItem="0" numFmtId="2"/>
  </dataFields>
  <formats count="19">
    <format dxfId="157">
      <pivotArea field="5" type="button" dataOnly="0" labelOnly="1" outline="0" axis="axisRow" fieldPosition="0"/>
    </format>
    <format dxfId="156">
      <pivotArea dataOnly="0" labelOnly="1" outline="0" axis="axisValues" fieldPosition="0"/>
    </format>
    <format dxfId="155">
      <pivotArea field="5" type="button" dataOnly="0" labelOnly="1" outline="0" axis="axisRow" fieldPosition="0"/>
    </format>
    <format dxfId="154">
      <pivotArea dataOnly="0" labelOnly="1" outline="0" axis="axisValues" fieldPosition="0"/>
    </format>
    <format dxfId="153">
      <pivotArea field="5" type="button" dataOnly="0" labelOnly="1" outline="0" axis="axisRow" fieldPosition="0"/>
    </format>
    <format dxfId="152">
      <pivotArea dataOnly="0" labelOnly="1" outline="0" axis="axisValues" fieldPosition="0"/>
    </format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field="5" type="button" dataOnly="0" labelOnly="1" outline="0" axis="axisRow" fieldPosition="0"/>
    </format>
    <format dxfId="147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46">
      <pivotArea dataOnly="0" labelOnly="1" grandRow="1" outline="0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5" type="button" dataOnly="0" labelOnly="1" outline="0" axis="axisRow" fieldPosition="0"/>
    </format>
    <format dxfId="141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</formats>
  <chartFormats count="5">
    <chartFormat chart="2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C5EAF-3A55-4A35-8A9B-A7C5BCA15311}" name="TablaDinámica9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0" rowHeaderCaption="Tipología. ">
  <location ref="U33:V38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Bonificación Esfuerzo Porpio &quot;Calificación&quot;" fld="24" subtotal="average" baseField="5" baseItem="0" numFmtId="171"/>
  </dataFields>
  <formats count="19">
    <format dxfId="176">
      <pivotArea field="5" type="button" dataOnly="0" labelOnly="1" outline="0" axis="axisRow" fieldPosition="0"/>
    </format>
    <format dxfId="175">
      <pivotArea dataOnly="0" labelOnly="1" outline="0" axis="axisValues" fieldPosition="0"/>
    </format>
    <format dxfId="174">
      <pivotArea field="5" type="button" dataOnly="0" labelOnly="1" outline="0" axis="axisRow" fieldPosition="0"/>
    </format>
    <format dxfId="173">
      <pivotArea dataOnly="0" labelOnly="1" outline="0" axis="axisValues" fieldPosition="0"/>
    </format>
    <format dxfId="172">
      <pivotArea field="5" type="button" dataOnly="0" labelOnly="1" outline="0" axis="axisRow" fieldPosition="0"/>
    </format>
    <format dxfId="171">
      <pivotArea dataOnly="0" labelOnly="1" outline="0" axis="axisValues" fieldPosition="0"/>
    </format>
    <format dxfId="170">
      <pivotArea outline="0" collapsedLevelsAreSubtotals="1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5" type="button" dataOnly="0" labelOnly="1" outline="0" axis="axisRow" fieldPosition="0"/>
    </format>
    <format dxfId="166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5" type="button" dataOnly="0" labelOnly="1" outline="0" axis="axisRow" fieldPosition="0"/>
    </format>
    <format dxfId="160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chartFormats count="5">
    <chartFormat chart="2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6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6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6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BFB0A-9F19-46FC-89B9-3A00B0BA8AC7}" name="TablaDinámica5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9" rowHeaderCaption="Tipología. ">
  <location ref="A44:B49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Ahorro corriente &quot;Resultado&quot;" fld="12" subtotal="average" baseField="5" baseItem="0" numFmtId="2"/>
  </dataFields>
  <formats count="19">
    <format dxfId="195">
      <pivotArea field="5" type="button" dataOnly="0" labelOnly="1" outline="0" axis="axisRow" fieldPosition="0"/>
    </format>
    <format dxfId="194">
      <pivotArea dataOnly="0" labelOnly="1" outline="0" axis="axisValues" fieldPosition="0"/>
    </format>
    <format dxfId="193">
      <pivotArea field="5" type="button" dataOnly="0" labelOnly="1" outline="0" axis="axisRow" fieldPosition="0"/>
    </format>
    <format dxfId="192">
      <pivotArea dataOnly="0" labelOnly="1" outline="0" axis="axisValues" fieldPosition="0"/>
    </format>
    <format dxfId="191">
      <pivotArea field="5" type="button" dataOnly="0" labelOnly="1" outline="0" axis="axisRow" fieldPosition="0"/>
    </format>
    <format dxfId="190">
      <pivotArea dataOnly="0" labelOnly="1" outline="0" axis="axisValues" fieldPosition="0"/>
    </format>
    <format dxfId="189">
      <pivotArea outline="0" collapsedLevelsAreSubtotals="1" fieldPosition="0"/>
    </format>
    <format dxfId="188">
      <pivotArea type="all" dataOnly="0" outline="0" fieldPosition="0"/>
    </format>
    <format dxfId="187">
      <pivotArea outline="0" collapsedLevelsAreSubtotals="1" fieldPosition="0"/>
    </format>
    <format dxfId="186">
      <pivotArea field="5" type="button" dataOnly="0" labelOnly="1" outline="0" axis="axisRow" fieldPosition="0"/>
    </format>
    <format dxfId="185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84">
      <pivotArea dataOnly="0" labelOnly="1" grandRow="1" outline="0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5" type="button" dataOnly="0" labelOnly="1" outline="0" axis="axisRow" fieldPosition="0"/>
    </format>
    <format dxfId="179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78">
      <pivotArea dataOnly="0" labelOnly="1" grandRow="1" outline="0" fieldPosition="0"/>
    </format>
    <format dxfId="177">
      <pivotArea dataOnly="0" labelOnly="1" outline="0" axis="axisValues" fieldPosition="0"/>
    </format>
  </formats>
  <chartFormats count="5"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761318-7EC5-4817-80EC-0A9BE69E1C34}" name="TablaDinámica12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4" rowHeaderCaption="Tipología. ">
  <location ref="K55:L60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Capacidad de Ejecución de Inversión &quot;Resultado&quot;" fld="22" subtotal="average" baseField="5" baseItem="0" numFmtId="2"/>
  </dataFields>
  <formats count="19">
    <format dxfId="214">
      <pivotArea field="5" type="button" dataOnly="0" labelOnly="1" outline="0" axis="axisRow" fieldPosition="0"/>
    </format>
    <format dxfId="213">
      <pivotArea dataOnly="0" labelOnly="1" outline="0" axis="axisValues" fieldPosition="0"/>
    </format>
    <format dxfId="212">
      <pivotArea field="5" type="button" dataOnly="0" labelOnly="1" outline="0" axis="axisRow" fieldPosition="0"/>
    </format>
    <format dxfId="211">
      <pivotArea dataOnly="0" labelOnly="1" outline="0" axis="axisValues" fieldPosition="0"/>
    </format>
    <format dxfId="210">
      <pivotArea field="5" type="button" dataOnly="0" labelOnly="1" outline="0" axis="axisRow" fieldPosition="0"/>
    </format>
    <format dxfId="209">
      <pivotArea dataOnly="0" labelOnly="1" outline="0" axis="axisValues" fieldPosition="0"/>
    </format>
    <format dxfId="208">
      <pivotArea outline="0" collapsedLevelsAreSubtotals="1" fieldPosition="0"/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5" type="button" dataOnly="0" labelOnly="1" outline="0" axis="axisRow" fieldPosition="0"/>
    </format>
    <format dxfId="204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03">
      <pivotArea dataOnly="0" labelOnly="1" grandRow="1" outline="0" fieldPosition="0"/>
    </format>
    <format dxfId="202">
      <pivotArea dataOnly="0" labelOnly="1" outline="0" axis="axisValues" fieldPosition="0"/>
    </format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5" type="button" dataOnly="0" labelOnly="1" outline="0" axis="axisRow" fieldPosition="0"/>
    </format>
    <format dxfId="198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197">
      <pivotArea dataOnly="0" labelOnly="1" grandRow="1" outline="0" fieldPosition="0"/>
    </format>
    <format dxfId="196">
      <pivotArea dataOnly="0" labelOnly="1" outline="0" axis="axisValues" fieldPosition="0"/>
    </format>
  </formats>
  <chartFormats count="5">
    <chartFormat chart="2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A67C4-48B1-4B45-A8EF-6C6782320D9D}" name="TablaDinámica1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 rowHeaderCaption="Tipología. ">
  <location ref="A87:M92" firstHeaderRow="0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item="4" hier="-1"/>
  </pageFields>
  <dataFields count="12">
    <dataField name="Promedio de Dependencia de las transferencias &quot;Resultado&quot;" fld="6" subtotal="average" baseField="5" baseItem="0" numFmtId="2"/>
    <dataField name="Promedio de Dependencia de las transferencias &quot;Calificación&quot;" fld="7" subtotal="average" baseField="5" baseItem="0" numFmtId="2"/>
    <dataField name="Promedio de Relevancia FBKF &quot;Resultado&quot;" fld="8" subtotal="average" baseField="5" baseItem="0" numFmtId="2"/>
    <dataField name="Promedio de FBK fijo/ Inversión  (Con SGR)*" fld="9" subtotal="average" baseField="5" baseItem="0" numFmtId="2"/>
    <dataField name="Promedio de Endeudamiento &quot;Resultado&quot;" fld="10" subtotal="average" baseField="5" baseItem="0" numFmtId="2"/>
    <dataField name="Promedio de Endeudamiento &quot;Calificación&quot;" fld="11" subtotal="average" baseField="5" baseItem="0" numFmtId="2"/>
    <dataField name="Promedio de Ahorro corriente &quot;Resultado&quot;" fld="12" subtotal="average" baseField="5" baseItem="0" numFmtId="2"/>
    <dataField name="Promedio de Ahorro corriente &quot;Calificación&quot;" fld="13" subtotal="average" baseField="5" baseItem="0" numFmtId="2"/>
    <dataField name="Promedio de Balance Fiscal Primario &quot;Resultado&quot;" fld="14" subtotal="average" baseField="5" baseItem="0" numFmtId="2"/>
    <dataField name="Promedio de Balance Fiscal Primario &quot;Calificación&quot;" fld="15" subtotal="average" baseField="5" baseItem="0" numFmtId="2"/>
    <dataField name="Promedio de Resultados" fld="16" subtotal="average" baseField="5" baseItem="0" numFmtId="2"/>
    <dataField name="Promedio de Calificación Resultados " fld="17" subtotal="average" baseField="5" baseItem="0" numFmtId="2"/>
  </dataFields>
  <formats count="20">
    <format dxfId="234">
      <pivotArea field="5" type="button" dataOnly="0" labelOnly="1" outline="0" axis="axisRow" fieldPosition="0"/>
    </format>
    <format dxfId="233">
      <pivotArea dataOnly="0" labelOnly="1" outline="0" axis="axisValues" fieldPosition="0"/>
    </format>
    <format dxfId="232">
      <pivotArea field="5" type="button" dataOnly="0" labelOnly="1" outline="0" axis="axisRow" fieldPosition="0"/>
    </format>
    <format dxfId="231">
      <pivotArea dataOnly="0" labelOnly="1" outline="0" axis="axisValues" fieldPosition="0"/>
    </format>
    <format dxfId="230">
      <pivotArea field="5" type="button" dataOnly="0" labelOnly="1" outline="0" axis="axisRow" fieldPosition="0"/>
    </format>
    <format dxfId="229">
      <pivotArea dataOnly="0" labelOnly="1" outline="0" axis="axisValues" fieldPosition="0"/>
    </format>
    <format dxfId="228">
      <pivotArea outline="0" collapsedLevelsAreSubtotals="1" fieldPosition="0"/>
    </format>
    <format dxfId="227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5" type="button" dataOnly="0" labelOnly="1" outline="0" axis="axisRow" fieldPosition="0"/>
    </format>
    <format dxfId="223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22">
      <pivotArea dataOnly="0" labelOnly="1" grandRow="1" outline="0" fieldPosition="0"/>
    </format>
    <format dxfId="221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5" type="button" dataOnly="0" labelOnly="1" outline="0" axis="axisRow" fieldPosition="0"/>
    </format>
    <format dxfId="217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85424-3A44-4280-A814-A2BC1BBE1796}" name="TablaDinámica2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9" rowHeaderCaption="Tipología. ">
  <location ref="A3:B8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Dependencia de las transferencias" fld="6" subtotal="average" baseField="5" baseItem="3" numFmtId="168"/>
  </dataFields>
  <formats count="19">
    <format dxfId="253">
      <pivotArea field="5" type="button" dataOnly="0" labelOnly="1" outline="0" axis="axisRow" fieldPosition="0"/>
    </format>
    <format dxfId="252">
      <pivotArea dataOnly="0" labelOnly="1" outline="0" axis="axisValues" fieldPosition="0"/>
    </format>
    <format dxfId="251">
      <pivotArea field="5" type="button" dataOnly="0" labelOnly="1" outline="0" axis="axisRow" fieldPosition="0"/>
    </format>
    <format dxfId="250">
      <pivotArea dataOnly="0" labelOnly="1" outline="0" axis="axisValues" fieldPosition="0"/>
    </format>
    <format dxfId="249">
      <pivotArea field="5" type="button" dataOnly="0" labelOnly="1" outline="0" axis="axisRow" fieldPosition="0"/>
    </format>
    <format dxfId="248">
      <pivotArea dataOnly="0" labelOnly="1" outline="0" axis="axisValues" fieldPosition="0"/>
    </format>
    <format dxfId="247">
      <pivotArea outline="0" collapsedLevelsAreSubtotals="1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5" type="button" dataOnly="0" labelOnly="1" outline="0" axis="axisRow" fieldPosition="0"/>
    </format>
    <format dxfId="243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42">
      <pivotArea dataOnly="0" labelOnly="1" grandRow="1" outline="0" fieldPosition="0"/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5" type="button" dataOnly="0" labelOnly="1" outline="0" axis="axisRow" fieldPosition="0"/>
    </format>
    <format dxfId="237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36">
      <pivotArea dataOnly="0" labelOnly="1" grandRow="1" outline="0" fieldPosition="0"/>
    </format>
    <format dxfId="235">
      <pivotArea dataOnly="0" labelOnly="1" outline="0" axis="axisValues" fieldPosition="0"/>
    </format>
  </formats>
  <chartFormats count="5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D4414-F935-4CF7-8080-BC3AC42668EE}" name="TablaDinámica11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 rowHeaderCaption="Tipología. ">
  <location ref="A109:L114" firstHeaderRow="0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dataField="1"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2" item="4" hier="-1"/>
  </pageFields>
  <dataFields count="11">
    <dataField name="Promedio de Holgura &quot;Resultado&quot;" fld="18" subtotal="average" baseField="5" baseItem="0" numFmtId="2"/>
    <dataField name="Promedio de Holgura &quot;Calificación&quot;" fld="19" subtotal="average" baseField="5" baseItem="0" numFmtId="2"/>
    <dataField name="Promedio de Capacidad de programación y recaudo de ingresos &quot;Resultado&quot;" fld="20" subtotal="average" baseField="5" baseItem="0" numFmtId="2"/>
    <dataField name="Promedio de Capacidad de programación y recaudo de Ingresos &quot;Calificación&quot;" fld="21" subtotal="average" baseField="5" baseItem="0" numFmtId="2"/>
    <dataField name="Promedio de Capacidad de Ejecución de Inversión &quot;Resultado&quot;" fld="22" subtotal="average" baseField="5" baseItem="0" numFmtId="2"/>
    <dataField name="Promedio de Capacidad de Ejecución de Inversión &quot;Calificación&quot;" fld="23" subtotal="average" baseField="5" baseItem="0" numFmtId="2"/>
    <dataField name="Promedio de Bonificación Esfuerzo Porpio &quot;Calificación&quot;" fld="24" subtotal="average" baseField="5" baseItem="0" numFmtId="2"/>
    <dataField name="Promedio de Resultados Gestión" fld="25" subtotal="average" baseField="5" baseItem="0" numFmtId="2"/>
    <dataField name="Promedio de Gestión +Bonos" fld="26" subtotal="average" baseField="5" baseItem="0" numFmtId="2"/>
    <dataField name="Promedio de Calificación Resultados Gestión" fld="27" subtotal="average" baseField="5" baseItem="0" numFmtId="2"/>
    <dataField name="Promedio de Nuevo IDF" fld="29" subtotal="average" baseField="5" baseItem="0" numFmtId="2"/>
  </dataFields>
  <formats count="20">
    <format dxfId="273">
      <pivotArea field="5" type="button" dataOnly="0" labelOnly="1" outline="0" axis="axisRow" fieldPosition="0"/>
    </format>
    <format dxfId="272">
      <pivotArea dataOnly="0" labelOnly="1" outline="0" axis="axisValues" fieldPosition="0"/>
    </format>
    <format dxfId="271">
      <pivotArea field="5" type="button" dataOnly="0" labelOnly="1" outline="0" axis="axisRow" fieldPosition="0"/>
    </format>
    <format dxfId="270">
      <pivotArea dataOnly="0" labelOnly="1" outline="0" axis="axisValues" fieldPosition="0"/>
    </format>
    <format dxfId="269">
      <pivotArea field="5" type="button" dataOnly="0" labelOnly="1" outline="0" axis="axisRow" fieldPosition="0"/>
    </format>
    <format dxfId="268">
      <pivotArea dataOnly="0" labelOnly="1" outline="0" axis="axisValues" fieldPosition="0"/>
    </format>
    <format dxfId="267">
      <pivotArea outline="0" collapsedLevelsAreSubtotals="1" fieldPosition="0"/>
    </format>
    <format dxfId="26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5" type="button" dataOnly="0" labelOnly="1" outline="0" axis="axisRow" fieldPosition="0"/>
    </format>
    <format dxfId="262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61">
      <pivotArea dataOnly="0" labelOnly="1" grandRow="1" outline="0" fieldPosition="0"/>
    </format>
    <format dxfId="26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5" type="button" dataOnly="0" labelOnly="1" outline="0" axis="axisRow" fieldPosition="0"/>
    </format>
    <format dxfId="256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0DEE3-8B4B-46AE-A988-175886FC4E77}" name="TablaDinámica17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 rowHeaderCaption="Tipología. ">
  <location ref="A96:M103" firstHeaderRow="0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axis="axisRow" showAll="0">
      <items count="12">
        <item x="7"/>
        <item x="8"/>
        <item x="10"/>
        <item x="9"/>
        <item x="3"/>
        <item x="4"/>
        <item x="5"/>
        <item x="1"/>
        <item x="6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8"/>
    </i>
    <i>
      <x v="10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2" item="4" hier="-1"/>
  </pageFields>
  <dataFields count="12">
    <dataField name="Promedio de Dependencia de las transferencias &quot;Resultado&quot;" fld="6" subtotal="average" baseField="5" baseItem="0" numFmtId="2"/>
    <dataField name="Promedio de Dependencia de las transferencias &quot;Calificación&quot;" fld="7" subtotal="average" baseField="5" baseItem="0" numFmtId="2"/>
    <dataField name="Promedio de Relevancia FBKF &quot;Resultado&quot;" fld="8" subtotal="average" baseField="5" baseItem="0" numFmtId="2"/>
    <dataField name="Promedio de FBK fijo/ Inversión  (Con SGR)*" fld="9" subtotal="average" baseField="5" baseItem="0" numFmtId="2"/>
    <dataField name="Promedio de Endeudamiento &quot;Resultado&quot;" fld="10" subtotal="average" baseField="5" baseItem="0" numFmtId="2"/>
    <dataField name="Promedio de Endeudamiento &quot;Calificación&quot;" fld="11" subtotal="average" baseField="5" baseItem="0" numFmtId="2"/>
    <dataField name="Promedio de Ahorro corriente &quot;Resultado&quot;" fld="12" subtotal="average" baseField="5" baseItem="0" numFmtId="2"/>
    <dataField name="Promedio de Ahorro corriente &quot;Calificación&quot;" fld="13" subtotal="average" baseField="5" baseItem="0" numFmtId="2"/>
    <dataField name="Promedio de Balance Fiscal Primario &quot;Resultado&quot;" fld="14" subtotal="average" baseField="5" baseItem="0" numFmtId="2"/>
    <dataField name="Promedio de Balance Fiscal Primario &quot;Calificación&quot;" fld="15" subtotal="average" baseField="5" baseItem="0" numFmtId="2"/>
    <dataField name="Promedio de Resultados" fld="16" subtotal="average" baseField="5" baseItem="0" numFmtId="2"/>
    <dataField name="Promedio de Calificación Resultados " fld="17" subtotal="average" baseField="5" baseItem="0" numFmtId="2"/>
  </dataFields>
  <formats count="20">
    <format dxfId="293">
      <pivotArea field="5" type="button" dataOnly="0" labelOnly="1" outline="0"/>
    </format>
    <format dxfId="292">
      <pivotArea dataOnly="0" labelOnly="1" outline="0" axis="axisValues" fieldPosition="0"/>
    </format>
    <format dxfId="291">
      <pivotArea field="5" type="button" dataOnly="0" labelOnly="1" outline="0"/>
    </format>
    <format dxfId="290">
      <pivotArea dataOnly="0" labelOnly="1" outline="0" axis="axisValues" fieldPosition="0"/>
    </format>
    <format dxfId="289">
      <pivotArea field="5" type="button" dataOnly="0" labelOnly="1" outline="0"/>
    </format>
    <format dxfId="288">
      <pivotArea dataOnly="0" labelOnly="1" outline="0" axis="axisValues" fieldPosition="0"/>
    </format>
    <format dxfId="287">
      <pivotArea outline="0" collapsedLevelsAreSubtotals="1" fieldPosition="0"/>
    </format>
    <format dxfId="28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4" type="button" dataOnly="0" labelOnly="1" outline="0" axis="axisRow" fieldPosition="0"/>
    </format>
    <format dxfId="282">
      <pivotArea dataOnly="0" labelOnly="1" fieldPosition="0">
        <references count="1">
          <reference field="4" count="6">
            <x v="0"/>
            <x v="1"/>
            <x v="2"/>
            <x v="3"/>
            <x v="8"/>
            <x v="10"/>
          </reference>
        </references>
      </pivotArea>
    </format>
    <format dxfId="281">
      <pivotArea dataOnly="0" labelOnly="1" grandRow="1" outline="0" fieldPosition="0"/>
    </format>
    <format dxfId="280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4" type="button" dataOnly="0" labelOnly="1" outline="0" axis="axisRow" fieldPosition="0"/>
    </format>
    <format dxfId="276">
      <pivotArea dataOnly="0" labelOnly="1" fieldPosition="0">
        <references count="1">
          <reference field="4" count="6">
            <x v="0"/>
            <x v="1"/>
            <x v="2"/>
            <x v="3"/>
            <x v="8"/>
            <x v="10"/>
          </reference>
        </references>
      </pivotArea>
    </format>
    <format dxfId="275">
      <pivotArea dataOnly="0" labelOnly="1" grandRow="1" outline="0" fieldPosition="0"/>
    </format>
    <format dxfId="274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BC37B-CD3F-451A-913D-B1C52D745655}" name="TablaDinámica3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7" rowHeaderCaption="Tipología. ">
  <location ref="A21:B26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Relevancia FBKF &quot;Resultado&quot;" fld="8" subtotal="average" baseField="5" baseItem="0" numFmtId="2"/>
  </dataFields>
  <formats count="19">
    <format dxfId="312">
      <pivotArea field="5" type="button" dataOnly="0" labelOnly="1" outline="0" axis="axisRow" fieldPosition="0"/>
    </format>
    <format dxfId="311">
      <pivotArea dataOnly="0" labelOnly="1" outline="0" axis="axisValues" fieldPosition="0"/>
    </format>
    <format dxfId="310">
      <pivotArea field="5" type="button" dataOnly="0" labelOnly="1" outline="0" axis="axisRow" fieldPosition="0"/>
    </format>
    <format dxfId="309">
      <pivotArea dataOnly="0" labelOnly="1" outline="0" axis="axisValues" fieldPosition="0"/>
    </format>
    <format dxfId="308">
      <pivotArea field="5" type="button" dataOnly="0" labelOnly="1" outline="0" axis="axisRow" fieldPosition="0"/>
    </format>
    <format dxfId="307">
      <pivotArea dataOnly="0" labelOnly="1" outline="0" axis="axisValues" fieldPosition="0"/>
    </format>
    <format dxfId="306">
      <pivotArea outline="0" collapsedLevelsAreSubtotals="1" fieldPosition="0"/>
    </format>
    <format dxfId="305">
      <pivotArea type="all" dataOnly="0" outline="0" fieldPosition="0"/>
    </format>
    <format dxfId="304">
      <pivotArea outline="0" collapsedLevelsAreSubtotals="1" fieldPosition="0"/>
    </format>
    <format dxfId="303">
      <pivotArea field="5" type="button" dataOnly="0" labelOnly="1" outline="0" axis="axisRow" fieldPosition="0"/>
    </format>
    <format dxfId="302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01">
      <pivotArea dataOnly="0" labelOnly="1" grandRow="1" outline="0" fieldPosition="0"/>
    </format>
    <format dxfId="300">
      <pivotArea dataOnly="0" labelOnly="1" outline="0" axis="axisValues" fieldPosition="0"/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field="5" type="button" dataOnly="0" labelOnly="1" outline="0" axis="axisRow" fieldPosition="0"/>
    </format>
    <format dxfId="296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295">
      <pivotArea dataOnly="0" labelOnly="1" grandRow="1" outline="0" fieldPosition="0"/>
    </format>
    <format dxfId="294">
      <pivotArea dataOnly="0" labelOnly="1" outline="0" axis="axisValues" fieldPosition="0"/>
    </format>
  </formats>
  <chartFormats count="5"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CBC19-F39E-49C2-8CDF-39C25C923EA4}" name="TablaDinámica10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9" rowHeaderCaption="Tipología. ">
  <location ref="A134:B137" firstHeaderRow="1" firstDataRow="1" firstDataCol="1" rowPageCount="1" colPageCount="1"/>
  <pivotFields count="35">
    <pivotField showAll="0"/>
    <pivotField showAll="0"/>
    <pivotField axis="axisRow" multipleItemSelectionAllowed="1" showAll="0">
      <items count="6">
        <item h="1" x="1"/>
        <item h="1" x="2"/>
        <item h="1" x="3"/>
        <item x="4"/>
        <item x="0"/>
        <item t="default"/>
      </items>
    </pivotField>
    <pivotField axis="axisPage" multipleItemSelectionAllowed="1" showAll="0">
      <items count="70">
        <item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m="1" x="66"/>
        <item h="1" m="1" x="59"/>
        <item h="1" m="1" x="60"/>
        <item h="1" m="1" x="61"/>
        <item h="1" m="1" x="62"/>
        <item h="1" x="1"/>
        <item h="1" x="2"/>
        <item h="1" x="3"/>
        <item m="1" x="67"/>
        <item h="1" x="4"/>
        <item h="1" x="5"/>
        <item h="1" x="6"/>
        <item h="1" m="1" x="63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m="1" x="64"/>
        <item h="1" x="19"/>
        <item h="1" x="20"/>
        <item h="1" x="21"/>
        <item x="22"/>
        <item h="1" m="1" x="65"/>
        <item h="1" x="0"/>
        <item h="1" x="23"/>
        <item h="1" x="24"/>
        <item h="1" x="25"/>
        <item m="1" x="68"/>
        <item h="1" x="26"/>
        <item h="1" x="27"/>
        <item h="1" x="28"/>
        <item h="1" x="29"/>
        <item h="1" x="30"/>
        <item h="1" x="31"/>
        <item h="1" x="32"/>
        <item t="default"/>
      </items>
    </pivotField>
    <pivotField showAll="0"/>
    <pivotField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"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Promedio de Ahorro corriente &quot;Resultado&quot;" fld="12" subtotal="average" baseField="5" baseItem="0" numFmtId="2"/>
  </dataFields>
  <formats count="19">
    <format dxfId="331">
      <pivotArea field="5" type="button" dataOnly="0" labelOnly="1" outline="0"/>
    </format>
    <format dxfId="330">
      <pivotArea dataOnly="0" labelOnly="1" outline="0" axis="axisValues" fieldPosition="0"/>
    </format>
    <format dxfId="329">
      <pivotArea field="5" type="button" dataOnly="0" labelOnly="1" outline="0"/>
    </format>
    <format dxfId="328">
      <pivotArea dataOnly="0" labelOnly="1" outline="0" axis="axisValues" fieldPosition="0"/>
    </format>
    <format dxfId="327">
      <pivotArea field="5" type="button" dataOnly="0" labelOnly="1" outline="0"/>
    </format>
    <format dxfId="326">
      <pivotArea dataOnly="0" labelOnly="1" outline="0" axis="axisValues" fieldPosition="0"/>
    </format>
    <format dxfId="325">
      <pivotArea outline="0" collapsedLevelsAreSubtotals="1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2" type="button" dataOnly="0" labelOnly="1" outline="0" axis="axisRow" fieldPosition="0"/>
    </format>
    <format dxfId="321">
      <pivotArea dataOnly="0" labelOnly="1" fieldPosition="0">
        <references count="1">
          <reference field="2" count="0"/>
        </references>
      </pivotArea>
    </format>
    <format dxfId="320">
      <pivotArea dataOnly="0" labelOnly="1" grandRow="1" outline="0" fieldPosition="0"/>
    </format>
    <format dxfId="319">
      <pivotArea dataOnly="0" labelOnly="1" outline="0" axis="axisValues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2" type="button" dataOnly="0" labelOnly="1" outline="0" axis="axisRow" fieldPosition="0"/>
    </format>
    <format dxfId="315">
      <pivotArea dataOnly="0" labelOnly="1" fieldPosition="0">
        <references count="1">
          <reference field="2" count="0"/>
        </references>
      </pivotArea>
    </format>
    <format dxfId="314">
      <pivotArea dataOnly="0" labelOnly="1" grandRow="1" outline="0" fieldPosition="0"/>
    </format>
    <format dxfId="313">
      <pivotArea dataOnly="0" labelOnly="1" outline="0" axis="axisValues" fieldPosition="0"/>
    </format>
  </formats>
  <chartFormats count="1"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69D69-BE2D-434A-9AC5-CAE90ED74092}" name="TablaDinámica8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3" rowHeaderCaption="Tipología. ">
  <location ref="K68:L73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Gestión +Bonos" fld="26" subtotal="average" baseField="5" baseItem="0" numFmtId="2"/>
  </dataFields>
  <formats count="19">
    <format dxfId="350">
      <pivotArea field="5" type="button" dataOnly="0" labelOnly="1" outline="0" axis="axisRow" fieldPosition="0"/>
    </format>
    <format dxfId="349">
      <pivotArea dataOnly="0" labelOnly="1" outline="0" axis="axisValues" fieldPosition="0"/>
    </format>
    <format dxfId="348">
      <pivotArea field="5" type="button" dataOnly="0" labelOnly="1" outline="0" axis="axisRow" fieldPosition="0"/>
    </format>
    <format dxfId="347">
      <pivotArea dataOnly="0" labelOnly="1" outline="0" axis="axisValues" fieldPosition="0"/>
    </format>
    <format dxfId="346">
      <pivotArea field="5" type="button" dataOnly="0" labelOnly="1" outline="0" axis="axisRow" fieldPosition="0"/>
    </format>
    <format dxfId="345">
      <pivotArea dataOnly="0" labelOnly="1" outline="0" axis="axisValues" fieldPosition="0"/>
    </format>
    <format dxfId="344">
      <pivotArea outline="0" collapsedLevelsAreSubtotals="1" fieldPosition="0"/>
    </format>
    <format dxfId="343">
      <pivotArea type="all" dataOnly="0" outline="0" fieldPosition="0"/>
    </format>
    <format dxfId="342">
      <pivotArea outline="0" collapsedLevelsAreSubtotals="1" fieldPosition="0"/>
    </format>
    <format dxfId="341">
      <pivotArea field="5" type="button" dataOnly="0" labelOnly="1" outline="0" axis="axisRow" fieldPosition="0"/>
    </format>
    <format dxfId="340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39">
      <pivotArea dataOnly="0" labelOnly="1" grandRow="1" outline="0" fieldPosition="0"/>
    </format>
    <format dxfId="338">
      <pivotArea dataOnly="0" labelOnly="1" outline="0" axis="axisValues" fieldPosition="0"/>
    </format>
    <format dxfId="337">
      <pivotArea type="all" dataOnly="0" outline="0" fieldPosition="0"/>
    </format>
    <format dxfId="336">
      <pivotArea outline="0" collapsedLevelsAreSubtotals="1" fieldPosition="0"/>
    </format>
    <format dxfId="335">
      <pivotArea field="5" type="button" dataOnly="0" labelOnly="1" outline="0" axis="axisRow" fieldPosition="0"/>
    </format>
    <format dxfId="334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33">
      <pivotArea dataOnly="0" labelOnly="1" grandRow="1" outline="0" fieldPosition="0"/>
    </format>
    <format dxfId="332">
      <pivotArea dataOnly="0" labelOnly="1" outline="0" axis="axisValues" fieldPosition="0"/>
    </format>
  </formats>
  <chartFormats count="5"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EB2EB-4745-458A-8B6C-7A7ED5DB7A55}" name="TablaDinámica15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3" rowHeaderCaption="Tipología. ">
  <location ref="K3:L8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Nuevo IDF" fld="29" subtotal="average" baseField="5" baseItem="0" numFmtId="2"/>
  </dataFields>
  <formats count="19">
    <format dxfId="369">
      <pivotArea field="5" type="button" dataOnly="0" labelOnly="1" outline="0" axis="axisRow" fieldPosition="0"/>
    </format>
    <format dxfId="368">
      <pivotArea dataOnly="0" labelOnly="1" outline="0" axis="axisValues" fieldPosition="0"/>
    </format>
    <format dxfId="367">
      <pivotArea field="5" type="button" dataOnly="0" labelOnly="1" outline="0" axis="axisRow" fieldPosition="0"/>
    </format>
    <format dxfId="366">
      <pivotArea dataOnly="0" labelOnly="1" outline="0" axis="axisValues" fieldPosition="0"/>
    </format>
    <format dxfId="365">
      <pivotArea field="5" type="button" dataOnly="0" labelOnly="1" outline="0" axis="axisRow" fieldPosition="0"/>
    </format>
    <format dxfId="364">
      <pivotArea dataOnly="0" labelOnly="1" outline="0" axis="axisValues" fieldPosition="0"/>
    </format>
    <format dxfId="363">
      <pivotArea outline="0" collapsedLevelsAreSubtotals="1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5" type="button" dataOnly="0" labelOnly="1" outline="0" axis="axisRow" fieldPosition="0"/>
    </format>
    <format dxfId="359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58">
      <pivotArea dataOnly="0" labelOnly="1" grandRow="1" outline="0" fieldPosition="0"/>
    </format>
    <format dxfId="357">
      <pivotArea dataOnly="0" labelOnly="1" outline="0" axis="axisValues" fieldPosition="0"/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field="5" type="button" dataOnly="0" labelOnly="1" outline="0" axis="axisRow" fieldPosition="0"/>
    </format>
    <format dxfId="353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52">
      <pivotArea dataOnly="0" labelOnly="1" grandRow="1" outline="0" fieldPosition="0"/>
    </format>
    <format dxfId="351">
      <pivotArea dataOnly="0" labelOnly="1" outline="0" axis="axisValues" fieldPosition="0"/>
    </format>
  </formats>
  <chartFormats count="5"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35025-5A94-453E-9436-7980DC9646F5}" name="TablaDinámica14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6" rowHeaderCaption="Tipología. ">
  <location ref="K33:L38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Holgura &quot;Resultado&quot;" fld="18" subtotal="average" baseField="5" baseItem="0" numFmtId="2"/>
  </dataFields>
  <formats count="19">
    <format dxfId="388">
      <pivotArea field="5" type="button" dataOnly="0" labelOnly="1" outline="0" axis="axisRow" fieldPosition="0"/>
    </format>
    <format dxfId="387">
      <pivotArea dataOnly="0" labelOnly="1" outline="0" axis="axisValues" fieldPosition="0"/>
    </format>
    <format dxfId="386">
      <pivotArea field="5" type="button" dataOnly="0" labelOnly="1" outline="0" axis="axisRow" fieldPosition="0"/>
    </format>
    <format dxfId="385">
      <pivotArea dataOnly="0" labelOnly="1" outline="0" axis="axisValues" fieldPosition="0"/>
    </format>
    <format dxfId="384">
      <pivotArea field="5" type="button" dataOnly="0" labelOnly="1" outline="0" axis="axisRow" fieldPosition="0"/>
    </format>
    <format dxfId="383">
      <pivotArea dataOnly="0" labelOnly="1" outline="0" axis="axisValues" fieldPosition="0"/>
    </format>
    <format dxfId="382">
      <pivotArea outline="0" collapsedLevelsAreSubtotals="1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field="5" type="button" dataOnly="0" labelOnly="1" outline="0" axis="axisRow" fieldPosition="0"/>
    </format>
    <format dxfId="378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77">
      <pivotArea dataOnly="0" labelOnly="1" grandRow="1" outline="0" fieldPosition="0"/>
    </format>
    <format dxfId="376">
      <pivotArea dataOnly="0" labelOnly="1" outline="0" axis="axisValues" fieldPosition="0"/>
    </format>
    <format dxfId="375">
      <pivotArea type="all" dataOnly="0" outline="0" fieldPosition="0"/>
    </format>
    <format dxfId="374">
      <pivotArea outline="0" collapsedLevelsAreSubtotals="1" fieldPosition="0"/>
    </format>
    <format dxfId="373">
      <pivotArea field="5" type="button" dataOnly="0" labelOnly="1" outline="0" axis="axisRow" fieldPosition="0"/>
    </format>
    <format dxfId="372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371">
      <pivotArea dataOnly="0" labelOnly="1" grandRow="1" outline="0" fieldPosition="0"/>
    </format>
    <format dxfId="370">
      <pivotArea dataOnly="0" labelOnly="1" outline="0" axis="axisValues" fieldPosition="0"/>
    </format>
  </formats>
  <chartFormats count="5">
    <chartFormat chart="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BF2EA-ADC0-4C7B-BE26-D6004DB36416}" name="TablaDinámica18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2" rowHeaderCaption="Tipología. ">
  <location ref="A119:L126" firstHeaderRow="0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axis="axisRow" showAll="0">
      <items count="12">
        <item x="7"/>
        <item x="8"/>
        <item x="10"/>
        <item x="9"/>
        <item x="3"/>
        <item x="4"/>
        <item x="5"/>
        <item x="1"/>
        <item x="6"/>
        <item x="2"/>
        <item x="0"/>
        <item t="default"/>
      </items>
    </pivotField>
    <pivotField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numFmtId="2" showAll="0"/>
    <pivotField dataField="1"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8"/>
    </i>
    <i>
      <x v="10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2" item="4" hier="-1"/>
  </pageFields>
  <dataFields count="11">
    <dataField name="Promedio de Holgura &quot;Resultado&quot;" fld="18" subtotal="average" baseField="5" baseItem="0" numFmtId="2"/>
    <dataField name="Promedio de Holgura &quot;Calificación&quot;" fld="19" subtotal="average" baseField="5" baseItem="0" numFmtId="2"/>
    <dataField name="Promedio de Capacidad de programación y recaudo de ingresos &quot;Resultado&quot;" fld="20" subtotal="average" baseField="5" baseItem="0" numFmtId="2"/>
    <dataField name="Promedio de Capacidad de programación y recaudo de Ingresos &quot;Calificación&quot;" fld="21" subtotal="average" baseField="5" baseItem="0" numFmtId="2"/>
    <dataField name="Promedio de Capacidad de Ejecución de Inversión &quot;Resultado&quot;" fld="22" subtotal="average" baseField="5" baseItem="0" numFmtId="2"/>
    <dataField name="Promedio de Capacidad de Ejecución de Inversión &quot;Calificación&quot;" fld="23" subtotal="average" baseField="5" baseItem="0" numFmtId="2"/>
    <dataField name="Promedio de Bonificación Esfuerzo Porpio &quot;Calificación&quot;" fld="24" subtotal="average" baseField="5" baseItem="0" numFmtId="2"/>
    <dataField name="Promedio de Resultados Gestión" fld="25" subtotal="average" baseField="5" baseItem="0" numFmtId="2"/>
    <dataField name="Promedio de Gestión +Bonos" fld="26" subtotal="average" baseField="5" baseItem="0" numFmtId="2"/>
    <dataField name="Promedio de Calificación Resultados Gestión" fld="27" subtotal="average" baseField="5" baseItem="0" numFmtId="2"/>
    <dataField name="Promedio de Nuevo IDF" fld="29" subtotal="average" baseField="5" baseItem="0" numFmtId="2"/>
  </dataFields>
  <formats count="20">
    <format dxfId="408">
      <pivotArea field="5" type="button" dataOnly="0" labelOnly="1" outline="0"/>
    </format>
    <format dxfId="407">
      <pivotArea dataOnly="0" labelOnly="1" outline="0" axis="axisValues" fieldPosition="0"/>
    </format>
    <format dxfId="406">
      <pivotArea field="5" type="button" dataOnly="0" labelOnly="1" outline="0"/>
    </format>
    <format dxfId="405">
      <pivotArea dataOnly="0" labelOnly="1" outline="0" axis="axisValues" fieldPosition="0"/>
    </format>
    <format dxfId="404">
      <pivotArea field="5" type="button" dataOnly="0" labelOnly="1" outline="0"/>
    </format>
    <format dxfId="403">
      <pivotArea dataOnly="0" labelOnly="1" outline="0" axis="axisValues" fieldPosition="0"/>
    </format>
    <format dxfId="402">
      <pivotArea outline="0" collapsedLevelsAreSubtotals="1" fieldPosition="0"/>
    </format>
    <format dxfId="40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4" type="button" dataOnly="0" labelOnly="1" outline="0" axis="axisRow" fieldPosition="0"/>
    </format>
    <format dxfId="397">
      <pivotArea dataOnly="0" labelOnly="1" fieldPosition="0">
        <references count="1">
          <reference field="4" count="6">
            <x v="0"/>
            <x v="1"/>
            <x v="2"/>
            <x v="3"/>
            <x v="8"/>
            <x v="10"/>
          </reference>
        </references>
      </pivotArea>
    </format>
    <format dxfId="396">
      <pivotArea dataOnly="0" labelOnly="1" grandRow="1" outline="0" fieldPosition="0"/>
    </format>
    <format dxfId="395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4" type="button" dataOnly="0" labelOnly="1" outline="0" axis="axisRow" fieldPosition="0"/>
    </format>
    <format dxfId="391">
      <pivotArea dataOnly="0" labelOnly="1" fieldPosition="0">
        <references count="1">
          <reference field="4" count="6">
            <x v="0"/>
            <x v="1"/>
            <x v="2"/>
            <x v="3"/>
            <x v="8"/>
            <x v="10"/>
          </reference>
        </references>
      </pivotArea>
    </format>
    <format dxfId="390">
      <pivotArea dataOnly="0" labelOnly="1" grandRow="1" outline="0" fieldPosition="0"/>
    </format>
    <format dxfId="389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1AE35-C1A7-4483-A2B6-4B027B83AC47}" name="TablaDinámica4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9" rowHeaderCaption="Tipología. ">
  <location ref="A33:B38" firstHeaderRow="1" firstDataRow="1" firstDataCol="1" rowPageCount="1" colPageCount="1"/>
  <pivotFields count="35">
    <pivotField showAll="0"/>
    <pivotField showAll="0"/>
    <pivotField axis="axisPage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4" hier="-1"/>
  </pageFields>
  <dataFields count="1">
    <dataField name="Promedio de Endeudamiento &quot;Resultado&quot;" fld="10" subtotal="average" baseField="5" baseItem="0" numFmtId="2"/>
  </dataFields>
  <formats count="19">
    <format dxfId="427">
      <pivotArea field="5" type="button" dataOnly="0" labelOnly="1" outline="0" axis="axisRow" fieldPosition="0"/>
    </format>
    <format dxfId="426">
      <pivotArea dataOnly="0" labelOnly="1" outline="0" axis="axisValues" fieldPosition="0"/>
    </format>
    <format dxfId="425">
      <pivotArea field="5" type="button" dataOnly="0" labelOnly="1" outline="0" axis="axisRow" fieldPosition="0"/>
    </format>
    <format dxfId="424">
      <pivotArea dataOnly="0" labelOnly="1" outline="0" axis="axisValues" fieldPosition="0"/>
    </format>
    <format dxfId="423">
      <pivotArea field="5" type="button" dataOnly="0" labelOnly="1" outline="0" axis="axisRow" fieldPosition="0"/>
    </format>
    <format dxfId="422">
      <pivotArea dataOnly="0" labelOnly="1" outline="0" axis="axisValues" fieldPosition="0"/>
    </format>
    <format dxfId="421">
      <pivotArea outline="0" collapsedLevelsAreSubtotals="1" fieldPosition="0"/>
    </format>
    <format dxfId="420">
      <pivotArea type="all" dataOnly="0" outline="0" fieldPosition="0"/>
    </format>
    <format dxfId="419">
      <pivotArea outline="0" collapsedLevelsAreSubtotals="1" fieldPosition="0"/>
    </format>
    <format dxfId="418">
      <pivotArea field="5" type="button" dataOnly="0" labelOnly="1" outline="0" axis="axisRow" fieldPosition="0"/>
    </format>
    <format dxfId="417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416">
      <pivotArea dataOnly="0" labelOnly="1" grandRow="1" outline="0" fieldPosition="0"/>
    </format>
    <format dxfId="415">
      <pivotArea dataOnly="0" labelOnly="1" outline="0" axis="axisValues" fieldPosition="0"/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field="5" type="button" dataOnly="0" labelOnly="1" outline="0" axis="axisRow" fieldPosition="0"/>
    </format>
    <format dxfId="411">
      <pivotArea dataOnly="0" labelOnly="1" fieldPosition="0">
        <references count="1">
          <reference field="5" count="4">
            <x v="0"/>
            <x v="1"/>
            <x v="2"/>
            <x v="3"/>
          </reference>
        </references>
      </pivotArea>
    </format>
    <format dxfId="410">
      <pivotArea dataOnly="0" labelOnly="1" grandRow="1" outline="0" fieldPosition="0"/>
    </format>
    <format dxfId="409">
      <pivotArea dataOnly="0" labelOnly="1" outline="0" axis="axisValues" fieldPosition="0"/>
    </format>
  </formats>
  <chartFormats count="5">
    <chartFormat chart="1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8D33E-C772-48F7-B298-598CA7FAEE17}" name="TablaDinámica2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A27:B37" firstHeaderRow="1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3"/>
        <item x="2"/>
        <item h="1" x="4"/>
        <item h="1"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0">
    <i>
      <x v="7"/>
      <x v="41"/>
    </i>
    <i>
      <x v="61"/>
      <x v="48"/>
    </i>
    <i>
      <x v="89"/>
      <x v="42"/>
    </i>
    <i>
      <x v="105"/>
      <x v="52"/>
    </i>
    <i>
      <x v="110"/>
      <x v="53"/>
    </i>
    <i>
      <x v="125"/>
      <x v="54"/>
    </i>
    <i>
      <x v="141"/>
      <x v="36"/>
    </i>
    <i>
      <x v="150"/>
      <x v="45"/>
    </i>
    <i>
      <x v="160"/>
      <x v="62"/>
    </i>
    <i t="grand">
      <x/>
    </i>
  </rowItems>
  <colItems count="1">
    <i/>
  </colItems>
  <pageFields count="2">
    <pageField fld="2" item="4" hier="-1"/>
    <pageField fld="5" hier="-1"/>
  </pageFields>
  <formats count="7">
    <format dxfId="86">
      <pivotArea field="5" type="button" dataOnly="0" labelOnly="1" outline="0" axis="axisPage" fieldPosition="1"/>
    </format>
    <format dxfId="85">
      <pivotArea dataOnly="0" labelOnly="1" outline="0" axis="axisValues" fieldPosition="0"/>
    </format>
    <format dxfId="84">
      <pivotArea field="5" type="button" dataOnly="0" labelOnly="1" outline="0" axis="axisPage" fieldPosition="1"/>
    </format>
    <format dxfId="83">
      <pivotArea dataOnly="0" labelOnly="1" outline="0" axis="axisValues" fieldPosition="0"/>
    </format>
    <format dxfId="82">
      <pivotArea field="5" type="button" dataOnly="0" labelOnly="1" outline="0" axis="axisPage" fieldPosition="1"/>
    </format>
    <format dxfId="81">
      <pivotArea dataOnly="0" labelOnly="1" outline="0" axis="axisValues" fieldPosition="0"/>
    </format>
    <format dxfId="8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AA6AC-A7B9-4645-AFCD-102F34F21525}" name="TablaDinámica1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A4:B19" firstHeaderRow="1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x="3"/>
        <item h="1" x="2"/>
        <item h="1" x="4"/>
        <item h="1"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5">
    <i>
      <x v="14"/>
      <x v="43"/>
    </i>
    <i>
      <x v="37"/>
      <x v="35"/>
    </i>
    <i>
      <x v="42"/>
      <x v="50"/>
    </i>
    <i>
      <x v="43"/>
      <x v="64"/>
    </i>
    <i>
      <x v="57"/>
      <x v="39"/>
    </i>
    <i>
      <x v="75"/>
      <x v="60"/>
    </i>
    <i>
      <x v="94"/>
      <x v="32"/>
    </i>
    <i>
      <x v="99"/>
      <x v="66"/>
    </i>
    <i>
      <x v="101"/>
      <x v="59"/>
    </i>
    <i>
      <x v="103"/>
      <x v="65"/>
    </i>
    <i>
      <x v="104"/>
      <x v="37"/>
    </i>
    <i>
      <x v="107"/>
      <x v="46"/>
    </i>
    <i>
      <x v="112"/>
      <x v="55"/>
    </i>
    <i>
      <x v="138"/>
      <x v="63"/>
    </i>
    <i t="grand">
      <x/>
    </i>
  </rowItems>
  <colItems count="1">
    <i/>
  </colItems>
  <pageFields count="2">
    <pageField fld="2" item="4" hier="-1"/>
    <pageField fld="5" hier="-1"/>
  </pageFields>
  <formats count="7">
    <format dxfId="93">
      <pivotArea field="5" type="button" dataOnly="0" labelOnly="1" outline="0" axis="axisPage" fieldPosition="1"/>
    </format>
    <format dxfId="92">
      <pivotArea dataOnly="0" labelOnly="1" outline="0" axis="axisValues" fieldPosition="0"/>
    </format>
    <format dxfId="91">
      <pivotArea field="5" type="button" dataOnly="0" labelOnly="1" outline="0" axis="axisPage" fieldPosition="1"/>
    </format>
    <format dxfId="90">
      <pivotArea dataOnly="0" labelOnly="1" outline="0" axis="axisValues" fieldPosition="0"/>
    </format>
    <format dxfId="89">
      <pivotArea field="5" type="button" dataOnly="0" labelOnly="1" outline="0" axis="axisPage" fieldPosition="1"/>
    </format>
    <format dxfId="88">
      <pivotArea dataOnly="0" labelOnly="1" outline="0" axis="axisValues" fieldPosition="0"/>
    </format>
    <format dxfId="8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709C7-8385-4657-B5A8-E5FB27D1005C}" name="TablaDinámica3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A46:B56" firstHeaderRow="1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3"/>
        <item h="1" x="2"/>
        <item x="4"/>
        <item h="1"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0">
    <i>
      <x v="48"/>
      <x v="33"/>
    </i>
    <i>
      <x v="51"/>
      <x v="49"/>
    </i>
    <i>
      <x v="52"/>
      <x v="68"/>
    </i>
    <i>
      <x v="68"/>
      <x v="58"/>
    </i>
    <i>
      <x v="72"/>
      <x v="47"/>
    </i>
    <i>
      <x v="86"/>
      <x v="67"/>
    </i>
    <i>
      <x v="88"/>
      <x v="44"/>
    </i>
    <i>
      <x v="130"/>
      <x v="31"/>
    </i>
    <i>
      <x v="132"/>
      <x v="40"/>
    </i>
    <i t="grand">
      <x/>
    </i>
  </rowItems>
  <colItems count="1">
    <i/>
  </colItems>
  <pageFields count="2">
    <pageField fld="2" item="4" hier="-1"/>
    <pageField fld="5" hier="-1"/>
  </pageFields>
  <formats count="7">
    <format dxfId="100">
      <pivotArea field="5" type="button" dataOnly="0" labelOnly="1" outline="0" axis="axisPage" fieldPosition="1"/>
    </format>
    <format dxfId="99">
      <pivotArea dataOnly="0" labelOnly="1" outline="0" axis="axisValues" fieldPosition="0"/>
    </format>
    <format dxfId="98">
      <pivotArea field="5" type="button" dataOnly="0" labelOnly="1" outline="0" axis="axisPage" fieldPosition="1"/>
    </format>
    <format dxfId="97">
      <pivotArea dataOnly="0" labelOnly="1" outline="0" axis="axisValues" fieldPosition="0"/>
    </format>
    <format dxfId="96">
      <pivotArea field="5" type="button" dataOnly="0" labelOnly="1" outline="0" axis="axisPage" fieldPosition="1"/>
    </format>
    <format dxfId="95">
      <pivotArea dataOnly="0" labelOnly="1" outline="0" axis="axisValues" fieldPosition="0"/>
    </format>
    <format dxfId="9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C7BF0-63B4-4ED3-B970-7FE7FC53E76D}" name="TablaDinámica4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A4:J19" firstHeaderRow="0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x="3"/>
        <item h="1" x="2"/>
        <item h="1" x="4"/>
        <item h="1" x="1"/>
      </items>
    </pivotField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5">
    <i>
      <x v="14"/>
      <x v="43"/>
    </i>
    <i>
      <x v="37"/>
      <x v="35"/>
    </i>
    <i>
      <x v="42"/>
      <x v="50"/>
    </i>
    <i>
      <x v="43"/>
      <x v="64"/>
    </i>
    <i>
      <x v="57"/>
      <x v="39"/>
    </i>
    <i>
      <x v="75"/>
      <x v="60"/>
    </i>
    <i>
      <x v="94"/>
      <x v="32"/>
    </i>
    <i>
      <x v="99"/>
      <x v="66"/>
    </i>
    <i>
      <x v="101"/>
      <x v="59"/>
    </i>
    <i>
      <x v="103"/>
      <x v="65"/>
    </i>
    <i>
      <x v="104"/>
      <x v="37"/>
    </i>
    <i>
      <x v="107"/>
      <x v="46"/>
    </i>
    <i>
      <x v="112"/>
      <x v="55"/>
    </i>
    <i>
      <x v="138"/>
      <x v="6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2" item="4" hier="-1"/>
    <pageField fld="5" hier="-1"/>
  </pageFields>
  <dataFields count="8">
    <dataField name="Promedio de Dependencia de las transferencias &quot;Calificación&quot;" fld="7" subtotal="average" baseField="3" baseItem="43" numFmtId="2"/>
    <dataField name="Promedio de FBK fijo/ Inversión  (Con SGR)*" fld="9" subtotal="average" baseField="3" baseItem="43" numFmtId="2"/>
    <dataField name="Promedio de Endeudamiento &quot;Calificación&quot;" fld="11" subtotal="average" baseField="3" baseItem="43" numFmtId="2"/>
    <dataField name="Promedio de Ahorro corriente &quot;Calificación&quot;" fld="13" subtotal="average" baseField="3" baseItem="43" numFmtId="2"/>
    <dataField name="Promedio de Balance Fiscal Primario &quot;Calificación&quot;" fld="15" subtotal="average" baseField="3" baseItem="43" numFmtId="2"/>
    <dataField name="Promedio de Holgura &quot;Calificación&quot;" fld="19" subtotal="average" baseField="3" baseItem="43" numFmtId="2"/>
    <dataField name="Promedio de Capacidad de programación y recaudo de Ingresos &quot;Calificación&quot;" fld="21" subtotal="average" baseField="3" baseItem="43" numFmtId="2"/>
    <dataField name="Promedio de Capacidad de Ejecución de Inversión &quot;Calificación&quot;" fld="23" subtotal="average" baseField="3" baseItem="43" numFmtId="2"/>
  </dataFields>
  <formats count="10">
    <format dxfId="59">
      <pivotArea field="5" type="button" dataOnly="0" labelOnly="1" outline="0" axis="axisPage" fieldPosition="1"/>
    </format>
    <format dxfId="58">
      <pivotArea dataOnly="0" labelOnly="1" outline="0" axis="axisValues" fieldPosition="0"/>
    </format>
    <format dxfId="57">
      <pivotArea field="5" type="button" dataOnly="0" labelOnly="1" outline="0" axis="axisPage" fieldPosition="1"/>
    </format>
    <format dxfId="56">
      <pivotArea dataOnly="0" labelOnly="1" outline="0" axis="axisValues" fieldPosition="0"/>
    </format>
    <format dxfId="55">
      <pivotArea field="5" type="button" dataOnly="0" labelOnly="1" outline="0" axis="axisPage" fieldPosition="1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6E49E-0B08-46D9-B5FD-93EBB6874AA4}" name="TablaDinámica6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Y4:AH14" firstHeaderRow="0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3"/>
        <item h="1" x="2"/>
        <item x="4"/>
        <item h="1" x="1"/>
      </items>
    </pivotField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0">
    <i>
      <x v="48"/>
      <x v="33"/>
    </i>
    <i>
      <x v="51"/>
      <x v="49"/>
    </i>
    <i>
      <x v="52"/>
      <x v="68"/>
    </i>
    <i>
      <x v="68"/>
      <x v="58"/>
    </i>
    <i>
      <x v="72"/>
      <x v="47"/>
    </i>
    <i>
      <x v="86"/>
      <x v="67"/>
    </i>
    <i>
      <x v="88"/>
      <x v="44"/>
    </i>
    <i>
      <x v="130"/>
      <x v="31"/>
    </i>
    <i>
      <x v="132"/>
      <x v="4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2" item="4" hier="-1"/>
    <pageField fld="5" hier="-1"/>
  </pageFields>
  <dataFields count="8">
    <dataField name="Promedio de Dependencia de las transferencias &quot;Calificación&quot;" fld="7" subtotal="average" baseField="3" baseItem="43" numFmtId="2"/>
    <dataField name="Promedio de FBK fijo/ Inversión  (Con SGR)*" fld="9" subtotal="average" baseField="3" baseItem="43" numFmtId="2"/>
    <dataField name="Promedio de Endeudamiento &quot;Calificación&quot;" fld="11" subtotal="average" baseField="3" baseItem="43" numFmtId="2"/>
    <dataField name="Promedio de Ahorro corriente &quot;Calificación&quot;" fld="13" subtotal="average" baseField="3" baseItem="43" numFmtId="2"/>
    <dataField name="Promedio de Balance Fiscal Primario &quot;Calificación&quot;" fld="15" subtotal="average" baseField="3" baseItem="43" numFmtId="2"/>
    <dataField name="Promedio de Holgura &quot;Calificación&quot;" fld="19" subtotal="average" baseField="3" baseItem="43" numFmtId="2"/>
    <dataField name="Promedio de Capacidad de programación y recaudo de Ingresos &quot;Calificación&quot;" fld="21" subtotal="average" baseField="3" baseItem="43" numFmtId="2"/>
    <dataField name="Promedio de Capacidad de Ejecución de Inversión &quot;Calificación&quot;" fld="23" subtotal="average" baseField="3" baseItem="43" numFmtId="2"/>
  </dataFields>
  <formats count="10">
    <format dxfId="69">
      <pivotArea field="5" type="button" dataOnly="0" labelOnly="1" outline="0" axis="axisPage" fieldPosition="1"/>
    </format>
    <format dxfId="68">
      <pivotArea dataOnly="0" labelOnly="1" outline="0" axis="axisValues" fieldPosition="0"/>
    </format>
    <format dxfId="67">
      <pivotArea field="5" type="button" dataOnly="0" labelOnly="1" outline="0" axis="axisPage" fieldPosition="1"/>
    </format>
    <format dxfId="66">
      <pivotArea dataOnly="0" labelOnly="1" outline="0" axis="axisValues" fieldPosition="0"/>
    </format>
    <format dxfId="65">
      <pivotArea field="5" type="button" dataOnly="0" labelOnly="1" outline="0" axis="axisPage" fieldPosition="1"/>
    </format>
    <format dxfId="64">
      <pivotArea dataOnly="0" labelOnly="1" outline="0" axis="axisValues" fieldPosition="0"/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912F9-1CAA-4C4D-BCE7-F80E281B1024}" name="TablaDinámica5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M4:V14" firstHeaderRow="0" firstDataRow="1" firstDataCol="2" rowPageCount="2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axis="axisRow" compact="0" outline="0" showAll="0" defaultSubtotal="0">
      <items count="69"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66"/>
        <item m="1" x="59"/>
        <item m="1" x="60"/>
        <item m="1" x="61"/>
        <item m="1" x="62"/>
        <item x="1"/>
        <item x="2"/>
        <item x="3"/>
        <item m="1" x="67"/>
        <item x="4"/>
        <item x="5"/>
        <item x="6"/>
        <item m="1" x="63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64"/>
        <item x="19"/>
        <item x="20"/>
        <item x="21"/>
        <item x="22"/>
        <item m="1" x="65"/>
        <item x="0"/>
        <item x="23"/>
        <item x="24"/>
        <item x="25"/>
        <item m="1" x="68"/>
        <item x="26"/>
        <item x="27"/>
        <item x="28"/>
        <item x="29"/>
        <item x="30"/>
        <item x="31"/>
        <item x="32"/>
      </items>
    </pivotField>
    <pivotField compact="0" outline="0" showAll="0" defaultSubtotal="0"/>
    <pivotField axis="axisPage" compact="0" outline="0" multipleItemSelectionAllowed="1" showAll="0" defaultSubtotal="0">
      <items count="5">
        <item h="1" x="0"/>
        <item h="1" x="3"/>
        <item x="2"/>
        <item h="1" x="4"/>
        <item h="1" x="1"/>
      </items>
    </pivotField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dataField="1"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axis="axisRow" compact="0" numFmtId="2" outline="0" showAll="0" sortType="descending" defaultSubtotal="0">
      <items count="161">
        <item x="34"/>
        <item x="65"/>
        <item x="14"/>
        <item x="107"/>
        <item x="126"/>
        <item x="66"/>
        <item x="42"/>
        <item x="129"/>
        <item x="110"/>
        <item x="53"/>
        <item x="55"/>
        <item x="54"/>
        <item x="20"/>
        <item x="98"/>
        <item x="130"/>
        <item x="40"/>
        <item x="25"/>
        <item x="67"/>
        <item x="68"/>
        <item x="100"/>
        <item x="124"/>
        <item x="33"/>
        <item x="7"/>
        <item x="69"/>
        <item x="2"/>
        <item x="70"/>
        <item x="4"/>
        <item x="11"/>
        <item x="62"/>
        <item x="71"/>
        <item x="37"/>
        <item x="72"/>
        <item x="30"/>
        <item x="47"/>
        <item x="17"/>
        <item x="22"/>
        <item x="73"/>
        <item x="131"/>
        <item x="103"/>
        <item x="50"/>
        <item x="122"/>
        <item x="119"/>
        <item x="132"/>
        <item x="133"/>
        <item x="28"/>
        <item x="74"/>
        <item x="75"/>
        <item x="111"/>
        <item x="134"/>
        <item x="114"/>
        <item x="63"/>
        <item x="135"/>
        <item x="136"/>
        <item x="118"/>
        <item x="29"/>
        <item x="76"/>
        <item x="46"/>
        <item x="137"/>
        <item x="116"/>
        <item x="49"/>
        <item x="36"/>
        <item x="138"/>
        <item x="77"/>
        <item x="102"/>
        <item x="51"/>
        <item x="35"/>
        <item x="52"/>
        <item x="61"/>
        <item x="139"/>
        <item x="31"/>
        <item x="105"/>
        <item x="10"/>
        <item x="140"/>
        <item x="78"/>
        <item x="109"/>
        <item x="141"/>
        <item x="123"/>
        <item x="113"/>
        <item x="117"/>
        <item x="44"/>
        <item x="23"/>
        <item x="58"/>
        <item x="0"/>
        <item x="79"/>
        <item x="125"/>
        <item x="64"/>
        <item x="142"/>
        <item x="48"/>
        <item x="143"/>
        <item x="144"/>
        <item x="43"/>
        <item x="80"/>
        <item x="9"/>
        <item x="97"/>
        <item x="145"/>
        <item x="81"/>
        <item x="39"/>
        <item x="82"/>
        <item x="83"/>
        <item x="146"/>
        <item x="112"/>
        <item x="147"/>
        <item x="99"/>
        <item x="148"/>
        <item x="149"/>
        <item x="150"/>
        <item x="84"/>
        <item x="151"/>
        <item x="45"/>
        <item x="120"/>
        <item x="152"/>
        <item x="8"/>
        <item x="153"/>
        <item x="85"/>
        <item x="86"/>
        <item x="18"/>
        <item x="87"/>
        <item x="88"/>
        <item x="108"/>
        <item x="128"/>
        <item x="127"/>
        <item x="15"/>
        <item x="106"/>
        <item x="19"/>
        <item x="104"/>
        <item x="154"/>
        <item x="16"/>
        <item x="38"/>
        <item x="24"/>
        <item x="27"/>
        <item x="155"/>
        <item x="89"/>
        <item x="156"/>
        <item x="115"/>
        <item x="32"/>
        <item x="57"/>
        <item x="121"/>
        <item x="90"/>
        <item x="157"/>
        <item x="5"/>
        <item x="12"/>
        <item x="158"/>
        <item x="59"/>
        <item x="41"/>
        <item x="6"/>
        <item x="91"/>
        <item x="1"/>
        <item x="92"/>
        <item x="3"/>
        <item x="101"/>
        <item x="159"/>
        <item x="93"/>
        <item x="94"/>
        <item x="95"/>
        <item x="13"/>
        <item x="60"/>
        <item x="56"/>
        <item x="96"/>
        <item x="21"/>
        <item x="26"/>
        <item x="160"/>
      </items>
    </pivotField>
    <pivotField compact="0" outlin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2">
    <field x="29"/>
    <field x="3"/>
  </rowFields>
  <rowItems count="10">
    <i>
      <x v="7"/>
      <x v="41"/>
    </i>
    <i>
      <x v="61"/>
      <x v="48"/>
    </i>
    <i>
      <x v="89"/>
      <x v="42"/>
    </i>
    <i>
      <x v="105"/>
      <x v="52"/>
    </i>
    <i>
      <x v="110"/>
      <x v="53"/>
    </i>
    <i>
      <x v="125"/>
      <x v="54"/>
    </i>
    <i>
      <x v="141"/>
      <x v="36"/>
    </i>
    <i>
      <x v="150"/>
      <x v="45"/>
    </i>
    <i>
      <x v="160"/>
      <x v="6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2" item="4" hier="-1"/>
    <pageField fld="5" hier="-1"/>
  </pageFields>
  <dataFields count="8">
    <dataField name="Promedio de Dependencia de las transferencias &quot;Calificación&quot;" fld="7" subtotal="average" baseField="3" baseItem="43" numFmtId="2"/>
    <dataField name="Promedio de FBK fijo/ Inversión  (Con SGR)*" fld="9" subtotal="average" baseField="3" baseItem="43" numFmtId="2"/>
    <dataField name="Promedio de Endeudamiento &quot;Calificación&quot;" fld="11" subtotal="average" baseField="3" baseItem="43" numFmtId="2"/>
    <dataField name="Promedio de Ahorro corriente &quot;Calificación&quot;" fld="13" subtotal="average" baseField="3" baseItem="43" numFmtId="2"/>
    <dataField name="Promedio de Balance Fiscal Primario &quot;Calificación&quot;" fld="15" subtotal="average" baseField="3" baseItem="43" numFmtId="2"/>
    <dataField name="Promedio de Holgura &quot;Calificación&quot;" fld="19" subtotal="average" baseField="3" baseItem="43" numFmtId="2"/>
    <dataField name="Promedio de Capacidad de programación y recaudo de Ingresos &quot;Calificación&quot;" fld="21" subtotal="average" baseField="3" baseItem="43" numFmtId="2"/>
    <dataField name="Promedio de Capacidad de Ejecución de Inversión &quot;Calificación&quot;" fld="23" subtotal="average" baseField="3" baseItem="43" numFmtId="2"/>
  </dataFields>
  <formats count="10">
    <format dxfId="79">
      <pivotArea field="5" type="button" dataOnly="0" labelOnly="1" outline="0" axis="axisPage" fieldPosition="1"/>
    </format>
    <format dxfId="78">
      <pivotArea dataOnly="0" labelOnly="1" outline="0" axis="axisValues" fieldPosition="0"/>
    </format>
    <format dxfId="77">
      <pivotArea field="5" type="button" dataOnly="0" labelOnly="1" outline="0" axis="axisPage" fieldPosition="1"/>
    </format>
    <format dxfId="76">
      <pivotArea dataOnly="0" labelOnly="1" outline="0" axis="axisValues" fieldPosition="0"/>
    </format>
    <format dxfId="75">
      <pivotArea field="5" type="button" dataOnly="0" labelOnly="1" outline="0" axis="axisPage" fieldPosition="1"/>
    </format>
    <format dxfId="74">
      <pivotArea dataOnly="0" labelOnly="1" outline="0" axis="axisValues" fieldPosition="0"/>
    </format>
    <format dxfId="73">
      <pivotArea outline="0" collapsedLevelsAreSubtotals="1" fieldPosition="0"/>
    </format>
    <format dxfId="7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7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8C83A-B401-4549-BECE-B58DFC3C3F7B}" name="TablaDinámica1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2:F50" firstHeaderRow="1" firstDataRow="2" firstDataCol="1" rowPageCount="1" colPageCount="1"/>
  <pivotFields count="57"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axis="axisRow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6"/>
  </colFields>
  <colItems count="5">
    <i>
      <x/>
    </i>
    <i>
      <x v="1"/>
    </i>
    <i>
      <x v="2"/>
    </i>
    <i>
      <x v="3"/>
    </i>
    <i t="grand">
      <x/>
    </i>
  </colItems>
  <pageFields count="1">
    <pageField fld="2" item="4" hier="-1"/>
  </pageFields>
  <dataFields count="1">
    <dataField name="Cuenta de Departamento" fld="3" subtotal="count" showDataAs="percentOfCol" baseField="6" baseItem="1" numFmtId="17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FD46E-8BB2-4F2F-A9EE-9EA116743E60}" name="TablaDinámica1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F37" firstHeaderRow="1" firstDataRow="2" firstDataCol="1" rowPageCount="1" colPageCount="1"/>
  <pivotFields count="57">
    <pivotField showAll="0"/>
    <pivotField showAll="0"/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axis="axisRow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6"/>
  </colFields>
  <colItems count="5">
    <i>
      <x/>
    </i>
    <i>
      <x v="1"/>
    </i>
    <i>
      <x v="2"/>
    </i>
    <i>
      <x v="3"/>
    </i>
    <i t="grand">
      <x/>
    </i>
  </colItems>
  <pageFields count="1">
    <pageField fld="2" item="4" hier="-1"/>
  </pageFields>
  <dataFields count="1">
    <dataField name="Cuenta de Departamen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F9DBF-0F08-4A63-8C07-C7CE51DCCC7A}" name="TablaDinámica11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36" rowHeaderCaption="Tipología. ">
  <location ref="A13:F18" firstHeaderRow="1" firstDataRow="2" firstDataCol="1" rowPageCount="1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dataField="1" compact="0" outline="0" showAll="0" defaultSubtotal="0"/>
    <pivotField compact="0" outline="0" showAll="0" defaultSubtotal="0"/>
    <pivotField axis="axisRow" compact="0" outline="0" multipleItemSelectionAllowed="1" showAll="0" defaultSubtotal="0">
      <items count="5">
        <item h="1" x="0"/>
        <item x="3"/>
        <item x="2"/>
        <item x="4"/>
        <item h="1"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sortType="descending" defaultSubtotal="0"/>
    <pivotField axis="axisCol" compact="0" outline="0" showAll="0" defaultSubtotal="0">
      <items count="5">
        <item x="4"/>
        <item x="1"/>
        <item x="2"/>
        <item x="3"/>
        <item x="0"/>
      </items>
    </pivotField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pageFields count="1">
    <pageField fld="2" item="4" hier="-1"/>
  </pageFields>
  <dataFields count="1">
    <dataField name="Cuenta de Departamento" fld="3" subtotal="count" showDataAs="percentOfRow" baseField="5" baseItem="1" numFmtId="10"/>
  </dataFields>
  <formats count="12">
    <format dxfId="42">
      <pivotArea field="5" type="button" dataOnly="0" labelOnly="1" outline="0" axis="axisRow" fieldPosition="0"/>
    </format>
    <format dxfId="41">
      <pivotArea dataOnly="0" labelOnly="1" outline="0" axis="axisValues" fieldPosition="0"/>
    </format>
    <format dxfId="40">
      <pivotArea field="5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5" type="button" dataOnly="0" labelOnly="1" outline="0" axis="axisRow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  <format dxfId="35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fieldPosition="0">
        <references count="1">
          <reference field="5" count="0"/>
        </references>
      </pivotArea>
    </format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fieldPosition="0">
        <references count="1">
          <reference field="5" count="0" selected="0"/>
        </references>
      </pivotArea>
    </format>
    <format dxfId="31">
      <pivotArea outline="0" fieldPosition="0">
        <references count="1">
          <reference field="5" count="0" selected="0"/>
        </references>
      </pivotArea>
    </format>
  </formats>
  <chartFormats count="7"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0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1"/>
          </reference>
        </references>
      </pivotArea>
    </chartFormat>
    <chartFormat chart="29" format="15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2"/>
          </reference>
        </references>
      </pivotArea>
    </chartFormat>
    <chartFormat chart="29" format="16" series="1">
      <pivotArea type="data" outline="0" fieldPosition="0">
        <references count="2">
          <reference field="4294967294" count="1" selected="0">
            <x v="0"/>
          </reference>
          <reference field="30" count="1" selected="0">
            <x v="3"/>
          </reference>
        </references>
      </pivotArea>
    </chartFormat>
    <chartFormat chart="29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30" count="1" selected="0">
            <x v="1"/>
          </reference>
        </references>
      </pivotArea>
    </chartFormat>
    <chartFormat chart="29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30" count="1" selected="0">
            <x v="1"/>
          </reference>
        </references>
      </pivotArea>
    </chartFormat>
    <chartFormat chart="29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3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4D6D6-EC2F-40EB-9447-B35DAE1F2823}" name="TablaDinámica10" cacheId="9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9" rowHeaderCaption="Tipología. ">
  <location ref="A4:F9" firstHeaderRow="1" firstDataRow="2" firstDataCol="1" rowPageCount="1" colPageCount="1"/>
  <pivotFields count="35">
    <pivotField compact="0" outline="0" showAll="0" defaultSubtotal="0"/>
    <pivotField compact="0" outline="0" showAll="0" defaultSubtotal="0"/>
    <pivotField axis="axisPage" compact="0" outline="0" showAll="0" defaultSubtotal="0">
      <items count="5">
        <item x="1"/>
        <item x="2"/>
        <item x="3"/>
        <item x="4"/>
        <item x="0"/>
      </items>
    </pivotField>
    <pivotField dataField="1" compact="0" outline="0" showAll="0" defaultSubtotal="0"/>
    <pivotField compact="0" outline="0" showAll="0" defaultSubtotal="0"/>
    <pivotField axis="axisRow" compact="0" outline="0" multipleItemSelectionAllowed="1" showAll="0" defaultSubtotal="0">
      <items count="5">
        <item h="1" x="0"/>
        <item x="3"/>
        <item x="2"/>
        <item x="4"/>
        <item h="1" x="1"/>
      </items>
    </pivotField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defaultSubtotal="0"/>
    <pivotField compact="0" numFmtId="2" outline="0" showAll="0" sortType="descending" defaultSubtotal="0"/>
    <pivotField axis="axisCol" compact="0" outline="0" showAll="0" defaultSubtotal="0">
      <items count="5">
        <item x="4"/>
        <item x="1"/>
        <item x="2"/>
        <item x="3"/>
        <item x="0"/>
      </items>
    </pivotField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  <pivotField compact="0" outline="0" subtotalTop="0" dragToRow="0" dragToCol="0" dragToPage="0" showAll="0" defaultSubtotal="0"/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30"/>
  </colFields>
  <colItems count="5">
    <i>
      <x/>
    </i>
    <i>
      <x v="1"/>
    </i>
    <i>
      <x v="2"/>
    </i>
    <i>
      <x v="3"/>
    </i>
    <i t="grand">
      <x/>
    </i>
  </colItems>
  <pageFields count="1">
    <pageField fld="2" item="4" hier="-1"/>
  </pageFields>
  <dataFields count="1">
    <dataField name="Cuenta de Departamento" fld="3" subtotal="count" baseField="0" baseItem="0" numFmtId="1"/>
  </dataFields>
  <formats count="7">
    <format dxfId="49">
      <pivotArea field="5" type="button" dataOnly="0" labelOnly="1" outline="0" axis="axisRow" fieldPosition="0"/>
    </format>
    <format dxfId="48">
      <pivotArea dataOnly="0" labelOnly="1" outline="0" axis="axisValues" fieldPosition="0"/>
    </format>
    <format dxfId="47">
      <pivotArea field="5" type="button" dataOnly="0" labelOnly="1" outline="0" axis="axisRow" fieldPosition="0"/>
    </format>
    <format dxfId="46">
      <pivotArea dataOnly="0" labelOnly="1" outline="0" axis="axisValues" fieldPosition="0"/>
    </format>
    <format dxfId="45">
      <pivotArea field="5" type="button" dataOnly="0" labelOnly="1" outline="0" axis="axisRow" fieldPosition="0"/>
    </format>
    <format dxfId="44">
      <pivotArea dataOnly="0" labelOnly="1" outline="0" axis="axisValues" fieldPosition="0"/>
    </format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D6585-E303-4134-B22E-5F9B9D6BE167}" name="Tabla2" displayName="Tabla2" ref="A4:BH164" totalsRowShown="0">
  <autoFilter ref="A4:BH164" xr:uid="{8A837B3E-8764-4FDA-9BE4-99D2BF15A25B}">
    <filterColumn colId="2">
      <filters>
        <filter val="2021"/>
        <filter val="2022"/>
        <filter val="2023"/>
        <filter val="2024"/>
      </filters>
    </filterColumn>
  </autoFilter>
  <tableColumns count="60">
    <tableColumn id="1" xr3:uid="{FCA39911-1916-4177-9E5D-CB8AA5F2315B}" name="Código (2 digitos)" dataDxfId="537"/>
    <tableColumn id="2" xr3:uid="{F6D2DB86-6B4B-426E-88F3-29889364AB6F}" name="Código (5 digitos)" dataDxfId="536"/>
    <tableColumn id="3" xr3:uid="{1D87E461-AB14-4D78-8F98-1B8804E1B9F6}" name="Año" dataDxfId="535"/>
    <tableColumn id="4" xr3:uid="{5C9B79AC-FFFC-4FF4-823D-6672996F8E57}" name="Departamento" dataDxfId="534"/>
    <tableColumn id="5" xr3:uid="{EFA0E5CF-B4FA-4A77-9072-30B295071528}" name="Categorías" dataDxfId="1"/>
    <tableColumn id="6" xr3:uid="{D4F39092-08A1-40BF-B4EC-B0E13F7A3374}" name="Tipologías" dataDxfId="0"/>
    <tableColumn id="7" xr3:uid="{726CE56C-0CB5-4757-A6EC-450DF315BF58}" name="Región"/>
    <tableColumn id="8" xr3:uid="{7D9C8268-7A55-4CC2-BCD1-6381F7F61F06}" name="A3010-Transferencias corrientes de nivel nacional (NO tiene SGR)" dataDxfId="533"/>
    <tableColumn id="9" xr3:uid="{EC5CDC51-F6BC-48F2-A2E0-0D27430CDC5E}" name="D1000-Transferencias nacionales (No tiene SGR)" dataDxfId="532"/>
    <tableColumn id="10" xr3:uid="{30DFFB8B-AA1B-4CB6-9C38-1B4CE6D2600D}" name="A-INGRESOS TOTALES (NO SGR)" dataDxfId="531"/>
    <tableColumn id="11" xr3:uid="{4C7E9CBF-FF2B-4AC9-9857-B6D9A4A7D694}" name="A1000-Ingresos tributarios (No SGR" dataDxfId="530"/>
    <tableColumn id="12" xr3:uid="{B33F4A14-7FA3-48E9-B5F3-D76AF6C479A3}" name="A2000-Ingresos no tributarios (No SGR)" dataDxfId="529"/>
    <tableColumn id="13" xr3:uid="{7E4E7054-9006-4F57-992E-30B98F84FF01}" name="Gasto en Inversión" dataDxfId="528"/>
    <tableColumn id="14" xr3:uid="{511ADA60-C93A-4C7D-A88F-BBE79BB558EE}" name="Gasto en Formación Bruta de Capital" dataDxfId="527"/>
    <tableColumn id="15" xr3:uid="{DE9E508D-EA45-4F1C-B6EF-6E9555748946}" name="Ingreso corriente" dataDxfId="526"/>
    <tableColumn id="16" xr3:uid="{36F2BC64-B16A-4F49-B54F-EF560912EA78}" name="Ahorro corriente" dataDxfId="525"/>
    <tableColumn id="17" xr3:uid="{9557A235-074D-4785-8890-E77209B20D4B}" name="B2000-Intereses de la deuda pública -NO tiene SGR" dataDxfId="524"/>
    <tableColumn id="18" xr3:uid="{458A5BE3-DFE4-4191-915F-0F9593429789}" name="G-Déficit o Superávit Total (No Tiene SGR)" dataDxfId="523"/>
    <tableColumn id="19" xr3:uid="{BD71A31F-35BB-4231-8148-FDB008651DE1}" name="Recursos del Balance CUIPO" dataDxfId="522"/>
    <tableColumn id="20" xr3:uid="{C3C16108-B4E8-4AB1-9D9A-1366402D0792}" name="Desembolsos (No tiene SGR)" dataDxfId="521"/>
    <tableColumn id="21" xr3:uid="{1B294762-8807-49FA-9DF2-B5F386E50A04}" name="Activos totales" dataDxfId="520"/>
    <tableColumn id="22" xr3:uid="{4BC42147-8C85-4172-B927-F8B3B9448801}" name="Pasivos totales" dataDxfId="519"/>
    <tableColumn id="23" xr3:uid="{A40C182A-45CF-4E96-9B04-DFFF212B712C}" name="Gastos de funcionamiento / ICLD" dataDxfId="518"/>
    <tableColumn id="24" xr3:uid="{FA9EF65D-DCC2-43C9-9217-FF04E1F93786}" name="Límite Ley 617 de 2000" dataDxfId="517"/>
    <tableColumn id="25" xr3:uid="{10419579-AA9F-4167-8438-C15469579749}" name="Presupuesto Inicial " dataDxfId="516"/>
    <tableColumn id="26" xr3:uid="{4E3EC5CF-5969-4CAC-9DF5-16D6449FECFD}" name="Recaudo" dataDxfId="515"/>
    <tableColumn id="27" xr3:uid="{30002546-B7C8-459C-9988-B39D53B07637}" name="Compromisos" dataDxfId="514"/>
    <tableColumn id="28" xr3:uid="{AAE74102-4BEC-403F-A7E7-5752171EA600}" name="Pagos" dataDxfId="513"/>
    <tableColumn id="29" xr3:uid="{B931DE94-3FD5-433E-AAB7-4ADD0213C180}" name="SGP + otras transferencias nacionales" dataDxfId="512"/>
    <tableColumn id="30" xr3:uid="{B6F91A56-7ED7-41BA-A446-8149FBEE8CA8}" name="Ingresos totales" dataDxfId="511"/>
    <tableColumn id="31" xr3:uid="{EAC6E6C2-1DA7-4502-B066-D6824E359386}" name="Déficit o superávit + intereses deuda+RB" dataDxfId="510"/>
    <tableColumn id="32" xr3:uid="{0D27432F-A012-4C7D-9478-E4B8E151DD86}" name="Ingresos totales + desembolsos " dataDxfId="509"/>
    <tableColumn id="33" xr3:uid="{5BA71435-F6AE-4541-A5EE-3E26D6389C0A}" name="Dependencia de las transferencias &quot;Resultado&quot;" dataDxfId="508"/>
    <tableColumn id="34" xr3:uid="{5098F724-41D0-4253-ABDB-2C56E0018DEA}" name="Dependencia de las transferencias &quot;Calificación&quot;" dataDxfId="507"/>
    <tableColumn id="35" xr3:uid="{A302EE0D-93D5-4B04-8BFF-3915ACB5F98D}" name="Relevancia FBKF &quot;Resultado&quot;" dataDxfId="506"/>
    <tableColumn id="59" xr3:uid="{88A2CF87-7AB2-45A7-A59E-7D13950227A7}" name="Max. Grupo para FBKF" dataDxfId="505">
      <calculatedColumnFormula>+VLOOKUP(Tabla2[[#This Row],[Código (5 digitos)]],'[1]Nuevo IDF'!$A$4:$AG$35,33,FALSE)</calculatedColumnFormula>
    </tableColumn>
    <tableColumn id="36" xr3:uid="{CEFD23D7-29D5-4AE7-AA11-9FEC39B69182}" name="FBK fijo/ Inversión  (Con SGR)*" dataDxfId="504"/>
    <tableColumn id="37" xr3:uid="{8FD1F05D-4710-41DE-A51E-2B1A5DA72809}" name="Endeudamiento &quot;Resultado&quot;" dataDxfId="503"/>
    <tableColumn id="38" xr3:uid="{CEAD5729-C604-469C-8459-766E7FD330E0}" name="Endeudamiento &quot;Calificación&quot;" dataDxfId="502"/>
    <tableColumn id="39" xr3:uid="{DFD6F51E-81DB-423B-A7ED-C8C333BD25BE}" name="Ahorro corriente &quot;Resultado&quot;" dataDxfId="501"/>
    <tableColumn id="40" xr3:uid="{954D2DB6-AB7C-4C78-8379-ED3EAE98CEC1}" name="Ahorro corriente &quot;Calificación&quot;" dataDxfId="500"/>
    <tableColumn id="41" xr3:uid="{77693958-52F8-4C0A-8A3F-3970985878E3}" name="Balance Fiscal Primario &quot;Resultado&quot;" dataDxfId="499"/>
    <tableColumn id="42" xr3:uid="{2837C803-D4AB-455E-A766-A1E13DAE3746}" name="Balance Fiscal Primario &quot;Calificación&quot;" dataDxfId="498"/>
    <tableColumn id="43" xr3:uid="{617213B8-05FC-41FF-A91E-D39E94E7C4C6}" name="Resultados" dataDxfId="497"/>
    <tableColumn id="44" xr3:uid="{B8D64CDD-4775-40F7-8847-5A432C99F7C5}" name="Calificación Resultados " dataDxfId="496"/>
    <tableColumn id="45" xr3:uid="{07ACD2DC-A86B-49AF-BBBC-3D14DE1581E9}" name="Holgura &quot;Resultado&quot;" dataDxfId="495"/>
    <tableColumn id="60" xr3:uid="{B96C6883-EDD6-40AC-A02D-2C6D3E17DFA5}" name="Promedio Holgura por Categoría" dataDxfId="494">
      <calculatedColumnFormula>+VLOOKUP(Tabla2[[#This Row],[Año]],'[1]Nuevo IDF'!$A$4:$AZ$35,25,FALSE)</calculatedColumnFormula>
    </tableColumn>
    <tableColumn id="46" xr3:uid="{2772DD3D-0F84-42AB-A3E6-E7712D863F43}" name="Holgura &quot;Calificación&quot;" dataDxfId="493"/>
    <tableColumn id="47" xr3:uid="{D9B79589-614D-407C-86DD-02BF29DA0EA6}" name="Capacidad de programación y recaudo de ingresos &quot;Resultado&quot;" dataDxfId="492"/>
    <tableColumn id="48" xr3:uid="{2E3FA3F8-ABEC-4E66-8FA5-DD0305876ADD}" name="Capacidad de programación y recaudo de Ingresos &quot;Calificación&quot;" dataDxfId="491"/>
    <tableColumn id="49" xr3:uid="{C23FFFF1-005B-456B-BBBF-2E14DC8281E3}" name="Capacidad de Ejecución de Inversión &quot;Resultado&quot;" dataDxfId="490"/>
    <tableColumn id="50" xr3:uid="{60F9B7D2-78CF-42BA-A1A2-2578C63EEB47}" name="Capacidad de Ejecución de Inversión &quot;Calificación&quot;" dataDxfId="489"/>
    <tableColumn id="51" xr3:uid="{90483D30-86DE-4754-B295-27283F466F6B}" name="Bonificación Esfuerzo Porpio &quot;Calificación&quot;" dataDxfId="488"/>
    <tableColumn id="52" xr3:uid="{A01B37F2-3EB9-4930-988C-026BF61E0580}" name="Resultados Gestión" dataDxfId="487"/>
    <tableColumn id="53" xr3:uid="{D734D47A-D972-4135-A4F2-EEFEC2A8AE27}" name="Gestión +Bonos" dataDxfId="486"/>
    <tableColumn id="54" xr3:uid="{5FA8DAC4-E3AF-4DDC-B653-572C84EBE56A}" name="Calificación Resultados Gestión" dataDxfId="485"/>
    <tableColumn id="55" xr3:uid="{0A7876BA-B9FA-45DF-9781-05C5732D52B7}" name="Nuevo IDF (sin bonos)" dataDxfId="484"/>
    <tableColumn id="56" xr3:uid="{E5417ABF-A97E-45B4-937C-4D77F032BAA9}" name="Nuevo IDF" dataDxfId="483"/>
    <tableColumn id="57" xr3:uid="{63A48787-C893-41AD-802B-120547DA9A3A}" name="Rango " dataDxfId="482"/>
    <tableColumn id="58" xr3:uid="{851F42D6-FDD9-428F-AB62-839B9919EF2F}" name="Ranking nacional" dataDxfId="481">
      <calculatedColumnFormula>COUNTIFS($C$5:$C$164,$C5,$BF$5:$BF$164,"&gt;"&amp;$BF5)+1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4C880-913F-4CB6-8532-1B3BA7520436}" name="Tabla1" displayName="Tabla1" ref="A4:AF164" totalsRowShown="0" headerRowDxfId="474" dataDxfId="473">
  <autoFilter ref="A4:AF164" xr:uid="{4F34C880-913F-4CB6-8532-1B3BA7520436}"/>
  <tableColumns count="32">
    <tableColumn id="1" xr3:uid="{5B905BE4-B603-4C93-ADB2-CB7F04BAB7E6}" name="Código (2 digitos)" dataDxfId="472"/>
    <tableColumn id="2" xr3:uid="{E4B3A929-3504-4010-AE62-E82802C2B7D7}" name="Código (5 digitos)" dataDxfId="471"/>
    <tableColumn id="3" xr3:uid="{A9C54851-F149-4BB3-B298-E7BBF2F325EA}" name="Año" dataDxfId="470"/>
    <tableColumn id="4" xr3:uid="{FFCD1CBE-39BA-41C0-BC2E-93E3805C3519}" name="Departamento" dataDxfId="469"/>
    <tableColumn id="5" xr3:uid="{9E4058F3-5B39-4E23-A3E3-258D716F12D4}" name="Categorías" dataDxfId="468"/>
    <tableColumn id="6" xr3:uid="{4908FBDA-407C-42DB-A175-DF827C47C6C0}" name="Tipologías" dataDxfId="467"/>
    <tableColumn id="7" xr3:uid="{EC6B7A8B-7593-49B4-9470-53DDF0A03708}" name="Dependencia de las transferencias &quot;Resultado&quot;" dataDxfId="466"/>
    <tableColumn id="8" xr3:uid="{EB62EEDD-563F-4B7F-8381-2FC42536A99F}" name="Dependencia de las transferencias &quot;Calificación&quot;" dataDxfId="465"/>
    <tableColumn id="9" xr3:uid="{F69117B5-CEED-49AC-8DB0-88F2081E9701}" name="Relevancia FBKF &quot;Resultado&quot;" dataDxfId="464"/>
    <tableColumn id="10" xr3:uid="{87DE62BA-96CA-49CA-8BC5-174EA88FDC99}" name="FBK fijo/ Inversión  (Con SGR)*" dataDxfId="463"/>
    <tableColumn id="11" xr3:uid="{0DF5F6C1-E546-4F71-9E16-25C6FDDB6CEB}" name="Endeudamiento &quot;Resultado&quot;" dataDxfId="462"/>
    <tableColumn id="12" xr3:uid="{B1A044C0-86F2-4961-A1C9-B67A2F3B1EDE}" name="Endeudamiento &quot;Calificación&quot;" dataDxfId="461"/>
    <tableColumn id="13" xr3:uid="{80CFF042-7EDC-45AC-902B-C99C755B64BD}" name="Ahorro corriente &quot;Resultado&quot;" dataDxfId="460"/>
    <tableColumn id="14" xr3:uid="{8AE84892-05EB-48F2-B9C5-0CD608A891FF}" name="Ahorro corriente &quot;Calificación&quot;" dataDxfId="459"/>
    <tableColumn id="15" xr3:uid="{F03DBE69-E092-4924-A9A2-B336209FEB07}" name="Balance Fiscal Primario &quot;Resultado&quot;" dataDxfId="458"/>
    <tableColumn id="16" xr3:uid="{89CAD1A2-7205-42B0-A6B9-97337FB71728}" name="Balance Fiscal Primario &quot;Calificación&quot;" dataDxfId="457"/>
    <tableColumn id="17" xr3:uid="{6836C302-CD01-47BE-BE0C-0D3810FD2AE0}" name="Resultados" dataDxfId="456"/>
    <tableColumn id="18" xr3:uid="{E18A36BF-B8D5-45A2-9A46-342B7A40656F}" name="Calificación Resultados " dataDxfId="455"/>
    <tableColumn id="19" xr3:uid="{0B61CB2C-868A-4BDB-B785-8DA1F1461E1B}" name="Holgura &quot;Resultado&quot;" dataDxfId="454"/>
    <tableColumn id="20" xr3:uid="{E36DB9BC-B9D2-4A08-98A0-FB8DA329DDF3}" name="Holgura &quot;Calificación&quot;" dataDxfId="453"/>
    <tableColumn id="21" xr3:uid="{0D5D111D-DE22-4F12-B700-5DEB64144E15}" name="Capacidad de programación y recaudo de ingresos &quot;Resultado&quot;" dataDxfId="452"/>
    <tableColumn id="22" xr3:uid="{E695CD90-D644-44D0-8F83-C661A29F53BA}" name="Capacidad de programación y recaudo de Ingresos &quot;Calificación&quot;" dataDxfId="451"/>
    <tableColumn id="23" xr3:uid="{E968906D-BE42-41E9-8AC0-622EE8A896A0}" name="Capacidad de Ejecución de Inversión &quot;Resultado&quot;" dataDxfId="450"/>
    <tableColumn id="24" xr3:uid="{6BF58BA3-9EDA-4076-8ACF-7907D603132B}" name="Capacidad de Ejecución de Inversión &quot;Calificación&quot;" dataDxfId="449"/>
    <tableColumn id="25" xr3:uid="{178564B9-35F9-4927-85C8-E1A7CF97A5D3}" name="Bonificación Esfuerzo Porpio &quot;Calificación&quot;" dataDxfId="448"/>
    <tableColumn id="26" xr3:uid="{3EEDC80D-E7A1-4316-8303-83F648503760}" name="Resultados Gestión" dataDxfId="447"/>
    <tableColumn id="27" xr3:uid="{F54EC71E-FDB4-4D09-883A-28EA113C1CCA}" name="Gestión +Bonos" dataDxfId="446"/>
    <tableColumn id="28" xr3:uid="{2B5DDB0F-D6CF-48A3-8700-C7DE90A63308}" name="Calificación Resultados Gestión" dataDxfId="445"/>
    <tableColumn id="29" xr3:uid="{185E49F9-3A9D-4CD0-8CA2-C8DE90775098}" name=" IDF (sin bonos)" dataDxfId="444"/>
    <tableColumn id="30" xr3:uid="{0E7831BF-DD5A-4864-86BF-EF56609FB3E5}" name="IDF" dataDxfId="443"/>
    <tableColumn id="31" xr3:uid="{1411D984-3244-4584-9C6F-C394BF65CC67}" name="Rango " dataDxfId="442"/>
    <tableColumn id="32" xr3:uid="{9107D35A-068D-4F5F-8645-21EB14CB34BA}" name="Ranking nacional" dataDxfId="441">
      <calculatedColumnFormula>COUNTIFS($C$5:$C$164,$C5,$AD$5:$AD$164,"&gt;"&amp;$AD5)+1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Recorte">
  <a:themeElements>
    <a:clrScheme name="Colfondos">
      <a:dk1>
        <a:srgbClr val="173557"/>
      </a:dk1>
      <a:lt1>
        <a:sysClr val="window" lastClr="FFFFFF"/>
      </a:lt1>
      <a:dk2>
        <a:srgbClr val="0E2841"/>
      </a:dk2>
      <a:lt2>
        <a:srgbClr val="FFFFFF"/>
      </a:lt2>
      <a:accent1>
        <a:srgbClr val="173557"/>
      </a:accent1>
      <a:accent2>
        <a:srgbClr val="31B7BC"/>
      </a:accent2>
      <a:accent3>
        <a:srgbClr val="379ED9"/>
      </a:accent3>
      <a:accent4>
        <a:srgbClr val="C6C6C6"/>
      </a:accent4>
      <a:accent5>
        <a:srgbClr val="F3E697"/>
      </a:accent5>
      <a:accent6>
        <a:srgbClr val="E72F54"/>
      </a:accent6>
      <a:hlink>
        <a:srgbClr val="467886"/>
      </a:hlink>
      <a:folHlink>
        <a:srgbClr val="F3E697"/>
      </a:folHlink>
    </a:clrScheme>
    <a:fontScheme name="Recorte">
      <a:maj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cor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theme/themeOverride1.xml><?xml version="1.0" encoding="utf-8"?>
<a:themeOverride xmlns:a="http://schemas.openxmlformats.org/drawingml/2006/main">
  <a:clrScheme name="Colfondos">
    <a:dk1>
      <a:srgbClr val="173557"/>
    </a:dk1>
    <a:lt1>
      <a:sysClr val="window" lastClr="FFFFFF"/>
    </a:lt1>
    <a:dk2>
      <a:srgbClr val="0E2841"/>
    </a:dk2>
    <a:lt2>
      <a:srgbClr val="FFFFFF"/>
    </a:lt2>
    <a:accent1>
      <a:srgbClr val="173557"/>
    </a:accent1>
    <a:accent2>
      <a:srgbClr val="31B7BC"/>
    </a:accent2>
    <a:accent3>
      <a:srgbClr val="379ED9"/>
    </a:accent3>
    <a:accent4>
      <a:srgbClr val="C6C6C6"/>
    </a:accent4>
    <a:accent5>
      <a:srgbClr val="F3E697"/>
    </a:accent5>
    <a:accent6>
      <a:srgbClr val="E72F54"/>
    </a:accent6>
    <a:hlink>
      <a:srgbClr val="467886"/>
    </a:hlink>
    <a:folHlink>
      <a:srgbClr val="F3E697"/>
    </a:folHlink>
  </a:clrScheme>
  <a:fontScheme name="Recorte">
    <a:majorFont>
      <a:latin typeface="Franklin Gothic Book" panose="020B0503020102020204"/>
      <a:ea typeface=""/>
      <a:cs typeface=""/>
      <a:font script="Jpan" typeface="メイリオ"/>
      <a:font script="Hang" typeface="돋움"/>
      <a:font script="Hans" typeface="华文楷体"/>
      <a:font script="Hant" typeface="微軟正黑體"/>
      <a:font script="Arab" typeface="Tahoma"/>
      <a:font script="Hebr" typeface="Aharoni"/>
      <a:font script="Thai" typeface="Lily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Franklin Gothic Book" panose="020B0503020102020204"/>
      <a:ea typeface=""/>
      <a:cs typeface=""/>
      <a:font script="Jpan" typeface="メイリオ"/>
      <a:font script="Hang" typeface="돋움"/>
      <a:font script="Hans" typeface="华文楷体"/>
      <a:font script="Hant" typeface="微軟正黑體"/>
      <a:font script="Arab" typeface="Tahoma"/>
      <a:font script="Hebr" typeface="Aharoni"/>
      <a:font script="Thai" typeface="Lily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Recorte">
    <a:fillStyleLst>
      <a:solidFill>
        <a:schemeClr val="phClr"/>
      </a:solidFill>
      <a:gradFill rotWithShape="1">
        <a:gsLst>
          <a:gs pos="0">
            <a:schemeClr val="phClr">
              <a:tint val="67000"/>
              <a:satMod val="105000"/>
              <a:lumMod val="110000"/>
            </a:schemeClr>
          </a:gs>
          <a:gs pos="50000">
            <a:schemeClr val="phClr">
              <a:tint val="73000"/>
              <a:satMod val="103000"/>
              <a:lumMod val="105000"/>
            </a:schemeClr>
          </a:gs>
          <a:gs pos="100000">
            <a:schemeClr val="phClr">
              <a:tint val="81000"/>
              <a:satMod val="109000"/>
              <a:lumMod val="105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3000"/>
              <a:lumMod val="102000"/>
            </a:schemeClr>
          </a:gs>
          <a:gs pos="50000">
            <a:schemeClr val="phClr">
              <a:shade val="100000"/>
              <a:satMod val="110000"/>
              <a:lumMod val="100000"/>
            </a:schemeClr>
          </a:gs>
          <a:gs pos="100000">
            <a:schemeClr val="phClr">
              <a:shade val="78000"/>
              <a:satMod val="120000"/>
              <a:lumMod val="99000"/>
            </a:schemeClr>
          </a:gs>
        </a:gsLst>
        <a:lin ang="5400000" scaled="0"/>
      </a:gradFill>
    </a:fillStyleLst>
    <a:lnStyleLst>
      <a:ln w="6350" cap="flat" cmpd="sng" algn="in">
        <a:solidFill>
          <a:schemeClr val="phClr"/>
        </a:solidFill>
        <a:prstDash val="solid"/>
      </a:ln>
      <a:ln w="34925" cap="flat" cmpd="sng" algn="in">
        <a:solidFill>
          <a:schemeClr val="phClr"/>
        </a:solidFill>
        <a:prstDash val="solid"/>
      </a:ln>
      <a:ln w="19050" cap="flat" cmpd="sng" algn="in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35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hade val="98000"/>
              <a:satMod val="150000"/>
              <a:lumMod val="102000"/>
            </a:schemeClr>
          </a:gs>
          <a:gs pos="50000">
            <a:schemeClr val="phClr">
              <a:tint val="98000"/>
              <a:shade val="90000"/>
              <a:satMod val="13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Colfondos">
    <a:dk1>
      <a:srgbClr val="173557"/>
    </a:dk1>
    <a:lt1>
      <a:sysClr val="window" lastClr="FFFFFF"/>
    </a:lt1>
    <a:dk2>
      <a:srgbClr val="0E2841"/>
    </a:dk2>
    <a:lt2>
      <a:srgbClr val="FFFFFF"/>
    </a:lt2>
    <a:accent1>
      <a:srgbClr val="173557"/>
    </a:accent1>
    <a:accent2>
      <a:srgbClr val="31B7BC"/>
    </a:accent2>
    <a:accent3>
      <a:srgbClr val="379ED9"/>
    </a:accent3>
    <a:accent4>
      <a:srgbClr val="C6C6C6"/>
    </a:accent4>
    <a:accent5>
      <a:srgbClr val="F3E697"/>
    </a:accent5>
    <a:accent6>
      <a:srgbClr val="E72F54"/>
    </a:accent6>
    <a:hlink>
      <a:srgbClr val="467886"/>
    </a:hlink>
    <a:folHlink>
      <a:srgbClr val="F3E697"/>
    </a:folHlink>
  </a:clrScheme>
  <a:fontScheme name="Recorte">
    <a:majorFont>
      <a:latin typeface="Franklin Gothic Book" panose="020B0503020102020204"/>
      <a:ea typeface=""/>
      <a:cs typeface=""/>
      <a:font script="Jpan" typeface="メイリオ"/>
      <a:font script="Hang" typeface="돋움"/>
      <a:font script="Hans" typeface="华文楷体"/>
      <a:font script="Hant" typeface="微軟正黑體"/>
      <a:font script="Arab" typeface="Tahoma"/>
      <a:font script="Hebr" typeface="Aharoni"/>
      <a:font script="Thai" typeface="Lily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Franklin Gothic Book" panose="020B0503020102020204"/>
      <a:ea typeface=""/>
      <a:cs typeface=""/>
      <a:font script="Jpan" typeface="メイリオ"/>
      <a:font script="Hang" typeface="돋움"/>
      <a:font script="Hans" typeface="华文楷体"/>
      <a:font script="Hant" typeface="微軟正黑體"/>
      <a:font script="Arab" typeface="Tahoma"/>
      <a:font script="Hebr" typeface="Aharoni"/>
      <a:font script="Thai" typeface="Lily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Recorte">
    <a:fillStyleLst>
      <a:solidFill>
        <a:schemeClr val="phClr"/>
      </a:solidFill>
      <a:gradFill rotWithShape="1">
        <a:gsLst>
          <a:gs pos="0">
            <a:schemeClr val="phClr">
              <a:tint val="67000"/>
              <a:satMod val="105000"/>
              <a:lumMod val="110000"/>
            </a:schemeClr>
          </a:gs>
          <a:gs pos="50000">
            <a:schemeClr val="phClr">
              <a:tint val="73000"/>
              <a:satMod val="103000"/>
              <a:lumMod val="105000"/>
            </a:schemeClr>
          </a:gs>
          <a:gs pos="100000">
            <a:schemeClr val="phClr">
              <a:tint val="81000"/>
              <a:satMod val="109000"/>
              <a:lumMod val="105000"/>
            </a:schemeClr>
          </a:gs>
        </a:gsLst>
        <a:lin ang="5400000" scaled="0"/>
      </a:gradFill>
      <a:gradFill rotWithShape="1">
        <a:gsLst>
          <a:gs pos="0">
            <a:schemeClr val="phClr">
              <a:tint val="94000"/>
              <a:satMod val="103000"/>
              <a:lumMod val="102000"/>
            </a:schemeClr>
          </a:gs>
          <a:gs pos="50000">
            <a:schemeClr val="phClr">
              <a:shade val="100000"/>
              <a:satMod val="110000"/>
              <a:lumMod val="100000"/>
            </a:schemeClr>
          </a:gs>
          <a:gs pos="100000">
            <a:schemeClr val="phClr">
              <a:shade val="78000"/>
              <a:satMod val="120000"/>
              <a:lumMod val="99000"/>
            </a:schemeClr>
          </a:gs>
        </a:gsLst>
        <a:lin ang="5400000" scaled="0"/>
      </a:gradFill>
    </a:fillStyleLst>
    <a:lnStyleLst>
      <a:ln w="6350" cap="flat" cmpd="sng" algn="in">
        <a:solidFill>
          <a:schemeClr val="phClr"/>
        </a:solidFill>
        <a:prstDash val="solid"/>
      </a:ln>
      <a:ln w="34925" cap="flat" cmpd="sng" algn="in">
        <a:solidFill>
          <a:schemeClr val="phClr"/>
        </a:solidFill>
        <a:prstDash val="solid"/>
      </a:ln>
      <a:ln w="19050" cap="flat" cmpd="sng" algn="in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35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hade val="98000"/>
              <a:satMod val="150000"/>
              <a:lumMod val="102000"/>
            </a:schemeClr>
          </a:gs>
          <a:gs pos="50000">
            <a:schemeClr val="phClr">
              <a:tint val="98000"/>
              <a:shade val="90000"/>
              <a:satMod val="13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642" dT="2023-10-23T18:29:33.01" personId="{EB072580-19E3-4491-936A-8FAA8BF139F1}" id="{319EE7CF-2666-47AC-AC47-B717D71F0F09}">
    <text xml:space="preserve">Ajustado con info de ET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662B29-3ECE-4489-83AD-92AE664684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39f38c-80b9-4ab2-b478-75fd1483f4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13" Type="http://schemas.openxmlformats.org/officeDocument/2006/relationships/pivotTable" Target="../pivotTables/pivotTable20.xml"/><Relationship Id="rId18" Type="http://schemas.openxmlformats.org/officeDocument/2006/relationships/drawing" Target="../drawings/drawing3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12" Type="http://schemas.openxmlformats.org/officeDocument/2006/relationships/pivotTable" Target="../pivotTables/pivotTable19.xml"/><Relationship Id="rId17" Type="http://schemas.openxmlformats.org/officeDocument/2006/relationships/pivotTable" Target="../pivotTables/pivotTable24.xml"/><Relationship Id="rId2" Type="http://schemas.openxmlformats.org/officeDocument/2006/relationships/pivotTable" Target="../pivotTables/pivotTable9.xml"/><Relationship Id="rId16" Type="http://schemas.openxmlformats.org/officeDocument/2006/relationships/pivotTable" Target="../pivotTables/pivotTable23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11" Type="http://schemas.openxmlformats.org/officeDocument/2006/relationships/pivotTable" Target="../pivotTables/pivotTable18.xml"/><Relationship Id="rId5" Type="http://schemas.openxmlformats.org/officeDocument/2006/relationships/pivotTable" Target="../pivotTables/pivotTable12.xml"/><Relationship Id="rId15" Type="http://schemas.openxmlformats.org/officeDocument/2006/relationships/pivotTable" Target="../pivotTables/pivotTable22.xml"/><Relationship Id="rId10" Type="http://schemas.openxmlformats.org/officeDocument/2006/relationships/pivotTable" Target="../pivotTables/pivotTable17.xml"/><Relationship Id="rId4" Type="http://schemas.openxmlformats.org/officeDocument/2006/relationships/pivotTable" Target="../pivotTables/pivotTable11.xml"/><Relationship Id="rId9" Type="http://schemas.openxmlformats.org/officeDocument/2006/relationships/pivotTable" Target="../pivotTables/pivotTable16.xml"/><Relationship Id="rId14" Type="http://schemas.openxmlformats.org/officeDocument/2006/relationships/pivotTable" Target="../pivotTables/pivot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0.xml"/><Relationship Id="rId2" Type="http://schemas.openxmlformats.org/officeDocument/2006/relationships/pivotTable" Target="../pivotTables/pivotTable29.xml"/><Relationship Id="rId1" Type="http://schemas.openxmlformats.org/officeDocument/2006/relationships/pivotTable" Target="../pivotTables/pivotTable2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3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5" Type="http://schemas.openxmlformats.org/officeDocument/2006/relationships/drawing" Target="../drawings/drawing5.xml"/><Relationship Id="rId4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3111-5614-424B-BC1B-61DE6B6DCC58}">
  <dimension ref="A1:M9"/>
  <sheetViews>
    <sheetView workbookViewId="0">
      <selection activeCell="D15" sqref="D15"/>
    </sheetView>
  </sheetViews>
  <sheetFormatPr baseColWidth="10" defaultColWidth="11.54296875" defaultRowHeight="15" x14ac:dyDescent="0.35"/>
  <cols>
    <col min="1" max="1" width="13.6328125" bestFit="1" customWidth="1"/>
    <col min="2" max="2" width="11.90625" bestFit="1" customWidth="1"/>
    <col min="3" max="3" width="10.453125" bestFit="1" customWidth="1"/>
    <col min="4" max="4" width="11.90625" bestFit="1" customWidth="1"/>
    <col min="5" max="5" width="10.453125" bestFit="1" customWidth="1"/>
    <col min="6" max="6" width="11.08984375" bestFit="1" customWidth="1"/>
    <col min="7" max="7" width="10" bestFit="1" customWidth="1"/>
    <col min="8" max="8" width="10.453125" bestFit="1" customWidth="1"/>
    <col min="9" max="9" width="11.08984375" bestFit="1" customWidth="1"/>
    <col min="10" max="10" width="11.1796875" bestFit="1" customWidth="1"/>
    <col min="11" max="11" width="11" bestFit="1" customWidth="1"/>
    <col min="12" max="12" width="10" bestFit="1" customWidth="1"/>
    <col min="13" max="13" width="8.6328125" bestFit="1" customWidth="1"/>
  </cols>
  <sheetData>
    <row r="1" spans="1:13" x14ac:dyDescent="0.35">
      <c r="A1" s="69" t="s">
        <v>0</v>
      </c>
      <c r="B1" t="s">
        <v>257</v>
      </c>
    </row>
    <row r="3" spans="1:13" s="96" customFormat="1" ht="90" x14ac:dyDescent="0.35">
      <c r="A3" s="95" t="s">
        <v>256</v>
      </c>
      <c r="B3" s="96" t="s">
        <v>237</v>
      </c>
      <c r="C3" s="96" t="s">
        <v>182</v>
      </c>
      <c r="D3" s="96" t="s">
        <v>183</v>
      </c>
      <c r="E3" s="96" t="s">
        <v>184</v>
      </c>
      <c r="F3" s="96" t="s">
        <v>185</v>
      </c>
      <c r="G3" s="96" t="s">
        <v>186</v>
      </c>
      <c r="H3" s="96" t="s">
        <v>190</v>
      </c>
      <c r="I3" s="96" t="s">
        <v>189</v>
      </c>
      <c r="J3" s="96" t="s">
        <v>188</v>
      </c>
      <c r="K3" s="96" t="s">
        <v>205</v>
      </c>
      <c r="L3" s="96" t="s">
        <v>238</v>
      </c>
      <c r="M3" s="96" t="s">
        <v>46</v>
      </c>
    </row>
    <row r="4" spans="1:13" x14ac:dyDescent="0.35">
      <c r="A4" s="94">
        <v>2020</v>
      </c>
      <c r="B4" s="7">
        <v>65.705101552525576</v>
      </c>
      <c r="C4" s="7">
        <v>22.568239430159537</v>
      </c>
      <c r="D4" s="7">
        <v>47.996416875682655</v>
      </c>
      <c r="E4" s="7">
        <v>45.326454983116122</v>
      </c>
      <c r="F4" s="7">
        <v>19.83027721628806</v>
      </c>
      <c r="G4" s="7">
        <v>48.506300862302204</v>
      </c>
      <c r="H4" s="7">
        <v>11.985026774733264</v>
      </c>
      <c r="I4" s="7">
        <v>90.553464014999676</v>
      </c>
      <c r="J4" s="7">
        <v>90.469697127693109</v>
      </c>
      <c r="K4" s="7">
        <v>0</v>
      </c>
      <c r="L4" s="7">
        <v>76.419139016487861</v>
      </c>
      <c r="M4" s="7">
        <v>54.088868493139366</v>
      </c>
    </row>
    <row r="5" spans="1:13" x14ac:dyDescent="0.35">
      <c r="A5" s="94">
        <v>2021</v>
      </c>
      <c r="B5" s="7">
        <v>63.096120010158813</v>
      </c>
      <c r="C5" s="7">
        <v>20.850343253307248</v>
      </c>
      <c r="D5" s="7">
        <v>47.384534192675893</v>
      </c>
      <c r="E5" s="7">
        <v>52.690611940003102</v>
      </c>
      <c r="F5" s="7">
        <v>17.762106933013555</v>
      </c>
      <c r="G5" s="7">
        <v>53.401675271136256</v>
      </c>
      <c r="H5" s="7">
        <v>17.918923641884486</v>
      </c>
      <c r="I5" s="7">
        <v>135.39581574858403</v>
      </c>
      <c r="J5" s="7">
        <v>87.960682589096919</v>
      </c>
      <c r="K5" s="7">
        <v>0</v>
      </c>
      <c r="L5" s="7">
        <v>73.797081670397105</v>
      </c>
      <c r="M5" s="7">
        <v>57.480756550988424</v>
      </c>
    </row>
    <row r="6" spans="1:13" x14ac:dyDescent="0.35">
      <c r="A6" s="94">
        <v>2022</v>
      </c>
      <c r="B6" s="7">
        <v>53.204449026900896</v>
      </c>
      <c r="C6" s="7">
        <v>8.542713361019814</v>
      </c>
      <c r="D6" s="7">
        <v>48.565657686787397</v>
      </c>
      <c r="E6" s="7">
        <v>51.160340478706104</v>
      </c>
      <c r="F6" s="7">
        <v>16.57654046035341</v>
      </c>
      <c r="G6" s="7">
        <v>50.286380475835784</v>
      </c>
      <c r="H6" s="7">
        <v>14.740124180132442</v>
      </c>
      <c r="I6" s="7">
        <v>128.32625507642203</v>
      </c>
      <c r="J6" s="7">
        <v>85.644300145740118</v>
      </c>
      <c r="K6" s="7">
        <v>0.19599241899278591</v>
      </c>
      <c r="L6" s="7">
        <v>72.284505494738596</v>
      </c>
      <c r="M6" s="7">
        <v>54.725203963414906</v>
      </c>
    </row>
    <row r="7" spans="1:13" x14ac:dyDescent="0.35">
      <c r="A7" s="94">
        <v>2023</v>
      </c>
      <c r="B7" s="7">
        <v>54.355402528553881</v>
      </c>
      <c r="C7" s="7">
        <v>7.4913751257978767</v>
      </c>
      <c r="D7" s="7">
        <v>46.631586103994429</v>
      </c>
      <c r="E7" s="7">
        <v>48.064276334536835</v>
      </c>
      <c r="F7" s="7">
        <v>13.917601955972305</v>
      </c>
      <c r="G7" s="7">
        <v>51.895105697907262</v>
      </c>
      <c r="H7" s="7">
        <v>10.713444272268866</v>
      </c>
      <c r="I7" s="7">
        <v>118.67406609039463</v>
      </c>
      <c r="J7" s="7">
        <v>88.645004619837266</v>
      </c>
      <c r="K7" s="7">
        <v>5.627972584510442E-2</v>
      </c>
      <c r="L7" s="7">
        <v>75.373090266082102</v>
      </c>
      <c r="M7" s="7">
        <v>56.601958556711253</v>
      </c>
    </row>
    <row r="8" spans="1:13" x14ac:dyDescent="0.35">
      <c r="A8" s="94">
        <v>2024</v>
      </c>
      <c r="B8" s="7">
        <v>57.203737944620322</v>
      </c>
      <c r="C8" s="7">
        <v>10.90267238044987</v>
      </c>
      <c r="D8" s="7">
        <v>48.116422466774281</v>
      </c>
      <c r="E8" s="7">
        <v>51.71568793705972</v>
      </c>
      <c r="F8" s="7">
        <v>17.40669943355536</v>
      </c>
      <c r="G8" s="7">
        <v>47.550202019403756</v>
      </c>
      <c r="H8" s="7">
        <v>12.734159194245978</v>
      </c>
      <c r="I8" s="7">
        <v>113.42521950569544</v>
      </c>
      <c r="J8" s="7">
        <v>86.712775925233686</v>
      </c>
      <c r="K8" s="7">
        <v>1.5266670959197051E-2</v>
      </c>
      <c r="L8" s="7">
        <v>83.052199868597668</v>
      </c>
      <c r="M8" s="7">
        <v>54.65365492343436</v>
      </c>
    </row>
    <row r="9" spans="1:13" x14ac:dyDescent="0.35">
      <c r="A9" s="94" t="s">
        <v>255</v>
      </c>
      <c r="B9" s="7">
        <v>58.741800892830838</v>
      </c>
      <c r="C9" s="7">
        <v>14.131611315172922</v>
      </c>
      <c r="D9" s="7">
        <v>47.73171010846464</v>
      </c>
      <c r="E9" s="7">
        <v>49.75470592190014</v>
      </c>
      <c r="F9" s="7">
        <v>17.092758813204966</v>
      </c>
      <c r="G9" s="7">
        <v>50.381010524793112</v>
      </c>
      <c r="H9" s="7">
        <v>13.635230703450592</v>
      </c>
      <c r="I9" s="7">
        <v>117.34852608559221</v>
      </c>
      <c r="J9" s="7">
        <v>87.908919778774077</v>
      </c>
      <c r="K9" s="7">
        <v>5.4238484666428048E-2</v>
      </c>
      <c r="L9" s="7">
        <v>76.053986767617261</v>
      </c>
      <c r="M9" s="7">
        <v>55.526453470291237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C608-5A34-4878-B8E4-9CB189A17C7D}">
  <sheetPr>
    <tabColor theme="5" tint="0.59999389629810485"/>
  </sheetPr>
  <dimension ref="A1:X87"/>
  <sheetViews>
    <sheetView showGridLines="0" tabSelected="1" zoomScale="80" zoomScaleNormal="80" workbookViewId="0">
      <selection activeCell="M13" sqref="M13"/>
    </sheetView>
  </sheetViews>
  <sheetFormatPr baseColWidth="10" defaultRowHeight="15" x14ac:dyDescent="0.35"/>
  <cols>
    <col min="1" max="1" width="22.7265625" customWidth="1"/>
    <col min="2" max="2" width="13.6328125" customWidth="1"/>
    <col min="3" max="4" width="12.08984375" customWidth="1"/>
    <col min="5" max="5" width="16.26953125" bestFit="1" customWidth="1"/>
    <col min="6" max="7" width="12.08984375" customWidth="1"/>
    <col min="8" max="8" width="10.453125" customWidth="1"/>
    <col min="9" max="9" width="9.08984375" customWidth="1"/>
    <col min="10" max="11" width="18.1796875" customWidth="1"/>
    <col min="12" max="16" width="12.08984375" customWidth="1"/>
    <col min="19" max="19" width="0" hidden="1" customWidth="1"/>
    <col min="20" max="24" width="0.1796875" customWidth="1"/>
  </cols>
  <sheetData>
    <row r="1" spans="1:24" ht="30" customHeight="1" x14ac:dyDescent="0.4">
      <c r="A1" s="377" t="s">
        <v>277</v>
      </c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6"/>
      <c r="O1" s="376"/>
      <c r="P1" s="376"/>
      <c r="S1" t="s">
        <v>281</v>
      </c>
      <c r="T1" s="193" t="s">
        <v>45</v>
      </c>
      <c r="U1" s="193" t="s">
        <v>314</v>
      </c>
      <c r="W1" s="193" t="s">
        <v>270</v>
      </c>
      <c r="X1" s="193" t="s">
        <v>290</v>
      </c>
    </row>
    <row r="2" spans="1:24" ht="18" customHeight="1" x14ac:dyDescent="0.35">
      <c r="A2" s="378" t="s">
        <v>278</v>
      </c>
      <c r="B2" s="376"/>
      <c r="C2" s="376"/>
      <c r="D2" s="376"/>
      <c r="E2" s="376"/>
      <c r="F2" s="376"/>
      <c r="G2" s="376"/>
      <c r="H2" s="376"/>
      <c r="I2" s="376"/>
      <c r="J2" s="376"/>
      <c r="K2" s="376"/>
      <c r="L2" s="376"/>
      <c r="M2" s="376"/>
      <c r="N2" s="376"/>
      <c r="O2" s="376"/>
      <c r="P2" s="376"/>
      <c r="S2" t="s">
        <v>24</v>
      </c>
      <c r="T2" s="241" t="s">
        <v>315</v>
      </c>
      <c r="U2">
        <f>B10</f>
        <v>54.088868493139366</v>
      </c>
      <c r="W2" t="s">
        <v>276</v>
      </c>
      <c r="X2">
        <f>J10</f>
        <v>0</v>
      </c>
    </row>
    <row r="3" spans="1:24" ht="7.95" customHeight="1" x14ac:dyDescent="0.3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S3" t="s">
        <v>2</v>
      </c>
      <c r="T3" s="241" t="s">
        <v>316</v>
      </c>
      <c r="U3">
        <f>B11</f>
        <v>57.480756550988424</v>
      </c>
      <c r="W3" t="s">
        <v>275</v>
      </c>
      <c r="X3">
        <f>J11</f>
        <v>21</v>
      </c>
    </row>
    <row r="4" spans="1:24" ht="7.95" customHeight="1" x14ac:dyDescent="0.35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S4" t="s">
        <v>21</v>
      </c>
      <c r="T4" s="241" t="s">
        <v>317</v>
      </c>
      <c r="U4">
        <f>B12</f>
        <v>54.725203963414906</v>
      </c>
      <c r="W4" t="s">
        <v>274</v>
      </c>
      <c r="X4">
        <f>J12</f>
        <v>9</v>
      </c>
    </row>
    <row r="5" spans="1:24" ht="30" thickBot="1" x14ac:dyDescent="0.5">
      <c r="A5" s="194" t="s">
        <v>279</v>
      </c>
      <c r="B5" s="195">
        <v>2022</v>
      </c>
      <c r="C5" s="194" t="s">
        <v>280</v>
      </c>
      <c r="D5" t="s">
        <v>27</v>
      </c>
      <c r="F5" s="253" t="s">
        <v>320</v>
      </c>
      <c r="G5" s="242">
        <f>AVERAGEIFS(Tabla1[IDF],Tabla1[Año],B5)</f>
        <v>54.725203963414906</v>
      </c>
      <c r="I5" s="250" t="s">
        <v>324</v>
      </c>
      <c r="J5" s="243">
        <f>COUNTIF(Tabla1[Año],B5)</f>
        <v>32</v>
      </c>
      <c r="L5" s="249" t="s">
        <v>268</v>
      </c>
      <c r="M5" s="244">
        <f>_xlfn.MAXIFS(Tabla1[IDF],Tabla1[Año],B5)</f>
        <v>74.95498647627592</v>
      </c>
      <c r="O5" s="251" t="s">
        <v>323</v>
      </c>
      <c r="P5" s="248">
        <f>M5-M6</f>
        <v>34.783936186187859</v>
      </c>
      <c r="S5" t="s">
        <v>27</v>
      </c>
      <c r="T5" s="241" t="s">
        <v>318</v>
      </c>
      <c r="U5">
        <f>B13</f>
        <v>56.601958556711253</v>
      </c>
      <c r="W5" t="s">
        <v>273</v>
      </c>
      <c r="X5">
        <f>J13</f>
        <v>2</v>
      </c>
    </row>
    <row r="6" spans="1:24" ht="29.4" x14ac:dyDescent="0.45">
      <c r="A6" s="196" t="s">
        <v>282</v>
      </c>
      <c r="B6" s="197">
        <f>B5-1</f>
        <v>2021</v>
      </c>
      <c r="C6" s="192"/>
      <c r="F6" s="253" t="s">
        <v>321</v>
      </c>
      <c r="G6" s="245">
        <f>AVERAGEIFS(Tabla1[IDF],Tabla1[Año],B6)</f>
        <v>57.480756550988424</v>
      </c>
      <c r="I6" s="252" t="s">
        <v>322</v>
      </c>
      <c r="J6" s="247">
        <f>G5-G6</f>
        <v>-2.7555525875735185</v>
      </c>
      <c r="L6" s="249" t="s">
        <v>269</v>
      </c>
      <c r="M6" s="246">
        <f>_xlfn.MINIFS(Tabla1[IDF],Tabla1[Año],B5)</f>
        <v>40.171050290088061</v>
      </c>
      <c r="S6" t="s">
        <v>133</v>
      </c>
      <c r="T6" s="241" t="s">
        <v>319</v>
      </c>
      <c r="U6">
        <f>B14</f>
        <v>53.462243194524916</v>
      </c>
      <c r="W6" t="s">
        <v>272</v>
      </c>
      <c r="X6">
        <f>J14</f>
        <v>0</v>
      </c>
    </row>
    <row r="7" spans="1:24" x14ac:dyDescent="0.35">
      <c r="A7" s="192"/>
      <c r="B7" s="192"/>
      <c r="C7" s="192"/>
      <c r="D7" s="192"/>
      <c r="S7" t="s">
        <v>176</v>
      </c>
    </row>
    <row r="8" spans="1:24" x14ac:dyDescent="0.35">
      <c r="A8" s="375" t="s">
        <v>284</v>
      </c>
      <c r="B8" s="376"/>
      <c r="C8" s="376"/>
      <c r="D8" s="376"/>
      <c r="E8" s="376"/>
      <c r="F8" s="376"/>
      <c r="G8" s="376"/>
      <c r="H8" s="192"/>
      <c r="I8" s="375" t="s">
        <v>325</v>
      </c>
      <c r="J8" s="376"/>
      <c r="K8" s="376"/>
      <c r="L8" s="376"/>
      <c r="M8" s="376"/>
      <c r="N8" s="376"/>
      <c r="O8" s="376"/>
      <c r="P8" s="376"/>
      <c r="S8" t="s">
        <v>6</v>
      </c>
    </row>
    <row r="9" spans="1:24" x14ac:dyDescent="0.35">
      <c r="A9" s="198" t="s">
        <v>45</v>
      </c>
      <c r="B9" s="198" t="s">
        <v>267</v>
      </c>
      <c r="C9" s="198" t="s">
        <v>285</v>
      </c>
      <c r="D9" s="198" t="s">
        <v>283</v>
      </c>
      <c r="E9" s="198" t="s">
        <v>286</v>
      </c>
      <c r="F9" s="198" t="s">
        <v>287</v>
      </c>
      <c r="G9" s="192"/>
      <c r="H9" s="192"/>
      <c r="I9" s="198" t="s">
        <v>289</v>
      </c>
      <c r="J9" s="198" t="s">
        <v>290</v>
      </c>
      <c r="K9" s="198" t="s">
        <v>291</v>
      </c>
      <c r="L9" s="198" t="s">
        <v>292</v>
      </c>
      <c r="M9" s="198" t="s">
        <v>293</v>
      </c>
      <c r="N9" s="198" t="s">
        <v>294</v>
      </c>
      <c r="O9" s="192"/>
      <c r="P9" s="192"/>
      <c r="S9" t="s">
        <v>122</v>
      </c>
    </row>
    <row r="10" spans="1:24" x14ac:dyDescent="0.35">
      <c r="A10" s="199">
        <v>2020</v>
      </c>
      <c r="B10" s="200">
        <f>AVERAGEIFS(Tabla1[IDF],Tabla1[Año],A10)</f>
        <v>54.088868493139366</v>
      </c>
      <c r="C10" s="201" t="s">
        <v>288</v>
      </c>
      <c r="D10" s="202">
        <f>COUNTIF(Tabla1[Año],A10)</f>
        <v>32</v>
      </c>
      <c r="E10" s="200">
        <f>_xlfn.MAXIFS(Tabla1[IDF],Tabla1[Año],A10)</f>
        <v>73.550686132216313</v>
      </c>
      <c r="F10" s="200">
        <f>_xlfn.MINIFS(Tabla1[IDF],Tabla1[Año],A10)</f>
        <v>38.857279272800881</v>
      </c>
      <c r="G10" s="192"/>
      <c r="H10" s="192"/>
      <c r="I10" s="203" t="s">
        <v>177</v>
      </c>
      <c r="J10" s="204">
        <f>COUNTIFS(Tabla1[Año],$B$5,Tabla1[[Rango ]],"1.*")</f>
        <v>0</v>
      </c>
      <c r="K10" s="205">
        <f>J10/SUM($J$10:$J$14)</f>
        <v>0</v>
      </c>
      <c r="L10" s="206" t="str">
        <f>IFERROR(AVERAGEIFS(Tabla1[IDF],Tabla1[Año],$B$5,Tabla1[[Rango ]],"1.*"),"n/a")</f>
        <v>n/a</v>
      </c>
      <c r="M10" s="204">
        <f>COUNTIFS(Tabla1[Año],$B$6,Tabla1[[Rango ]],"1.*")</f>
        <v>0</v>
      </c>
      <c r="N10" s="236">
        <f>J10-M10</f>
        <v>0</v>
      </c>
      <c r="O10" s="192"/>
      <c r="P10" s="192"/>
      <c r="S10" t="s">
        <v>22</v>
      </c>
    </row>
    <row r="11" spans="1:24" x14ac:dyDescent="0.35">
      <c r="A11" s="199">
        <v>2021</v>
      </c>
      <c r="B11" s="200">
        <f>AVERAGEIFS(Tabla1[IDF],Tabla1[Año],A11)</f>
        <v>57.480756550988424</v>
      </c>
      <c r="C11" s="234">
        <f>B11-B10</f>
        <v>3.3918880578490587</v>
      </c>
      <c r="D11" s="202">
        <f>COUNTIF(Tabla1[Año],A11)</f>
        <v>32</v>
      </c>
      <c r="E11" s="200">
        <f>_xlfn.MAXIFS(Tabla1[IDF],Tabla1[Año],A11)</f>
        <v>75.965847648560668</v>
      </c>
      <c r="F11" s="200">
        <f>_xlfn.MINIFS(Tabla1[IDF],Tabla1[Año],A11)</f>
        <v>40.293189955343266</v>
      </c>
      <c r="G11" s="192"/>
      <c r="H11" s="192"/>
      <c r="I11" s="207" t="s">
        <v>109</v>
      </c>
      <c r="J11" s="208">
        <f>COUNTIFS(Tabla1[Año],$B$5,Tabla1[[Rango ]],"2.*")</f>
        <v>21</v>
      </c>
      <c r="K11" s="209">
        <f>J11/SUM($J$10:$J$14)</f>
        <v>0.65625</v>
      </c>
      <c r="L11" s="210">
        <f>IFERROR(AVERAGEIFS(Tabla1[IDF],Tabla1[Año],$B$5,Tabla1[[Rango ]],"2.*"),"n/a")</f>
        <v>48.857317934960165</v>
      </c>
      <c r="M11" s="208">
        <f>COUNTIFS(Tabla1[Año],$B$6,Tabla1[[Rango ]],"2.*")</f>
        <v>21</v>
      </c>
      <c r="N11" s="237">
        <f>J11-M11</f>
        <v>0</v>
      </c>
      <c r="O11" s="192"/>
      <c r="P11" s="192"/>
      <c r="S11" t="s">
        <v>8</v>
      </c>
    </row>
    <row r="12" spans="1:24" x14ac:dyDescent="0.35">
      <c r="A12" s="199">
        <v>2022</v>
      </c>
      <c r="B12" s="200">
        <f>AVERAGEIFS(Tabla1[IDF],Tabla1[Año],A12)</f>
        <v>54.725203963414906</v>
      </c>
      <c r="C12" s="234">
        <f>B12-B11</f>
        <v>-2.7555525875735185</v>
      </c>
      <c r="D12" s="202">
        <f>COUNTIF(Tabla1[Año],A12)</f>
        <v>32</v>
      </c>
      <c r="E12" s="200">
        <f>_xlfn.MAXIFS(Tabla1[IDF],Tabla1[Año],A12)</f>
        <v>74.95498647627592</v>
      </c>
      <c r="F12" s="200">
        <f>_xlfn.MINIFS(Tabla1[IDF],Tabla1[Año],A12)</f>
        <v>40.171050290088061</v>
      </c>
      <c r="G12" s="192"/>
      <c r="H12" s="192"/>
      <c r="I12" s="211" t="s">
        <v>98</v>
      </c>
      <c r="J12" s="212">
        <f>COUNTIFS(Tabla1[Año],$B$5,Tabla1[[Rango ]],"3.*")</f>
        <v>9</v>
      </c>
      <c r="K12" s="213">
        <f>J12/SUM($J$10:$J$14)</f>
        <v>0.28125</v>
      </c>
      <c r="L12" s="214">
        <f>IFERROR(AVERAGEIFS(Tabla1[IDF],Tabla1[Año],$B$5,Tabla1[[Rango ]],"3.*"),"n/a")</f>
        <v>64.256726940611216</v>
      </c>
      <c r="M12" s="212">
        <f>COUNTIFS(Tabla1[Año],$B$6,Tabla1[[Rango ]],"3.*")</f>
        <v>8</v>
      </c>
      <c r="N12" s="238">
        <f>J12-M12</f>
        <v>1</v>
      </c>
      <c r="O12" s="192"/>
      <c r="P12" s="192"/>
      <c r="S12" t="s">
        <v>9</v>
      </c>
    </row>
    <row r="13" spans="1:24" x14ac:dyDescent="0.35">
      <c r="A13" s="199">
        <v>2023</v>
      </c>
      <c r="B13" s="200">
        <f>AVERAGEIFS(Tabla1[IDF],Tabla1[Año],A13)</f>
        <v>56.601958556711253</v>
      </c>
      <c r="C13" s="234">
        <f>B13-B12</f>
        <v>1.8767545932963472</v>
      </c>
      <c r="D13" s="202">
        <f>COUNTIF(Tabla1[Año],A13)</f>
        <v>32</v>
      </c>
      <c r="E13" s="200">
        <f>_xlfn.MAXIFS(Tabla1[IDF],Tabla1[Año],A13)</f>
        <v>73.040468377285023</v>
      </c>
      <c r="F13" s="200">
        <f>_xlfn.MINIFS(Tabla1[IDF],Tabla1[Año],A13)</f>
        <v>42.085960409147482</v>
      </c>
      <c r="G13" s="192"/>
      <c r="H13" s="192"/>
      <c r="I13" s="215" t="s">
        <v>95</v>
      </c>
      <c r="J13" s="216">
        <f>COUNTIFS(Tabla1[Año],$B$5,Tabla1[[Rango ]],"4.*")</f>
        <v>2</v>
      </c>
      <c r="K13" s="217">
        <f>J13/SUM($J$10:$J$14)</f>
        <v>6.25E-2</v>
      </c>
      <c r="L13" s="218">
        <f>IFERROR(AVERAGEIFS(Tabla1[IDF],Tabla1[Año],$B$5,Tabla1[[Rango ]],"4.*"),"n/a")</f>
        <v>73.446153864806291</v>
      </c>
      <c r="M13" s="216">
        <f>COUNTIFS(Tabla1[Año],$B$6,Tabla1[[Rango ]],"4.*")</f>
        <v>3</v>
      </c>
      <c r="N13" s="239">
        <f>J13-M13</f>
        <v>-1</v>
      </c>
      <c r="O13" s="192"/>
      <c r="P13" s="192"/>
      <c r="S13" t="s">
        <v>116</v>
      </c>
    </row>
    <row r="14" spans="1:24" x14ac:dyDescent="0.35">
      <c r="A14" s="199">
        <v>2024</v>
      </c>
      <c r="B14" s="200">
        <f>AVERAGEIFS(Tabla1[IDF],Tabla1[Año],A14)</f>
        <v>53.462243194524916</v>
      </c>
      <c r="C14" s="234">
        <f>B14-B13</f>
        <v>-3.1397153621863367</v>
      </c>
      <c r="D14" s="202">
        <f>COUNTIF(Tabla1[Año],A14)</f>
        <v>32</v>
      </c>
      <c r="E14" s="200">
        <f>_xlfn.MAXIFS(Tabla1[IDF],Tabla1[Año],A14)</f>
        <v>70.904287562117048</v>
      </c>
      <c r="F14" s="200">
        <f>_xlfn.MINIFS(Tabla1[IDF],Tabla1[Año],A14)</f>
        <v>38.127030563454781</v>
      </c>
      <c r="G14" s="192"/>
      <c r="H14" s="192"/>
      <c r="I14" s="219" t="s">
        <v>271</v>
      </c>
      <c r="J14" s="220">
        <f>COUNTIFS(Tabla1[Año],$B$5,Tabla1[[Rango ]],"5.*")</f>
        <v>0</v>
      </c>
      <c r="K14" s="221">
        <f>J14/SUM($J$10:$J$14)</f>
        <v>0</v>
      </c>
      <c r="L14" s="222" t="str">
        <f>IFERROR(AVERAGEIFS(Tabla1[IDF],Tabla1[Año],$B$5,Tabla1[[Rango ]],"5.*"),"n/a")</f>
        <v>n/a</v>
      </c>
      <c r="M14" s="220">
        <f>COUNTIFS(Tabla1[Año],$B$6,Tabla1[[Rango ]],"5.*")</f>
        <v>0</v>
      </c>
      <c r="N14" s="240">
        <f>J14-M14</f>
        <v>0</v>
      </c>
      <c r="O14" s="192"/>
      <c r="P14" s="192"/>
      <c r="S14" t="s">
        <v>130</v>
      </c>
    </row>
    <row r="15" spans="1:24" x14ac:dyDescent="0.3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S15" t="s">
        <v>10</v>
      </c>
    </row>
    <row r="16" spans="1:24" x14ac:dyDescent="0.35">
      <c r="A16" s="375" t="str">
        <f>" ⬤  COMPONENTE RESULTADOS — "&amp;IF($D$5="Todos","Promedio nacional","Depto: "&amp;$D$5)&amp;" ("&amp;$B$5&amp;")"</f>
        <v xml:space="preserve"> ⬤  COMPONENTE RESULTADOS — Depto: ATLANTICO (2022)</v>
      </c>
      <c r="B16" s="376"/>
      <c r="C16" s="376"/>
      <c r="D16" s="376"/>
      <c r="E16" s="376"/>
      <c r="F16" s="376"/>
      <c r="G16" s="376"/>
      <c r="H16" s="192"/>
      <c r="I16" s="375" t="s">
        <v>295</v>
      </c>
      <c r="J16" s="376"/>
      <c r="K16" s="376"/>
      <c r="L16" s="376"/>
      <c r="M16" s="376"/>
      <c r="N16" s="376"/>
      <c r="O16" s="376"/>
      <c r="P16" s="376"/>
      <c r="S16" t="s">
        <v>120</v>
      </c>
    </row>
    <row r="17" spans="1:19" x14ac:dyDescent="0.35">
      <c r="A17" s="198" t="s">
        <v>297</v>
      </c>
      <c r="B17" s="223" t="s">
        <v>298</v>
      </c>
      <c r="C17" s="223" t="s">
        <v>299</v>
      </c>
      <c r="D17" s="223" t="s">
        <v>300</v>
      </c>
      <c r="E17" s="223" t="s">
        <v>301</v>
      </c>
      <c r="F17" s="223" t="s">
        <v>302</v>
      </c>
      <c r="G17" s="223" t="s">
        <v>303</v>
      </c>
      <c r="H17" s="192"/>
      <c r="I17" s="198" t="s">
        <v>296</v>
      </c>
      <c r="J17" s="198" t="s">
        <v>0</v>
      </c>
      <c r="K17" s="198" t="s">
        <v>28</v>
      </c>
      <c r="L17" s="198" t="s">
        <v>270</v>
      </c>
      <c r="M17" s="192"/>
      <c r="N17" s="192"/>
      <c r="O17" s="192"/>
      <c r="P17" s="192"/>
      <c r="S17" t="s">
        <v>136</v>
      </c>
    </row>
    <row r="18" spans="1:19" ht="25.2" x14ac:dyDescent="0.35">
      <c r="A18" s="224" t="s">
        <v>304</v>
      </c>
      <c r="B18" s="200">
        <f>AVERAGEIFS(Tabla1[Dependencia de las transferencias "Resultado"],Tabla1[Año],$B$5,Tabla1[Departamento],$S$35)</f>
        <v>27.77467083134097</v>
      </c>
      <c r="C18" s="200">
        <f>AVERAGEIFS(Tabla1[Dependencia de las transferencias "Calificación"],Tabla1[Año],$B$5,Tabla1[Departamento],$S$35)</f>
        <v>72.22532916865903</v>
      </c>
      <c r="D18" s="225">
        <f>AVERAGEIFS(Tabla1[Dependencia de las transferencias "Resultado"],Tabla1[Año],$B$6,Tabla1[Departamento],$S$35)</f>
        <v>36.397986239867073</v>
      </c>
      <c r="E18" s="225">
        <f>AVERAGEIFS(Tabla1[Dependencia de las transferencias "Calificación"],Tabla1[Año],$B$6,Tabla1[Departamento],$S$35)</f>
        <v>63.602013760132927</v>
      </c>
      <c r="F18" s="234">
        <f t="shared" ref="F18:G23" si="0">B18-D18</f>
        <v>-8.6233154085261035</v>
      </c>
      <c r="G18" s="234">
        <f t="shared" si="0"/>
        <v>8.6233154085261035</v>
      </c>
      <c r="H18" s="192"/>
      <c r="I18" s="226">
        <v>1</v>
      </c>
      <c r="J18" s="227" t="str" cm="1">
        <f t="array" ref="J18">INDEX(Tabla1[Departamento],MATCH(I18,IF(Tabla1[Año]=$B$5,Tabla1[Ranking nacional]),0))</f>
        <v>ATLANTICO</v>
      </c>
      <c r="K18" s="228" cm="1">
        <f t="array" ref="K18">INDEX(Tabla1[IDF],MATCH(I18,IF(Tabla1[Año]=$B$5,Tabla1[Ranking nacional]),0))</f>
        <v>74.95498647627592</v>
      </c>
      <c r="L18" s="229" t="str" cm="1">
        <f t="array" ref="L18">INDEX(Tabla1[[Rango ]],MATCH(I18,IF(Tabla1[Año]=$B$5,Tabla1[Ranking nacional]),0))</f>
        <v>4. Solvente (&gt;=70 y &lt;80)</v>
      </c>
      <c r="M18" s="192"/>
      <c r="N18" s="192"/>
      <c r="O18" s="192"/>
      <c r="P18" s="192"/>
      <c r="S18" t="s">
        <v>25</v>
      </c>
    </row>
    <row r="19" spans="1:19" x14ac:dyDescent="0.35">
      <c r="A19" s="230" t="s">
        <v>305</v>
      </c>
      <c r="B19" s="200">
        <f>AVERAGEIFS(Tabla1[Relevancia FBKF "Resultado"],Tabla1[Año],$B$5,Tabla1[Departamento],$S$35)</f>
        <v>11.009136957676603</v>
      </c>
      <c r="C19" s="200">
        <f>AVERAGEIFS(Tabla1[Dependencia de las transferencias "Calificación"],Tabla1[Año],$B$5,Tabla1[Departamento],$S$35)</f>
        <v>72.22532916865903</v>
      </c>
      <c r="D19" s="225">
        <f>AVERAGEIFS(Tabla1[Relevancia FBKF "Resultado"],Tabla1[Año],$B$6,Tabla1[Departamento],$S$35)</f>
        <v>31.977234319821118</v>
      </c>
      <c r="E19" s="225">
        <f>AVERAGEIFS(Tabla1[Dependencia de las transferencias "Calificación"],Tabla1[Año],$B$6,Tabla1[Departamento],$S$35)</f>
        <v>63.602013760132927</v>
      </c>
      <c r="F19" s="234">
        <f t="shared" si="0"/>
        <v>-20.968097362144515</v>
      </c>
      <c r="G19" s="234">
        <f t="shared" si="0"/>
        <v>8.6233154085261035</v>
      </c>
      <c r="H19" s="192"/>
      <c r="I19" s="226">
        <v>2</v>
      </c>
      <c r="J19" s="227" t="str" cm="1">
        <f t="array" ref="J19">INDEX(Tabla1[Departamento],MATCH(I19,IF(Tabla1[Año]=$B$5,Tabla1[Ranking nacional]),0))</f>
        <v>CUNDINAMARCA</v>
      </c>
      <c r="K19" s="228" cm="1">
        <f t="array" ref="K19">INDEX(Tabla1[IDF],MATCH(I19,IF(Tabla1[Año]=$B$5,Tabla1[Ranking nacional]),0))</f>
        <v>71.937321253336677</v>
      </c>
      <c r="L19" s="229" t="str" cm="1">
        <f t="array" ref="L19">INDEX(Tabla1[[Rango ]],MATCH(I19,IF(Tabla1[Año]=$B$5,Tabla1[Ranking nacional]),0))</f>
        <v>4. Solvente (&gt;=70 y &lt;80)</v>
      </c>
      <c r="M19" s="192"/>
      <c r="N19" s="192"/>
      <c r="O19" s="192"/>
      <c r="P19" s="192"/>
      <c r="S19" t="s">
        <v>11</v>
      </c>
    </row>
    <row r="20" spans="1:19" x14ac:dyDescent="0.35">
      <c r="A20" s="230" t="s">
        <v>248</v>
      </c>
      <c r="B20" s="200">
        <f>AVERAGEIFS(Tabla1[Endeudamiento "Resultado"],Tabla1[Año],$B$5,Tabla1[Departamento],$S$35)</f>
        <v>49.826765741064833</v>
      </c>
      <c r="C20" s="200">
        <f>AVERAGEIFS(Tabla1[Endeudamiento "Calificación"],Tabla1[Año],$B$5,Tabla1[Departamento],$S$35)</f>
        <v>50.173234258935167</v>
      </c>
      <c r="D20" s="225">
        <f>AVERAGEIFS(Tabla1[Endeudamiento "Resultado"],Tabla1[Año],$B$6,Tabla1[Departamento],$S$35)</f>
        <v>43.34030409278369</v>
      </c>
      <c r="E20" s="225">
        <f>AVERAGEIFS(Tabla1[Endeudamiento "Calificación"],Tabla1[Año],$B$6,Tabla1[Departamento],$S$35)</f>
        <v>56.65969590721631</v>
      </c>
      <c r="F20" s="234">
        <f t="shared" si="0"/>
        <v>6.4864616482811428</v>
      </c>
      <c r="G20" s="234">
        <f t="shared" si="0"/>
        <v>-6.4864616482811428</v>
      </c>
      <c r="H20" s="192"/>
      <c r="I20" s="226">
        <v>3</v>
      </c>
      <c r="J20" s="227" t="str" cm="1">
        <f t="array" ref="J20">INDEX(Tabla1[Departamento],MATCH(I20,IF(Tabla1[Año]=$B$5,Tabla1[Ranking nacional]),0))</f>
        <v>SUCRE</v>
      </c>
      <c r="K20" s="228" cm="1">
        <f t="array" ref="K20">INDEX(Tabla1[IDF],MATCH(I20,IF(Tabla1[Año]=$B$5,Tabla1[Ranking nacional]),0))</f>
        <v>68.205988113636295</v>
      </c>
      <c r="L20" s="229" t="str" cm="1">
        <f t="array" ref="L20">INDEX(Tabla1[[Rango ]],MATCH(I20,IF(Tabla1[Año]=$B$5,Tabla1[Ranking nacional]),0))</f>
        <v>3. Vulnerable (&gt;=60 y &lt;70)</v>
      </c>
      <c r="M20" s="192"/>
      <c r="N20" s="192"/>
      <c r="O20" s="192"/>
      <c r="P20" s="192"/>
      <c r="S20" t="s">
        <v>12</v>
      </c>
    </row>
    <row r="21" spans="1:19" x14ac:dyDescent="0.35">
      <c r="A21" s="230" t="s">
        <v>306</v>
      </c>
      <c r="B21" s="200">
        <f>AVERAGEIFS(Tabla1[Ahorro corriente "Resultado"],Tabla1[Año],$B$5,Tabla1[Departamento],$S$35)</f>
        <v>64.697509943387217</v>
      </c>
      <c r="C21" s="200">
        <f>AVERAGEIFS(Tabla1[Ahorro corriente "Calificación"],Tabla1[Año],$B$5,Tabla1[Departamento],$S$35)</f>
        <v>80</v>
      </c>
      <c r="D21" s="225">
        <f>AVERAGEIFS(Tabla1[Ahorro corriente "Resultado"],Tabla1[Año],$B$6,Tabla1[Departamento],$S$35)</f>
        <v>71.692657022484667</v>
      </c>
      <c r="E21" s="225">
        <f>AVERAGEIFS(Tabla1[Ahorro corriente "Calificación"],Tabla1[Año],$B$6,Tabla1[Departamento],$S$35)</f>
        <v>100</v>
      </c>
      <c r="F21" s="234">
        <f t="shared" si="0"/>
        <v>-6.9951470790974497</v>
      </c>
      <c r="G21" s="234">
        <f t="shared" si="0"/>
        <v>-20</v>
      </c>
      <c r="H21" s="192"/>
      <c r="I21" s="226">
        <v>4</v>
      </c>
      <c r="J21" s="227" t="str" cm="1">
        <f t="array" ref="J21">INDEX(Tabla1[Departamento],MATCH(I21,IF(Tabla1[Año]=$B$5,Tabla1[Ranking nacional]),0))</f>
        <v>META</v>
      </c>
      <c r="K21" s="228" cm="1">
        <f t="array" ref="K21">INDEX(Tabla1[IDF],MATCH(I21,IF(Tabla1[Año]=$B$5,Tabla1[Ranking nacional]),0))</f>
        <v>68.178979803432441</v>
      </c>
      <c r="L21" s="229" t="str" cm="1">
        <f t="array" ref="L21">INDEX(Tabla1[[Rango ]],MATCH(I21,IF(Tabla1[Año]=$B$5,Tabla1[Ranking nacional]),0))</f>
        <v>3. Vulnerable (&gt;=60 y &lt;70)</v>
      </c>
      <c r="M21" s="192"/>
      <c r="N21" s="192"/>
      <c r="O21" s="192"/>
      <c r="P21" s="192"/>
      <c r="S21" t="s">
        <v>13</v>
      </c>
    </row>
    <row r="22" spans="1:19" ht="25.2" x14ac:dyDescent="0.35">
      <c r="A22" s="224" t="s">
        <v>307</v>
      </c>
      <c r="B22" s="200">
        <f>AVERAGEIFS(Tabla1[Balance Fiscal Primario "Resultado"],Tabla1[Año],$B$5,Tabla1[Departamento],$S$35)</f>
        <v>-3.7581945278368827</v>
      </c>
      <c r="C22" s="200">
        <f>AVERAGEIFS(Tabla1[Balance Fiscal Primario "Calificación"],Tabla1[Año],$B$5,Tabla1[Departamento],$S$35)</f>
        <v>100</v>
      </c>
      <c r="D22" s="225">
        <f>AVERAGEIFS(Tabla1[Balance Fiscal Primario "Resultado"],Tabla1[Año],$B$6,Tabla1[Departamento],$S$35)</f>
        <v>-11.263148675786724</v>
      </c>
      <c r="E22" s="225">
        <f>AVERAGEIFS(Tabla1[Balance Fiscal Primario "Calificación"],Tabla1[Año],$B$6,Tabla1[Departamento],$S$35)</f>
        <v>60</v>
      </c>
      <c r="F22" s="234">
        <f t="shared" si="0"/>
        <v>7.5049541479498405</v>
      </c>
      <c r="G22" s="234">
        <f t="shared" si="0"/>
        <v>40</v>
      </c>
      <c r="H22" s="192"/>
      <c r="I22" s="226">
        <v>5</v>
      </c>
      <c r="J22" s="227" t="str" cm="1">
        <f t="array" ref="J22">INDEX(Tabla1[Departamento],MATCH(I22,IF(Tabla1[Año]=$B$5,Tabla1[Ranking nacional]),0))</f>
        <v>HUILA</v>
      </c>
      <c r="K22" s="228" cm="1">
        <f t="array" ref="K22">INDEX(Tabla1[IDF],MATCH(I22,IF(Tabla1[Año]=$B$5,Tabla1[Ranking nacional]),0))</f>
        <v>66.233994741658975</v>
      </c>
      <c r="L22" s="229" t="str" cm="1">
        <f t="array" ref="L22">INDEX(Tabla1[[Rango ]],MATCH(I22,IF(Tabla1[Año]=$B$5,Tabla1[Ranking nacional]),0))</f>
        <v>3. Vulnerable (&gt;=60 y &lt;70)</v>
      </c>
      <c r="M22" s="192"/>
      <c r="N22" s="192"/>
      <c r="O22" s="192"/>
      <c r="P22" s="192"/>
      <c r="S22" t="s">
        <v>14</v>
      </c>
    </row>
    <row r="23" spans="1:19" x14ac:dyDescent="0.35">
      <c r="A23" s="231" t="s">
        <v>308</v>
      </c>
      <c r="B23" s="232">
        <f>AVERAGEIFS(Tabla1[Resultados],Tabla1[Año],$B$5,Tabla1[Departamento],$S$35)</f>
        <v>71.148668614277057</v>
      </c>
      <c r="C23" s="232">
        <f>AVERAGEIFS(Tabla1[[Calificación Resultados ]],Tabla1[Año],$B$5,Tabla1[Departamento],$S$35)</f>
        <v>56.91893489142165</v>
      </c>
      <c r="D23" s="233">
        <f>AVERAGEIFS(Tabla1[Resultados],Tabla1[Año],$B$6,Tabla1[Departamento],$S$35)</f>
        <v>74.957309560700836</v>
      </c>
      <c r="E23" s="233">
        <f>AVERAGEIFS(Tabla1[[Calificación Resultados ]],Tabla1[Año],$B$6,Tabla1[Departamento],$S$35)</f>
        <v>59.965847648560668</v>
      </c>
      <c r="F23" s="235">
        <f t="shared" si="0"/>
        <v>-3.8086409464237789</v>
      </c>
      <c r="G23" s="235">
        <f t="shared" si="0"/>
        <v>-3.0469127571390189</v>
      </c>
      <c r="H23" s="192"/>
      <c r="I23" s="226">
        <v>6</v>
      </c>
      <c r="J23" s="227" t="str" cm="1">
        <f t="array" ref="J23">INDEX(Tabla1[Departamento],MATCH(I23,IF(Tabla1[Año]=$B$5,Tabla1[Ranking nacional]),0))</f>
        <v>GUAVIARE</v>
      </c>
      <c r="K23" s="228" cm="1">
        <f t="array" ref="K23">INDEX(Tabla1[IDF],MATCH(I23,IF(Tabla1[Año]=$B$5,Tabla1[Ranking nacional]),0))</f>
        <v>65.529454179559906</v>
      </c>
      <c r="L23" s="229" t="str" cm="1">
        <f t="array" ref="L23">INDEX(Tabla1[[Rango ]],MATCH(I23,IF(Tabla1[Año]=$B$5,Tabla1[Ranking nacional]),0))</f>
        <v>3. Vulnerable (&gt;=60 y &lt;70)</v>
      </c>
      <c r="M23" s="192"/>
      <c r="N23" s="192"/>
      <c r="O23" s="192"/>
      <c r="P23" s="192"/>
      <c r="S23" t="s">
        <v>15</v>
      </c>
    </row>
    <row r="24" spans="1:19" x14ac:dyDescent="0.35">
      <c r="A24" s="192"/>
      <c r="B24" s="192"/>
      <c r="C24" s="192"/>
      <c r="D24" s="192"/>
      <c r="E24" s="192"/>
      <c r="F24" s="192"/>
      <c r="G24" s="192"/>
      <c r="H24" s="192"/>
      <c r="I24" s="226">
        <v>7</v>
      </c>
      <c r="J24" s="227" t="str" cm="1">
        <f t="array" ref="J24">INDEX(Tabla1[Departamento],MATCH(I24,IF(Tabla1[Año]=$B$5,Tabla1[Ranking nacional]),0))</f>
        <v>ANTIOQUIA</v>
      </c>
      <c r="K24" s="228" cm="1">
        <f t="array" ref="K24">INDEX(Tabla1[IDF],MATCH(I24,IF(Tabla1[Año]=$B$5,Tabla1[Ranking nacional]),0))</f>
        <v>63.706604590308586</v>
      </c>
      <c r="L24" s="229" t="str" cm="1">
        <f t="array" ref="L24">INDEX(Tabla1[[Rango ]],MATCH(I24,IF(Tabla1[Año]=$B$5,Tabla1[Ranking nacional]),0))</f>
        <v>3. Vulnerable (&gt;=60 y &lt;70)</v>
      </c>
      <c r="M24" s="192"/>
      <c r="N24" s="192"/>
      <c r="O24" s="192"/>
      <c r="P24" s="192"/>
      <c r="S24" t="s">
        <v>23</v>
      </c>
    </row>
    <row r="25" spans="1:19" x14ac:dyDescent="0.35">
      <c r="A25" s="192"/>
      <c r="B25" s="192"/>
      <c r="C25" s="192"/>
      <c r="D25" s="192"/>
      <c r="E25" s="192"/>
      <c r="F25" s="192"/>
      <c r="G25" s="192"/>
      <c r="H25" s="192"/>
      <c r="I25" s="226">
        <v>8</v>
      </c>
      <c r="J25" s="227" t="str" cm="1">
        <f t="array" ref="J25">INDEX(Tabla1[Departamento],MATCH(I25,IF(Tabla1[Año]=$B$5,Tabla1[Ranking nacional]),0))</f>
        <v>VALLE DEL CAUCA</v>
      </c>
      <c r="K25" s="228" cm="1">
        <f t="array" ref="K25">INDEX(Tabla1[IDF],MATCH(I25,IF(Tabla1[Año]=$B$5,Tabla1[Ranking nacional]),0))</f>
        <v>63.477218735238715</v>
      </c>
      <c r="L25" s="229" t="str" cm="1">
        <f t="array" ref="L25">INDEX(Tabla1[[Rango ]],MATCH(I25,IF(Tabla1[Año]=$B$5,Tabla1[Ranking nacional]),0))</f>
        <v>3. Vulnerable (&gt;=60 y &lt;70)</v>
      </c>
      <c r="M25" s="192"/>
      <c r="N25" s="192"/>
      <c r="O25" s="192"/>
      <c r="P25" s="192"/>
      <c r="S25" t="s">
        <v>16</v>
      </c>
    </row>
    <row r="26" spans="1:19" x14ac:dyDescent="0.35">
      <c r="A26" s="192"/>
      <c r="B26" s="192"/>
      <c r="C26" s="192"/>
      <c r="D26" s="192"/>
      <c r="E26" s="192"/>
      <c r="F26" s="192"/>
      <c r="G26" s="192"/>
      <c r="H26" s="192"/>
      <c r="I26" s="226">
        <v>9</v>
      </c>
      <c r="J26" s="227" t="str" cm="1">
        <f t="array" ref="J26">INDEX(Tabla1[Departamento],MATCH(I26,IF(Tabla1[Año]=$B$5,Tabla1[Ranking nacional]),0))</f>
        <v>CESAR</v>
      </c>
      <c r="K26" s="228" cm="1">
        <f t="array" ref="K26">INDEX(Tabla1[IDF],MATCH(I26,IF(Tabla1[Año]=$B$5,Tabla1[Ranking nacional]),0))</f>
        <v>62.088111579544844</v>
      </c>
      <c r="L26" s="229" t="str" cm="1">
        <f t="array" ref="L26">INDEX(Tabla1[[Rango ]],MATCH(I26,IF(Tabla1[Año]=$B$5,Tabla1[Ranking nacional]),0))</f>
        <v>3. Vulnerable (&gt;=60 y &lt;70)</v>
      </c>
      <c r="M26" s="192"/>
      <c r="N26" s="192"/>
      <c r="O26" s="192"/>
      <c r="P26" s="192"/>
      <c r="S26" t="s">
        <v>7</v>
      </c>
    </row>
    <row r="27" spans="1:19" x14ac:dyDescent="0.35">
      <c r="A27" s="192"/>
      <c r="B27" s="192"/>
      <c r="C27" s="192"/>
      <c r="D27" s="192"/>
      <c r="E27" s="192"/>
      <c r="F27" s="192"/>
      <c r="G27" s="192"/>
      <c r="H27" s="192"/>
      <c r="I27" s="226">
        <v>10</v>
      </c>
      <c r="J27" s="227" t="str" cm="1">
        <f t="array" ref="J27">INDEX(Tabla1[Departamento],MATCH(I27,IF(Tabla1[Año]=$B$5,Tabla1[Ranking nacional]),0))</f>
        <v>CALDAS</v>
      </c>
      <c r="K27" s="228" cm="1">
        <f t="array" ref="K27">INDEX(Tabla1[IDF],MATCH(I27,IF(Tabla1[Año]=$B$5,Tabla1[Ranking nacional]),0))</f>
        <v>60.504718834772305</v>
      </c>
      <c r="L27" s="229" t="str" cm="1">
        <f t="array" ref="L27">INDEX(Tabla1[[Rango ]],MATCH(I27,IF(Tabla1[Año]=$B$5,Tabla1[Ranking nacional]),0))</f>
        <v>3. Vulnerable (&gt;=60 y &lt;70)</v>
      </c>
      <c r="M27" s="192"/>
      <c r="N27" s="192"/>
      <c r="O27" s="192"/>
      <c r="P27" s="192"/>
      <c r="S27" t="s">
        <v>173</v>
      </c>
    </row>
    <row r="28" spans="1:19" x14ac:dyDescent="0.3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S28" t="s">
        <v>17</v>
      </c>
    </row>
    <row r="29" spans="1:19" x14ac:dyDescent="0.35">
      <c r="A29" s="375" t="str">
        <f>" ⬤  COMPONENTE GESTIÓN — "&amp;IF($D$5="Todos","Promedio nacional","Depto: "&amp;$D$5)&amp;" ("&amp;$B$5&amp;")"</f>
        <v xml:space="preserve"> ⬤  COMPONENTE GESTIÓN — Depto: ATLANTICO (2022)</v>
      </c>
      <c r="B29" s="376"/>
      <c r="C29" s="376"/>
      <c r="D29" s="376"/>
      <c r="E29" s="376"/>
      <c r="F29" s="376"/>
      <c r="G29" s="376"/>
      <c r="H29" s="192"/>
      <c r="I29" s="192"/>
      <c r="J29" s="192"/>
      <c r="K29" s="192"/>
      <c r="L29" s="192"/>
      <c r="M29" s="192"/>
      <c r="N29" s="192"/>
      <c r="O29" s="192"/>
      <c r="P29" s="192"/>
      <c r="S29" t="s">
        <v>18</v>
      </c>
    </row>
    <row r="30" spans="1:19" x14ac:dyDescent="0.35">
      <c r="A30" s="198" t="s">
        <v>297</v>
      </c>
      <c r="B30" s="223" t="s">
        <v>298</v>
      </c>
      <c r="C30" s="223" t="s">
        <v>299</v>
      </c>
      <c r="D30" s="223" t="s">
        <v>300</v>
      </c>
      <c r="E30" s="223" t="s">
        <v>301</v>
      </c>
      <c r="F30" s="223" t="s">
        <v>302</v>
      </c>
      <c r="G30" s="223" t="s">
        <v>303</v>
      </c>
      <c r="H30" s="192"/>
      <c r="I30" s="192"/>
      <c r="J30" s="192"/>
      <c r="K30" s="192"/>
      <c r="L30" s="192"/>
      <c r="M30" s="192"/>
      <c r="N30" s="192"/>
      <c r="O30" s="192"/>
      <c r="P30" s="192"/>
      <c r="S30" t="s">
        <v>19</v>
      </c>
    </row>
    <row r="31" spans="1:19" x14ac:dyDescent="0.35">
      <c r="A31" s="230" t="s">
        <v>172</v>
      </c>
      <c r="B31" s="200">
        <f>AVERAGEIFS(Tabla1[Holgura "Resultado"],Tabla1[Año],$B$5,Tabla1[Departamento],$S$35)</f>
        <v>32.057267272925088</v>
      </c>
      <c r="C31" s="200">
        <f>AVERAGEIFS(Tabla1[Holgura "Calificación"],Tabla1[Año],$B$5,Tabla1[Departamento],$S$35)</f>
        <v>100</v>
      </c>
      <c r="D31" s="225">
        <f>AVERAGEIFS(Tabla1[Holgura "Resultado"],Tabla1[Año],$B$6,Tabla1[Departamento],$S$35)</f>
        <v>18.932638564293047</v>
      </c>
      <c r="E31" s="225">
        <f>AVERAGEIFS(Tabla1[Holgura "Calificación"],Tabla1[Año],$B$6,Tabla1[Departamento],$S$35)</f>
        <v>100</v>
      </c>
      <c r="F31" s="234">
        <f t="shared" ref="F31:G33" si="1">B31-D31</f>
        <v>13.124628708632041</v>
      </c>
      <c r="G31" s="234">
        <f t="shared" si="1"/>
        <v>0</v>
      </c>
      <c r="H31" s="192"/>
      <c r="I31" s="192"/>
      <c r="J31" s="192"/>
      <c r="K31" s="192"/>
      <c r="L31" s="192"/>
      <c r="M31" s="192"/>
      <c r="N31" s="192"/>
      <c r="O31" s="192"/>
      <c r="P31" s="192"/>
      <c r="S31" t="s">
        <v>20</v>
      </c>
    </row>
    <row r="32" spans="1:19" ht="25.2" x14ac:dyDescent="0.35">
      <c r="A32" s="224" t="s">
        <v>309</v>
      </c>
      <c r="B32" s="200">
        <f>AVERAGEIFS(Tabla1[Capacidad de programación y recaudo de ingresos "Resultado"],Tabla1[Año],$B$5,Tabla1[Departamento],$S$35)</f>
        <v>108.24423715777934</v>
      </c>
      <c r="C32" s="200">
        <f>AVERAGEIFS(Tabla1[Capacidad de programación y recaudo de Ingresos "Calificación"],Tabla1[Año],$B$5,Tabla1[Departamento],$S$35)</f>
        <v>100</v>
      </c>
      <c r="D32" s="225">
        <f>AVERAGEIFS(Tabla1[Capacidad de programación y recaudo de ingresos "Resultado"],Tabla1[Año],$B$6,Tabla1[Departamento],$S$35)</f>
        <v>122.23130245123005</v>
      </c>
      <c r="E32" s="225">
        <f>AVERAGEIFS(Tabla1[Capacidad de programación y recaudo de Ingresos "Calificación"],Tabla1[Año],$B$6,Tabla1[Departamento],$S$35)</f>
        <v>70</v>
      </c>
      <c r="F32" s="234">
        <f t="shared" si="1"/>
        <v>-13.987065293450712</v>
      </c>
      <c r="G32" s="234">
        <f t="shared" si="1"/>
        <v>30</v>
      </c>
      <c r="H32" s="192"/>
      <c r="I32" s="192"/>
      <c r="J32" s="192"/>
      <c r="K32" s="192"/>
      <c r="L32" s="192"/>
      <c r="M32" s="192"/>
      <c r="N32" s="192"/>
      <c r="O32" s="192"/>
      <c r="P32" s="192"/>
      <c r="S32" t="s">
        <v>124</v>
      </c>
    </row>
    <row r="33" spans="1:19" ht="25.2" x14ac:dyDescent="0.35">
      <c r="A33" s="224" t="s">
        <v>310</v>
      </c>
      <c r="B33" s="200">
        <f>AVERAGEIFS(Tabla1[Capacidad de Ejecución de Inversión "Resultado"],Tabla1[Año],$B$5,Tabla1[Departamento],$S$35)</f>
        <v>70.34168802477565</v>
      </c>
      <c r="C33" s="200">
        <f>AVERAGEIFS(Tabla1[Capacidad de Ejecución de Inversión "Calificación"],Tabla1[Año],$B$5,Tabla1[Departamento],$S$35)</f>
        <v>70</v>
      </c>
      <c r="D33" s="225">
        <f>AVERAGEIFS(Tabla1[Capacidad de Ejecución de Inversión "Resultado"],Tabla1[Año],$B$6,Tabla1[Departamento],$S$35)</f>
        <v>73.987826673134137</v>
      </c>
      <c r="E33" s="225">
        <f>AVERAGEIFS(Tabla1[Capacidad de Ejecución de Inversión "Calificación"],Tabla1[Año],$B$6,Tabla1[Departamento],$S$35)</f>
        <v>70</v>
      </c>
      <c r="F33" s="234">
        <f t="shared" si="1"/>
        <v>-3.6461386483584874</v>
      </c>
      <c r="G33" s="234">
        <f t="shared" si="1"/>
        <v>0</v>
      </c>
      <c r="H33" s="192"/>
      <c r="I33" s="192"/>
      <c r="J33" s="192"/>
      <c r="K33" s="192"/>
      <c r="L33" s="192"/>
      <c r="M33" s="192"/>
      <c r="N33" s="192"/>
      <c r="O33" s="192"/>
      <c r="P33" s="192"/>
      <c r="S33" t="s">
        <v>26</v>
      </c>
    </row>
    <row r="34" spans="1:19" x14ac:dyDescent="0.35">
      <c r="A34" s="230" t="s">
        <v>311</v>
      </c>
      <c r="B34" s="201" t="s">
        <v>312</v>
      </c>
      <c r="C34" s="200">
        <f>AVERAGEIFS(Tabla1[Bonificación Esfuerzo Porpio "Calificación"],Tabla1[Año],$B$5,Tabla1[Departamento],$S$35)</f>
        <v>0.18025792427137546</v>
      </c>
      <c r="D34" s="201" t="s">
        <v>312</v>
      </c>
      <c r="E34" s="225">
        <f>AVERAGEIFS(Tabla1[Bonificación Esfuerzo Porpio "Calificación"],Tabla1[Año],$B$6,Tabla1[Departamento],$S$35)</f>
        <v>0</v>
      </c>
      <c r="F34" s="234" t="s">
        <v>312</v>
      </c>
      <c r="G34" s="234">
        <f>C34-E34</f>
        <v>0.18025792427137546</v>
      </c>
      <c r="H34" s="192"/>
      <c r="I34" s="192"/>
      <c r="J34" s="192"/>
      <c r="K34" s="192"/>
      <c r="L34" s="192"/>
      <c r="M34" s="192"/>
      <c r="N34" s="192"/>
      <c r="O34" s="192"/>
      <c r="P34" s="192"/>
    </row>
    <row r="35" spans="1:19" x14ac:dyDescent="0.35">
      <c r="A35" s="231" t="s">
        <v>313</v>
      </c>
      <c r="B35" s="232">
        <f>AVERAGEIFS(Tabla1[Gestión +Bonos],Tabla1[Año],$B$5,Tabla1[Departamento],$S$35)</f>
        <v>90.180257924271373</v>
      </c>
      <c r="C35" s="232">
        <f>AVERAGEIFS(Tabla1[Calificación Resultados Gestión],Tabla1[Año],$B$5,Tabla1[Departamento],$S$35)</f>
        <v>18.036051584854274</v>
      </c>
      <c r="D35" s="233">
        <f>AVERAGEIFS(Tabla1[Gestión +Bonos],Tabla1[Año],$B$6,Tabla1[Departamento],$S$35)</f>
        <v>80</v>
      </c>
      <c r="E35" s="225">
        <f>AVERAGEIFS(Tabla1[Calificación Resultados Gestión],Tabla1[Año],$B$6,Tabla1[Departamento],$S$35)</f>
        <v>16</v>
      </c>
      <c r="F35" s="234">
        <f>B35-D35</f>
        <v>10.180257924271373</v>
      </c>
      <c r="G35" s="234">
        <f>C35-E35</f>
        <v>2.036051584854274</v>
      </c>
      <c r="H35" s="192"/>
      <c r="I35" s="192"/>
      <c r="J35" s="192"/>
      <c r="K35" s="192"/>
      <c r="L35" s="192"/>
      <c r="M35" s="192"/>
      <c r="N35" s="192"/>
      <c r="O35" s="192"/>
      <c r="P35" s="192"/>
      <c r="R35" t="s">
        <v>460</v>
      </c>
      <c r="S35" t="str">
        <f>IF($D$5="Todos","*",$D$5)</f>
        <v>ATLANTICO</v>
      </c>
    </row>
    <row r="36" spans="1:19" x14ac:dyDescent="0.35">
      <c r="A36" s="352"/>
      <c r="B36" s="353"/>
      <c r="C36" s="353"/>
      <c r="D36" s="354"/>
      <c r="E36" s="355"/>
      <c r="F36" s="355"/>
      <c r="G36" s="192"/>
      <c r="H36" s="192"/>
      <c r="I36" s="192"/>
      <c r="J36" s="192"/>
      <c r="K36" s="192"/>
      <c r="L36" s="192"/>
      <c r="M36" s="192"/>
      <c r="N36" s="192"/>
      <c r="O36" s="192"/>
      <c r="P36" s="192"/>
    </row>
    <row r="37" spans="1:19" x14ac:dyDescent="0.35">
      <c r="A37" s="352"/>
      <c r="B37" s="353"/>
      <c r="C37" s="353"/>
      <c r="D37" s="354"/>
      <c r="E37" s="355"/>
      <c r="F37" s="355"/>
      <c r="G37" s="192"/>
      <c r="H37" s="192"/>
      <c r="I37" s="192"/>
      <c r="J37" s="192"/>
      <c r="K37" s="192"/>
      <c r="L37" s="192"/>
      <c r="M37" s="192"/>
      <c r="N37" s="192"/>
      <c r="O37" s="192"/>
      <c r="P37" s="192"/>
    </row>
    <row r="38" spans="1:19" x14ac:dyDescent="0.35">
      <c r="A38" s="352"/>
      <c r="B38" s="353"/>
      <c r="C38" s="353"/>
      <c r="D38" s="354"/>
      <c r="E38" s="355"/>
      <c r="F38" s="355"/>
      <c r="G38" s="192"/>
      <c r="H38" s="192"/>
      <c r="I38" s="192"/>
      <c r="J38" s="192"/>
      <c r="K38" s="192"/>
      <c r="L38" s="192"/>
      <c r="M38" s="192"/>
      <c r="N38" s="192"/>
      <c r="O38" s="192"/>
      <c r="P38" s="192"/>
    </row>
    <row r="39" spans="1:19" x14ac:dyDescent="0.35">
      <c r="A39" s="352"/>
      <c r="B39" s="353"/>
      <c r="C39" s="353"/>
      <c r="D39" s="354"/>
      <c r="E39" s="355"/>
      <c r="F39" s="355"/>
      <c r="G39" s="192"/>
      <c r="H39" s="192"/>
      <c r="I39" s="192"/>
      <c r="J39" s="192"/>
      <c r="K39" s="192"/>
      <c r="L39" s="192"/>
      <c r="M39" s="192"/>
      <c r="N39" s="192"/>
      <c r="O39" s="192"/>
      <c r="P39" s="192"/>
    </row>
    <row r="40" spans="1:19" x14ac:dyDescent="0.35">
      <c r="A40" s="352"/>
      <c r="B40" s="353"/>
      <c r="C40" s="353"/>
      <c r="D40" s="354"/>
      <c r="E40" s="355"/>
      <c r="F40" s="355"/>
      <c r="G40" s="192"/>
      <c r="H40" s="192"/>
      <c r="I40" s="192"/>
      <c r="J40" s="192"/>
      <c r="K40" s="192"/>
      <c r="L40" s="192"/>
      <c r="M40" s="192"/>
      <c r="N40" s="192"/>
      <c r="O40" s="192"/>
      <c r="P40" s="192"/>
    </row>
    <row r="41" spans="1:19" x14ac:dyDescent="0.35">
      <c r="A41" s="352"/>
      <c r="B41" s="353"/>
      <c r="C41" s="353"/>
      <c r="D41" s="354"/>
      <c r="E41" s="355"/>
      <c r="F41" s="355"/>
      <c r="G41" s="192"/>
      <c r="H41" s="192"/>
      <c r="I41" s="192"/>
      <c r="J41" s="192"/>
      <c r="K41" s="192"/>
      <c r="L41" s="192"/>
      <c r="M41" s="192"/>
      <c r="N41" s="192"/>
      <c r="O41" s="192"/>
      <c r="P41" s="192"/>
    </row>
    <row r="42" spans="1:19" x14ac:dyDescent="0.35">
      <c r="A42" s="352"/>
      <c r="B42" s="353"/>
      <c r="C42" s="353"/>
      <c r="D42" s="354"/>
      <c r="E42" s="355"/>
      <c r="F42" s="355"/>
      <c r="G42" s="192"/>
      <c r="H42" s="192"/>
      <c r="I42" s="192"/>
      <c r="J42" s="192"/>
      <c r="K42" s="192"/>
      <c r="L42" s="192"/>
      <c r="M42" s="192"/>
      <c r="N42" s="192"/>
      <c r="O42" s="192"/>
      <c r="P42" s="192"/>
    </row>
    <row r="43" spans="1:19" x14ac:dyDescent="0.35">
      <c r="A43" s="352"/>
      <c r="B43" s="353"/>
      <c r="C43" s="353"/>
      <c r="D43" s="354"/>
      <c r="E43" s="355"/>
      <c r="F43" s="355"/>
      <c r="G43" s="192"/>
      <c r="H43" s="192"/>
      <c r="I43" s="192"/>
      <c r="J43" s="192"/>
      <c r="K43" s="192"/>
      <c r="L43" s="192"/>
      <c r="M43" s="192"/>
      <c r="N43" s="192"/>
      <c r="O43" s="192"/>
      <c r="P43" s="192"/>
    </row>
    <row r="44" spans="1:19" x14ac:dyDescent="0.35">
      <c r="A44" s="352"/>
      <c r="B44" s="353"/>
      <c r="C44" s="353"/>
      <c r="D44" s="354"/>
      <c r="E44" s="355"/>
      <c r="F44" s="355"/>
      <c r="G44" s="192"/>
      <c r="H44" s="192"/>
      <c r="I44" s="192"/>
      <c r="J44" s="192"/>
      <c r="K44" s="192"/>
      <c r="L44" s="192"/>
      <c r="M44" s="192"/>
      <c r="N44" s="192"/>
      <c r="O44" s="192"/>
      <c r="P44" s="192"/>
    </row>
    <row r="45" spans="1:19" x14ac:dyDescent="0.35">
      <c r="A45" s="352"/>
      <c r="B45" s="353"/>
      <c r="C45" s="353"/>
      <c r="D45" s="354"/>
      <c r="E45" s="355"/>
      <c r="F45" s="355"/>
      <c r="G45" s="192"/>
      <c r="H45" s="192"/>
      <c r="I45" s="192"/>
      <c r="J45" s="192"/>
      <c r="K45" s="192"/>
      <c r="L45" s="192"/>
      <c r="M45" s="192"/>
      <c r="N45" s="192"/>
      <c r="O45" s="192"/>
      <c r="P45" s="192"/>
    </row>
    <row r="46" spans="1:19" x14ac:dyDescent="0.35">
      <c r="A46" s="352"/>
      <c r="B46" s="353"/>
      <c r="C46" s="353"/>
      <c r="D46" s="354"/>
      <c r="E46" s="355"/>
      <c r="F46" s="355"/>
      <c r="G46" s="192"/>
      <c r="H46" s="192"/>
      <c r="I46" s="192"/>
      <c r="J46" s="192"/>
      <c r="K46" s="192"/>
      <c r="L46" s="192"/>
      <c r="M46" s="192"/>
      <c r="N46" s="192"/>
      <c r="O46" s="192"/>
      <c r="P46" s="192"/>
    </row>
    <row r="47" spans="1:19" x14ac:dyDescent="0.35">
      <c r="A47" s="352"/>
      <c r="B47" s="353"/>
      <c r="C47" s="353"/>
      <c r="D47" s="354"/>
      <c r="E47" s="355"/>
      <c r="F47" s="355"/>
      <c r="G47" s="192"/>
      <c r="H47" s="192"/>
      <c r="I47" s="192"/>
      <c r="J47" s="192"/>
      <c r="K47" s="192"/>
      <c r="L47" s="192"/>
      <c r="M47" s="192"/>
      <c r="N47" s="192"/>
      <c r="O47" s="192"/>
      <c r="P47" s="192"/>
    </row>
    <row r="48" spans="1:19" x14ac:dyDescent="0.35">
      <c r="A48" s="352"/>
      <c r="B48" s="353"/>
      <c r="C48" s="353"/>
      <c r="D48" s="354"/>
      <c r="E48" s="355"/>
      <c r="F48" s="355"/>
      <c r="G48" s="192"/>
      <c r="H48" s="192"/>
      <c r="I48" s="192"/>
      <c r="J48" s="192"/>
      <c r="K48" s="192"/>
      <c r="L48" s="192"/>
      <c r="M48" s="192"/>
      <c r="N48" s="192"/>
      <c r="O48" s="192"/>
      <c r="P48" s="192"/>
    </row>
    <row r="49" spans="1:16" x14ac:dyDescent="0.35">
      <c r="A49" s="352"/>
      <c r="B49" s="353"/>
      <c r="C49" s="353"/>
      <c r="D49" s="354"/>
      <c r="E49" s="355"/>
      <c r="F49" s="355"/>
      <c r="G49" s="192"/>
      <c r="H49" s="192"/>
      <c r="I49" s="192"/>
      <c r="J49" s="192"/>
      <c r="K49" s="192"/>
      <c r="L49" s="192"/>
      <c r="M49" s="192"/>
      <c r="N49" s="192"/>
      <c r="O49" s="192"/>
      <c r="P49" s="192"/>
    </row>
    <row r="50" spans="1:16" x14ac:dyDescent="0.35">
      <c r="A50" s="352"/>
      <c r="B50" s="353"/>
      <c r="C50" s="353"/>
      <c r="D50" s="354"/>
      <c r="E50" s="355"/>
      <c r="F50" s="355"/>
      <c r="G50" s="192"/>
      <c r="H50" s="192"/>
      <c r="I50" s="192"/>
      <c r="J50" s="192"/>
      <c r="K50" s="192"/>
      <c r="L50" s="192"/>
      <c r="M50" s="192"/>
      <c r="N50" s="192"/>
      <c r="O50" s="192"/>
      <c r="P50" s="192"/>
    </row>
    <row r="51" spans="1:16" x14ac:dyDescent="0.35">
      <c r="A51" s="352"/>
      <c r="B51" s="353"/>
      <c r="C51" s="353"/>
      <c r="D51" s="354"/>
      <c r="E51" s="355"/>
      <c r="F51" s="355"/>
      <c r="G51" s="192"/>
      <c r="H51" s="192"/>
      <c r="I51" s="192"/>
      <c r="J51" s="192"/>
      <c r="K51" s="192"/>
      <c r="L51" s="192"/>
      <c r="M51" s="192"/>
      <c r="N51" s="192"/>
      <c r="O51" s="192"/>
      <c r="P51" s="192"/>
    </row>
    <row r="52" spans="1:16" x14ac:dyDescent="0.35">
      <c r="A52" s="352"/>
      <c r="B52" s="353"/>
      <c r="C52" s="353"/>
      <c r="D52" s="354"/>
      <c r="E52" s="355"/>
      <c r="F52" s="355"/>
      <c r="G52" s="192"/>
      <c r="H52" s="192"/>
      <c r="I52" s="192"/>
      <c r="J52" s="192"/>
      <c r="K52" s="192"/>
      <c r="L52" s="192"/>
      <c r="M52" s="192"/>
      <c r="N52" s="192"/>
      <c r="O52" s="192"/>
      <c r="P52" s="192"/>
    </row>
    <row r="53" spans="1:16" x14ac:dyDescent="0.35">
      <c r="A53" s="352"/>
      <c r="B53" s="353"/>
      <c r="C53" s="353"/>
      <c r="D53" s="354"/>
      <c r="E53" s="355"/>
      <c r="F53" s="355"/>
      <c r="G53" s="192"/>
      <c r="H53" s="192"/>
      <c r="I53" s="192"/>
      <c r="J53" s="192"/>
      <c r="K53" s="192"/>
      <c r="L53" s="192"/>
      <c r="M53" s="192"/>
      <c r="N53" s="192"/>
      <c r="O53" s="192"/>
      <c r="P53" s="192"/>
    </row>
    <row r="54" spans="1:16" x14ac:dyDescent="0.35">
      <c r="A54" s="352"/>
      <c r="B54" s="353"/>
      <c r="C54" s="353"/>
      <c r="D54" s="354"/>
      <c r="E54" s="355"/>
      <c r="F54" s="355"/>
      <c r="G54" s="192"/>
      <c r="H54" s="192"/>
      <c r="I54" s="192"/>
      <c r="J54" s="192"/>
      <c r="K54" s="192"/>
      <c r="L54" s="192"/>
      <c r="M54" s="192"/>
      <c r="N54" s="192"/>
      <c r="O54" s="192"/>
      <c r="P54" s="192"/>
    </row>
    <row r="55" spans="1:16" x14ac:dyDescent="0.35">
      <c r="A55" s="352"/>
      <c r="B55" s="353"/>
      <c r="C55" s="353"/>
      <c r="D55" s="354"/>
      <c r="E55" s="355"/>
      <c r="F55" s="355"/>
      <c r="G55" s="192"/>
      <c r="H55" s="192"/>
      <c r="I55" s="192"/>
      <c r="J55" s="192"/>
      <c r="K55" s="192"/>
      <c r="L55" s="192"/>
      <c r="M55" s="192"/>
      <c r="N55" s="192"/>
      <c r="O55" s="192"/>
      <c r="P55" s="192"/>
    </row>
    <row r="56" spans="1:16" x14ac:dyDescent="0.35">
      <c r="A56" s="352"/>
      <c r="B56" s="353"/>
      <c r="C56" s="353"/>
      <c r="D56" s="354"/>
      <c r="E56" s="355"/>
      <c r="F56" s="355"/>
      <c r="G56" s="192"/>
      <c r="H56" s="192"/>
      <c r="I56" s="192"/>
      <c r="J56" s="192"/>
      <c r="K56" s="192"/>
      <c r="L56" s="192"/>
      <c r="M56" s="192"/>
      <c r="N56" s="192"/>
      <c r="O56" s="192"/>
      <c r="P56" s="192"/>
    </row>
    <row r="57" spans="1:16" x14ac:dyDescent="0.35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</row>
    <row r="58" spans="1:16" ht="18" x14ac:dyDescent="0.35">
      <c r="A58" s="316" t="s">
        <v>427</v>
      </c>
      <c r="B58" s="317"/>
      <c r="C58" s="317"/>
      <c r="D58" s="317"/>
      <c r="E58" s="317"/>
      <c r="F58" s="317"/>
      <c r="G58" s="317"/>
      <c r="H58" s="192"/>
      <c r="I58" s="192"/>
      <c r="J58" s="192"/>
      <c r="K58" s="192"/>
      <c r="L58" s="192"/>
      <c r="M58" s="192"/>
      <c r="N58" s="192"/>
      <c r="O58" s="192"/>
      <c r="P58" s="192"/>
    </row>
    <row r="59" spans="1:16" x14ac:dyDescent="0.35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</row>
    <row r="60" spans="1:16" ht="16.2" x14ac:dyDescent="0.35">
      <c r="A60" s="318" t="s">
        <v>428</v>
      </c>
      <c r="B60" s="319"/>
      <c r="C60" s="319"/>
      <c r="D60" s="319"/>
      <c r="E60" s="319"/>
      <c r="F60" s="319"/>
      <c r="G60" s="192"/>
      <c r="H60" s="192"/>
      <c r="I60" s="332" t="s">
        <v>436</v>
      </c>
      <c r="J60" s="333"/>
      <c r="K60" s="333"/>
      <c r="L60" s="333"/>
      <c r="M60" s="333"/>
      <c r="N60" s="333"/>
      <c r="O60" s="333"/>
      <c r="P60" s="192"/>
    </row>
    <row r="61" spans="1:16" x14ac:dyDescent="0.35">
      <c r="A61" s="320" t="s">
        <v>429</v>
      </c>
      <c r="B61" s="320" t="s">
        <v>430</v>
      </c>
      <c r="C61" s="320" t="s">
        <v>431</v>
      </c>
      <c r="D61" s="320" t="s">
        <v>285</v>
      </c>
      <c r="E61" s="320" t="s">
        <v>283</v>
      </c>
      <c r="F61" s="320" t="s">
        <v>291</v>
      </c>
      <c r="G61" s="192"/>
      <c r="H61" s="192"/>
      <c r="I61" s="334" t="s">
        <v>429</v>
      </c>
      <c r="J61" s="335" t="s">
        <v>437</v>
      </c>
      <c r="K61" s="336" t="s">
        <v>438</v>
      </c>
      <c r="L61" s="337" t="s">
        <v>439</v>
      </c>
      <c r="M61" s="338" t="s">
        <v>440</v>
      </c>
      <c r="N61" s="339" t="s">
        <v>441</v>
      </c>
      <c r="O61" s="334" t="s">
        <v>442</v>
      </c>
      <c r="P61" s="192"/>
    </row>
    <row r="62" spans="1:16" x14ac:dyDescent="0.35">
      <c r="A62" s="192" t="s">
        <v>432</v>
      </c>
      <c r="B62" s="323" t="str">
        <f>IF(COUNTIFS(Tabla1[Año],$B$5,Tabla1[Tipologías],1)=0,"—",AVERAGEIFS(Tabla1[IDF],Tabla1[Año],$B$5,Tabla1[Tipologías],1))</f>
        <v>—</v>
      </c>
      <c r="C62" s="323" t="str">
        <f>IF(COUNTIFS(Tabla1[Año],$B$6,Tabla1[Tipologías],1)=0,"—",AVERAGEIFS(Tabla1[IDF],Tabla1[Año],$B$6,Tabla1[Tipologías],1))</f>
        <v>—</v>
      </c>
      <c r="D62" s="324" t="str">
        <f>IF(OR(B62=0,NOT(ISNUMBER(C62))),"—",B62-C62)</f>
        <v>—</v>
      </c>
      <c r="E62" s="325">
        <f>COUNTIFS(Tabla1[Año],$B$5,Tabla1[Tipologías],1)</f>
        <v>0</v>
      </c>
      <c r="F62" s="326">
        <f>IFERROR(E62/$E$66,0)</f>
        <v>0</v>
      </c>
      <c r="G62" s="192"/>
      <c r="H62" s="192"/>
      <c r="I62" s="192" t="s">
        <v>432</v>
      </c>
      <c r="J62" s="322">
        <f>COUNTIFS(Tabla1[Año],$B$5,Tabla1[Tipologías],1,Tabla1[[Rango ]],"1.*")</f>
        <v>0</v>
      </c>
      <c r="K62" s="322">
        <f>COUNTIFS(Tabla1[Año],$B$5,Tabla1[Tipologías],1,Tabla1[[Rango ]],"2.*")</f>
        <v>0</v>
      </c>
      <c r="L62" s="322">
        <f>COUNTIFS(Tabla1[Año],$B$5,Tabla1[Tipologías],1,Tabla1[[Rango ]],"3.*")</f>
        <v>0</v>
      </c>
      <c r="M62" s="322">
        <f>COUNTIFS(Tabla1[Año],$B$5,Tabla1[Tipologías],1,Tabla1[[Rango ]],"4.*")</f>
        <v>0</v>
      </c>
      <c r="N62" s="322">
        <f>COUNTIFS(Tabla1[Año],$B$5,Tabla1[Tipologías],1,Tabla1[[Rango ]],"5.*")</f>
        <v>0</v>
      </c>
      <c r="O62" s="340">
        <f>SUM(J62:N62)</f>
        <v>0</v>
      </c>
      <c r="P62" s="192"/>
    </row>
    <row r="63" spans="1:16" x14ac:dyDescent="0.35">
      <c r="A63" s="192" t="s">
        <v>433</v>
      </c>
      <c r="B63" s="323" t="str">
        <f>IF(COUNTIFS(Tabla1[Año],$B$5,Tabla1[Tipologías],2)=0,"—",AVERAGEIFS(Tabla1[IDF],Tabla1[Año],$B$5,Tabla1[Tipologías],2))</f>
        <v>—</v>
      </c>
      <c r="C63" s="323" t="str">
        <f>IF(COUNTIFS(Tabla1[Año],$B$6,Tabla1[Tipologías],2)=0,"—",AVERAGEIFS(Tabla1[IDF],Tabla1[Año],$B$6,Tabla1[Tipologías],2))</f>
        <v>—</v>
      </c>
      <c r="D63" s="324" t="str">
        <f>IF(OR(B63=0,NOT(ISNUMBER(C63))),"—",B63-C63)</f>
        <v>—</v>
      </c>
      <c r="E63" s="325">
        <f>COUNTIFS(Tabla1[Año],$B$5,Tabla1[Tipologías],2)</f>
        <v>0</v>
      </c>
      <c r="F63" s="326">
        <f>IFERROR(E63/$E$66,0)</f>
        <v>0</v>
      </c>
      <c r="G63" s="192"/>
      <c r="H63" s="192"/>
      <c r="I63" s="192" t="s">
        <v>433</v>
      </c>
      <c r="J63" s="322">
        <f>COUNTIFS(Tabla1[Año],$B$5,Tabla1[Tipologías],2,Tabla1[[Rango ]],"1.*")</f>
        <v>0</v>
      </c>
      <c r="K63" s="322">
        <f>COUNTIFS(Tabla1[Año],$B$5,Tabla1[Tipologías],2,Tabla1[[Rango ]],"2.*")</f>
        <v>0</v>
      </c>
      <c r="L63" s="322">
        <f>COUNTIFS(Tabla1[Año],$B$5,Tabla1[Tipologías],2,Tabla1[[Rango ]],"3.*")</f>
        <v>0</v>
      </c>
      <c r="M63" s="322">
        <f>COUNTIFS(Tabla1[Año],$B$5,Tabla1[Tipologías],2,Tabla1[[Rango ]],"4.*")</f>
        <v>0</v>
      </c>
      <c r="N63" s="322">
        <f>COUNTIFS(Tabla1[Año],$B$5,Tabla1[Tipologías],2,Tabla1[[Rango ]],"5.*")</f>
        <v>0</v>
      </c>
      <c r="O63" s="340">
        <f>SUM(J63:N63)</f>
        <v>0</v>
      </c>
      <c r="P63" s="192"/>
    </row>
    <row r="64" spans="1:16" x14ac:dyDescent="0.35">
      <c r="A64" s="192" t="s">
        <v>434</v>
      </c>
      <c r="B64" s="323" t="str">
        <f>IF(COUNTIFS(Tabla1[Año],$B$5,Tabla1[Tipologías],3)=0,"—",AVERAGEIFS(Tabla1[IDF],Tabla1[Año],$B$5,Tabla1[Tipologías],3))</f>
        <v>—</v>
      </c>
      <c r="C64" s="323" t="str">
        <f>IF(COUNTIFS(Tabla1[Año],$B$6,Tabla1[Tipologías],3)=0,"—",AVERAGEIFS(Tabla1[IDF],Tabla1[Año],$B$6,Tabla1[Tipologías],3))</f>
        <v>—</v>
      </c>
      <c r="D64" s="324" t="str">
        <f>IF(OR(B64=0,NOT(ISNUMBER(C64))),"—",B64-C64)</f>
        <v>—</v>
      </c>
      <c r="E64" s="325">
        <f>COUNTIFS(Tabla1[Año],$B$5,Tabla1[Tipologías],3)</f>
        <v>0</v>
      </c>
      <c r="F64" s="326">
        <f>IFERROR(E64/$E$66,0)</f>
        <v>0</v>
      </c>
      <c r="G64" s="192"/>
      <c r="H64" s="192"/>
      <c r="I64" s="192" t="s">
        <v>434</v>
      </c>
      <c r="J64" s="322">
        <f>COUNTIFS(Tabla1[Año],$B$5,Tabla1[Tipologías],3,Tabla1[[Rango ]],"1.*")</f>
        <v>0</v>
      </c>
      <c r="K64" s="322">
        <f>COUNTIFS(Tabla1[Año],$B$5,Tabla1[Tipologías],3,Tabla1[[Rango ]],"2.*")</f>
        <v>0</v>
      </c>
      <c r="L64" s="322">
        <f>COUNTIFS(Tabla1[Año],$B$5,Tabla1[Tipologías],3,Tabla1[[Rango ]],"3.*")</f>
        <v>0</v>
      </c>
      <c r="M64" s="322">
        <f>COUNTIFS(Tabla1[Año],$B$5,Tabla1[Tipologías],3,Tabla1[[Rango ]],"4.*")</f>
        <v>0</v>
      </c>
      <c r="N64" s="322">
        <f>COUNTIFS(Tabla1[Año],$B$5,Tabla1[Tipologías],3,Tabla1[[Rango ]],"5.*")</f>
        <v>0</v>
      </c>
      <c r="O64" s="340">
        <f>SUM(J64:N64)</f>
        <v>0</v>
      </c>
      <c r="P64" s="192"/>
    </row>
    <row r="65" spans="1:16" x14ac:dyDescent="0.35">
      <c r="G65" s="192"/>
      <c r="H65" s="192"/>
      <c r="I65" s="321" t="s">
        <v>435</v>
      </c>
      <c r="J65" s="327">
        <f t="shared" ref="J65:O65" si="2">SUM(J62:J64)</f>
        <v>0</v>
      </c>
      <c r="K65" s="327">
        <f t="shared" si="2"/>
        <v>0</v>
      </c>
      <c r="L65" s="327">
        <f t="shared" si="2"/>
        <v>0</v>
      </c>
      <c r="M65" s="327">
        <f t="shared" si="2"/>
        <v>0</v>
      </c>
      <c r="N65" s="327">
        <f t="shared" si="2"/>
        <v>0</v>
      </c>
      <c r="O65" s="327">
        <f t="shared" si="2"/>
        <v>0</v>
      </c>
      <c r="P65" s="192"/>
    </row>
    <row r="66" spans="1:16" x14ac:dyDescent="0.35">
      <c r="A66" s="321" t="s">
        <v>435</v>
      </c>
      <c r="B66" s="328">
        <f>AVERAGEIFS(Tabla1[IDF],Tabla1[Año],$B$5)</f>
        <v>54.725203963414906</v>
      </c>
      <c r="C66" s="328">
        <f>AVERAGEIFS(Tabla1[IDF],Tabla1[Año],$B$6)</f>
        <v>57.480756550988424</v>
      </c>
      <c r="D66" s="329">
        <f>B66-C66</f>
        <v>-2.7555525875735185</v>
      </c>
      <c r="E66" s="330">
        <f>COUNTIF(Tabla1[Año],$B$5)</f>
        <v>32</v>
      </c>
      <c r="F66" s="331">
        <v>1</v>
      </c>
      <c r="G66" s="192"/>
      <c r="H66" s="192"/>
      <c r="I66" s="192"/>
      <c r="J66" s="192"/>
      <c r="K66" s="192"/>
      <c r="L66" s="192"/>
      <c r="M66" s="192"/>
      <c r="N66" s="192"/>
      <c r="O66" s="192"/>
      <c r="P66" s="192"/>
    </row>
    <row r="67" spans="1:16" x14ac:dyDescent="0.3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</row>
    <row r="68" spans="1:16" ht="16.2" x14ac:dyDescent="0.35">
      <c r="A68" s="341" t="s">
        <v>443</v>
      </c>
      <c r="B68" s="342"/>
      <c r="C68" s="342"/>
      <c r="D68" s="342"/>
      <c r="E68" s="342"/>
      <c r="F68" s="342"/>
      <c r="G68" s="342"/>
      <c r="H68" s="342"/>
      <c r="I68" s="192"/>
      <c r="J68" s="192"/>
      <c r="K68" s="192"/>
      <c r="L68" s="192"/>
      <c r="M68" s="192"/>
      <c r="N68" s="192"/>
      <c r="O68" s="192"/>
      <c r="P68" s="192"/>
    </row>
    <row r="69" spans="1:16" x14ac:dyDescent="0.35">
      <c r="A69" s="343" t="s">
        <v>444</v>
      </c>
      <c r="B69" s="335" t="s">
        <v>437</v>
      </c>
      <c r="C69" s="336" t="s">
        <v>438</v>
      </c>
      <c r="D69" s="337" t="s">
        <v>439</v>
      </c>
      <c r="E69" s="338" t="s">
        <v>440</v>
      </c>
      <c r="F69" s="339" t="s">
        <v>441</v>
      </c>
      <c r="G69" s="343" t="s">
        <v>442</v>
      </c>
      <c r="H69" s="343" t="s">
        <v>292</v>
      </c>
      <c r="I69" s="192"/>
      <c r="J69" s="192"/>
      <c r="K69" s="192"/>
      <c r="L69" s="192"/>
      <c r="M69" s="192"/>
      <c r="N69" s="192"/>
      <c r="O69" s="192"/>
      <c r="P69" s="192"/>
    </row>
    <row r="70" spans="1:16" x14ac:dyDescent="0.35">
      <c r="A70" t="s">
        <v>445</v>
      </c>
      <c r="B70" s="191">
        <f>COUNTIFS(Tabla1[Año],$B$5,Tabla1[Categorías],"ESP",Tabla1[[Rango ]],"1.*")</f>
        <v>0</v>
      </c>
      <c r="C70" s="191">
        <f>COUNTIFS(Tabla1[Año],$B$5,Tabla1[Categorías],"ESP",Tabla1[[Rango ]],"2.*")</f>
        <v>0</v>
      </c>
      <c r="D70" s="191">
        <f>COUNTIFS(Tabla1[Año],$B$5,Tabla1[Categorías],"ESP",Tabla1[[Rango ]],"3.*")</f>
        <v>2</v>
      </c>
      <c r="E70" s="191">
        <f>COUNTIFS(Tabla1[Año],$B$5,Tabla1[Categorías],"ESP",Tabla1[[Rango ]],"4.*")</f>
        <v>1</v>
      </c>
      <c r="F70" s="191">
        <f>COUNTIFS(Tabla1[Año],$B$5,Tabla1[Categorías],"ESP",Tabla1[[Rango ]],"5.*")</f>
        <v>0</v>
      </c>
      <c r="G70" s="262">
        <f>SUM(B70:F70)</f>
        <v>3</v>
      </c>
      <c r="H70" s="345">
        <f>IFERROR(AVERAGEIFS(Tabla1[IDF],Tabla1[Año],$B$5,Tabla1[Categorías],"ESP"),"—")</f>
        <v>66.373714859627995</v>
      </c>
    </row>
    <row r="71" spans="1:16" x14ac:dyDescent="0.35">
      <c r="A71" t="s">
        <v>446</v>
      </c>
      <c r="B71" s="191">
        <f>COUNTIFS(Tabla1[Año],$B$5,Tabla1[Categorías],1,Tabla1[[Rango ]],"1.*")</f>
        <v>0</v>
      </c>
      <c r="C71" s="191">
        <f>COUNTIFS(Tabla1[Año],$B$5,Tabla1[Categorías],1,Tabla1[[Rango ]],"2.*")</f>
        <v>3</v>
      </c>
      <c r="D71" s="191">
        <f>COUNTIFS(Tabla1[Año],$B$5,Tabla1[Categorías],1,Tabla1[[Rango ]],"3.*")</f>
        <v>1</v>
      </c>
      <c r="E71" s="191">
        <f>COUNTIFS(Tabla1[Año],$B$5,Tabla1[Categorías],1,Tabla1[[Rango ]],"4.*")</f>
        <v>1</v>
      </c>
      <c r="F71" s="191">
        <f>COUNTIFS(Tabla1[Año],$B$5,Tabla1[Categorías],1,Tabla1[[Rango ]],"5.*")</f>
        <v>0</v>
      </c>
      <c r="G71" s="262">
        <f>SUM(B71:F71)</f>
        <v>5</v>
      </c>
      <c r="H71" s="345">
        <f>IFERROR(AVERAGEIFS(Tabla1[IDF],Tabla1[Año],$B$5,Tabla1[Categorías],1),"—")</f>
        <v>56.187625279118187</v>
      </c>
    </row>
    <row r="72" spans="1:16" x14ac:dyDescent="0.35">
      <c r="A72" t="s">
        <v>447</v>
      </c>
      <c r="B72" s="191">
        <f>COUNTIFS(Tabla1[Año],$B$5,Tabla1[Categorías],2,Tabla1[[Rango ]],"1.*")</f>
        <v>0</v>
      </c>
      <c r="C72" s="191">
        <f>COUNTIFS(Tabla1[Año],$B$5,Tabla1[Categorías],2,Tabla1[[Rango ]],"2.*")</f>
        <v>5</v>
      </c>
      <c r="D72" s="191">
        <f>COUNTIFS(Tabla1[Año],$B$5,Tabla1[Categorías],2,Tabla1[[Rango ]],"3.*")</f>
        <v>2</v>
      </c>
      <c r="E72" s="191">
        <f>COUNTIFS(Tabla1[Año],$B$5,Tabla1[Categorías],2,Tabla1[[Rango ]],"4.*")</f>
        <v>0</v>
      </c>
      <c r="F72" s="191">
        <f>COUNTIFS(Tabla1[Año],$B$5,Tabla1[Categorías],2,Tabla1[[Rango ]],"5.*")</f>
        <v>0</v>
      </c>
      <c r="G72" s="262">
        <f>SUM(B72:F72)</f>
        <v>7</v>
      </c>
      <c r="H72" s="345">
        <f>IFERROR(AVERAGEIFS(Tabla1[IDF],Tabla1[Año],$B$5,Tabla1[Categorías],2),"—")</f>
        <v>53.828340965954787</v>
      </c>
    </row>
    <row r="73" spans="1:16" x14ac:dyDescent="0.35">
      <c r="A73" t="s">
        <v>448</v>
      </c>
      <c r="B73" s="191">
        <f>COUNTIFS(Tabla1[Año],$B$5,Tabla1[Categorías],3,Tabla1[[Rango ]],"1.*")</f>
        <v>0</v>
      </c>
      <c r="C73" s="191">
        <f>COUNTIFS(Tabla1[Año],$B$5,Tabla1[Categorías],3,Tabla1[[Rango ]],"2.*")</f>
        <v>4</v>
      </c>
      <c r="D73" s="191">
        <f>COUNTIFS(Tabla1[Año],$B$5,Tabla1[Categorías],3,Tabla1[[Rango ]],"3.*")</f>
        <v>3</v>
      </c>
      <c r="E73" s="191">
        <f>COUNTIFS(Tabla1[Año],$B$5,Tabla1[Categorías],3,Tabla1[[Rango ]],"4.*")</f>
        <v>0</v>
      </c>
      <c r="F73" s="191">
        <f>COUNTIFS(Tabla1[Año],$B$5,Tabla1[Categorías],3,Tabla1[[Rango ]],"5.*")</f>
        <v>0</v>
      </c>
      <c r="G73" s="262">
        <f>SUM(B73:F73)</f>
        <v>7</v>
      </c>
      <c r="H73" s="345">
        <f>IFERROR(AVERAGEIFS(Tabla1[IDF],Tabla1[Año],$B$5,Tabla1[Categorías],3),"—")</f>
        <v>55.023406619052103</v>
      </c>
    </row>
    <row r="74" spans="1:16" x14ac:dyDescent="0.35">
      <c r="A74" t="s">
        <v>449</v>
      </c>
      <c r="B74" s="191">
        <f>COUNTIFS(Tabla1[Año],$B$5,Tabla1[Categorías],4,Tabla1[[Rango ]],"1.*")</f>
        <v>0</v>
      </c>
      <c r="C74" s="191">
        <f>COUNTIFS(Tabla1[Año],$B$5,Tabla1[Categorías],4,Tabla1[[Rango ]],"2.*")</f>
        <v>9</v>
      </c>
      <c r="D74" s="191">
        <f>COUNTIFS(Tabla1[Año],$B$5,Tabla1[Categorías],4,Tabla1[[Rango ]],"3.*")</f>
        <v>1</v>
      </c>
      <c r="E74" s="191">
        <f>COUNTIFS(Tabla1[Año],$B$5,Tabla1[Categorías],4,Tabla1[[Rango ]],"4.*")</f>
        <v>0</v>
      </c>
      <c r="F74" s="191">
        <f>COUNTIFS(Tabla1[Año],$B$5,Tabla1[Categorías],4,Tabla1[[Rango ]],"5.*")</f>
        <v>0</v>
      </c>
      <c r="G74" s="262">
        <f>SUM(B74:F74)</f>
        <v>10</v>
      </c>
      <c r="H74" s="345">
        <f>IFERROR(AVERAGEIFS(Tabla1[IDF],Tabla1[Año],$B$5,Tabla1[Categorías],4),"—")</f>
        <v>50.918502275975342</v>
      </c>
    </row>
    <row r="75" spans="1:16" x14ac:dyDescent="0.35">
      <c r="A75" s="344" t="s">
        <v>435</v>
      </c>
      <c r="B75" s="346">
        <f t="shared" ref="B75:G75" si="3">SUM(B70:B74)</f>
        <v>0</v>
      </c>
      <c r="C75" s="346">
        <f t="shared" si="3"/>
        <v>21</v>
      </c>
      <c r="D75" s="346">
        <f t="shared" si="3"/>
        <v>9</v>
      </c>
      <c r="E75" s="346">
        <f t="shared" si="3"/>
        <v>2</v>
      </c>
      <c r="F75" s="346">
        <f t="shared" si="3"/>
        <v>0</v>
      </c>
      <c r="G75" s="346">
        <f t="shared" si="3"/>
        <v>32</v>
      </c>
      <c r="H75" s="347">
        <f>AVERAGEIFS(Tabla1[IDF],Tabla1[Año],$B$5)</f>
        <v>54.725203963414906</v>
      </c>
    </row>
    <row r="77" spans="1:16" x14ac:dyDescent="0.35">
      <c r="A77" s="285" t="s">
        <v>450</v>
      </c>
    </row>
    <row r="79" spans="1:16" ht="16.2" x14ac:dyDescent="0.35">
      <c r="A79" s="348" t="s">
        <v>451</v>
      </c>
      <c r="B79" s="276"/>
      <c r="C79" s="276"/>
      <c r="D79" s="276"/>
      <c r="E79" s="276"/>
      <c r="F79" s="276"/>
      <c r="G79" s="276"/>
    </row>
    <row r="80" spans="1:16" x14ac:dyDescent="0.35">
      <c r="A80" s="258" t="s">
        <v>280</v>
      </c>
      <c r="B80" s="349" t="s">
        <v>27</v>
      </c>
      <c r="C80" s="350" t="s">
        <v>452</v>
      </c>
    </row>
    <row r="82" spans="1:7" x14ac:dyDescent="0.35">
      <c r="A82" s="351" t="s">
        <v>45</v>
      </c>
      <c r="B82" s="351" t="s">
        <v>213</v>
      </c>
      <c r="C82" s="351" t="s">
        <v>444</v>
      </c>
      <c r="D82" s="351" t="s">
        <v>429</v>
      </c>
      <c r="E82" s="351" t="s">
        <v>28</v>
      </c>
      <c r="F82" s="351" t="s">
        <v>270</v>
      </c>
      <c r="G82" s="351" t="s">
        <v>453</v>
      </c>
    </row>
    <row r="83" spans="1:7" x14ac:dyDescent="0.35">
      <c r="A83" s="262">
        <v>2020</v>
      </c>
      <c r="B83" s="191" t="str" cm="1">
        <f t="array" ref="B83">IFERROR(INDEX(Tabla2[Región],MATCH(1,(Tabla2[Departamento]=$B$80)*(Tabla2[Año]=$A83),0)),"—")</f>
        <v>Caribe</v>
      </c>
      <c r="C83" s="191" cm="1">
        <f t="array" ref="C83">IFERROR(INDEX(Tabla2[Categorías],MATCH(1,(Tabla2[Departamento]=$B$80)*(Tabla2[Año]=$A83),0)),"—")</f>
        <v>1</v>
      </c>
      <c r="D83" s="191" t="str" cm="1">
        <f t="array" ref="D83">IFERROR(INDEX(Tabla2[Tipologías],MATCH(1,(Tabla2[Departamento]=$B$80)*(Tabla2[Año]=$A83),0)),"—")</f>
        <v>N/A</v>
      </c>
      <c r="E83" s="290" cm="1">
        <f t="array" ref="E83">IFERROR(INDEX(Tabla1[IDF],MATCH(1,(Tabla1[Departamento]=$B$80)*(Tabla1[Año]=$A83),0)),"—")</f>
        <v>65.270209361179894</v>
      </c>
      <c r="F83" s="151" t="str" cm="1">
        <f t="array" ref="F83">IFERROR(INDEX(Tabla1[[Rango ]],MATCH(1,(Tabla1[Departamento]=$B$80)*(Tabla1[Año]=$A83),0)),"—")</f>
        <v>3. Vulnerable (&gt;=60 y &lt;70)</v>
      </c>
      <c r="G83" s="191" cm="1">
        <f t="array" ref="G83">IFERROR(INDEX(Tabla1[Ranking nacional],MATCH(1,(Tabla1[Departamento]=$B$80)*(Tabla1[Año]=$A83),0)),"—")</f>
        <v>6</v>
      </c>
    </row>
    <row r="84" spans="1:7" x14ac:dyDescent="0.35">
      <c r="A84" s="262">
        <v>2021</v>
      </c>
      <c r="B84" s="191" t="str" cm="1">
        <f t="array" ref="B84">IFERROR(INDEX(Tabla2[Región],MATCH(1,(Tabla2[Departamento]=$B$80)*(Tabla2[Año]=$A84),0)),"—")</f>
        <v>Caribe</v>
      </c>
      <c r="C84" s="191" cm="1">
        <f t="array" ref="C84">IFERROR(INDEX(Tabla2[Categorías],MATCH(1,(Tabla2[Departamento]=$B$80)*(Tabla2[Año]=$A84),0)),"—")</f>
        <v>1</v>
      </c>
      <c r="D84" s="191" t="str" cm="1">
        <f t="array" ref="D84">IFERROR(INDEX(Tabla2[Tipologías],MATCH(1,(Tabla2[Departamento]=$B$80)*(Tabla2[Año]=$A84),0)),"—")</f>
        <v>N/A</v>
      </c>
      <c r="E84" s="290" cm="1">
        <f t="array" ref="E84">IFERROR(INDEX(Tabla1[IDF],MATCH(1,(Tabla1[Departamento]=$B$80)*(Tabla1[Año]=$A84),0)),"—")</f>
        <v>75.965847648560668</v>
      </c>
      <c r="F84" s="151" t="str" cm="1">
        <f t="array" ref="F84">IFERROR(INDEX(Tabla1[[Rango ]],MATCH(1,(Tabla1[Departamento]=$B$80)*(Tabla1[Año]=$A84),0)),"—")</f>
        <v>4. Solvente (&gt;=70 y &lt;80)</v>
      </c>
      <c r="G84" s="191" cm="1">
        <f t="array" ref="G84">IFERROR(INDEX(Tabla1[Ranking nacional],MATCH(1,(Tabla1[Departamento]=$B$80)*(Tabla1[Año]=$A84),0)),"—")</f>
        <v>1</v>
      </c>
    </row>
    <row r="85" spans="1:7" x14ac:dyDescent="0.35">
      <c r="A85" s="262">
        <v>2022</v>
      </c>
      <c r="B85" s="191" t="str" cm="1">
        <f t="array" ref="B85">IFERROR(INDEX(Tabla2[Región],MATCH(1,(Tabla2[Departamento]=$B$80)*(Tabla2[Año]=$A85),0)),"—")</f>
        <v>Caribe</v>
      </c>
      <c r="C85" s="191" cm="1">
        <f t="array" ref="C85">IFERROR(INDEX(Tabla2[Categorías],MATCH(1,(Tabla2[Departamento]=$B$80)*(Tabla2[Año]=$A85),0)),"—")</f>
        <v>1</v>
      </c>
      <c r="D85" s="191" t="str" cm="1">
        <f t="array" ref="D85">IFERROR(INDEX(Tabla2[Tipologías],MATCH(1,(Tabla2[Departamento]=$B$80)*(Tabla2[Año]=$A85),0)),"—")</f>
        <v>N/A</v>
      </c>
      <c r="E85" s="290" cm="1">
        <f t="array" ref="E85">IFERROR(INDEX(Tabla1[IDF],MATCH(1,(Tabla1[Departamento]=$B$80)*(Tabla1[Año]=$A85),0)),"—")</f>
        <v>74.95498647627592</v>
      </c>
      <c r="F85" s="151" t="str" cm="1">
        <f t="array" ref="F85">IFERROR(INDEX(Tabla1[[Rango ]],MATCH(1,(Tabla1[Departamento]=$B$80)*(Tabla1[Año]=$A85),0)),"—")</f>
        <v>4. Solvente (&gt;=70 y &lt;80)</v>
      </c>
      <c r="G85" s="191" cm="1">
        <f t="array" ref="G85">IFERROR(INDEX(Tabla1[Ranking nacional],MATCH(1,(Tabla1[Departamento]=$B$80)*(Tabla1[Año]=$A85),0)),"—")</f>
        <v>1</v>
      </c>
    </row>
    <row r="86" spans="1:7" x14ac:dyDescent="0.35">
      <c r="A86" s="262">
        <v>2023</v>
      </c>
      <c r="B86" s="191" t="str" cm="1">
        <f t="array" ref="B86">IFERROR(INDEX(Tabla2[Región],MATCH(1,(Tabla2[Departamento]=$B$80)*(Tabla2[Año]=$A86),0)),"—")</f>
        <v>Caribe</v>
      </c>
      <c r="C86" s="191" cm="1">
        <f t="array" ref="C86">IFERROR(INDEX(Tabla2[Categorías],MATCH(1,(Tabla2[Departamento]=$B$80)*(Tabla2[Año]=$A86),0)),"—")</f>
        <v>1</v>
      </c>
      <c r="D86" s="191" t="str" cm="1">
        <f t="array" ref="D86">IFERROR(INDEX(Tabla2[Tipologías],MATCH(1,(Tabla2[Departamento]=$B$80)*(Tabla2[Año]=$A86),0)),"—")</f>
        <v>N/A</v>
      </c>
      <c r="E86" s="290" cm="1">
        <f t="array" ref="E86">IFERROR(INDEX(Tabla1[IDF],MATCH(1,(Tabla1[Departamento]=$B$80)*(Tabla1[Año]=$A86),0)),"—")</f>
        <v>67.899974692601404</v>
      </c>
      <c r="F86" s="151" t="str" cm="1">
        <f t="array" ref="F86">IFERROR(INDEX(Tabla1[[Rango ]],MATCH(1,(Tabla1[Departamento]=$B$80)*(Tabla1[Año]=$A86),0)),"—")</f>
        <v>3. Vulnerable (&gt;=60 y &lt;70)</v>
      </c>
      <c r="G86" s="191" cm="1">
        <f t="array" ref="G86">IFERROR(INDEX(Tabla1[Ranking nacional],MATCH(1,(Tabla1[Departamento]=$B$80)*(Tabla1[Año]=$A86),0)),"—")</f>
        <v>5</v>
      </c>
    </row>
    <row r="87" spans="1:7" x14ac:dyDescent="0.35">
      <c r="A87" s="262">
        <v>2024</v>
      </c>
      <c r="B87" s="191" t="str" cm="1">
        <f t="array" ref="B87">IFERROR(INDEX(Tabla2[Región],MATCH(1,(Tabla2[Departamento]=$B$80)*(Tabla2[Año]=$A87),0)),"—")</f>
        <v>Caribe</v>
      </c>
      <c r="C87" s="191" cm="1">
        <f t="array" ref="C87">IFERROR(INDEX(Tabla2[Categorías],MATCH(1,(Tabla2[Departamento]=$B$80)*(Tabla2[Año]=$A87),0)),"—")</f>
        <v>1</v>
      </c>
      <c r="D87" s="191" cm="1">
        <f t="array" ref="D87">IFERROR(INDEX(Tabla2[Tipologías],MATCH(1,(Tabla2[Departamento]=$B$80)*(Tabla2[Año]=$A87),0)),"—")</f>
        <v>1</v>
      </c>
      <c r="E87" s="290" cm="1">
        <f t="array" ref="E87">IFERROR(INDEX(Tabla1[IDF],MATCH(1,(Tabla1[Departamento]=$B$80)*(Tabla1[Año]=$A87),0)),"—")</f>
        <v>61.84893636683325</v>
      </c>
      <c r="F87" s="151" t="str" cm="1">
        <f t="array" ref="F87">IFERROR(INDEX(Tabla1[[Rango ]],MATCH(1,(Tabla1[Departamento]=$B$80)*(Tabla1[Año]=$A87),0)),"—")</f>
        <v>3. Vulnerable (&gt;=60 y &lt;70)</v>
      </c>
      <c r="G87" s="191" cm="1">
        <f t="array" ref="G87">IFERROR(INDEX(Tabla1[Ranking nacional],MATCH(1,(Tabla1[Departamento]=$B$80)*(Tabla1[Año]=$A87),0)),"—")</f>
        <v>3</v>
      </c>
    </row>
  </sheetData>
  <mergeCells count="7">
    <mergeCell ref="A29:G29"/>
    <mergeCell ref="A1:P1"/>
    <mergeCell ref="A2:P2"/>
    <mergeCell ref="A8:G8"/>
    <mergeCell ref="I8:P8"/>
    <mergeCell ref="I16:P16"/>
    <mergeCell ref="A16:G16"/>
  </mergeCells>
  <conditionalFormatting sqref="C11:C14">
    <cfRule type="expression" priority="3">
      <formula>AND(ISNUMBER(C11),C11&gt;0)</formula>
    </cfRule>
  </conditionalFormatting>
  <conditionalFormatting sqref="F18:G23">
    <cfRule type="cellIs" priority="2" operator="between"/>
  </conditionalFormatting>
  <conditionalFormatting sqref="F31:G35">
    <cfRule type="cellIs" priority="1" operator="between"/>
  </conditionalFormatting>
  <dataValidations count="3">
    <dataValidation type="list" allowBlank="1" showInputMessage="1" showErrorMessage="1" sqref="B5" xr:uid="{60FD710B-14B4-42E5-B1DD-6D377A5825E9}">
      <formula1>"2020,2021,2022,2023,2024"</formula1>
    </dataValidation>
    <dataValidation type="list" allowBlank="1" showInputMessage="1" showErrorMessage="1" errorTitle="Departamento inválido" error="Seleccione un departamento de la lista" sqref="B80" xr:uid="{7595C542-C117-43BA-B366-9A85668FA8FE}">
      <formula1>_xlfn._LONGTEXT("AMAZONAS,ANTIOQUIA,ARAUCA,ATLANTICO,BOLIVAR,BOYACA,CALDAS,CAQUETA,CASANARE,CAUCA,CESAR,CHOCO,CORDOBA,CUNDINAMARCA,GUAINIA,GUAJIRA,GUAVIARE,HUILA,MAGDALENA,META,NARIÑO,NORTE DE SANTANDER,PUTUMAYO,QUINDIO,RISARALDA,SAN ANDRÉS,SANTANDER,SUCRE,TOLIMA,VALLE DE","L CAUCA,VAUPES,VICHADA")</formula1>
    </dataValidation>
    <dataValidation type="list" allowBlank="1" showInputMessage="1" showErrorMessage="1" sqref="D5" xr:uid="{AA0F34D2-8ACC-442D-A13C-A670906A04B3}">
      <formula1>$S$1:$S$33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8B00-774E-4DA3-97A0-9E9E9A9CC3B5}">
  <sheetPr>
    <tabColor rgb="FFFF187C"/>
  </sheetPr>
  <dimension ref="B1:H62"/>
  <sheetViews>
    <sheetView topLeftCell="A28" workbookViewId="0">
      <selection activeCell="D32" sqref="D32"/>
    </sheetView>
  </sheetViews>
  <sheetFormatPr baseColWidth="10" defaultRowHeight="15" x14ac:dyDescent="0.35"/>
  <cols>
    <col min="1" max="1" width="1.1796875" customWidth="1"/>
    <col min="2" max="2" width="48.453125" customWidth="1"/>
    <col min="3" max="3" width="30.26953125" customWidth="1"/>
    <col min="4" max="4" width="19.7265625" customWidth="1"/>
    <col min="5" max="5" width="14.36328125" customWidth="1"/>
    <col min="6" max="6" width="10.6328125" customWidth="1"/>
    <col min="7" max="7" width="12.08984375" customWidth="1"/>
    <col min="8" max="8" width="54.54296875" customWidth="1"/>
  </cols>
  <sheetData>
    <row r="1" spans="2:8" ht="28.05" customHeight="1" x14ac:dyDescent="0.4">
      <c r="B1" s="254" t="s">
        <v>326</v>
      </c>
    </row>
    <row r="2" spans="2:8" ht="18" customHeight="1" x14ac:dyDescent="0.35">
      <c r="B2" s="255" t="s">
        <v>327</v>
      </c>
    </row>
    <row r="4" spans="2:8" ht="22.05" customHeight="1" x14ac:dyDescent="0.4">
      <c r="B4" s="256" t="s">
        <v>328</v>
      </c>
      <c r="C4" s="257"/>
      <c r="D4" s="257"/>
      <c r="E4" s="257"/>
      <c r="F4" s="257"/>
      <c r="G4" s="257"/>
      <c r="H4" s="257"/>
    </row>
    <row r="5" spans="2:8" ht="18.600000000000001" x14ac:dyDescent="0.4">
      <c r="B5" s="258" t="s">
        <v>280</v>
      </c>
      <c r="C5" s="259" t="s">
        <v>22</v>
      </c>
      <c r="E5" s="261" t="s">
        <v>329</v>
      </c>
      <c r="F5" s="262" t="str" cm="1">
        <f t="array" ref="F5">IFERROR(INDEX(Tabla2[Código (2 digitos)],MATCH(1,(Tabla2[Departamento]=$C$5)*(Tabla2[Año]=$C$6),0)),"-")</f>
        <v>85</v>
      </c>
      <c r="H5" s="264" t="s">
        <v>330</v>
      </c>
    </row>
    <row r="6" spans="2:8" ht="18.600000000000001" x14ac:dyDescent="0.4">
      <c r="B6" s="258" t="s">
        <v>331</v>
      </c>
      <c r="C6" s="265">
        <v>2024</v>
      </c>
      <c r="E6" s="261" t="s">
        <v>332</v>
      </c>
      <c r="F6" s="262" t="str" cm="1">
        <f t="array" ref="F6">IFERROR(INDEX(Tabla2[Región],MATCH(1,(Tabla2[Departamento]=$C$5)*(Tabla2[Año]=$C$6),0)),"-")</f>
        <v>Del Llano</v>
      </c>
    </row>
    <row r="7" spans="2:8" x14ac:dyDescent="0.35">
      <c r="E7" s="261" t="s">
        <v>333</v>
      </c>
      <c r="F7" s="262" cm="1">
        <f t="array" ref="F7">IFERROR(INDEX(Tabla2[Categorías],MATCH(1,(Tabla2[Departamento]=$C$5)*(Tabla2[Año]=$C$6),0)),"-")</f>
        <v>3</v>
      </c>
    </row>
    <row r="8" spans="2:8" x14ac:dyDescent="0.35">
      <c r="E8" s="261" t="s">
        <v>334</v>
      </c>
      <c r="F8" s="262" cm="1">
        <f t="array" ref="F8">IFERROR(INDEX(Tabla2[Tipologías],MATCH(1,(Tabla2[Departamento]=$C$5)*(Tabla2[Año]=$C$6),0)),"-")</f>
        <v>2</v>
      </c>
    </row>
    <row r="10" spans="2:8" ht="22.05" customHeight="1" x14ac:dyDescent="0.4">
      <c r="B10" s="266" t="s">
        <v>335</v>
      </c>
      <c r="C10" s="267"/>
      <c r="D10" s="268" t="s">
        <v>336</v>
      </c>
      <c r="E10" s="267"/>
      <c r="F10" s="267"/>
      <c r="G10" s="267"/>
      <c r="H10" s="267"/>
    </row>
    <row r="11" spans="2:8" x14ac:dyDescent="0.35">
      <c r="B11" s="269" t="s">
        <v>337</v>
      </c>
      <c r="C11" s="270" t="s">
        <v>338</v>
      </c>
      <c r="D11" s="269" t="s">
        <v>339</v>
      </c>
    </row>
    <row r="12" spans="2:8" x14ac:dyDescent="0.35">
      <c r="B12" s="33" t="s">
        <v>340</v>
      </c>
      <c r="C12" s="271" cm="1">
        <f t="array" ref="C12">IFERROR(INDEX(Tabla2[A1000-Ingresos tributarios (No SGR],MATCH(1,(Tabla2[Departamento]=$C$5)*(Tabla2[Año]=$C$6),0)),0)</f>
        <v>156752.284017</v>
      </c>
      <c r="D12" s="272" t="s">
        <v>341</v>
      </c>
    </row>
    <row r="13" spans="2:8" x14ac:dyDescent="0.35">
      <c r="B13" s="33" t="s">
        <v>342</v>
      </c>
      <c r="C13" s="271" cm="1">
        <f t="array" ref="C13">IFERROR(INDEX(Tabla2[A2000-Ingresos no tributarios (No SGR)],MATCH(1,(Tabla2[Departamento]=$C$5)*(Tabla2[Año]=$C$6),0)),0)</f>
        <v>33766.266918000001</v>
      </c>
      <c r="D13" s="272" t="s">
        <v>343</v>
      </c>
    </row>
    <row r="14" spans="2:8" x14ac:dyDescent="0.35">
      <c r="B14" s="33" t="s">
        <v>344</v>
      </c>
      <c r="C14" s="271" cm="1">
        <f t="array" ref="C14">IFERROR(INDEX(Tabla2[A3010-Transferencias corrientes de nivel nacional (NO tiene SGR)],MATCH(1,(Tabla2[Departamento]=$C$5)*(Tabla2[Año]=$C$6),0)),0)</f>
        <v>38395.44728</v>
      </c>
      <c r="D14" s="272" t="s">
        <v>345</v>
      </c>
    </row>
    <row r="15" spans="2:8" x14ac:dyDescent="0.35">
      <c r="B15" s="33" t="s">
        <v>346</v>
      </c>
      <c r="C15" s="271" cm="1">
        <f t="array" ref="C15">IFERROR(INDEX(Tabla2[D1000-Transferencias nacionales (No tiene SGR)],MATCH(1,(Tabla2[Departamento]=$C$5)*(Tabla2[Año]=$C$6),0)),0)</f>
        <v>308281.44166700001</v>
      </c>
      <c r="D15" s="272" t="s">
        <v>347</v>
      </c>
    </row>
    <row r="16" spans="2:8" x14ac:dyDescent="0.35">
      <c r="B16" s="260" t="s">
        <v>348</v>
      </c>
      <c r="C16" s="273" cm="1">
        <f t="array" ref="C16">IFERROR(INDEX(Tabla2[A-INGRESOS TOTALES (NO SGR)],MATCH(1,(Tabla2[Departamento]=$C$5)*(Tabla2[Año]=$C$6),0)),0)</f>
        <v>660627.00222100003</v>
      </c>
      <c r="D16" s="272" t="s">
        <v>349</v>
      </c>
    </row>
    <row r="17" spans="2:8" x14ac:dyDescent="0.35">
      <c r="B17" s="33" t="s">
        <v>454</v>
      </c>
      <c r="C17" s="271" cm="1">
        <f t="array" ref="C17">IFERROR(INDEX(Tabla2[Ingreso corriente],MATCH(1,(Tabla2[Departamento]=$C$5)*(Tabla2[Año]=$C$6),0)),0)</f>
        <v>231171.32487400001</v>
      </c>
      <c r="D17" s="272" t="s">
        <v>350</v>
      </c>
    </row>
    <row r="18" spans="2:8" x14ac:dyDescent="0.35">
      <c r="B18" s="33" t="s">
        <v>351</v>
      </c>
      <c r="C18" s="271" cm="1">
        <f t="array" ref="C18">IFERROR(INDEX(Tabla2[Ahorro corriente],MATCH(1,(Tabla2[Departamento]=$C$5)*(Tabla2[Año]=$C$6),0)),0)</f>
        <v>124862.96584200002</v>
      </c>
      <c r="D18" s="272" t="s">
        <v>352</v>
      </c>
    </row>
    <row r="19" spans="2:8" x14ac:dyDescent="0.35">
      <c r="B19" s="33" t="s">
        <v>353</v>
      </c>
      <c r="C19" s="359" cm="1">
        <f t="array" ref="C19">IFERROR(INDEX(Tabla2[Gasto en Inversión],MATCH(1,(Tabla2[Departamento]=$C$5)*(Tabla2[Año]=$C$6),0)),0)</f>
        <v>1585364.5364659999</v>
      </c>
      <c r="D19" s="272" t="s">
        <v>354</v>
      </c>
    </row>
    <row r="20" spans="2:8" x14ac:dyDescent="0.35">
      <c r="B20" s="33" t="s">
        <v>455</v>
      </c>
      <c r="C20" s="271" cm="1">
        <f t="array" ref="C20">IFERROR(INDEX(Tabla2[Compromisos],MATCH(1,(Tabla2[Departamento]=$C$5)*(Tabla2[Año]=$C$6),0)),0)</f>
        <v>531145.97397299996</v>
      </c>
      <c r="D20" s="272" t="s">
        <v>355</v>
      </c>
    </row>
    <row r="21" spans="2:8" x14ac:dyDescent="0.35">
      <c r="B21" s="33" t="s">
        <v>456</v>
      </c>
      <c r="C21" s="271" cm="1">
        <f t="array" ref="C21">IFERROR(INDEX(Tabla2[Pagos],MATCH(1,(Tabla2[Departamento]=$C$5)*(Tabla2[Año]=$C$6),0)),0)</f>
        <v>483908.63408400002</v>
      </c>
      <c r="D21" s="272" t="s">
        <v>356</v>
      </c>
    </row>
    <row r="22" spans="2:8" x14ac:dyDescent="0.35">
      <c r="B22" s="33" t="s">
        <v>457</v>
      </c>
      <c r="C22" s="358" cm="1">
        <f t="array" ref="C22">IFERROR(INDEX(Tabla2[Gasto en Formación Bruta de Capital],MATCH(1,(Tabla2[Departamento]=$C$5)*(Tabla2[Año]=$C$6),0)),0)</f>
        <v>763817.85988799995</v>
      </c>
      <c r="D22" s="272" t="s">
        <v>357</v>
      </c>
    </row>
    <row r="23" spans="2:8" x14ac:dyDescent="0.35">
      <c r="B23" s="33" t="s">
        <v>34</v>
      </c>
      <c r="C23" s="271" cm="1">
        <f t="array" ref="C23">IFERROR(INDEX(Tabla2[Pasivos totales],MATCH(1,(Tabla2[Departamento]=$C$5)*(Tabla2[Año]=$C$6),0)),0)</f>
        <v>760401.17518092005</v>
      </c>
      <c r="D23" s="272" t="s">
        <v>358</v>
      </c>
    </row>
    <row r="24" spans="2:8" x14ac:dyDescent="0.35">
      <c r="B24" s="33" t="s">
        <v>35</v>
      </c>
      <c r="C24" s="271" cm="1">
        <f t="array" ref="C24">IFERROR(INDEX(Tabla2[Activos totales],MATCH(1,(Tabla2[Departamento]=$C$5)*(Tabla2[Año]=$C$6),0)),0)</f>
        <v>3349108.0104901399</v>
      </c>
      <c r="D24" s="272" t="s">
        <v>359</v>
      </c>
    </row>
    <row r="25" spans="2:8" x14ac:dyDescent="0.35">
      <c r="B25" s="33" t="s">
        <v>458</v>
      </c>
      <c r="C25" s="271" cm="1">
        <f t="array" ref="C25">IFERROR(INDEX(Tabla2[Déficit o superávit + intereses deuda+RB],MATCH(1,(Tabla2[Departamento]=$C$5)*(Tabla2[Año]=$C$6),0)),0)</f>
        <v>100874.94645000012</v>
      </c>
      <c r="D25" s="272" t="s">
        <v>360</v>
      </c>
    </row>
    <row r="26" spans="2:8" x14ac:dyDescent="0.35">
      <c r="B26" s="33" t="s">
        <v>459</v>
      </c>
      <c r="C26" s="271" cm="1">
        <f t="array" ref="C26">IFERROR(INDEX(Tabla2[Ingresos totales + desembolsos ],MATCH(1,(Tabla2[Departamento]=$C$5)*(Tabla2[Año]=$C$6),0)),0)</f>
        <v>660627.00222100003</v>
      </c>
      <c r="D26" s="272" t="s">
        <v>361</v>
      </c>
    </row>
    <row r="27" spans="2:8" x14ac:dyDescent="0.35">
      <c r="B27" s="33" t="s">
        <v>362</v>
      </c>
      <c r="C27" s="274" cm="1">
        <f t="array" ref="C27">IFERROR(INDEX(Tabla2[Gastos de funcionamiento / ICLD],MATCH(1,(Tabla2[Departamento]=$C$5)*(Tabla2[Año]=$C$6),0)),0)</f>
        <v>58.857956198107821</v>
      </c>
      <c r="D27" s="272" t="s">
        <v>363</v>
      </c>
    </row>
    <row r="29" spans="2:8" ht="22.05" customHeight="1" x14ac:dyDescent="0.4">
      <c r="B29" s="275" t="s">
        <v>364</v>
      </c>
      <c r="C29" s="276"/>
      <c r="D29" s="276"/>
      <c r="E29" s="276"/>
      <c r="F29" s="276"/>
      <c r="G29" s="276"/>
      <c r="H29" s="277" t="s">
        <v>365</v>
      </c>
    </row>
    <row r="30" spans="2:8" x14ac:dyDescent="0.35">
      <c r="B30" s="278" t="s">
        <v>297</v>
      </c>
      <c r="C30" s="278" t="s">
        <v>366</v>
      </c>
      <c r="D30" s="279" t="s">
        <v>367</v>
      </c>
      <c r="E30" s="280" t="s">
        <v>368</v>
      </c>
      <c r="F30" s="280" t="s">
        <v>369</v>
      </c>
      <c r="G30" s="280" t="s">
        <v>370</v>
      </c>
      <c r="H30" s="280" t="s">
        <v>371</v>
      </c>
    </row>
    <row r="31" spans="2:8" ht="25.8" x14ac:dyDescent="0.35">
      <c r="B31" s="33" t="s">
        <v>372</v>
      </c>
      <c r="C31" s="356" t="str">
        <f>"= (A3010 + D1000) / A = ("&amp;TEXT(C14,"#.##0")&amp;" + "&amp;TEXT(C15,"#.##0")&amp;") / "&amp;TEXT(C16,"#.##0")</f>
        <v>= (A3010 + D1000) / A = (38.395 + 308.281) / 660.627</v>
      </c>
      <c r="D31" s="281">
        <f>(C14+C15)/C16*100</f>
        <v>52.476948078338758</v>
      </c>
      <c r="E31" s="282" cm="1">
        <f t="array" ref="E31">IFERROR(INDEX(Tabla2[Dependencia de las transferencias "Calificación"],MATCH(1,(Tabla2[Departamento]=$C$5)*(Tabla2[Año]=$C$6),0)),"-")</f>
        <v>47.523051921661235</v>
      </c>
      <c r="F31" s="283">
        <v>0.16</v>
      </c>
      <c r="G31" s="281">
        <f t="shared" ref="G31:G35" si="0">E31*F31</f>
        <v>7.6036883074657977</v>
      </c>
      <c r="H31" s="272" t="s">
        <v>373</v>
      </c>
    </row>
    <row r="32" spans="2:8" ht="25.8" x14ac:dyDescent="0.35">
      <c r="B32" s="33" t="s">
        <v>374</v>
      </c>
      <c r="C32" s="356" t="str">
        <f>"= FBKF / Gasto en inversión = "&amp;TEXT(C22,"#.##0")&amp;" / "&amp;TEXT(C19,"#.##0")</f>
        <v>= FBKF / Gasto en inversión = 763.818 / 1.585.365</v>
      </c>
      <c r="D32" s="281">
        <f>C22/C19*100</f>
        <v>48.179320422459881</v>
      </c>
      <c r="E32" s="282" cm="1">
        <f t="array" ref="E32">IFERROR(INDEX(Tabla2[FBK fijo/ Inversión  (Con SGR)*],MATCH(1,(Tabla2[Departamento]=$C$5)*(Tabla2[Año]=$C$6),0)),"-")</f>
        <v>100</v>
      </c>
      <c r="F32" s="283">
        <v>0.16</v>
      </c>
      <c r="G32" s="281">
        <f t="shared" si="0"/>
        <v>16</v>
      </c>
      <c r="H32" s="272" t="s">
        <v>375</v>
      </c>
    </row>
    <row r="33" spans="2:8" x14ac:dyDescent="0.35">
      <c r="B33" s="33" t="s">
        <v>376</v>
      </c>
      <c r="C33" s="356" t="str">
        <f>"= Pasivos / Activos = "&amp;TEXT(C23,"#.##0")&amp;" / "&amp;TEXT(C24,"#.##0")</f>
        <v>= Pasivos / Activos = 760.401 / 3.349.108</v>
      </c>
      <c r="D33" s="281">
        <f>C23/C24*100</f>
        <v>22.704587991763088</v>
      </c>
      <c r="E33" s="282" cm="1">
        <f t="array" ref="E33">IFERROR(INDEX(Tabla2[Endeudamiento "Calificación"],MATCH(1,(Tabla2[Departamento]=$C$5)*(Tabla2[Año]=$C$6),0)),"-")</f>
        <v>77.295412008236909</v>
      </c>
      <c r="F33" s="283">
        <v>0.16</v>
      </c>
      <c r="G33" s="281">
        <f t="shared" si="0"/>
        <v>12.367265921317905</v>
      </c>
      <c r="H33" s="272" t="s">
        <v>377</v>
      </c>
    </row>
    <row r="34" spans="2:8" ht="25.8" x14ac:dyDescent="0.35">
      <c r="B34" s="33" t="s">
        <v>378</v>
      </c>
      <c r="C34" s="356" t="str">
        <f>"= Ahorro corriente / Ingresos corrientes = "&amp;TEXT(C18,"#.##0")&amp;" / "&amp;TEXT(C17,"#.##0")</f>
        <v>= Ahorro corriente / Ingresos corrientes = 124.863 / 231.171</v>
      </c>
      <c r="D34" s="281">
        <f>C18/C17*100</f>
        <v>54.013172226294337</v>
      </c>
      <c r="E34" s="282" cm="1">
        <f t="array" ref="E34">IFERROR(INDEX(Tabla2[Ahorro corriente "Calificación"],MATCH(1,(Tabla2[Departamento]=$C$5)*(Tabla2[Año]=$C$6),0)),"-")</f>
        <v>70</v>
      </c>
      <c r="F34" s="283">
        <v>0.16</v>
      </c>
      <c r="G34" s="281">
        <f t="shared" si="0"/>
        <v>11.200000000000001</v>
      </c>
      <c r="H34" s="272" t="s">
        <v>379</v>
      </c>
    </row>
    <row r="35" spans="2:8" ht="25.8" x14ac:dyDescent="0.35">
      <c r="B35" s="33" t="s">
        <v>380</v>
      </c>
      <c r="C35" s="356" t="str">
        <f>"= (Sup/Déf + Intereses + RB) / (A + Desembolsos) = "&amp;TEXT(C25,"#.##0")&amp;" / "&amp;TEXT(C26,"#.##0")</f>
        <v>= (Sup/Déf + Intereses + RB) / (A + Desembolsos) = 100.875 / 660.627</v>
      </c>
      <c r="D35" s="281">
        <f>C25/C26*100</f>
        <v>15.26957664625618</v>
      </c>
      <c r="E35" s="282" cm="1">
        <f t="array" ref="E35">IFERROR(INDEX(Tabla2[Balance Fiscal Primario "Calificación"],MATCH(1,(Tabla2[Departamento]=$C$5)*(Tabla2[Año]=$C$6),0)),"-")</f>
        <v>40</v>
      </c>
      <c r="F35" s="283">
        <v>0.16</v>
      </c>
      <c r="G35" s="281">
        <f t="shared" si="0"/>
        <v>6.4</v>
      </c>
      <c r="H35" s="272" t="s">
        <v>381</v>
      </c>
    </row>
    <row r="36" spans="2:8" ht="25.8" x14ac:dyDescent="0.35">
      <c r="B36" s="284" t="s">
        <v>382</v>
      </c>
      <c r="C36" s="357" t="s">
        <v>383</v>
      </c>
      <c r="D36" s="287"/>
      <c r="E36" s="288">
        <f>AVERAGE(E31:E35)</f>
        <v>66.963692785979632</v>
      </c>
      <c r="F36" s="289">
        <f>SUM(F31:F35)</f>
        <v>0.8</v>
      </c>
      <c r="G36" s="288">
        <f>E36*F36</f>
        <v>53.570954228783705</v>
      </c>
      <c r="H36" s="286" t="s">
        <v>384</v>
      </c>
    </row>
    <row r="38" spans="2:8" ht="22.05" customHeight="1" x14ac:dyDescent="0.4">
      <c r="B38" s="291" t="s">
        <v>385</v>
      </c>
      <c r="C38" s="292"/>
      <c r="D38" s="292"/>
      <c r="E38" s="292"/>
      <c r="F38" s="292"/>
      <c r="G38" s="292"/>
      <c r="H38" s="293" t="s">
        <v>386</v>
      </c>
    </row>
    <row r="39" spans="2:8" x14ac:dyDescent="0.35">
      <c r="B39" s="294" t="s">
        <v>297</v>
      </c>
      <c r="C39" s="294" t="s">
        <v>387</v>
      </c>
      <c r="D39" s="295" t="s">
        <v>367</v>
      </c>
      <c r="E39" s="295" t="s">
        <v>261</v>
      </c>
      <c r="F39" s="295" t="s">
        <v>388</v>
      </c>
      <c r="G39" s="295" t="s">
        <v>370</v>
      </c>
      <c r="H39" s="295" t="s">
        <v>389</v>
      </c>
    </row>
    <row r="40" spans="2:8" x14ac:dyDescent="0.35">
      <c r="B40" s="33" t="s">
        <v>390</v>
      </c>
      <c r="C40" s="272" t="str" cm="1">
        <f t="array" ref="C40">"= Límite Ley 617 − GF/ICLD = "&amp;TEXT(IFERROR(INDEX(Tabla2[Límite Ley 617 de 2000],MATCH(1,(Tabla2[Departamento]=$C$5)*(Tabla2[Año]=$C$6),0)),0),"0,00")&amp;"% − "&amp;TEXT(C27,"0,00")&amp;"%"</f>
        <v>= Límite Ley 617 − GF/ICLD = 70,00% − 58,86%</v>
      </c>
      <c r="D40" s="281" cm="1">
        <f t="array" ref="D40">IFERROR(INDEX(Tabla2[Holgura "Resultado"],MATCH(1,(Tabla2[Departamento]=$C$5)*(Tabla2[Año]=$C$6),0)),"-")</f>
        <v>11.142043801892179</v>
      </c>
      <c r="E40" s="282" cm="1">
        <f t="array" ref="E40">IFERROR(INDEX(Tabla2[Holgura "Calificación"],MATCH(1,(Tabla2[Departamento]=$C$5)*(Tabla2[Año]=$C$6),0)),"-")</f>
        <v>100</v>
      </c>
      <c r="F40" s="296">
        <f>20%/3</f>
        <v>6.6666666666666666E-2</v>
      </c>
      <c r="G40" s="281">
        <f>E40*F40</f>
        <v>6.666666666666667</v>
      </c>
      <c r="H40" s="272" t="s">
        <v>391</v>
      </c>
    </row>
    <row r="41" spans="2:8" x14ac:dyDescent="0.35">
      <c r="B41" s="33" t="s">
        <v>392</v>
      </c>
      <c r="C41" s="272" t="str" cm="1">
        <f t="array" ref="C41">"= (A1000 + A2000) / Ppto inicial = ("&amp;TEXT(C12,"#.##0")&amp;" + "&amp;TEXT(C13,"#.##0")&amp;") / "&amp;TEXT(IFERROR(INDEX(Tabla2[[Presupuesto Inicial ]],MATCH(1,(Tabla2[Departamento]=$C$5)*(Tabla2[Año]=$C$6),0)),0),"#.##0")</f>
        <v>= (A1000 + A2000) / Ppto inicial = (156.752 + 33.766) / 132.142</v>
      </c>
      <c r="D41" s="281" cm="1">
        <f t="array" ref="D41">IFERROR(INDEX(Tabla2[Capacidad de programación y recaudo de ingresos "Resultado"],MATCH(1,(Tabla2[Departamento]=$C$5)*(Tabla2[Año]=$C$6),0)),"-")</f>
        <v>144.17725048145587</v>
      </c>
      <c r="E41" s="282" cm="1">
        <f t="array" ref="E41">IFERROR(INDEX(Tabla2[Capacidad de programación y recaudo de Ingresos "Calificación"],MATCH(1,(Tabla2[Departamento]=$C$5)*(Tabla2[Año]=$C$6),0)),"-")</f>
        <v>60</v>
      </c>
      <c r="F41" s="296">
        <f>20%/3</f>
        <v>6.6666666666666666E-2</v>
      </c>
      <c r="G41" s="281">
        <f>E41*F41</f>
        <v>4</v>
      </c>
      <c r="H41" s="272" t="s">
        <v>393</v>
      </c>
    </row>
    <row r="42" spans="2:8" x14ac:dyDescent="0.35">
      <c r="B42" s="33" t="s">
        <v>394</v>
      </c>
      <c r="C42" s="272" t="str">
        <f>"= Pagos / Compromisos = "&amp;TEXT(C21,"#.##0")&amp;" / "&amp;TEXT(C20,"#.##0")</f>
        <v>= Pagos / Compromisos = 483.909 / 531.146</v>
      </c>
      <c r="D42" s="281" cm="1">
        <f t="array" ref="D42">IFERROR(INDEX(Tabla2[Capacidad de Ejecución de Inversión "Resultado"],MATCH(1,(Tabla2[Departamento]=$C$5)*(Tabla2[Año]=$C$6),0)),"-")</f>
        <v>91.106523968230022</v>
      </c>
      <c r="E42" s="282" cm="1">
        <f t="array" ref="E42">IFERROR(INDEX(Tabla2[Capacidad de Ejecución de Inversión "Calificación"],MATCH(1,(Tabla2[Departamento]=$C$5)*(Tabla2[Año]=$C$6),0)),"-")</f>
        <v>100</v>
      </c>
      <c r="F42" s="296">
        <f>20%/3</f>
        <v>6.6666666666666666E-2</v>
      </c>
      <c r="G42" s="281">
        <f>E42*F42</f>
        <v>6.666666666666667</v>
      </c>
      <c r="H42" s="272" t="s">
        <v>395</v>
      </c>
    </row>
    <row r="43" spans="2:8" x14ac:dyDescent="0.35">
      <c r="B43" s="33" t="s">
        <v>396</v>
      </c>
      <c r="C43" s="285" t="s">
        <v>397</v>
      </c>
      <c r="D43" s="297" t="s">
        <v>288</v>
      </c>
      <c r="E43" s="282" cm="1">
        <f t="array" ref="E43">IFERROR(INDEX(Tabla2[Bonificación Esfuerzo Porpio "Calificación"],MATCH(1,(Tabla2[Departamento]=$C$5)*(Tabla2[Año]=$C$6),0)),0)</f>
        <v>0</v>
      </c>
      <c r="F43" s="298" t="s">
        <v>398</v>
      </c>
      <c r="G43" s="281">
        <f>IFERROR(E43,0)</f>
        <v>0</v>
      </c>
      <c r="H43" s="272" t="s">
        <v>399</v>
      </c>
    </row>
    <row r="44" spans="2:8" x14ac:dyDescent="0.35">
      <c r="B44" s="284" t="s">
        <v>400</v>
      </c>
      <c r="C44" s="286" t="s">
        <v>401</v>
      </c>
      <c r="D44" s="287"/>
      <c r="E44" s="288">
        <f>AVERAGE(E40:E42)+E43</f>
        <v>86.666666666666671</v>
      </c>
      <c r="F44" s="289">
        <f>SUM(F40:F42)</f>
        <v>0.2</v>
      </c>
      <c r="G44" s="288">
        <f>E44*F44</f>
        <v>17.333333333333336</v>
      </c>
      <c r="H44" s="286" t="s">
        <v>402</v>
      </c>
    </row>
    <row r="46" spans="2:8" ht="22.05" customHeight="1" x14ac:dyDescent="0.4">
      <c r="B46" s="299" t="s">
        <v>403</v>
      </c>
      <c r="C46" s="300"/>
      <c r="D46" s="300"/>
      <c r="E46" s="300"/>
      <c r="F46" s="300"/>
      <c r="G46" s="300"/>
      <c r="H46" s="301" t="s">
        <v>404</v>
      </c>
    </row>
    <row r="48" spans="2:8" x14ac:dyDescent="0.35">
      <c r="B48" s="302" t="s">
        <v>405</v>
      </c>
      <c r="C48" s="303" t="s">
        <v>406</v>
      </c>
      <c r="D48" s="303" t="s">
        <v>407</v>
      </c>
      <c r="E48" s="303" t="s">
        <v>408</v>
      </c>
    </row>
    <row r="49" spans="2:5" x14ac:dyDescent="0.35">
      <c r="B49" s="33" t="s">
        <v>409</v>
      </c>
      <c r="C49" s="281">
        <f>E36</f>
        <v>66.963692785979632</v>
      </c>
      <c r="D49" s="283">
        <v>0.8</v>
      </c>
      <c r="E49" s="282">
        <f>G36</f>
        <v>53.570954228783705</v>
      </c>
    </row>
    <row r="50" spans="2:5" x14ac:dyDescent="0.35">
      <c r="B50" s="33" t="s">
        <v>410</v>
      </c>
      <c r="C50" s="281">
        <f>E44</f>
        <v>86.666666666666671</v>
      </c>
      <c r="D50" s="283">
        <v>0.2</v>
      </c>
      <c r="E50" s="282">
        <f>G44</f>
        <v>17.333333333333336</v>
      </c>
    </row>
    <row r="51" spans="2:5" ht="28.05" customHeight="1" x14ac:dyDescent="0.5">
      <c r="B51" s="304" t="s">
        <v>411</v>
      </c>
      <c r="C51" s="300"/>
      <c r="D51" s="305">
        <v>1</v>
      </c>
      <c r="E51" s="306">
        <f>E49+E50</f>
        <v>70.904287562117048</v>
      </c>
    </row>
    <row r="53" spans="2:5" ht="22.05" customHeight="1" x14ac:dyDescent="0.35">
      <c r="B53" s="307" t="s">
        <v>412</v>
      </c>
      <c r="C53" s="308"/>
      <c r="D53" s="308"/>
      <c r="E53" s="308"/>
    </row>
    <row r="54" spans="2:5" ht="16.2" x14ac:dyDescent="0.35">
      <c r="B54" s="258" t="s">
        <v>413</v>
      </c>
      <c r="C54" s="309" t="str" cm="1">
        <f t="array" ref="C54">IFERROR(INDEX(Tabla2[[Rango ]],MATCH(1,(Tabla2[Departamento]=$C$5)*(Tabla2[Año]=$C$6),0)),"-")</f>
        <v>4. Solvente (&gt;=70 y &lt;80)</v>
      </c>
    </row>
    <row r="55" spans="2:5" ht="18.600000000000001" x14ac:dyDescent="0.4">
      <c r="B55" s="258" t="s">
        <v>414</v>
      </c>
      <c r="C55" s="310" cm="1">
        <f t="array" ref="C55">IFERROR(INDEX(Tabla2[Ranking nacional],MATCH(1,(Tabla2[Departamento]=$C$5)*(Tabla2[Año]=$C$6),0)),"-")</f>
        <v>1</v>
      </c>
      <c r="D55" s="263" t="s">
        <v>415</v>
      </c>
    </row>
    <row r="57" spans="2:5" ht="22.05" customHeight="1" x14ac:dyDescent="0.35">
      <c r="B57" s="307" t="s">
        <v>416</v>
      </c>
      <c r="C57" s="308"/>
      <c r="D57" s="308"/>
    </row>
    <row r="58" spans="2:5" x14ac:dyDescent="0.35">
      <c r="B58" s="311" t="s">
        <v>417</v>
      </c>
      <c r="C58" s="33" t="s">
        <v>418</v>
      </c>
    </row>
    <row r="59" spans="2:5" x14ac:dyDescent="0.35">
      <c r="B59" s="312" t="s">
        <v>419</v>
      </c>
      <c r="C59" s="33" t="s">
        <v>420</v>
      </c>
    </row>
    <row r="60" spans="2:5" x14ac:dyDescent="0.35">
      <c r="B60" s="313" t="s">
        <v>421</v>
      </c>
      <c r="C60" s="33" t="s">
        <v>422</v>
      </c>
    </row>
    <row r="61" spans="2:5" x14ac:dyDescent="0.35">
      <c r="B61" s="314" t="s">
        <v>423</v>
      </c>
      <c r="C61" s="33" t="s">
        <v>424</v>
      </c>
    </row>
    <row r="62" spans="2:5" x14ac:dyDescent="0.35">
      <c r="B62" s="315" t="s">
        <v>425</v>
      </c>
      <c r="C62" s="33" t="s">
        <v>426</v>
      </c>
    </row>
  </sheetData>
  <dataValidations count="2">
    <dataValidation type="list" allowBlank="1" showInputMessage="1" showErrorMessage="1" errorTitle="Departamento no válido" error="Selecciona un departamento de la lista." promptTitle="Departamento" prompt="Selecciona un departamento del listado." sqref="C5" xr:uid="{B638A397-C729-4977-8D52-60D3C0D195C3}">
      <formula1>_xlfn._LONGTEXT("AMAZONAS,ANTIOQUIA,ARAUCA,ATLANTICO,BOLIVAR,BOYACA,CALDAS,CAQUETA,CASANARE,CAUCA,CESAR,CHOCO,CORDOBA,CUNDINAMARCA,GUAINIA,GUAJIRA,GUAVIARE,HUILA,MAGDALENA,META,NARIÑO,NORTE DE SANTANDER,PUTUMAYO,QUINDIO,RISARALDA,SAN ANDRÉS,SANTANDER,SUCRE,TOLIMA,VALLE DE","L CAUCA,VAUPES,VICHADA")</formula1>
    </dataValidation>
    <dataValidation type="list" allowBlank="1" showInputMessage="1" showErrorMessage="1" errorTitle="Año no válido" error="Selecciona un año del listado." promptTitle="Año" prompt="Selecciona un año entre 2020 y 2024." sqref="C6" xr:uid="{6DCEE239-7E91-48BF-B23C-BCB471536CC7}">
      <formula1>"2020,2021,2022,2023,2024"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7B3E-8764-4FDA-9BE4-99D2BF15A25B}">
  <sheetPr codeName="Hoja8">
    <tabColor rgb="FF0070C0"/>
  </sheetPr>
  <dimension ref="A1:BH3231"/>
  <sheetViews>
    <sheetView zoomScale="85" zoomScaleNormal="85" workbookViewId="0">
      <pane xSplit="4" ySplit="4" topLeftCell="X5" activePane="bottomRight" state="frozen"/>
      <selection pane="topRight" activeCell="D1" sqref="D1"/>
      <selection pane="bottomLeft" activeCell="A5" sqref="A5"/>
      <selection pane="bottomRight" activeCell="Z44" sqref="Z44"/>
    </sheetView>
  </sheetViews>
  <sheetFormatPr baseColWidth="10" defaultColWidth="11.08984375" defaultRowHeight="13.8" x14ac:dyDescent="0.3"/>
  <cols>
    <col min="1" max="2" width="16.36328125" style="33" customWidth="1"/>
    <col min="3" max="3" width="8" style="33" customWidth="1"/>
    <col min="4" max="4" width="14.08984375" style="33" customWidth="1"/>
    <col min="5" max="5" width="11.08984375" style="33" customWidth="1"/>
    <col min="6" max="6" width="10.81640625" style="151" customWidth="1"/>
    <col min="7" max="7" width="15.08984375" style="33" customWidth="1"/>
    <col min="8" max="12" width="14.90625" style="33" customWidth="1"/>
    <col min="13" max="16" width="10.81640625" style="33" customWidth="1"/>
    <col min="17" max="20" width="13.90625" style="33" customWidth="1"/>
    <col min="21" max="32" width="16.6328125" style="33" customWidth="1"/>
    <col min="33" max="45" width="9.453125" style="33" customWidth="1"/>
    <col min="46" max="46" width="8.08984375" style="33" customWidth="1"/>
    <col min="47" max="47" width="10.453125" style="33" customWidth="1"/>
    <col min="48" max="58" width="8.08984375" style="33" customWidth="1"/>
    <col min="59" max="59" width="17.81640625" style="33" customWidth="1"/>
    <col min="60" max="16384" width="11.08984375" style="33"/>
  </cols>
  <sheetData>
    <row r="1" spans="1:60" ht="14.7" customHeight="1" x14ac:dyDescent="0.3">
      <c r="A1" s="370" t="s">
        <v>54</v>
      </c>
      <c r="B1" s="370"/>
      <c r="C1" s="370"/>
      <c r="D1" s="370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</row>
    <row r="2" spans="1:60" ht="22.2" customHeight="1" x14ac:dyDescent="0.3">
      <c r="A2" s="371" t="s">
        <v>55</v>
      </c>
      <c r="B2" s="371"/>
      <c r="C2" s="371"/>
      <c r="D2" s="371"/>
      <c r="AC2" s="35"/>
      <c r="AD2" s="35"/>
      <c r="AE2" s="35"/>
      <c r="AF2" s="35"/>
      <c r="AT2" s="33">
        <v>100</v>
      </c>
    </row>
    <row r="3" spans="1:60" ht="19.5" customHeight="1" thickBot="1" x14ac:dyDescent="0.35">
      <c r="H3" s="368" t="s">
        <v>56</v>
      </c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74" t="s">
        <v>57</v>
      </c>
      <c r="AD3" s="374"/>
      <c r="AE3" s="374"/>
      <c r="AF3" s="374"/>
      <c r="AG3" s="372" t="s">
        <v>29</v>
      </c>
      <c r="AH3" s="372"/>
      <c r="AI3" s="372"/>
      <c r="AJ3" s="372"/>
      <c r="AK3" s="372"/>
      <c r="AL3" s="372"/>
      <c r="AM3" s="372"/>
      <c r="AN3" s="372"/>
      <c r="AO3" s="372"/>
      <c r="AP3" s="372"/>
      <c r="AQ3" s="372"/>
      <c r="AR3" s="373">
        <v>0.8</v>
      </c>
      <c r="AS3" s="373"/>
      <c r="AT3" s="369" t="s">
        <v>58</v>
      </c>
      <c r="AU3" s="369"/>
      <c r="AV3" s="369"/>
      <c r="AW3" s="369"/>
      <c r="AX3" s="369"/>
      <c r="AY3" s="369"/>
      <c r="AZ3" s="369"/>
      <c r="BA3" s="8"/>
      <c r="BB3" s="373">
        <v>0.2</v>
      </c>
      <c r="BC3" s="373"/>
      <c r="BD3" s="373"/>
      <c r="BE3" s="367" t="s">
        <v>59</v>
      </c>
      <c r="BF3" s="367"/>
      <c r="BG3" s="367"/>
    </row>
    <row r="4" spans="1:60" ht="56.4" customHeight="1" thickBot="1" x14ac:dyDescent="0.35">
      <c r="A4" s="71" t="s">
        <v>171</v>
      </c>
      <c r="B4" s="71" t="s">
        <v>138</v>
      </c>
      <c r="C4" s="71" t="s">
        <v>45</v>
      </c>
      <c r="D4" s="71" t="s">
        <v>0</v>
      </c>
      <c r="E4" s="148" t="s">
        <v>1</v>
      </c>
      <c r="F4" s="148" t="s">
        <v>175</v>
      </c>
      <c r="G4" s="71" t="s">
        <v>213</v>
      </c>
      <c r="H4" s="71" t="s">
        <v>60</v>
      </c>
      <c r="I4" s="71" t="s">
        <v>61</v>
      </c>
      <c r="J4" s="71" t="s">
        <v>62</v>
      </c>
      <c r="K4" s="71" t="s">
        <v>63</v>
      </c>
      <c r="L4" s="72" t="s">
        <v>64</v>
      </c>
      <c r="M4" s="73" t="s">
        <v>33</v>
      </c>
      <c r="N4" s="73" t="s">
        <v>32</v>
      </c>
      <c r="O4" s="73" t="s">
        <v>37</v>
      </c>
      <c r="P4" s="73" t="s">
        <v>36</v>
      </c>
      <c r="Q4" s="71" t="s">
        <v>65</v>
      </c>
      <c r="R4" s="71" t="s">
        <v>66</v>
      </c>
      <c r="S4" s="71" t="s">
        <v>67</v>
      </c>
      <c r="T4" s="71" t="s">
        <v>68</v>
      </c>
      <c r="U4" s="73" t="s">
        <v>35</v>
      </c>
      <c r="V4" s="73" t="s">
        <v>34</v>
      </c>
      <c r="W4" s="73" t="s">
        <v>41</v>
      </c>
      <c r="X4" s="73" t="s">
        <v>40</v>
      </c>
      <c r="Y4" s="73" t="s">
        <v>69</v>
      </c>
      <c r="Z4" s="73" t="s">
        <v>42</v>
      </c>
      <c r="AA4" s="73" t="s">
        <v>44</v>
      </c>
      <c r="AB4" s="73" t="s">
        <v>43</v>
      </c>
      <c r="AC4" s="73" t="s">
        <v>30</v>
      </c>
      <c r="AD4" s="74" t="s">
        <v>31</v>
      </c>
      <c r="AE4" s="74" t="s">
        <v>38</v>
      </c>
      <c r="AF4" s="74" t="s">
        <v>39</v>
      </c>
      <c r="AG4" s="75" t="s">
        <v>70</v>
      </c>
      <c r="AH4" s="76" t="s">
        <v>71</v>
      </c>
      <c r="AI4" s="75" t="s">
        <v>72</v>
      </c>
      <c r="AJ4" s="75" t="s">
        <v>461</v>
      </c>
      <c r="AK4" s="76" t="s">
        <v>73</v>
      </c>
      <c r="AL4" s="75" t="s">
        <v>74</v>
      </c>
      <c r="AM4" s="76" t="s">
        <v>75</v>
      </c>
      <c r="AN4" s="75" t="s">
        <v>76</v>
      </c>
      <c r="AO4" s="76" t="s">
        <v>77</v>
      </c>
      <c r="AP4" s="75" t="s">
        <v>78</v>
      </c>
      <c r="AQ4" s="76" t="s">
        <v>79</v>
      </c>
      <c r="AR4" s="77" t="s">
        <v>59</v>
      </c>
      <c r="AS4" s="77" t="s">
        <v>80</v>
      </c>
      <c r="AT4" s="78" t="s">
        <v>81</v>
      </c>
      <c r="AU4" s="78" t="s">
        <v>462</v>
      </c>
      <c r="AV4" s="79" t="s">
        <v>82</v>
      </c>
      <c r="AW4" s="78" t="s">
        <v>83</v>
      </c>
      <c r="AX4" s="79" t="s">
        <v>84</v>
      </c>
      <c r="AY4" s="78" t="s">
        <v>85</v>
      </c>
      <c r="AZ4" s="79" t="s">
        <v>86</v>
      </c>
      <c r="BA4" s="80" t="s">
        <v>87</v>
      </c>
      <c r="BB4" s="77" t="s">
        <v>88</v>
      </c>
      <c r="BC4" s="77" t="s">
        <v>89</v>
      </c>
      <c r="BD4" s="77" t="s">
        <v>90</v>
      </c>
      <c r="BE4" s="37" t="s">
        <v>91</v>
      </c>
      <c r="BF4" s="38" t="s">
        <v>92</v>
      </c>
      <c r="BG4" s="38" t="s">
        <v>93</v>
      </c>
      <c r="BH4" s="37" t="s">
        <v>265</v>
      </c>
    </row>
    <row r="5" spans="1:60" s="66" customFormat="1" ht="14.4" hidden="1" customHeight="1" x14ac:dyDescent="0.35">
      <c r="A5" s="82" t="s">
        <v>131</v>
      </c>
      <c r="B5" s="81" t="s">
        <v>166</v>
      </c>
      <c r="C5" s="82">
        <v>2020</v>
      </c>
      <c r="D5" s="82" t="s">
        <v>24</v>
      </c>
      <c r="E5" s="147">
        <v>4</v>
      </c>
      <c r="F5" s="146" t="s">
        <v>178</v>
      </c>
      <c r="G5" t="s">
        <v>214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5"/>
      <c r="V5" s="5"/>
      <c r="W5" s="13"/>
      <c r="X5" s="4"/>
      <c r="Y5" s="4"/>
      <c r="Z5" s="4"/>
      <c r="AA5" s="6"/>
      <c r="AB5" s="5"/>
      <c r="AC5" s="9"/>
      <c r="AD5" s="9"/>
      <c r="AE5" s="9"/>
      <c r="AF5" s="9"/>
      <c r="AG5" s="87">
        <v>89.804355073144066</v>
      </c>
      <c r="AH5" s="87">
        <v>10.195644926855934</v>
      </c>
      <c r="AI5" s="360">
        <v>13.301808475059209</v>
      </c>
      <c r="AJ5" s="360"/>
      <c r="AK5" s="360">
        <v>25.444075753686121</v>
      </c>
      <c r="AL5" s="87">
        <v>34.256105982489643</v>
      </c>
      <c r="AM5" s="87">
        <v>65.743894017510357</v>
      </c>
      <c r="AN5" s="87">
        <v>36.942672019390308</v>
      </c>
      <c r="AO5" s="87">
        <v>50</v>
      </c>
      <c r="AP5" s="360">
        <v>22.476334390312374</v>
      </c>
      <c r="AQ5" s="87">
        <v>20</v>
      </c>
      <c r="AR5" s="360">
        <v>34.27672293961048</v>
      </c>
      <c r="AS5" s="360">
        <v>27.421378351688386</v>
      </c>
      <c r="AT5" s="87">
        <v>10.718977505685135</v>
      </c>
      <c r="AU5" s="87"/>
      <c r="AV5" s="87">
        <v>74.406540368837511</v>
      </c>
      <c r="AW5" s="87">
        <v>79.811430249600463</v>
      </c>
      <c r="AX5" s="87">
        <v>70</v>
      </c>
      <c r="AY5" s="87">
        <v>93.059857981720597</v>
      </c>
      <c r="AZ5" s="87">
        <v>100</v>
      </c>
      <c r="BA5" s="87">
        <v>0</v>
      </c>
      <c r="BB5" s="87">
        <v>81.468846789612499</v>
      </c>
      <c r="BC5" s="87">
        <v>81.468846789612499</v>
      </c>
      <c r="BD5" s="87">
        <v>16.2937693579225</v>
      </c>
      <c r="BE5" s="361">
        <v>43.715147709610889</v>
      </c>
      <c r="BF5" s="361">
        <v>43.715147709610889</v>
      </c>
      <c r="BG5" s="361" t="s">
        <v>109</v>
      </c>
      <c r="BH5" s="361">
        <f t="shared" ref="BH5:BH68" si="0">COUNTIFS($C$5:$C$164,$C5,$BF$5:$BF$164,"&gt;"&amp;$BF5)+1</f>
        <v>28</v>
      </c>
    </row>
    <row r="6" spans="1:60" ht="14.4" hidden="1" customHeight="1" x14ac:dyDescent="0.35">
      <c r="A6" s="82" t="s">
        <v>102</v>
      </c>
      <c r="B6" s="81" t="s">
        <v>139</v>
      </c>
      <c r="C6" s="82">
        <v>2020</v>
      </c>
      <c r="D6" s="82" t="s">
        <v>2</v>
      </c>
      <c r="E6" s="146" t="s">
        <v>51</v>
      </c>
      <c r="F6" s="146" t="s">
        <v>178</v>
      </c>
      <c r="G6" t="s">
        <v>211</v>
      </c>
      <c r="H6" s="17"/>
      <c r="I6" s="17"/>
      <c r="J6" s="17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29"/>
      <c r="X6" s="15"/>
      <c r="Y6" s="30"/>
      <c r="Z6" s="30"/>
      <c r="AA6" s="30"/>
      <c r="AB6" s="30"/>
      <c r="AC6" s="17"/>
      <c r="AD6" s="17"/>
      <c r="AE6" s="17"/>
      <c r="AF6" s="17"/>
      <c r="AG6" s="87">
        <v>44.565230683233246</v>
      </c>
      <c r="AH6" s="87">
        <v>55.434769316766754</v>
      </c>
      <c r="AI6" s="360">
        <v>34.23877513381219</v>
      </c>
      <c r="AJ6" s="360"/>
      <c r="AK6" s="360">
        <v>100</v>
      </c>
      <c r="AL6" s="87">
        <v>77.565406854191934</v>
      </c>
      <c r="AM6" s="87">
        <v>22.434593145808066</v>
      </c>
      <c r="AN6" s="87">
        <v>44.87263368056756</v>
      </c>
      <c r="AO6" s="87">
        <v>50</v>
      </c>
      <c r="AP6" s="360">
        <v>8.4042773183967068</v>
      </c>
      <c r="AQ6" s="87">
        <v>80</v>
      </c>
      <c r="AR6" s="360">
        <v>61.573872492514965</v>
      </c>
      <c r="AS6" s="360">
        <v>49.259097994011974</v>
      </c>
      <c r="AT6" s="87">
        <v>8.8034926829698819</v>
      </c>
      <c r="AU6" s="87"/>
      <c r="AV6" s="87">
        <v>85.657503310021056</v>
      </c>
      <c r="AW6" s="87">
        <v>68.83551277612878</v>
      </c>
      <c r="AX6" s="87">
        <v>60</v>
      </c>
      <c r="AY6" s="87">
        <v>90.950301360701829</v>
      </c>
      <c r="AZ6" s="87">
        <v>100</v>
      </c>
      <c r="BA6" s="87">
        <v>0</v>
      </c>
      <c r="BB6" s="87">
        <v>81.88583443667369</v>
      </c>
      <c r="BC6" s="87">
        <v>81.88583443667369</v>
      </c>
      <c r="BD6" s="87">
        <v>16.377166887334738</v>
      </c>
      <c r="BE6" s="361">
        <v>65.636264881346705</v>
      </c>
      <c r="BF6" s="361">
        <v>65.636264881346705</v>
      </c>
      <c r="BG6" s="361" t="s">
        <v>98</v>
      </c>
      <c r="BH6" s="361">
        <f t="shared" si="0"/>
        <v>5</v>
      </c>
    </row>
    <row r="7" spans="1:60" ht="14.4" hidden="1" customHeight="1" x14ac:dyDescent="0.35">
      <c r="A7" s="82" t="s">
        <v>110</v>
      </c>
      <c r="B7" s="81" t="s">
        <v>162</v>
      </c>
      <c r="C7" s="82">
        <v>2020</v>
      </c>
      <c r="D7" s="82" t="s">
        <v>21</v>
      </c>
      <c r="E7" s="147">
        <v>4</v>
      </c>
      <c r="F7" s="146" t="s">
        <v>178</v>
      </c>
      <c r="G7" t="s">
        <v>210</v>
      </c>
      <c r="H7" s="14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  <c r="V7" s="5"/>
      <c r="W7" s="13"/>
      <c r="X7" s="4"/>
      <c r="Y7" s="4"/>
      <c r="Z7" s="4"/>
      <c r="AA7" s="6"/>
      <c r="AB7" s="5"/>
      <c r="AC7" s="9"/>
      <c r="AD7" s="9"/>
      <c r="AE7" s="9"/>
      <c r="AF7" s="9"/>
      <c r="AG7" s="87">
        <v>78.155980179120576</v>
      </c>
      <c r="AH7" s="87">
        <v>21.844019820879424</v>
      </c>
      <c r="AI7" s="360">
        <v>31.405921222611671</v>
      </c>
      <c r="AJ7" s="360"/>
      <c r="AK7" s="360">
        <v>60.074135047179965</v>
      </c>
      <c r="AL7" s="87">
        <v>48.851600518943577</v>
      </c>
      <c r="AM7" s="87">
        <v>51.148399481056423</v>
      </c>
      <c r="AN7" s="87">
        <v>13.964811658099826</v>
      </c>
      <c r="AO7" s="87">
        <v>20</v>
      </c>
      <c r="AP7" s="360">
        <v>18.608833378818716</v>
      </c>
      <c r="AQ7" s="87">
        <v>40</v>
      </c>
      <c r="AR7" s="360">
        <v>38.613310869823167</v>
      </c>
      <c r="AS7" s="360">
        <v>30.890648695858534</v>
      </c>
      <c r="AT7" s="87">
        <v>0</v>
      </c>
      <c r="AU7" s="87"/>
      <c r="AV7" s="87">
        <v>0</v>
      </c>
      <c r="AW7" s="87">
        <v>115.75567659918642</v>
      </c>
      <c r="AX7" s="87">
        <v>80</v>
      </c>
      <c r="AY7" s="87">
        <v>92.438581312465317</v>
      </c>
      <c r="AZ7" s="87">
        <v>100</v>
      </c>
      <c r="BA7" s="87">
        <v>0</v>
      </c>
      <c r="BB7" s="87">
        <v>60</v>
      </c>
      <c r="BC7" s="87">
        <v>60</v>
      </c>
      <c r="BD7" s="87">
        <v>12</v>
      </c>
      <c r="BE7" s="361">
        <v>42.89064869585853</v>
      </c>
      <c r="BF7" s="361">
        <v>42.89064869585853</v>
      </c>
      <c r="BG7" s="361" t="s">
        <v>109</v>
      </c>
      <c r="BH7" s="361">
        <f t="shared" si="0"/>
        <v>29</v>
      </c>
    </row>
    <row r="8" spans="1:60" ht="15" hidden="1" customHeight="1" x14ac:dyDescent="0.35">
      <c r="A8" s="82" t="s">
        <v>94</v>
      </c>
      <c r="B8" s="81" t="s">
        <v>140</v>
      </c>
      <c r="C8" s="82">
        <v>2020</v>
      </c>
      <c r="D8" s="82" t="s">
        <v>27</v>
      </c>
      <c r="E8" s="147">
        <v>1</v>
      </c>
      <c r="F8" s="146" t="s">
        <v>178</v>
      </c>
      <c r="G8" t="s">
        <v>207</v>
      </c>
      <c r="H8" s="142"/>
      <c r="I8" s="17"/>
      <c r="J8" s="1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29"/>
      <c r="X8" s="15"/>
      <c r="Y8" s="30"/>
      <c r="Z8" s="30"/>
      <c r="AA8" s="30"/>
      <c r="AB8" s="30"/>
      <c r="AC8" s="17"/>
      <c r="AD8" s="17"/>
      <c r="AE8" s="17"/>
      <c r="AF8" s="17"/>
      <c r="AG8" s="87">
        <v>38.243780552676213</v>
      </c>
      <c r="AH8" s="87">
        <v>61.756219447323787</v>
      </c>
      <c r="AI8" s="360">
        <v>21.568942838321821</v>
      </c>
      <c r="AJ8" s="360"/>
      <c r="AK8" s="360">
        <v>36.551642440572301</v>
      </c>
      <c r="AL8" s="87">
        <v>42.86905338052172</v>
      </c>
      <c r="AM8" s="87">
        <v>57.13094661947828</v>
      </c>
      <c r="AN8" s="87">
        <v>68.102843595084835</v>
      </c>
      <c r="AO8" s="87">
        <v>100</v>
      </c>
      <c r="AP8" s="360">
        <v>16.983951548663491</v>
      </c>
      <c r="AQ8" s="87">
        <v>40</v>
      </c>
      <c r="AR8" s="360">
        <v>59.087761701474868</v>
      </c>
      <c r="AS8" s="360">
        <v>47.270209361179894</v>
      </c>
      <c r="AT8" s="87">
        <v>28.354007191250375</v>
      </c>
      <c r="AU8" s="87"/>
      <c r="AV8" s="87">
        <v>100</v>
      </c>
      <c r="AW8" s="87">
        <v>91.909140386304529</v>
      </c>
      <c r="AX8" s="87">
        <v>100</v>
      </c>
      <c r="AY8" s="87">
        <v>77.636819380698128</v>
      </c>
      <c r="AZ8" s="87">
        <v>70</v>
      </c>
      <c r="BA8" s="87">
        <v>0</v>
      </c>
      <c r="BB8" s="87">
        <v>90</v>
      </c>
      <c r="BC8" s="87">
        <v>90</v>
      </c>
      <c r="BD8" s="87">
        <v>18</v>
      </c>
      <c r="BE8" s="361">
        <v>65.270209361179894</v>
      </c>
      <c r="BF8" s="361">
        <v>65.270209361179894</v>
      </c>
      <c r="BG8" s="361" t="s">
        <v>98</v>
      </c>
      <c r="BH8" s="361">
        <f t="shared" si="0"/>
        <v>6</v>
      </c>
    </row>
    <row r="9" spans="1:60" ht="13.5" hidden="1" customHeight="1" x14ac:dyDescent="0.35">
      <c r="A9" s="82" t="s">
        <v>132</v>
      </c>
      <c r="B9" s="81" t="s">
        <v>141</v>
      </c>
      <c r="C9" s="82">
        <v>2020</v>
      </c>
      <c r="D9" s="82" t="s">
        <v>133</v>
      </c>
      <c r="E9" s="147">
        <v>1</v>
      </c>
      <c r="F9" s="146" t="s">
        <v>178</v>
      </c>
      <c r="G9" t="s">
        <v>207</v>
      </c>
      <c r="H9" s="142"/>
      <c r="I9" s="17"/>
      <c r="J9" s="17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29"/>
      <c r="X9" s="15"/>
      <c r="Y9" s="30"/>
      <c r="Z9" s="30"/>
      <c r="AA9" s="30"/>
      <c r="AB9" s="30"/>
      <c r="AC9" s="17"/>
      <c r="AD9" s="17"/>
      <c r="AE9" s="17"/>
      <c r="AF9" s="145"/>
      <c r="AG9" s="87">
        <v>65.390272425176576</v>
      </c>
      <c r="AH9" s="87">
        <v>34.609727574823424</v>
      </c>
      <c r="AI9" s="360">
        <v>12.909655141905787</v>
      </c>
      <c r="AJ9" s="360"/>
      <c r="AK9" s="360">
        <v>21.877247406843697</v>
      </c>
      <c r="AL9" s="87">
        <v>68.934451384742786</v>
      </c>
      <c r="AM9" s="87">
        <v>31.065548615257214</v>
      </c>
      <c r="AN9" s="87">
        <v>43.744011950044531</v>
      </c>
      <c r="AO9" s="87">
        <v>50</v>
      </c>
      <c r="AP9" s="360">
        <v>15.319695057584745</v>
      </c>
      <c r="AQ9" s="87">
        <v>40</v>
      </c>
      <c r="AR9" s="360">
        <v>35.510504719384869</v>
      </c>
      <c r="AS9" s="360">
        <v>28.408403775507896</v>
      </c>
      <c r="AT9" s="87">
        <v>13.23291966423062</v>
      </c>
      <c r="AU9" s="87"/>
      <c r="AV9" s="87">
        <v>100</v>
      </c>
      <c r="AW9" s="87">
        <v>71.843402158355346</v>
      </c>
      <c r="AX9" s="87">
        <v>70</v>
      </c>
      <c r="AY9" s="87">
        <v>92.551717094695221</v>
      </c>
      <c r="AZ9" s="87">
        <v>100</v>
      </c>
      <c r="BA9" s="87">
        <v>0</v>
      </c>
      <c r="BB9" s="87">
        <v>90</v>
      </c>
      <c r="BC9" s="87">
        <v>90</v>
      </c>
      <c r="BD9" s="87">
        <v>18</v>
      </c>
      <c r="BE9" s="361">
        <v>46.408403775507892</v>
      </c>
      <c r="BF9" s="361">
        <v>46.408403775507892</v>
      </c>
      <c r="BG9" s="361" t="s">
        <v>109</v>
      </c>
      <c r="BH9" s="361">
        <f t="shared" si="0"/>
        <v>25</v>
      </c>
    </row>
    <row r="10" spans="1:60" ht="14.4" hidden="1" customHeight="1" x14ac:dyDescent="0.35">
      <c r="A10" s="82" t="s">
        <v>128</v>
      </c>
      <c r="B10" s="81" t="s">
        <v>142</v>
      </c>
      <c r="C10" s="82">
        <v>2020</v>
      </c>
      <c r="D10" s="82" t="s">
        <v>176</v>
      </c>
      <c r="E10" s="147">
        <v>1</v>
      </c>
      <c r="F10" s="146" t="s">
        <v>178</v>
      </c>
      <c r="G10" t="s">
        <v>208</v>
      </c>
      <c r="H10" s="142"/>
      <c r="I10" s="17"/>
      <c r="J10" s="17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29"/>
      <c r="X10" s="15"/>
      <c r="Y10" s="30"/>
      <c r="Z10" s="30"/>
      <c r="AA10" s="30"/>
      <c r="AB10" s="30"/>
      <c r="AC10" s="17"/>
      <c r="AD10" s="17"/>
      <c r="AE10" s="17"/>
      <c r="AF10" s="17"/>
      <c r="AG10" s="87">
        <v>62.992444872412619</v>
      </c>
      <c r="AH10" s="87">
        <v>37.007555127587381</v>
      </c>
      <c r="AI10" s="360">
        <v>18.776395266280055</v>
      </c>
      <c r="AJ10" s="360"/>
      <c r="AK10" s="360">
        <v>31.819273259723719</v>
      </c>
      <c r="AL10" s="87">
        <v>64.718186794117557</v>
      </c>
      <c r="AM10" s="87">
        <v>35.281813205882443</v>
      </c>
      <c r="AN10" s="87">
        <v>41.717412254340239</v>
      </c>
      <c r="AO10" s="87">
        <v>50</v>
      </c>
      <c r="AP10" s="360">
        <v>14.237647809235213</v>
      </c>
      <c r="AQ10" s="87">
        <v>60</v>
      </c>
      <c r="AR10" s="360">
        <v>42.821728318638705</v>
      </c>
      <c r="AS10" s="360">
        <v>34.257382654910963</v>
      </c>
      <c r="AT10" s="87">
        <v>0</v>
      </c>
      <c r="AU10" s="87"/>
      <c r="AV10" s="87">
        <v>0</v>
      </c>
      <c r="AW10" s="87">
        <v>82.397197585592735</v>
      </c>
      <c r="AX10" s="87">
        <v>80</v>
      </c>
      <c r="AY10" s="87">
        <v>87.817653281629887</v>
      </c>
      <c r="AZ10" s="87">
        <v>80</v>
      </c>
      <c r="BA10" s="87">
        <v>0</v>
      </c>
      <c r="BB10" s="87">
        <v>53.333333333333336</v>
      </c>
      <c r="BC10" s="87">
        <v>53.333333333333336</v>
      </c>
      <c r="BD10" s="87">
        <v>10.666666666666668</v>
      </c>
      <c r="BE10" s="361">
        <v>44.924049321577627</v>
      </c>
      <c r="BF10" s="361">
        <v>44.924049321577627</v>
      </c>
      <c r="BG10" s="361" t="s">
        <v>109</v>
      </c>
      <c r="BH10" s="361">
        <f t="shared" si="0"/>
        <v>27</v>
      </c>
    </row>
    <row r="11" spans="1:60" ht="13.5" hidden="1" customHeight="1" x14ac:dyDescent="0.35">
      <c r="A11" s="82" t="s">
        <v>105</v>
      </c>
      <c r="B11" s="81" t="s">
        <v>143</v>
      </c>
      <c r="C11" s="82">
        <v>2020</v>
      </c>
      <c r="D11" s="82" t="s">
        <v>6</v>
      </c>
      <c r="E11" s="147">
        <v>2</v>
      </c>
      <c r="F11" s="146" t="s">
        <v>178</v>
      </c>
      <c r="G11" t="s">
        <v>211</v>
      </c>
      <c r="H11" s="14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2"/>
      <c r="Y11" s="6"/>
      <c r="Z11" s="6"/>
      <c r="AA11" s="6"/>
      <c r="AB11" s="6"/>
      <c r="AC11" s="9"/>
      <c r="AD11" s="9"/>
      <c r="AE11" s="9"/>
      <c r="AF11" s="9"/>
      <c r="AG11" s="87">
        <v>52.651310012632159</v>
      </c>
      <c r="AH11" s="87">
        <v>47.348689987367841</v>
      </c>
      <c r="AI11" s="360">
        <v>28.110298817904805</v>
      </c>
      <c r="AJ11" s="360"/>
      <c r="AK11" s="360">
        <v>100</v>
      </c>
      <c r="AL11" s="87">
        <v>58.031136798278418</v>
      </c>
      <c r="AM11" s="87">
        <v>41.968863201721582</v>
      </c>
      <c r="AN11" s="87">
        <v>50.569635189340254</v>
      </c>
      <c r="AO11" s="87">
        <v>70</v>
      </c>
      <c r="AP11" s="360">
        <v>13.035529983342494</v>
      </c>
      <c r="AQ11" s="87">
        <v>60</v>
      </c>
      <c r="AR11" s="360">
        <v>63.863510637817875</v>
      </c>
      <c r="AS11" s="360">
        <v>51.090808510254305</v>
      </c>
      <c r="AT11" s="87">
        <v>8.5604597221436318</v>
      </c>
      <c r="AU11" s="87"/>
      <c r="AV11" s="87">
        <v>73.498223825696613</v>
      </c>
      <c r="AW11" s="87">
        <v>67.229015036595598</v>
      </c>
      <c r="AX11" s="87">
        <v>60</v>
      </c>
      <c r="AY11" s="87">
        <v>97.826820923279243</v>
      </c>
      <c r="AZ11" s="87">
        <v>100</v>
      </c>
      <c r="BA11" s="87">
        <v>0</v>
      </c>
      <c r="BB11" s="87">
        <v>77.832741275232209</v>
      </c>
      <c r="BC11" s="87">
        <v>77.832741275232209</v>
      </c>
      <c r="BD11" s="87">
        <v>15.566548255046442</v>
      </c>
      <c r="BE11" s="361">
        <v>66.657356765300747</v>
      </c>
      <c r="BF11" s="361">
        <v>66.657356765300747</v>
      </c>
      <c r="BG11" s="361" t="s">
        <v>98</v>
      </c>
      <c r="BH11" s="361">
        <f t="shared" si="0"/>
        <v>4</v>
      </c>
    </row>
    <row r="12" spans="1:60" ht="15" hidden="1" x14ac:dyDescent="0.35">
      <c r="A12" s="82" t="s">
        <v>121</v>
      </c>
      <c r="B12" s="81" t="s">
        <v>144</v>
      </c>
      <c r="C12" s="82">
        <v>2020</v>
      </c>
      <c r="D12" s="82" t="s">
        <v>122</v>
      </c>
      <c r="E12" s="147">
        <v>4</v>
      </c>
      <c r="F12" s="146" t="s">
        <v>178</v>
      </c>
      <c r="G12" t="s">
        <v>214</v>
      </c>
      <c r="H12" s="14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5"/>
      <c r="V12" s="5"/>
      <c r="W12" s="13"/>
      <c r="X12" s="4"/>
      <c r="Y12" s="4"/>
      <c r="Z12" s="4"/>
      <c r="AA12" s="6"/>
      <c r="AB12" s="5"/>
      <c r="AC12" s="9"/>
      <c r="AD12" s="9"/>
      <c r="AE12" s="9"/>
      <c r="AF12" s="9"/>
      <c r="AG12" s="87">
        <v>75.748215841722029</v>
      </c>
      <c r="AH12" s="87">
        <v>24.251784158277971</v>
      </c>
      <c r="AI12" s="360">
        <v>35.328457453838382</v>
      </c>
      <c r="AJ12" s="360"/>
      <c r="AK12" s="360">
        <v>67.577273376155702</v>
      </c>
      <c r="AL12" s="87">
        <v>43.092064923419983</v>
      </c>
      <c r="AM12" s="87">
        <v>56.907935076580017</v>
      </c>
      <c r="AN12" s="87">
        <v>36.629843450845208</v>
      </c>
      <c r="AO12" s="87">
        <v>50</v>
      </c>
      <c r="AP12" s="360">
        <v>15.067016514362813</v>
      </c>
      <c r="AQ12" s="87">
        <v>40</v>
      </c>
      <c r="AR12" s="360">
        <v>47.747398522202744</v>
      </c>
      <c r="AS12" s="360">
        <v>38.197918817762194</v>
      </c>
      <c r="AT12" s="87">
        <v>0.59418553289045661</v>
      </c>
      <c r="AU12" s="87"/>
      <c r="AV12" s="87">
        <v>4.1245808955326373</v>
      </c>
      <c r="AW12" s="87">
        <v>74.709283346795814</v>
      </c>
      <c r="AX12" s="87">
        <v>70</v>
      </c>
      <c r="AY12" s="87">
        <v>90.92161802653338</v>
      </c>
      <c r="AZ12" s="87">
        <v>100</v>
      </c>
      <c r="BA12" s="87">
        <v>0</v>
      </c>
      <c r="BB12" s="87">
        <v>58.041526965177546</v>
      </c>
      <c r="BC12" s="87">
        <v>58.041526965177546</v>
      </c>
      <c r="BD12" s="87">
        <v>11.60830539303551</v>
      </c>
      <c r="BE12" s="361">
        <v>49.806224210797701</v>
      </c>
      <c r="BF12" s="361">
        <v>49.806224210797701</v>
      </c>
      <c r="BG12" s="361" t="s">
        <v>109</v>
      </c>
      <c r="BH12" s="361">
        <f t="shared" si="0"/>
        <v>17</v>
      </c>
    </row>
    <row r="13" spans="1:60" ht="15" hidden="1" x14ac:dyDescent="0.35">
      <c r="A13" s="82" t="s">
        <v>125</v>
      </c>
      <c r="B13" s="81" t="s">
        <v>163</v>
      </c>
      <c r="C13" s="82">
        <v>2020</v>
      </c>
      <c r="D13" s="82" t="s">
        <v>22</v>
      </c>
      <c r="E13" s="126">
        <v>3</v>
      </c>
      <c r="F13" s="146" t="s">
        <v>178</v>
      </c>
      <c r="G13" t="s">
        <v>210</v>
      </c>
      <c r="H13" s="14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5"/>
      <c r="V13" s="5"/>
      <c r="W13" s="13"/>
      <c r="X13" s="4"/>
      <c r="Y13" s="4"/>
      <c r="Z13" s="4"/>
      <c r="AA13" s="6"/>
      <c r="AB13" s="5"/>
      <c r="AC13" s="9"/>
      <c r="AD13" s="9"/>
      <c r="AE13" s="9"/>
      <c r="AF13" s="9"/>
      <c r="AG13" s="87">
        <v>63.863413399744218</v>
      </c>
      <c r="AH13" s="87">
        <v>36.136586600255782</v>
      </c>
      <c r="AI13" s="360">
        <v>17.908240506464026</v>
      </c>
      <c r="AJ13" s="360"/>
      <c r="AK13" s="360">
        <v>54.800466928779933</v>
      </c>
      <c r="AL13" s="87">
        <v>17.96919805981166</v>
      </c>
      <c r="AM13" s="87">
        <v>82.03080194018834</v>
      </c>
      <c r="AN13" s="87">
        <v>46.848328876786375</v>
      </c>
      <c r="AO13" s="87">
        <v>70</v>
      </c>
      <c r="AP13" s="360">
        <v>22.361352000836369</v>
      </c>
      <c r="AQ13" s="87">
        <v>20</v>
      </c>
      <c r="AR13" s="360">
        <v>52.593571093844808</v>
      </c>
      <c r="AS13" s="360">
        <v>42.074856875075852</v>
      </c>
      <c r="AT13" s="87">
        <v>0</v>
      </c>
      <c r="AU13" s="87"/>
      <c r="AV13" s="87">
        <v>0</v>
      </c>
      <c r="AW13" s="87">
        <v>126.73433717463909</v>
      </c>
      <c r="AX13" s="87">
        <v>70</v>
      </c>
      <c r="AY13" s="87">
        <v>86.694883605492237</v>
      </c>
      <c r="AZ13" s="87">
        <v>80</v>
      </c>
      <c r="BA13" s="87">
        <v>0</v>
      </c>
      <c r="BB13" s="87">
        <v>50</v>
      </c>
      <c r="BC13" s="87">
        <v>50</v>
      </c>
      <c r="BD13" s="87">
        <v>10</v>
      </c>
      <c r="BE13" s="361">
        <v>52.074856875075852</v>
      </c>
      <c r="BF13" s="361">
        <v>52.074856875075852</v>
      </c>
      <c r="BG13" s="361" t="s">
        <v>109</v>
      </c>
      <c r="BH13" s="361">
        <f t="shared" si="0"/>
        <v>16</v>
      </c>
    </row>
    <row r="14" spans="1:60" ht="15" hidden="1" x14ac:dyDescent="0.35">
      <c r="A14" s="82" t="s">
        <v>126</v>
      </c>
      <c r="B14" s="81" t="s">
        <v>145</v>
      </c>
      <c r="C14" s="82">
        <v>2020</v>
      </c>
      <c r="D14" s="82" t="s">
        <v>8</v>
      </c>
      <c r="E14" s="126">
        <v>3</v>
      </c>
      <c r="F14" s="146" t="s">
        <v>178</v>
      </c>
      <c r="G14" t="s">
        <v>215</v>
      </c>
      <c r="H14" s="142"/>
      <c r="I14" s="17"/>
      <c r="J14" s="17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29"/>
      <c r="X14" s="15"/>
      <c r="Y14" s="30"/>
      <c r="Z14" s="30"/>
      <c r="AA14" s="30"/>
      <c r="AB14" s="30"/>
      <c r="AC14" s="17"/>
      <c r="AD14" s="17"/>
      <c r="AE14" s="17"/>
      <c r="AF14" s="17"/>
      <c r="AG14" s="87">
        <v>81.337802905168687</v>
      </c>
      <c r="AH14" s="87">
        <v>18.662197094831313</v>
      </c>
      <c r="AI14" s="360">
        <v>13.706703331200432</v>
      </c>
      <c r="AJ14" s="360"/>
      <c r="AK14" s="360">
        <v>41.943469674361552</v>
      </c>
      <c r="AL14" s="87">
        <v>37.840550540797302</v>
      </c>
      <c r="AM14" s="87">
        <v>62.159449459202698</v>
      </c>
      <c r="AN14" s="87">
        <v>57.03391058019249</v>
      </c>
      <c r="AO14" s="87">
        <v>80</v>
      </c>
      <c r="AP14" s="360">
        <v>20.184055780229464</v>
      </c>
      <c r="AQ14" s="87">
        <v>20</v>
      </c>
      <c r="AR14" s="360">
        <v>44.553023245679114</v>
      </c>
      <c r="AS14" s="360">
        <v>35.642418596543294</v>
      </c>
      <c r="AT14" s="87">
        <v>32.352407448334333</v>
      </c>
      <c r="AU14" s="87"/>
      <c r="AV14" s="87">
        <v>100</v>
      </c>
      <c r="AW14" s="87">
        <v>91.677832657267032</v>
      </c>
      <c r="AX14" s="87">
        <v>100</v>
      </c>
      <c r="AY14" s="87">
        <v>97.57490307471366</v>
      </c>
      <c r="AZ14" s="87">
        <v>100</v>
      </c>
      <c r="BA14" s="87">
        <v>0</v>
      </c>
      <c r="BB14" s="87">
        <v>100</v>
      </c>
      <c r="BC14" s="87">
        <v>100</v>
      </c>
      <c r="BD14" s="87">
        <v>20</v>
      </c>
      <c r="BE14" s="361">
        <v>55.642418596543294</v>
      </c>
      <c r="BF14" s="361">
        <v>55.642418596543294</v>
      </c>
      <c r="BG14" s="361" t="s">
        <v>109</v>
      </c>
      <c r="BH14" s="361">
        <f t="shared" si="0"/>
        <v>14</v>
      </c>
    </row>
    <row r="15" spans="1:60" ht="14.4" hidden="1" customHeight="1" x14ac:dyDescent="0.35">
      <c r="A15" s="82" t="s">
        <v>104</v>
      </c>
      <c r="B15" s="81" t="s">
        <v>146</v>
      </c>
      <c r="C15" s="82">
        <v>2020</v>
      </c>
      <c r="D15" s="82" t="s">
        <v>9</v>
      </c>
      <c r="E15" s="147">
        <v>2</v>
      </c>
      <c r="F15" s="146" t="s">
        <v>178</v>
      </c>
      <c r="G15" t="s">
        <v>207</v>
      </c>
      <c r="H15" s="14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5"/>
      <c r="V15" s="5"/>
      <c r="W15" s="13"/>
      <c r="X15" s="4"/>
      <c r="Y15" s="4"/>
      <c r="Z15" s="4"/>
      <c r="AA15" s="6"/>
      <c r="AB15" s="5"/>
      <c r="AC15" s="9"/>
      <c r="AD15" s="9"/>
      <c r="AE15" s="9"/>
      <c r="AF15" s="9"/>
      <c r="AG15" s="87">
        <v>74.1945477327058</v>
      </c>
      <c r="AH15" s="87">
        <v>25.8054522672942</v>
      </c>
      <c r="AI15" s="360">
        <v>26.47094903051952</v>
      </c>
      <c r="AJ15" s="360"/>
      <c r="AK15" s="360">
        <v>94.168152398504191</v>
      </c>
      <c r="AL15" s="87">
        <v>29.054296126615856</v>
      </c>
      <c r="AM15" s="87">
        <v>70.945703873384147</v>
      </c>
      <c r="AN15" s="87">
        <v>45.243420380715669</v>
      </c>
      <c r="AO15" s="87">
        <v>70</v>
      </c>
      <c r="AP15" s="360">
        <v>11.954556739602971</v>
      </c>
      <c r="AQ15" s="87">
        <v>60</v>
      </c>
      <c r="AR15" s="360">
        <v>64.183861707836513</v>
      </c>
      <c r="AS15" s="360">
        <v>51.347089366269216</v>
      </c>
      <c r="AT15" s="87">
        <v>2.2426233928227401</v>
      </c>
      <c r="AU15" s="87"/>
      <c r="AV15" s="87">
        <v>19.254671061188517</v>
      </c>
      <c r="AW15" s="87">
        <v>79.343907224570387</v>
      </c>
      <c r="AX15" s="87">
        <v>70</v>
      </c>
      <c r="AY15" s="87">
        <v>93.454946203237412</v>
      </c>
      <c r="AZ15" s="87">
        <v>100</v>
      </c>
      <c r="BA15" s="87">
        <v>0</v>
      </c>
      <c r="BB15" s="87">
        <v>63.084890353729499</v>
      </c>
      <c r="BC15" s="87">
        <v>63.084890353729499</v>
      </c>
      <c r="BD15" s="87">
        <v>12.616978070745901</v>
      </c>
      <c r="BE15" s="361">
        <v>63.964067437015117</v>
      </c>
      <c r="BF15" s="361">
        <v>63.964067437015117</v>
      </c>
      <c r="BG15" s="361" t="s">
        <v>98</v>
      </c>
      <c r="BH15" s="361">
        <f t="shared" si="0"/>
        <v>7</v>
      </c>
    </row>
    <row r="16" spans="1:60" ht="15" hidden="1" x14ac:dyDescent="0.35">
      <c r="A16" s="82" t="s">
        <v>115</v>
      </c>
      <c r="B16" s="81" t="s">
        <v>149</v>
      </c>
      <c r="C16" s="82">
        <v>2020</v>
      </c>
      <c r="D16" s="82" t="s">
        <v>116</v>
      </c>
      <c r="E16" s="147">
        <v>4</v>
      </c>
      <c r="F16" s="146" t="s">
        <v>178</v>
      </c>
      <c r="G16" t="s">
        <v>215</v>
      </c>
      <c r="H16" s="14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12"/>
      <c r="Y16" s="6"/>
      <c r="Z16" s="6"/>
      <c r="AA16" s="6"/>
      <c r="AB16" s="6"/>
      <c r="AC16" s="9"/>
      <c r="AD16" s="9"/>
      <c r="AE16" s="9"/>
      <c r="AF16" s="9"/>
      <c r="AG16" s="87">
        <v>82.992761894640353</v>
      </c>
      <c r="AH16" s="87">
        <v>17.007238105359647</v>
      </c>
      <c r="AI16" s="360">
        <v>22.101644574077682</v>
      </c>
      <c r="AJ16" s="360"/>
      <c r="AK16" s="360">
        <v>42.276651319878155</v>
      </c>
      <c r="AL16" s="87">
        <v>38.2795561015716</v>
      </c>
      <c r="AM16" s="87">
        <v>61.7204438984284</v>
      </c>
      <c r="AN16" s="87">
        <v>20.097707350243546</v>
      </c>
      <c r="AO16" s="87">
        <v>30</v>
      </c>
      <c r="AP16" s="360">
        <v>10.585370367384821</v>
      </c>
      <c r="AQ16" s="87">
        <v>60</v>
      </c>
      <c r="AR16" s="360">
        <v>42.20086666473324</v>
      </c>
      <c r="AS16" s="360">
        <v>33.760693331786591</v>
      </c>
      <c r="AT16" s="87">
        <v>0</v>
      </c>
      <c r="AU16" s="87"/>
      <c r="AV16" s="87">
        <v>0</v>
      </c>
      <c r="AW16" s="87">
        <v>81.065441287615897</v>
      </c>
      <c r="AX16" s="87">
        <v>80</v>
      </c>
      <c r="AY16" s="87">
        <v>92.430578335248057</v>
      </c>
      <c r="AZ16" s="87">
        <v>100</v>
      </c>
      <c r="BA16" s="87">
        <v>0</v>
      </c>
      <c r="BB16" s="87">
        <v>60</v>
      </c>
      <c r="BC16" s="87">
        <v>60</v>
      </c>
      <c r="BD16" s="87">
        <v>12</v>
      </c>
      <c r="BE16" s="361">
        <v>45.760693331786591</v>
      </c>
      <c r="BF16" s="361">
        <v>45.760693331786591</v>
      </c>
      <c r="BG16" s="361" t="s">
        <v>109</v>
      </c>
      <c r="BH16" s="361">
        <f t="shared" si="0"/>
        <v>26</v>
      </c>
    </row>
    <row r="17" spans="1:60" ht="15.6" hidden="1" customHeight="1" x14ac:dyDescent="0.35">
      <c r="A17" s="82" t="s">
        <v>129</v>
      </c>
      <c r="B17" s="81" t="s">
        <v>147</v>
      </c>
      <c r="C17" s="82">
        <v>2020</v>
      </c>
      <c r="D17" s="82" t="s">
        <v>130</v>
      </c>
      <c r="E17" s="147">
        <v>2</v>
      </c>
      <c r="F17" s="146" t="s">
        <v>178</v>
      </c>
      <c r="G17" t="s">
        <v>207</v>
      </c>
      <c r="H17" s="14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2"/>
      <c r="Y17" s="6"/>
      <c r="Z17" s="6"/>
      <c r="AA17" s="6"/>
      <c r="AB17" s="6"/>
      <c r="AC17" s="9"/>
      <c r="AD17" s="9"/>
      <c r="AE17" s="9"/>
      <c r="AF17" s="9"/>
      <c r="AG17" s="87">
        <v>76.061675026422805</v>
      </c>
      <c r="AH17" s="87">
        <v>23.938324973577195</v>
      </c>
      <c r="AI17" s="360">
        <v>11.500978469158836</v>
      </c>
      <c r="AJ17" s="360"/>
      <c r="AK17" s="360">
        <v>40.913753865303299</v>
      </c>
      <c r="AL17" s="87">
        <v>93.213123795453939</v>
      </c>
      <c r="AM17" s="87">
        <v>6.7868762045460613</v>
      </c>
      <c r="AN17" s="87">
        <v>42.779432252103632</v>
      </c>
      <c r="AO17" s="87">
        <v>50</v>
      </c>
      <c r="AP17" s="360">
        <v>18.794384401112847</v>
      </c>
      <c r="AQ17" s="87">
        <v>40</v>
      </c>
      <c r="AR17" s="360">
        <v>32.32779100868531</v>
      </c>
      <c r="AS17" s="360">
        <v>25.862232806948249</v>
      </c>
      <c r="AT17" s="87">
        <v>6.0720278123174154</v>
      </c>
      <c r="AU17" s="87"/>
      <c r="AV17" s="87">
        <v>52.133094916753628</v>
      </c>
      <c r="AW17" s="87">
        <v>82.435439494771273</v>
      </c>
      <c r="AX17" s="87">
        <v>80</v>
      </c>
      <c r="AY17" s="87">
        <v>94.596354226719072</v>
      </c>
      <c r="AZ17" s="87">
        <v>100</v>
      </c>
      <c r="BA17" s="87">
        <v>0</v>
      </c>
      <c r="BB17" s="87">
        <v>77.377698305584545</v>
      </c>
      <c r="BC17" s="87">
        <v>77.377698305584545</v>
      </c>
      <c r="BD17" s="87">
        <v>15.47553966111691</v>
      </c>
      <c r="BE17" s="361">
        <v>41.337772468065161</v>
      </c>
      <c r="BF17" s="361">
        <v>41.337772468065161</v>
      </c>
      <c r="BG17" s="361" t="s">
        <v>109</v>
      </c>
      <c r="BH17" s="361">
        <f t="shared" si="0"/>
        <v>30</v>
      </c>
    </row>
    <row r="18" spans="1:60" ht="13.5" hidden="1" customHeight="1" x14ac:dyDescent="0.35">
      <c r="A18" s="82" t="s">
        <v>96</v>
      </c>
      <c r="B18" s="81" t="s">
        <v>148</v>
      </c>
      <c r="C18" s="82">
        <v>2020</v>
      </c>
      <c r="D18" s="82" t="s">
        <v>10</v>
      </c>
      <c r="E18" s="146" t="s">
        <v>51</v>
      </c>
      <c r="F18" s="146" t="s">
        <v>178</v>
      </c>
      <c r="G18" t="s">
        <v>208</v>
      </c>
      <c r="H18" s="142"/>
      <c r="I18" s="17"/>
      <c r="J18" s="17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29"/>
      <c r="X18" s="15"/>
      <c r="Y18" s="30"/>
      <c r="Z18" s="30"/>
      <c r="AA18" s="30"/>
      <c r="AB18" s="30"/>
      <c r="AC18" s="17"/>
      <c r="AD18" s="17"/>
      <c r="AE18" s="17"/>
      <c r="AF18" s="17"/>
      <c r="AG18" s="87">
        <v>40.873211152245766</v>
      </c>
      <c r="AH18" s="87">
        <v>59.126788847754234</v>
      </c>
      <c r="AI18" s="360">
        <v>28.474104090498013</v>
      </c>
      <c r="AJ18" s="360"/>
      <c r="AK18" s="360">
        <v>83.163325730010328</v>
      </c>
      <c r="AL18" s="87">
        <v>79.264992918079272</v>
      </c>
      <c r="AM18" s="87">
        <v>20.735007081920728</v>
      </c>
      <c r="AN18" s="87">
        <v>68.195423781698082</v>
      </c>
      <c r="AO18" s="87">
        <v>100</v>
      </c>
      <c r="AP18" s="360">
        <v>9.3868338089408976</v>
      </c>
      <c r="AQ18" s="87">
        <v>80</v>
      </c>
      <c r="AR18" s="360">
        <v>68.605024331937059</v>
      </c>
      <c r="AS18" s="360">
        <v>54.884019465549649</v>
      </c>
      <c r="AT18" s="87">
        <v>10.50868162459092</v>
      </c>
      <c r="AU18" s="87"/>
      <c r="AV18" s="87">
        <v>100</v>
      </c>
      <c r="AW18" s="87">
        <v>90.554903578635958</v>
      </c>
      <c r="AX18" s="87">
        <v>100</v>
      </c>
      <c r="AY18" s="87">
        <v>86.259480610859669</v>
      </c>
      <c r="AZ18" s="87">
        <v>80</v>
      </c>
      <c r="BA18" s="87">
        <v>0</v>
      </c>
      <c r="BB18" s="87">
        <v>93.333333333333329</v>
      </c>
      <c r="BC18" s="87">
        <v>93.333333333333329</v>
      </c>
      <c r="BD18" s="87">
        <v>18.666666666666668</v>
      </c>
      <c r="BE18" s="361">
        <v>73.550686132216313</v>
      </c>
      <c r="BF18" s="361">
        <v>73.550686132216313</v>
      </c>
      <c r="BG18" s="361" t="s">
        <v>95</v>
      </c>
      <c r="BH18" s="361">
        <f t="shared" si="0"/>
        <v>1</v>
      </c>
    </row>
    <row r="19" spans="1:60" ht="13.5" hidden="1" customHeight="1" x14ac:dyDescent="0.35">
      <c r="A19" s="82" t="s">
        <v>119</v>
      </c>
      <c r="B19" s="81" t="s">
        <v>167</v>
      </c>
      <c r="C19" s="82">
        <v>2020</v>
      </c>
      <c r="D19" s="82" t="s">
        <v>120</v>
      </c>
      <c r="E19" s="147">
        <v>4</v>
      </c>
      <c r="F19" s="146" t="s">
        <v>178</v>
      </c>
      <c r="G19" t="s">
        <v>210</v>
      </c>
      <c r="H19" s="142"/>
      <c r="I19" s="17"/>
      <c r="J19" s="17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29"/>
      <c r="X19" s="15"/>
      <c r="Y19" s="30"/>
      <c r="Z19" s="30"/>
      <c r="AA19" s="30"/>
      <c r="AB19" s="30"/>
      <c r="AC19" s="17"/>
      <c r="AD19" s="17"/>
      <c r="AE19" s="17"/>
      <c r="AF19" s="17"/>
      <c r="AG19" s="87">
        <v>84.377510674785938</v>
      </c>
      <c r="AH19" s="87">
        <v>15.622489325214062</v>
      </c>
      <c r="AI19" s="360">
        <v>14.964616241167878</v>
      </c>
      <c r="AJ19" s="360"/>
      <c r="AK19" s="360">
        <v>28.62474151383557</v>
      </c>
      <c r="AL19" s="87">
        <v>21.158828632000766</v>
      </c>
      <c r="AM19" s="87">
        <v>78.841171367999237</v>
      </c>
      <c r="AN19" s="87">
        <v>64.326258660101075</v>
      </c>
      <c r="AO19" s="87">
        <v>80</v>
      </c>
      <c r="AP19" s="360">
        <v>38.069607051897471</v>
      </c>
      <c r="AQ19" s="87">
        <v>0</v>
      </c>
      <c r="AR19" s="360">
        <v>40.617680441409775</v>
      </c>
      <c r="AS19" s="360">
        <v>32.494144353127822</v>
      </c>
      <c r="AT19" s="87">
        <v>34.51862705612794</v>
      </c>
      <c r="AU19" s="87"/>
      <c r="AV19" s="87">
        <v>100</v>
      </c>
      <c r="AW19" s="87">
        <v>122.61038942997266</v>
      </c>
      <c r="AX19" s="87">
        <v>70</v>
      </c>
      <c r="AY19" s="87">
        <v>86.003603996429149</v>
      </c>
      <c r="AZ19" s="87">
        <v>80</v>
      </c>
      <c r="BA19" s="87">
        <v>0</v>
      </c>
      <c r="BB19" s="87">
        <v>83.333333333333329</v>
      </c>
      <c r="BC19" s="87">
        <v>83.333333333333329</v>
      </c>
      <c r="BD19" s="87">
        <v>16.666666666666668</v>
      </c>
      <c r="BE19" s="361">
        <v>49.160811019794494</v>
      </c>
      <c r="BF19" s="361">
        <v>49.160811019794494</v>
      </c>
      <c r="BG19" s="361" t="s">
        <v>109</v>
      </c>
      <c r="BH19" s="361">
        <f t="shared" si="0"/>
        <v>19</v>
      </c>
    </row>
    <row r="20" spans="1:60" ht="15" hidden="1" customHeight="1" x14ac:dyDescent="0.35">
      <c r="A20" s="82" t="s">
        <v>118</v>
      </c>
      <c r="B20" s="81" t="s">
        <v>151</v>
      </c>
      <c r="C20" s="82">
        <v>2020</v>
      </c>
      <c r="D20" s="82" t="s">
        <v>136</v>
      </c>
      <c r="E20" s="147">
        <v>4</v>
      </c>
      <c r="F20" s="146" t="s">
        <v>178</v>
      </c>
      <c r="G20" t="s">
        <v>207</v>
      </c>
      <c r="H20" s="142"/>
      <c r="I20" s="17"/>
      <c r="J20" s="17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29"/>
      <c r="X20" s="15"/>
      <c r="Y20" s="30"/>
      <c r="Z20" s="30"/>
      <c r="AA20" s="30"/>
      <c r="AB20" s="30"/>
      <c r="AC20" s="17"/>
      <c r="AD20" s="17"/>
      <c r="AE20" s="17"/>
      <c r="AF20" s="17"/>
      <c r="AG20" s="87">
        <v>79.335525760469196</v>
      </c>
      <c r="AH20" s="87">
        <v>20.664474239530804</v>
      </c>
      <c r="AI20" s="360">
        <v>14.535332209824977</v>
      </c>
      <c r="AJ20" s="360"/>
      <c r="AK20" s="360">
        <v>27.803594867962826</v>
      </c>
      <c r="AL20" s="87">
        <v>41.177189972915613</v>
      </c>
      <c r="AM20" s="87">
        <v>58.822810027084387</v>
      </c>
      <c r="AN20" s="87">
        <v>36.792954025576073</v>
      </c>
      <c r="AO20" s="87">
        <v>50</v>
      </c>
      <c r="AP20" s="360">
        <v>22.226679973220023</v>
      </c>
      <c r="AQ20" s="87">
        <v>20</v>
      </c>
      <c r="AR20" s="360">
        <v>35.4581758269156</v>
      </c>
      <c r="AS20" s="360">
        <v>28.366540661532483</v>
      </c>
      <c r="AT20" s="87">
        <v>14.646555446659971</v>
      </c>
      <c r="AU20" s="87"/>
      <c r="AV20" s="87">
        <v>100</v>
      </c>
      <c r="AW20" s="87">
        <v>98.197994962946112</v>
      </c>
      <c r="AX20" s="87">
        <v>100</v>
      </c>
      <c r="AY20" s="87">
        <v>93.730494693585598</v>
      </c>
      <c r="AZ20" s="87">
        <v>100</v>
      </c>
      <c r="BA20" s="87">
        <v>0</v>
      </c>
      <c r="BB20" s="87">
        <v>100</v>
      </c>
      <c r="BC20" s="87">
        <v>100</v>
      </c>
      <c r="BD20" s="87">
        <v>20</v>
      </c>
      <c r="BE20" s="361">
        <v>48.366540661532483</v>
      </c>
      <c r="BF20" s="361">
        <v>48.366540661532483</v>
      </c>
      <c r="BG20" s="361" t="s">
        <v>109</v>
      </c>
      <c r="BH20" s="361">
        <f t="shared" si="0"/>
        <v>21</v>
      </c>
    </row>
    <row r="21" spans="1:60" ht="13.5" hidden="1" customHeight="1" x14ac:dyDescent="0.35">
      <c r="A21" s="82" t="s">
        <v>101</v>
      </c>
      <c r="B21" s="81" t="s">
        <v>168</v>
      </c>
      <c r="C21" s="82">
        <v>2020</v>
      </c>
      <c r="D21" s="82" t="s">
        <v>25</v>
      </c>
      <c r="E21" s="147">
        <v>4</v>
      </c>
      <c r="F21" s="146" t="s">
        <v>178</v>
      </c>
      <c r="G21" t="s">
        <v>210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12"/>
      <c r="Y21" s="6"/>
      <c r="Z21" s="6"/>
      <c r="AA21" s="6"/>
      <c r="AB21" s="6"/>
      <c r="AC21" s="9"/>
      <c r="AD21" s="9"/>
      <c r="AE21" s="9"/>
      <c r="AF21" s="9"/>
      <c r="AG21" s="87">
        <v>75.969002863073896</v>
      </c>
      <c r="AH21" s="87">
        <v>24.030997136926104</v>
      </c>
      <c r="AI21" s="360">
        <v>41.013731659425318</v>
      </c>
      <c r="AJ21" s="360"/>
      <c r="AK21" s="360">
        <v>78.452226796110708</v>
      </c>
      <c r="AL21" s="87">
        <v>21.802238711715297</v>
      </c>
      <c r="AM21" s="87">
        <v>78.19776128828471</v>
      </c>
      <c r="AN21" s="87">
        <v>53.997991640599793</v>
      </c>
      <c r="AO21" s="87">
        <v>70</v>
      </c>
      <c r="AP21" s="360">
        <v>19.531432876836288</v>
      </c>
      <c r="AQ21" s="87">
        <v>40</v>
      </c>
      <c r="AR21" s="360">
        <v>58.136197044264307</v>
      </c>
      <c r="AS21" s="360">
        <v>46.508957635411448</v>
      </c>
      <c r="AT21" s="87">
        <v>15.596510126744789</v>
      </c>
      <c r="AU21" s="87"/>
      <c r="AV21" s="87">
        <v>100</v>
      </c>
      <c r="AW21" s="87">
        <v>147.14255186136484</v>
      </c>
      <c r="AX21" s="87">
        <v>50</v>
      </c>
      <c r="AY21" s="87">
        <v>90.224829172153235</v>
      </c>
      <c r="AZ21" s="87">
        <v>100</v>
      </c>
      <c r="BA21" s="87">
        <v>0</v>
      </c>
      <c r="BB21" s="87">
        <v>83.333333333333329</v>
      </c>
      <c r="BC21" s="87">
        <v>83.333333333333329</v>
      </c>
      <c r="BD21" s="87">
        <v>16.666666666666668</v>
      </c>
      <c r="BE21" s="361">
        <v>63.17562430207812</v>
      </c>
      <c r="BF21" s="361">
        <v>63.17562430207812</v>
      </c>
      <c r="BG21" s="361" t="s">
        <v>98</v>
      </c>
      <c r="BH21" s="361">
        <f t="shared" si="0"/>
        <v>9</v>
      </c>
    </row>
    <row r="22" spans="1:60" ht="13.5" hidden="1" customHeight="1" x14ac:dyDescent="0.35">
      <c r="A22" s="82" t="s">
        <v>100</v>
      </c>
      <c r="B22" s="81" t="s">
        <v>150</v>
      </c>
      <c r="C22" s="82">
        <v>2020</v>
      </c>
      <c r="D22" s="82" t="s">
        <v>11</v>
      </c>
      <c r="E22" s="147">
        <v>2</v>
      </c>
      <c r="F22" s="146" t="s">
        <v>178</v>
      </c>
      <c r="G22" t="s">
        <v>214</v>
      </c>
      <c r="H22" s="17"/>
      <c r="I22" s="17"/>
      <c r="J22" s="17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29"/>
      <c r="X22" s="15"/>
      <c r="Y22" s="30"/>
      <c r="Z22" s="30"/>
      <c r="AA22" s="30"/>
      <c r="AB22" s="30"/>
      <c r="AC22" s="17"/>
      <c r="AD22" s="17"/>
      <c r="AE22" s="17"/>
      <c r="AF22" s="17"/>
      <c r="AG22" s="87">
        <v>66.11469041504624</v>
      </c>
      <c r="AH22" s="87">
        <v>33.88530958495376</v>
      </c>
      <c r="AI22" s="360">
        <v>15.921970962521048</v>
      </c>
      <c r="AJ22" s="360"/>
      <c r="AK22" s="360">
        <v>56.641059085361185</v>
      </c>
      <c r="AL22" s="87">
        <v>65.627624120524345</v>
      </c>
      <c r="AM22" s="87">
        <v>34.372375879475655</v>
      </c>
      <c r="AN22" s="87">
        <v>37.071613158456209</v>
      </c>
      <c r="AO22" s="87">
        <v>50</v>
      </c>
      <c r="AP22" s="360">
        <v>11.69802530815705</v>
      </c>
      <c r="AQ22" s="87">
        <v>60</v>
      </c>
      <c r="AR22" s="360">
        <v>46.979748909958118</v>
      </c>
      <c r="AS22" s="360">
        <v>37.583799127966493</v>
      </c>
      <c r="AT22" s="87">
        <v>0</v>
      </c>
      <c r="AU22" s="87"/>
      <c r="AV22" s="87">
        <v>0</v>
      </c>
      <c r="AW22" s="87">
        <v>87.349598406980405</v>
      </c>
      <c r="AX22" s="87">
        <v>80</v>
      </c>
      <c r="AY22" s="87">
        <v>90.475384776579574</v>
      </c>
      <c r="AZ22" s="87">
        <v>100</v>
      </c>
      <c r="BA22" s="87">
        <v>0</v>
      </c>
      <c r="BB22" s="87">
        <v>60</v>
      </c>
      <c r="BC22" s="87">
        <v>60</v>
      </c>
      <c r="BD22" s="87">
        <v>12</v>
      </c>
      <c r="BE22" s="361">
        <v>49.583799127966493</v>
      </c>
      <c r="BF22" s="361">
        <v>49.583799127966493</v>
      </c>
      <c r="BG22" s="361" t="s">
        <v>109</v>
      </c>
      <c r="BH22" s="361">
        <f t="shared" si="0"/>
        <v>18</v>
      </c>
    </row>
    <row r="23" spans="1:60" ht="15" hidden="1" x14ac:dyDescent="0.35">
      <c r="A23" s="82" t="s">
        <v>112</v>
      </c>
      <c r="B23" s="81" t="s">
        <v>152</v>
      </c>
      <c r="C23" s="82">
        <v>2020</v>
      </c>
      <c r="D23" s="82" t="s">
        <v>12</v>
      </c>
      <c r="E23" s="147">
        <v>2</v>
      </c>
      <c r="F23" s="146" t="s">
        <v>178</v>
      </c>
      <c r="G23" t="s">
        <v>207</v>
      </c>
      <c r="H23" s="17"/>
      <c r="I23" s="17"/>
      <c r="J23" s="17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29"/>
      <c r="X23" s="15"/>
      <c r="Y23" s="30"/>
      <c r="Z23" s="30"/>
      <c r="AA23" s="30"/>
      <c r="AB23" s="30"/>
      <c r="AC23" s="17"/>
      <c r="AD23" s="17"/>
      <c r="AE23" s="17"/>
      <c r="AF23" s="17"/>
      <c r="AG23" s="87">
        <v>65.982640937291663</v>
      </c>
      <c r="AH23" s="87">
        <v>34.017359062708337</v>
      </c>
      <c r="AI23" s="360">
        <v>13.376627255786991</v>
      </c>
      <c r="AJ23" s="360"/>
      <c r="AK23" s="360">
        <v>47.586215082376754</v>
      </c>
      <c r="AL23" s="87">
        <v>49.991668994402893</v>
      </c>
      <c r="AM23" s="87">
        <v>50.008331005597107</v>
      </c>
      <c r="AN23" s="87">
        <v>48.843827930535269</v>
      </c>
      <c r="AO23" s="87">
        <v>70</v>
      </c>
      <c r="AP23" s="360">
        <v>23.506741081587752</v>
      </c>
      <c r="AQ23" s="87">
        <v>20</v>
      </c>
      <c r="AR23" s="360">
        <v>44.322381030136441</v>
      </c>
      <c r="AS23" s="360">
        <v>35.457904824109157</v>
      </c>
      <c r="AT23" s="87">
        <v>6.3337136612302896</v>
      </c>
      <c r="AU23" s="87"/>
      <c r="AV23" s="87">
        <v>54.379872043181081</v>
      </c>
      <c r="AW23" s="87">
        <v>59.119315629605737</v>
      </c>
      <c r="AX23" s="87">
        <v>50</v>
      </c>
      <c r="AY23" s="87">
        <v>95.017176627539186</v>
      </c>
      <c r="AZ23" s="87">
        <v>100</v>
      </c>
      <c r="BA23" s="87">
        <v>0</v>
      </c>
      <c r="BB23" s="87">
        <v>68.126624014393698</v>
      </c>
      <c r="BC23" s="87">
        <v>68.126624014393698</v>
      </c>
      <c r="BD23" s="87">
        <v>13.62532480287874</v>
      </c>
      <c r="BE23" s="361">
        <v>49.083229626987901</v>
      </c>
      <c r="BF23" s="361">
        <v>49.083229626987901</v>
      </c>
      <c r="BG23" s="361" t="s">
        <v>109</v>
      </c>
      <c r="BH23" s="361">
        <f t="shared" si="0"/>
        <v>20</v>
      </c>
    </row>
    <row r="24" spans="1:60" ht="13.5" hidden="1" customHeight="1" x14ac:dyDescent="0.35">
      <c r="A24" s="82" t="s">
        <v>99</v>
      </c>
      <c r="B24" s="81" t="s">
        <v>153</v>
      </c>
      <c r="C24" s="82">
        <v>2020</v>
      </c>
      <c r="D24" s="82" t="s">
        <v>13</v>
      </c>
      <c r="E24" s="146">
        <v>1</v>
      </c>
      <c r="F24" s="146" t="s">
        <v>178</v>
      </c>
      <c r="G24" t="s">
        <v>210</v>
      </c>
      <c r="H24" s="17"/>
      <c r="I24" s="17"/>
      <c r="J24" s="17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29"/>
      <c r="X24" s="15"/>
      <c r="Y24" s="30"/>
      <c r="Z24" s="30"/>
      <c r="AA24" s="30"/>
      <c r="AB24" s="30"/>
      <c r="AC24" s="17"/>
      <c r="AD24" s="17"/>
      <c r="AE24" s="17"/>
      <c r="AF24" s="17"/>
      <c r="AG24" s="87">
        <v>49.780681041783495</v>
      </c>
      <c r="AH24" s="87">
        <v>50.219318958216505</v>
      </c>
      <c r="AI24" s="360">
        <v>59.009503809274264</v>
      </c>
      <c r="AJ24" s="360"/>
      <c r="AK24" s="360">
        <v>100</v>
      </c>
      <c r="AL24" s="87">
        <v>19.180377997361397</v>
      </c>
      <c r="AM24" s="87">
        <v>80.819622002638596</v>
      </c>
      <c r="AN24" s="87">
        <v>54.601034978609363</v>
      </c>
      <c r="AO24" s="87">
        <v>70</v>
      </c>
      <c r="AP24" s="360">
        <v>19.821552880013744</v>
      </c>
      <c r="AQ24" s="87">
        <v>40</v>
      </c>
      <c r="AR24" s="360">
        <v>68.207788192171023</v>
      </c>
      <c r="AS24" s="360">
        <v>54.566230553736823</v>
      </c>
      <c r="AT24" s="87">
        <v>6.6809637879832851</v>
      </c>
      <c r="AU24" s="87"/>
      <c r="AV24" s="87">
        <v>71.085925252636358</v>
      </c>
      <c r="AW24" s="87">
        <v>80.03427437173228</v>
      </c>
      <c r="AX24" s="87">
        <v>80</v>
      </c>
      <c r="AY24" s="87">
        <v>77.361118442074229</v>
      </c>
      <c r="AZ24" s="87">
        <v>70</v>
      </c>
      <c r="BA24" s="87">
        <v>0</v>
      </c>
      <c r="BB24" s="87">
        <v>73.695308417545448</v>
      </c>
      <c r="BC24" s="87">
        <v>73.695308417545448</v>
      </c>
      <c r="BD24" s="87">
        <v>14.739061683509091</v>
      </c>
      <c r="BE24" s="361">
        <v>69.305292237245908</v>
      </c>
      <c r="BF24" s="361">
        <v>69.305292237245908</v>
      </c>
      <c r="BG24" s="361" t="s">
        <v>98</v>
      </c>
      <c r="BH24" s="361">
        <f t="shared" si="0"/>
        <v>2</v>
      </c>
    </row>
    <row r="25" spans="1:60" ht="15" hidden="1" x14ac:dyDescent="0.35">
      <c r="A25" s="82" t="s">
        <v>127</v>
      </c>
      <c r="B25" s="81" t="s">
        <v>154</v>
      </c>
      <c r="C25" s="82">
        <v>2020</v>
      </c>
      <c r="D25" s="82" t="s">
        <v>14</v>
      </c>
      <c r="E25" s="146">
        <v>1</v>
      </c>
      <c r="F25" s="146" t="s">
        <v>178</v>
      </c>
      <c r="G25" t="s">
        <v>215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5"/>
      <c r="V25" s="5"/>
      <c r="W25" s="13"/>
      <c r="X25" s="4"/>
      <c r="Y25" s="4"/>
      <c r="Z25" s="4"/>
      <c r="AA25" s="6"/>
      <c r="AB25" s="5"/>
      <c r="AC25" s="9"/>
      <c r="AD25" s="9"/>
      <c r="AE25" s="9"/>
      <c r="AF25" s="9"/>
      <c r="AG25" s="87">
        <v>69.098503618683793</v>
      </c>
      <c r="AH25" s="87">
        <v>30.901496381316207</v>
      </c>
      <c r="AI25" s="360">
        <v>9.7522017004924422</v>
      </c>
      <c r="AJ25" s="360"/>
      <c r="AK25" s="360">
        <v>16.526493312014143</v>
      </c>
      <c r="AL25" s="87">
        <v>64.347105999387779</v>
      </c>
      <c r="AM25" s="87">
        <v>35.652894000612221</v>
      </c>
      <c r="AN25" s="87">
        <v>55.194236443877386</v>
      </c>
      <c r="AO25" s="87">
        <v>80</v>
      </c>
      <c r="AP25" s="360">
        <v>20.483187713516486</v>
      </c>
      <c r="AQ25" s="87">
        <v>20</v>
      </c>
      <c r="AR25" s="360">
        <v>36.616176738788511</v>
      </c>
      <c r="AS25" s="360">
        <v>29.292941391030809</v>
      </c>
      <c r="AT25" s="87">
        <v>0</v>
      </c>
      <c r="AU25" s="87"/>
      <c r="AV25" s="87">
        <v>0</v>
      </c>
      <c r="AW25" s="87">
        <v>82.099298097329466</v>
      </c>
      <c r="AX25" s="87">
        <v>80</v>
      </c>
      <c r="AY25" s="87">
        <v>89.916773377945759</v>
      </c>
      <c r="AZ25" s="87">
        <v>80</v>
      </c>
      <c r="BA25" s="87">
        <v>0</v>
      </c>
      <c r="BB25" s="87">
        <v>53.333333333333336</v>
      </c>
      <c r="BC25" s="87">
        <v>53.333333333333336</v>
      </c>
      <c r="BD25" s="87">
        <v>10.666666666666668</v>
      </c>
      <c r="BE25" s="361">
        <v>39.95960805769748</v>
      </c>
      <c r="BF25" s="361">
        <v>39.95960805769748</v>
      </c>
      <c r="BG25" s="361" t="s">
        <v>177</v>
      </c>
      <c r="BH25" s="361">
        <f t="shared" si="0"/>
        <v>31</v>
      </c>
    </row>
    <row r="26" spans="1:60" ht="13.5" hidden="1" customHeight="1" x14ac:dyDescent="0.35">
      <c r="A26" s="82" t="s">
        <v>111</v>
      </c>
      <c r="B26" s="81" t="s">
        <v>155</v>
      </c>
      <c r="C26" s="82">
        <v>2020</v>
      </c>
      <c r="D26" s="82" t="s">
        <v>15</v>
      </c>
      <c r="E26" s="147">
        <v>2</v>
      </c>
      <c r="F26" s="146" t="s">
        <v>178</v>
      </c>
      <c r="G26" t="s">
        <v>208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12"/>
      <c r="Y26" s="6"/>
      <c r="Z26" s="6"/>
      <c r="AA26" s="6"/>
      <c r="AB26" s="6"/>
      <c r="AC26" s="9"/>
      <c r="AD26" s="9"/>
      <c r="AE26" s="9"/>
      <c r="AF26" s="9"/>
      <c r="AG26" s="87">
        <v>64.535025677314039</v>
      </c>
      <c r="AH26" s="87">
        <v>35.464974322685961</v>
      </c>
      <c r="AI26" s="360">
        <v>19.995121875633885</v>
      </c>
      <c r="AJ26" s="360"/>
      <c r="AK26" s="360">
        <v>71.130947433749895</v>
      </c>
      <c r="AL26" s="87">
        <v>67.754617218369972</v>
      </c>
      <c r="AM26" s="87">
        <v>32.245382781630028</v>
      </c>
      <c r="AN26" s="87">
        <v>54.144385072413115</v>
      </c>
      <c r="AO26" s="87">
        <v>70</v>
      </c>
      <c r="AP26" s="360">
        <v>14.355441103773684</v>
      </c>
      <c r="AQ26" s="87">
        <v>60</v>
      </c>
      <c r="AR26" s="360">
        <v>53.768260907613168</v>
      </c>
      <c r="AS26" s="360">
        <v>43.014608726090536</v>
      </c>
      <c r="AT26" s="87">
        <v>21.390194176120893</v>
      </c>
      <c r="AU26" s="87"/>
      <c r="AV26" s="87">
        <v>100</v>
      </c>
      <c r="AW26" s="87">
        <v>92.440597837235586</v>
      </c>
      <c r="AX26" s="87">
        <v>100</v>
      </c>
      <c r="AY26" s="87">
        <v>94.696143623376244</v>
      </c>
      <c r="AZ26" s="87">
        <v>100</v>
      </c>
      <c r="BA26" s="87">
        <v>0</v>
      </c>
      <c r="BB26" s="87">
        <v>100</v>
      </c>
      <c r="BC26" s="87">
        <v>100</v>
      </c>
      <c r="BD26" s="87">
        <v>20</v>
      </c>
      <c r="BE26" s="361">
        <v>63.014608726090536</v>
      </c>
      <c r="BF26" s="361">
        <v>63.014608726090536</v>
      </c>
      <c r="BG26" s="361" t="s">
        <v>98</v>
      </c>
      <c r="BH26" s="361">
        <f t="shared" si="0"/>
        <v>10</v>
      </c>
    </row>
    <row r="27" spans="1:60" ht="15" hidden="1" customHeight="1" x14ac:dyDescent="0.35">
      <c r="A27" s="82" t="s">
        <v>113</v>
      </c>
      <c r="B27" s="81" t="s">
        <v>164</v>
      </c>
      <c r="C27" s="82">
        <v>2020</v>
      </c>
      <c r="D27" s="82" t="s">
        <v>23</v>
      </c>
      <c r="E27" s="147">
        <v>4</v>
      </c>
      <c r="F27" s="146" t="s">
        <v>178</v>
      </c>
      <c r="G27" t="s">
        <v>214</v>
      </c>
      <c r="H27" s="17"/>
      <c r="I27" s="17"/>
      <c r="J27" s="17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  <c r="X27" s="15"/>
      <c r="Y27" s="30"/>
      <c r="Z27" s="30"/>
      <c r="AA27" s="30"/>
      <c r="AB27" s="30"/>
      <c r="AC27" s="17"/>
      <c r="AD27" s="17"/>
      <c r="AE27" s="17"/>
      <c r="AF27" s="17"/>
      <c r="AG27" s="87">
        <v>80.755888091344744</v>
      </c>
      <c r="AH27" s="87">
        <v>19.244111908655256</v>
      </c>
      <c r="AI27" s="360">
        <v>16.680272144505796</v>
      </c>
      <c r="AJ27" s="360"/>
      <c r="AK27" s="360">
        <v>31.906496686723401</v>
      </c>
      <c r="AL27" s="87">
        <v>28.474548997989864</v>
      </c>
      <c r="AM27" s="87">
        <v>71.525451002010129</v>
      </c>
      <c r="AN27" s="87">
        <v>38.644553723435976</v>
      </c>
      <c r="AO27" s="87">
        <v>50</v>
      </c>
      <c r="AP27" s="360">
        <v>13.033882609175713</v>
      </c>
      <c r="AQ27" s="87">
        <v>60</v>
      </c>
      <c r="AR27" s="360">
        <v>46.53521191947776</v>
      </c>
      <c r="AS27" s="360">
        <v>37.228169535582211</v>
      </c>
      <c r="AT27" s="87">
        <v>10.386516850369553</v>
      </c>
      <c r="AU27" s="87"/>
      <c r="AV27" s="87">
        <v>72.098741219369302</v>
      </c>
      <c r="AW27" s="87">
        <v>109.66542845504134</v>
      </c>
      <c r="AX27" s="87">
        <v>100</v>
      </c>
      <c r="AY27" s="87">
        <v>85.707958585613568</v>
      </c>
      <c r="AZ27" s="87">
        <v>80</v>
      </c>
      <c r="BA27" s="87">
        <v>0</v>
      </c>
      <c r="BB27" s="87">
        <v>84.032913739789763</v>
      </c>
      <c r="BC27" s="87">
        <v>84.032913739789763</v>
      </c>
      <c r="BD27" s="87">
        <v>16.806582747957954</v>
      </c>
      <c r="BE27" s="361">
        <v>54.034752283540165</v>
      </c>
      <c r="BF27" s="361">
        <v>54.034752283540165</v>
      </c>
      <c r="BG27" s="361" t="s">
        <v>109</v>
      </c>
      <c r="BH27" s="361">
        <f t="shared" si="0"/>
        <v>15</v>
      </c>
    </row>
    <row r="28" spans="1:60" ht="14.4" hidden="1" customHeight="1" x14ac:dyDescent="0.35">
      <c r="A28" s="82" t="s">
        <v>135</v>
      </c>
      <c r="B28" s="81" t="s">
        <v>156</v>
      </c>
      <c r="C28" s="82">
        <v>2020</v>
      </c>
      <c r="D28" s="82" t="s">
        <v>16</v>
      </c>
      <c r="E28" s="126">
        <v>3</v>
      </c>
      <c r="F28" s="146" t="s">
        <v>178</v>
      </c>
      <c r="G28" t="s">
        <v>211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12"/>
      <c r="Y28" s="6"/>
      <c r="Z28" s="6"/>
      <c r="AA28" s="6"/>
      <c r="AB28" s="6"/>
      <c r="AC28" s="9"/>
      <c r="AD28" s="9"/>
      <c r="AE28" s="9"/>
      <c r="AF28" s="9"/>
      <c r="AG28" s="87">
        <v>55.957895766567944</v>
      </c>
      <c r="AH28" s="87">
        <v>44.042104233432056</v>
      </c>
      <c r="AI28" s="360">
        <v>7.3527805054221389</v>
      </c>
      <c r="AJ28" s="360"/>
      <c r="AK28" s="360">
        <v>22.500021974605659</v>
      </c>
      <c r="AL28" s="87">
        <v>70.925232655745091</v>
      </c>
      <c r="AM28" s="87">
        <v>29.074767344254909</v>
      </c>
      <c r="AN28" s="87">
        <v>35.684988398764958</v>
      </c>
      <c r="AO28" s="87">
        <v>50</v>
      </c>
      <c r="AP28" s="360">
        <v>16.356145827698835</v>
      </c>
      <c r="AQ28" s="87">
        <v>40</v>
      </c>
      <c r="AR28" s="360">
        <v>37.123378710458525</v>
      </c>
      <c r="AS28" s="360">
        <v>29.69870296836682</v>
      </c>
      <c r="AT28" s="87">
        <v>21.608729566474128</v>
      </c>
      <c r="AU28" s="87"/>
      <c r="AV28" s="87">
        <v>100</v>
      </c>
      <c r="AW28" s="87">
        <v>75.414218268149114</v>
      </c>
      <c r="AX28" s="87">
        <v>70</v>
      </c>
      <c r="AY28" s="87">
        <v>98.936161798496855</v>
      </c>
      <c r="AZ28" s="87">
        <v>100</v>
      </c>
      <c r="BA28" s="87">
        <v>0</v>
      </c>
      <c r="BB28" s="87">
        <v>90</v>
      </c>
      <c r="BC28" s="87">
        <v>90</v>
      </c>
      <c r="BD28" s="87">
        <v>18</v>
      </c>
      <c r="BE28" s="361">
        <v>47.698702968366817</v>
      </c>
      <c r="BF28" s="361">
        <v>47.698702968366817</v>
      </c>
      <c r="BG28" s="361" t="s">
        <v>109</v>
      </c>
      <c r="BH28" s="361">
        <f t="shared" si="0"/>
        <v>22</v>
      </c>
    </row>
    <row r="29" spans="1:60" ht="14.4" hidden="1" customHeight="1" x14ac:dyDescent="0.35">
      <c r="A29" s="82" t="s">
        <v>114</v>
      </c>
      <c r="B29" s="81" t="s">
        <v>157</v>
      </c>
      <c r="C29" s="82">
        <v>2020</v>
      </c>
      <c r="D29" s="82" t="s">
        <v>7</v>
      </c>
      <c r="E29" s="147">
        <v>2</v>
      </c>
      <c r="F29" s="146" t="s">
        <v>178</v>
      </c>
      <c r="G29" t="s">
        <v>211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2"/>
      <c r="Y29" s="6"/>
      <c r="Z29" s="6"/>
      <c r="AA29" s="6"/>
      <c r="AB29" s="6"/>
      <c r="AC29" s="9"/>
      <c r="AD29" s="9"/>
      <c r="AE29" s="9"/>
      <c r="AF29" s="9"/>
      <c r="AG29" s="87">
        <v>45.267459796725213</v>
      </c>
      <c r="AH29" s="87">
        <v>54.732540203274787</v>
      </c>
      <c r="AI29" s="360">
        <v>23.781101153414454</v>
      </c>
      <c r="AJ29" s="360"/>
      <c r="AK29" s="360">
        <v>84.599247085438762</v>
      </c>
      <c r="AL29" s="87">
        <v>38.801090574523236</v>
      </c>
      <c r="AM29" s="87">
        <v>61.198909425476764</v>
      </c>
      <c r="AN29" s="87">
        <v>48.228272014120641</v>
      </c>
      <c r="AO29" s="87">
        <v>70</v>
      </c>
      <c r="AP29" s="360">
        <v>19.041829965048361</v>
      </c>
      <c r="AQ29" s="87">
        <v>40</v>
      </c>
      <c r="AR29" s="360">
        <v>62.106139342838063</v>
      </c>
      <c r="AS29" s="360">
        <v>49.68491147427045</v>
      </c>
      <c r="AT29" s="87">
        <v>20.617537502160516</v>
      </c>
      <c r="AU29" s="87"/>
      <c r="AV29" s="87">
        <v>100</v>
      </c>
      <c r="AW29" s="87">
        <v>84.492612222651871</v>
      </c>
      <c r="AX29" s="87">
        <v>80</v>
      </c>
      <c r="AY29" s="87">
        <v>96.337210868902687</v>
      </c>
      <c r="AZ29" s="87">
        <v>100</v>
      </c>
      <c r="BA29" s="87">
        <v>0</v>
      </c>
      <c r="BB29" s="87">
        <v>93.333333333333329</v>
      </c>
      <c r="BC29" s="87">
        <v>93.333333333333329</v>
      </c>
      <c r="BD29" s="87">
        <v>18.666666666666668</v>
      </c>
      <c r="BE29" s="361">
        <v>68.351578140937121</v>
      </c>
      <c r="BF29" s="361">
        <v>68.351578140937121</v>
      </c>
      <c r="BG29" s="361" t="s">
        <v>98</v>
      </c>
      <c r="BH29" s="361">
        <f t="shared" si="0"/>
        <v>3</v>
      </c>
    </row>
    <row r="30" spans="1:60" ht="15" hidden="1" x14ac:dyDescent="0.35">
      <c r="A30" s="82" t="s">
        <v>106</v>
      </c>
      <c r="B30" s="81" t="s">
        <v>165</v>
      </c>
      <c r="C30" s="82">
        <v>2020</v>
      </c>
      <c r="D30" s="82" t="s">
        <v>173</v>
      </c>
      <c r="E30" s="126">
        <v>3</v>
      </c>
      <c r="F30" s="146" t="s">
        <v>178</v>
      </c>
      <c r="G30" t="s">
        <v>207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5"/>
      <c r="V30" s="5"/>
      <c r="W30" s="13"/>
      <c r="X30" s="4"/>
      <c r="Y30" s="4"/>
      <c r="Z30" s="4"/>
      <c r="AA30" s="6"/>
      <c r="AB30" s="5"/>
      <c r="AC30" s="9"/>
      <c r="AD30" s="9"/>
      <c r="AE30" s="9"/>
      <c r="AF30" s="9"/>
      <c r="AG30" s="87">
        <v>48.194698972354693</v>
      </c>
      <c r="AH30" s="87">
        <v>51.805301027645307</v>
      </c>
      <c r="AI30" s="360">
        <v>12.111549441587202</v>
      </c>
      <c r="AJ30" s="360"/>
      <c r="AK30" s="360">
        <v>37.062187342771708</v>
      </c>
      <c r="AL30" s="87">
        <v>23.164471541646385</v>
      </c>
      <c r="AM30" s="87">
        <v>76.835528458353622</v>
      </c>
      <c r="AN30" s="87">
        <v>19.13777236261706</v>
      </c>
      <c r="AO30" s="87">
        <v>30</v>
      </c>
      <c r="AP30" s="360">
        <v>54.624358278239484</v>
      </c>
      <c r="AQ30" s="87">
        <v>0</v>
      </c>
      <c r="AR30" s="360">
        <v>39.140603365754131</v>
      </c>
      <c r="AS30" s="360">
        <v>31.312482692603307</v>
      </c>
      <c r="AT30" s="87">
        <v>5.0995280008366954</v>
      </c>
      <c r="AU30" s="87"/>
      <c r="AV30" s="87">
        <v>43.171948702963576</v>
      </c>
      <c r="AW30" s="87">
        <v>42.505842581964913</v>
      </c>
      <c r="AX30" s="87">
        <v>0</v>
      </c>
      <c r="AY30" s="87">
        <v>79.124448251531831</v>
      </c>
      <c r="AZ30" s="87">
        <v>70</v>
      </c>
      <c r="BA30" s="87">
        <v>0</v>
      </c>
      <c r="BB30" s="87">
        <v>37.723982900987856</v>
      </c>
      <c r="BC30" s="87">
        <v>37.723982900987856</v>
      </c>
      <c r="BD30" s="87">
        <v>7.5447965801975716</v>
      </c>
      <c r="BE30" s="361">
        <v>38.857279272800881</v>
      </c>
      <c r="BF30" s="361">
        <v>38.857279272800881</v>
      </c>
      <c r="BG30" s="361" t="s">
        <v>177</v>
      </c>
      <c r="BH30" s="361">
        <f t="shared" si="0"/>
        <v>32</v>
      </c>
    </row>
    <row r="31" spans="1:60" ht="13.5" hidden="1" customHeight="1" x14ac:dyDescent="0.35">
      <c r="A31" s="82" t="s">
        <v>117</v>
      </c>
      <c r="B31" s="81" t="s">
        <v>158</v>
      </c>
      <c r="C31" s="82">
        <v>2020</v>
      </c>
      <c r="D31" s="82" t="s">
        <v>17</v>
      </c>
      <c r="E31" s="146">
        <v>1</v>
      </c>
      <c r="F31" s="146" t="s">
        <v>178</v>
      </c>
      <c r="G31" t="s">
        <v>208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5"/>
      <c r="V31" s="5"/>
      <c r="W31" s="13"/>
      <c r="X31" s="4"/>
      <c r="Y31" s="4"/>
      <c r="Z31" s="4"/>
      <c r="AA31" s="6"/>
      <c r="AB31" s="5"/>
      <c r="AC31" s="9"/>
      <c r="AD31" s="9"/>
      <c r="AE31" s="9"/>
      <c r="AF31" s="9"/>
      <c r="AG31" s="87">
        <v>54.008228760550011</v>
      </c>
      <c r="AH31" s="87">
        <v>45.991771239449989</v>
      </c>
      <c r="AI31" s="360">
        <v>19.752283995839122</v>
      </c>
      <c r="AJ31" s="360"/>
      <c r="AK31" s="360">
        <v>33.473055560136302</v>
      </c>
      <c r="AL31" s="87">
        <v>65.217123992866334</v>
      </c>
      <c r="AM31" s="87">
        <v>34.782876007133666</v>
      </c>
      <c r="AN31" s="87">
        <v>33.331761246583405</v>
      </c>
      <c r="AO31" s="87">
        <v>40</v>
      </c>
      <c r="AP31" s="360">
        <v>15.30916127534932</v>
      </c>
      <c r="AQ31" s="87">
        <v>40</v>
      </c>
      <c r="AR31" s="360">
        <v>38.849540561343993</v>
      </c>
      <c r="AS31" s="360">
        <v>31.079632449075195</v>
      </c>
      <c r="AT31" s="87">
        <v>8.1227135238677857</v>
      </c>
      <c r="AU31" s="87"/>
      <c r="AV31" s="87">
        <v>86.426243986654057</v>
      </c>
      <c r="AW31" s="87">
        <v>84.014184223562481</v>
      </c>
      <c r="AX31" s="87">
        <v>80</v>
      </c>
      <c r="AY31" s="87">
        <v>84.896211291804221</v>
      </c>
      <c r="AZ31" s="87">
        <v>80</v>
      </c>
      <c r="BA31" s="87">
        <v>0</v>
      </c>
      <c r="BB31" s="87">
        <v>82.142081328884686</v>
      </c>
      <c r="BC31" s="87">
        <v>82.142081328884686</v>
      </c>
      <c r="BD31" s="87">
        <v>16.428416265776939</v>
      </c>
      <c r="BE31" s="361">
        <v>47.508048714852137</v>
      </c>
      <c r="BF31" s="361">
        <v>47.508048714852137</v>
      </c>
      <c r="BG31" s="361" t="s">
        <v>109</v>
      </c>
      <c r="BH31" s="361">
        <f t="shared" si="0"/>
        <v>23</v>
      </c>
    </row>
    <row r="32" spans="1:60" ht="15" hidden="1" x14ac:dyDescent="0.35">
      <c r="A32" s="82" t="s">
        <v>97</v>
      </c>
      <c r="B32" s="81" t="s">
        <v>159</v>
      </c>
      <c r="C32" s="82">
        <v>2020</v>
      </c>
      <c r="D32" s="82" t="s">
        <v>18</v>
      </c>
      <c r="E32" s="126">
        <v>3</v>
      </c>
      <c r="F32" s="146" t="s">
        <v>178</v>
      </c>
      <c r="G32" t="s">
        <v>207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12"/>
      <c r="Y32" s="6"/>
      <c r="Z32" s="6"/>
      <c r="AA32" s="6"/>
      <c r="AB32" s="6"/>
      <c r="AC32" s="9"/>
      <c r="AD32" s="9"/>
      <c r="AE32" s="9"/>
      <c r="AF32" s="9"/>
      <c r="AG32" s="87">
        <v>76.094259055768958</v>
      </c>
      <c r="AH32" s="87">
        <v>23.905740944231042</v>
      </c>
      <c r="AI32" s="360">
        <v>32.678992552632856</v>
      </c>
      <c r="AJ32" s="360"/>
      <c r="AK32" s="360">
        <v>100</v>
      </c>
      <c r="AL32" s="87">
        <v>30.724688213587662</v>
      </c>
      <c r="AM32" s="87">
        <v>69.275311786412345</v>
      </c>
      <c r="AN32" s="87">
        <v>45.117143100010217</v>
      </c>
      <c r="AO32" s="87">
        <v>70</v>
      </c>
      <c r="AP32" s="360">
        <v>17.737338029414829</v>
      </c>
      <c r="AQ32" s="87">
        <v>40</v>
      </c>
      <c r="AR32" s="360">
        <v>60.63621054612868</v>
      </c>
      <c r="AS32" s="360">
        <v>48.508968436902947</v>
      </c>
      <c r="AT32" s="87">
        <v>0</v>
      </c>
      <c r="AU32" s="87"/>
      <c r="AV32" s="87">
        <v>0</v>
      </c>
      <c r="AW32" s="87">
        <v>82.261477888447857</v>
      </c>
      <c r="AX32" s="87">
        <v>80</v>
      </c>
      <c r="AY32" s="87">
        <v>97.59599064759432</v>
      </c>
      <c r="AZ32" s="87">
        <v>100</v>
      </c>
      <c r="BA32" s="87">
        <v>0</v>
      </c>
      <c r="BB32" s="87">
        <v>60</v>
      </c>
      <c r="BC32" s="87">
        <v>60</v>
      </c>
      <c r="BD32" s="87">
        <v>12</v>
      </c>
      <c r="BE32" s="361">
        <v>60.508968436902947</v>
      </c>
      <c r="BF32" s="361">
        <v>60.508968436902947</v>
      </c>
      <c r="BG32" s="361" t="s">
        <v>98</v>
      </c>
      <c r="BH32" s="361">
        <f t="shared" si="0"/>
        <v>11</v>
      </c>
    </row>
    <row r="33" spans="1:60" ht="13.5" hidden="1" customHeight="1" x14ac:dyDescent="0.35">
      <c r="A33" s="82" t="s">
        <v>108</v>
      </c>
      <c r="B33" s="81" t="s">
        <v>160</v>
      </c>
      <c r="C33" s="82">
        <v>2020</v>
      </c>
      <c r="D33" s="82" t="s">
        <v>19</v>
      </c>
      <c r="E33" s="147">
        <v>2</v>
      </c>
      <c r="F33" s="146" t="s">
        <v>178</v>
      </c>
      <c r="G33" t="s">
        <v>214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5"/>
      <c r="V33" s="5"/>
      <c r="W33" s="13"/>
      <c r="X33" s="4"/>
      <c r="Y33" s="4"/>
      <c r="Z33" s="4"/>
      <c r="AA33" s="6"/>
      <c r="AB33" s="5"/>
      <c r="AC33" s="9"/>
      <c r="AD33" s="9"/>
      <c r="AE33" s="9"/>
      <c r="AF33" s="9"/>
      <c r="AG33" s="87">
        <v>60.92106276937723</v>
      </c>
      <c r="AH33" s="87">
        <v>39.07893723062277</v>
      </c>
      <c r="AI33" s="360">
        <v>22.061973498472071</v>
      </c>
      <c r="AJ33" s="360"/>
      <c r="AK33" s="360">
        <v>78.483596497450733</v>
      </c>
      <c r="AL33" s="87">
        <v>80.964943212320037</v>
      </c>
      <c r="AM33" s="87">
        <v>19.035056787679963</v>
      </c>
      <c r="AN33" s="87">
        <v>37.137981663272228</v>
      </c>
      <c r="AO33" s="87">
        <v>50</v>
      </c>
      <c r="AP33" s="360">
        <v>12.689848537860115</v>
      </c>
      <c r="AQ33" s="87">
        <v>60</v>
      </c>
      <c r="AR33" s="360">
        <v>49.319518103150692</v>
      </c>
      <c r="AS33" s="360">
        <v>39.455614482520559</v>
      </c>
      <c r="AT33" s="87">
        <v>27.960767228205285</v>
      </c>
      <c r="AU33" s="87"/>
      <c r="AV33" s="87">
        <v>100</v>
      </c>
      <c r="AW33" s="87">
        <v>81.290436334523974</v>
      </c>
      <c r="AX33" s="87">
        <v>80</v>
      </c>
      <c r="AY33" s="87">
        <v>92.843557123975572</v>
      </c>
      <c r="AZ33" s="87">
        <v>100</v>
      </c>
      <c r="BA33" s="87">
        <v>0</v>
      </c>
      <c r="BB33" s="87">
        <v>93.333333333333329</v>
      </c>
      <c r="BC33" s="87">
        <v>93.333333333333329</v>
      </c>
      <c r="BD33" s="87">
        <v>18.666666666666668</v>
      </c>
      <c r="BE33" s="361">
        <v>58.122281149187231</v>
      </c>
      <c r="BF33" s="361">
        <v>58.122281149187231</v>
      </c>
      <c r="BG33" s="361" t="s">
        <v>109</v>
      </c>
      <c r="BH33" s="361">
        <f t="shared" si="0"/>
        <v>12</v>
      </c>
    </row>
    <row r="34" spans="1:60" ht="15" hidden="1" x14ac:dyDescent="0.35">
      <c r="A34" s="82" t="s">
        <v>103</v>
      </c>
      <c r="B34" s="81" t="s">
        <v>161</v>
      </c>
      <c r="C34" s="82">
        <v>2020</v>
      </c>
      <c r="D34" s="82" t="s">
        <v>20</v>
      </c>
      <c r="E34" s="146" t="s">
        <v>51</v>
      </c>
      <c r="F34" s="146" t="s">
        <v>178</v>
      </c>
      <c r="G34" t="s">
        <v>215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5"/>
      <c r="V34" s="5"/>
      <c r="W34" s="13"/>
      <c r="X34" s="4"/>
      <c r="Y34" s="4"/>
      <c r="Z34" s="4"/>
      <c r="AA34" s="6"/>
      <c r="AB34" s="5"/>
      <c r="AC34" s="9"/>
      <c r="AD34" s="9"/>
      <c r="AE34" s="9"/>
      <c r="AF34" s="9"/>
      <c r="AG34" s="87">
        <v>33.745317147876754</v>
      </c>
      <c r="AH34" s="87">
        <v>66.254682852123238</v>
      </c>
      <c r="AI34" s="360">
        <v>24.350572352269509</v>
      </c>
      <c r="AJ34" s="360"/>
      <c r="AK34" s="360">
        <v>71.119869963520756</v>
      </c>
      <c r="AL34" s="87">
        <v>77.762712371509821</v>
      </c>
      <c r="AM34" s="87">
        <v>22.237287628490179</v>
      </c>
      <c r="AN34" s="87">
        <v>65.003311069287903</v>
      </c>
      <c r="AO34" s="87">
        <v>100</v>
      </c>
      <c r="AP34" s="360">
        <v>20.231055539840934</v>
      </c>
      <c r="AQ34" s="87">
        <v>20</v>
      </c>
      <c r="AR34" s="360">
        <v>55.922368088826829</v>
      </c>
      <c r="AS34" s="360">
        <v>44.737894471061466</v>
      </c>
      <c r="AT34" s="87">
        <v>11.520475522684587</v>
      </c>
      <c r="AU34" s="87"/>
      <c r="AV34" s="87">
        <v>100</v>
      </c>
      <c r="AW34" s="87">
        <v>88.441169979118257</v>
      </c>
      <c r="AX34" s="87">
        <v>80</v>
      </c>
      <c r="AY34" s="87">
        <v>92.871397733706871</v>
      </c>
      <c r="AZ34" s="87">
        <v>100</v>
      </c>
      <c r="BA34" s="87">
        <v>0</v>
      </c>
      <c r="BB34" s="87">
        <v>93.333333333333329</v>
      </c>
      <c r="BC34" s="87">
        <v>93.333333333333329</v>
      </c>
      <c r="BD34" s="87">
        <v>18.666666666666668</v>
      </c>
      <c r="BE34" s="361">
        <v>63.404561137728138</v>
      </c>
      <c r="BF34" s="361">
        <v>63.404561137728138</v>
      </c>
      <c r="BG34" s="361" t="s">
        <v>98</v>
      </c>
      <c r="BH34" s="361">
        <f t="shared" si="0"/>
        <v>8</v>
      </c>
    </row>
    <row r="35" spans="1:60" ht="13.5" hidden="1" customHeight="1" x14ac:dyDescent="0.35">
      <c r="A35" s="82" t="s">
        <v>123</v>
      </c>
      <c r="B35" s="81" t="s">
        <v>169</v>
      </c>
      <c r="C35" s="82">
        <v>2020</v>
      </c>
      <c r="D35" s="82" t="s">
        <v>124</v>
      </c>
      <c r="E35" s="147">
        <v>4</v>
      </c>
      <c r="F35" s="146" t="s">
        <v>178</v>
      </c>
      <c r="G35" t="s">
        <v>210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5"/>
      <c r="V35" s="5"/>
      <c r="W35" s="13"/>
      <c r="X35" s="4"/>
      <c r="Y35" s="4"/>
      <c r="Z35" s="4"/>
      <c r="AA35" s="6"/>
      <c r="AB35" s="5"/>
      <c r="AC35" s="9"/>
      <c r="AD35" s="9"/>
      <c r="AE35" s="9"/>
      <c r="AF35" s="9"/>
      <c r="AG35" s="87">
        <v>85.497358679371601</v>
      </c>
      <c r="AH35" s="87">
        <v>14.502641320628399</v>
      </c>
      <c r="AI35" s="360">
        <v>52.278607420559013</v>
      </c>
      <c r="AJ35" s="360"/>
      <c r="AK35" s="360">
        <v>100</v>
      </c>
      <c r="AL35" s="87">
        <v>10.072137118138039</v>
      </c>
      <c r="AM35" s="87">
        <v>89.927862881861955</v>
      </c>
      <c r="AN35" s="87">
        <v>54.650687563543777</v>
      </c>
      <c r="AO35" s="87">
        <v>70</v>
      </c>
      <c r="AP35" s="360">
        <v>47.545915699701155</v>
      </c>
      <c r="AQ35" s="87">
        <v>0</v>
      </c>
      <c r="AR35" s="360">
        <v>54.886100840498067</v>
      </c>
      <c r="AS35" s="360">
        <v>43.908880672398453</v>
      </c>
      <c r="AT35" s="87">
        <v>27.285859827698498</v>
      </c>
      <c r="AU35" s="87"/>
      <c r="AV35" s="87">
        <v>100</v>
      </c>
      <c r="AW35" s="87">
        <v>195.38027928860882</v>
      </c>
      <c r="AX35" s="87">
        <v>0</v>
      </c>
      <c r="AY35" s="87">
        <v>85.007081497193852</v>
      </c>
      <c r="AZ35" s="87">
        <v>80</v>
      </c>
      <c r="BA35" s="87">
        <v>0</v>
      </c>
      <c r="BB35" s="87">
        <v>60</v>
      </c>
      <c r="BC35" s="87">
        <v>60</v>
      </c>
      <c r="BD35" s="87">
        <v>12</v>
      </c>
      <c r="BE35" s="361">
        <v>55.908880672398453</v>
      </c>
      <c r="BF35" s="361">
        <v>55.908880672398453</v>
      </c>
      <c r="BG35" s="361" t="s">
        <v>109</v>
      </c>
      <c r="BH35" s="361">
        <f t="shared" si="0"/>
        <v>13</v>
      </c>
    </row>
    <row r="36" spans="1:60" ht="15" hidden="1" customHeight="1" x14ac:dyDescent="0.35">
      <c r="A36" s="82" t="s">
        <v>134</v>
      </c>
      <c r="B36" s="81" t="s">
        <v>170</v>
      </c>
      <c r="C36" s="82">
        <v>2020</v>
      </c>
      <c r="D36" s="82" t="s">
        <v>26</v>
      </c>
      <c r="E36" s="147">
        <v>4</v>
      </c>
      <c r="F36" s="146" t="s">
        <v>178</v>
      </c>
      <c r="G36" t="s">
        <v>210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5"/>
      <c r="V36" s="5"/>
      <c r="W36" s="13"/>
      <c r="X36" s="4"/>
      <c r="Y36" s="4"/>
      <c r="Z36" s="4"/>
      <c r="AA36" s="6"/>
      <c r="AB36" s="5"/>
      <c r="AC36" s="9"/>
      <c r="AD36" s="9"/>
      <c r="AE36" s="9"/>
      <c r="AF36" s="9"/>
      <c r="AG36" s="87">
        <v>80.052497901387966</v>
      </c>
      <c r="AH36" s="87">
        <v>19.947502098612034</v>
      </c>
      <c r="AI36" s="360">
        <v>6.7635486346236631</v>
      </c>
      <c r="AJ36" s="360"/>
      <c r="AK36" s="360">
        <v>12.937507267961081</v>
      </c>
      <c r="AL36" s="87">
        <v>24.799015517805241</v>
      </c>
      <c r="AM36" s="87">
        <v>75.200984482194755</v>
      </c>
      <c r="AN36" s="87">
        <v>51.795699388458935</v>
      </c>
      <c r="AO36" s="87">
        <v>70</v>
      </c>
      <c r="AP36" s="360">
        <v>30.906828071062876</v>
      </c>
      <c r="AQ36" s="87">
        <v>0</v>
      </c>
      <c r="AR36" s="360">
        <v>35.617198769753578</v>
      </c>
      <c r="AS36" s="360">
        <v>28.493759015802866</v>
      </c>
      <c r="AT36" s="87">
        <v>30.312381937064703</v>
      </c>
      <c r="AU36" s="87"/>
      <c r="AV36" s="87">
        <v>100</v>
      </c>
      <c r="AW36" s="87">
        <v>80.948659084694881</v>
      </c>
      <c r="AX36" s="87">
        <v>80</v>
      </c>
      <c r="AY36" s="87">
        <v>90.070250159683482</v>
      </c>
      <c r="AZ36" s="87">
        <v>100</v>
      </c>
      <c r="BA36" s="87">
        <v>0</v>
      </c>
      <c r="BB36" s="87">
        <v>93.333333333333329</v>
      </c>
      <c r="BC36" s="87">
        <v>93.333333333333329</v>
      </c>
      <c r="BD36" s="87">
        <v>18.666666666666668</v>
      </c>
      <c r="BE36" s="361">
        <v>47.160425682469537</v>
      </c>
      <c r="BF36" s="361">
        <v>47.160425682469537</v>
      </c>
      <c r="BG36" s="361" t="s">
        <v>109</v>
      </c>
      <c r="BH36" s="361">
        <f t="shared" si="0"/>
        <v>24</v>
      </c>
    </row>
    <row r="37" spans="1:60" ht="13.5" customHeight="1" x14ac:dyDescent="0.35">
      <c r="A37" s="81" t="s">
        <v>102</v>
      </c>
      <c r="B37" s="81" t="s">
        <v>139</v>
      </c>
      <c r="C37" s="82">
        <v>2021</v>
      </c>
      <c r="D37" s="82" t="s">
        <v>2</v>
      </c>
      <c r="E37" s="146" t="s">
        <v>51</v>
      </c>
      <c r="F37" s="146" t="s">
        <v>178</v>
      </c>
      <c r="G37" t="s">
        <v>211</v>
      </c>
      <c r="H37" s="83">
        <v>0</v>
      </c>
      <c r="I37" s="83">
        <v>1709401.2830000001</v>
      </c>
      <c r="J37" s="83">
        <v>4592679.4110000003</v>
      </c>
      <c r="K37" s="83">
        <v>1559056.101</v>
      </c>
      <c r="L37" s="83">
        <v>926098.66299999994</v>
      </c>
      <c r="M37" s="83">
        <v>3635276.6460159998</v>
      </c>
      <c r="N37" s="83">
        <v>1041270.6330000001</v>
      </c>
      <c r="O37" s="83">
        <v>2496946.9780000001</v>
      </c>
      <c r="P37" s="83">
        <v>1552525.4240000001</v>
      </c>
      <c r="Q37" s="83">
        <v>87868.123999999996</v>
      </c>
      <c r="R37" s="83">
        <v>52088.412000000477</v>
      </c>
      <c r="S37" s="83">
        <v>457101.00599999999</v>
      </c>
      <c r="T37" s="83">
        <v>0</v>
      </c>
      <c r="U37" s="83">
        <v>13610541.498312</v>
      </c>
      <c r="V37" s="83">
        <v>10408840.132896001</v>
      </c>
      <c r="W37" s="85">
        <v>20.377259040043448</v>
      </c>
      <c r="X37" s="82">
        <v>50</v>
      </c>
      <c r="Y37" s="83">
        <v>1398513.6009519999</v>
      </c>
      <c r="Z37" s="83">
        <v>1664061.5847759999</v>
      </c>
      <c r="AA37" s="83">
        <v>3596155.6391790002</v>
      </c>
      <c r="AB37" s="83">
        <v>3227210.3036949998</v>
      </c>
      <c r="AC37" s="86">
        <f t="shared" ref="AC37:AC68" si="1">+H37+I37</f>
        <v>1709401.2830000001</v>
      </c>
      <c r="AD37" s="86">
        <f t="shared" ref="AD37:AD68" si="2">+J37</f>
        <v>4592679.4110000003</v>
      </c>
      <c r="AE37" s="86">
        <f t="shared" ref="AE37:AE68" si="3">+R37+Q37+S37</f>
        <v>597057.54200000048</v>
      </c>
      <c r="AF37" s="86">
        <f t="shared" ref="AF37:AF68" si="4">+J37+T37</f>
        <v>4592679.4110000003</v>
      </c>
      <c r="AG37" s="87">
        <v>37.220130778250834</v>
      </c>
      <c r="AH37" s="87">
        <v>62.779869221749166</v>
      </c>
      <c r="AI37" s="360">
        <v>28.643504591078571</v>
      </c>
      <c r="AJ37" s="360">
        <v>33.999363742874657</v>
      </c>
      <c r="AK37" s="360">
        <v>84.247178293392253</v>
      </c>
      <c r="AL37" s="87">
        <v>76.476311645550027</v>
      </c>
      <c r="AM37" s="87">
        <v>23.523688354449973</v>
      </c>
      <c r="AN37" s="87">
        <v>62.176947996049925</v>
      </c>
      <c r="AO37" s="87">
        <v>80</v>
      </c>
      <c r="AP37" s="360">
        <v>11.869938483000308</v>
      </c>
      <c r="AQ37" s="87">
        <v>60</v>
      </c>
      <c r="AR37" s="360">
        <v>62.110147173918278</v>
      </c>
      <c r="AS37" s="360">
        <f t="shared" ref="AS37:AS68" si="5">+AR37*0.8</f>
        <v>49.688117739134626</v>
      </c>
      <c r="AT37" s="87">
        <v>29.622740959956552</v>
      </c>
      <c r="AU37" s="87">
        <v>17.663359604407596</v>
      </c>
      <c r="AV37" s="87">
        <v>100</v>
      </c>
      <c r="AW37" s="87">
        <v>118.98787281319505</v>
      </c>
      <c r="AX37" s="87">
        <v>80</v>
      </c>
      <c r="AY37" s="87">
        <v>89.740562631259465</v>
      </c>
      <c r="AZ37" s="87">
        <v>80</v>
      </c>
      <c r="BA37" s="87">
        <v>0</v>
      </c>
      <c r="BB37" s="87">
        <f t="shared" ref="BB37:BB68" si="6">+AVERAGE(AZ37,AX37,AV37)</f>
        <v>86.666666666666671</v>
      </c>
      <c r="BC37" s="87">
        <f t="shared" ref="BC37:BC68" si="7">+BB37+BA37</f>
        <v>86.666666666666671</v>
      </c>
      <c r="BD37" s="87">
        <f t="shared" ref="BD37:BD68" si="8">+BC37*0.2</f>
        <v>17.333333333333336</v>
      </c>
      <c r="BE37" s="68">
        <f t="shared" ref="BE37:BE68" si="9">+BD37+AS37</f>
        <v>67.021451072467954</v>
      </c>
      <c r="BF37" s="68">
        <v>67.021451072467954</v>
      </c>
      <c r="BG37" s="68" t="s">
        <v>98</v>
      </c>
      <c r="BH37" s="68">
        <f t="shared" si="0"/>
        <v>7</v>
      </c>
    </row>
    <row r="38" spans="1:60" ht="15" customHeight="1" x14ac:dyDescent="0.35">
      <c r="A38" s="81" t="s">
        <v>94</v>
      </c>
      <c r="B38" s="81" t="s">
        <v>140</v>
      </c>
      <c r="C38" s="89">
        <v>2021</v>
      </c>
      <c r="D38" s="82" t="s">
        <v>27</v>
      </c>
      <c r="E38" s="146">
        <v>1</v>
      </c>
      <c r="F38" s="152" t="s">
        <v>178</v>
      </c>
      <c r="G38" t="s">
        <v>207</v>
      </c>
      <c r="H38" s="83">
        <v>1147.6300000000001</v>
      </c>
      <c r="I38" s="83">
        <v>461663.31899999996</v>
      </c>
      <c r="J38" s="83">
        <v>1271528.996</v>
      </c>
      <c r="K38" s="83">
        <v>555954.07499999995</v>
      </c>
      <c r="L38" s="83">
        <v>236938.87299999999</v>
      </c>
      <c r="M38" s="83">
        <v>1407695.5684249999</v>
      </c>
      <c r="N38" s="83">
        <v>450142.11042500002</v>
      </c>
      <c r="O38" s="83">
        <v>795112.88</v>
      </c>
      <c r="P38" s="83">
        <v>570037.55000000005</v>
      </c>
      <c r="Q38" s="83">
        <v>13174.616</v>
      </c>
      <c r="R38" s="83">
        <v>-334165.3870000001</v>
      </c>
      <c r="S38" s="83">
        <v>157956.807</v>
      </c>
      <c r="T38" s="83">
        <v>0</v>
      </c>
      <c r="U38" s="83">
        <v>4367073.4697419703</v>
      </c>
      <c r="V38" s="83">
        <v>1892702.92174145</v>
      </c>
      <c r="W38" s="85">
        <v>36.067361435706957</v>
      </c>
      <c r="X38" s="82">
        <v>55.000000000000007</v>
      </c>
      <c r="Y38" s="83">
        <v>581213.35631800001</v>
      </c>
      <c r="Z38" s="83">
        <v>710424.65544799995</v>
      </c>
      <c r="AA38" s="83">
        <v>1388506.195082</v>
      </c>
      <c r="AB38" s="83">
        <v>1027325.556963</v>
      </c>
      <c r="AC38" s="86">
        <f t="shared" si="1"/>
        <v>462810.94899999996</v>
      </c>
      <c r="AD38" s="86">
        <f t="shared" si="2"/>
        <v>1271528.996</v>
      </c>
      <c r="AE38" s="86">
        <f t="shared" si="3"/>
        <v>-163033.96400000012</v>
      </c>
      <c r="AF38" s="86">
        <f t="shared" si="4"/>
        <v>1271528.996</v>
      </c>
      <c r="AG38" s="87">
        <v>36.397986239867073</v>
      </c>
      <c r="AH38" s="87">
        <v>63.602013760132927</v>
      </c>
      <c r="AI38" s="360">
        <v>31.977234319821118</v>
      </c>
      <c r="AJ38" s="360">
        <v>33.829451549825087</v>
      </c>
      <c r="AK38" s="360">
        <v>94.524838136154926</v>
      </c>
      <c r="AL38" s="87">
        <v>43.34030409278369</v>
      </c>
      <c r="AM38" s="87">
        <v>56.65969590721631</v>
      </c>
      <c r="AN38" s="87">
        <v>71.692657022484667</v>
      </c>
      <c r="AO38" s="87">
        <v>100</v>
      </c>
      <c r="AP38" s="360">
        <v>-11.263148675786724</v>
      </c>
      <c r="AQ38" s="87">
        <v>60</v>
      </c>
      <c r="AR38" s="360">
        <v>74.957309560700836</v>
      </c>
      <c r="AS38" s="360">
        <f t="shared" si="5"/>
        <v>59.965847648560668</v>
      </c>
      <c r="AT38" s="87">
        <v>18.932638564293047</v>
      </c>
      <c r="AU38" s="87">
        <v>14.195572418362289</v>
      </c>
      <c r="AV38" s="87">
        <v>100</v>
      </c>
      <c r="AW38" s="87">
        <v>122.23130245123005</v>
      </c>
      <c r="AX38" s="87">
        <v>70</v>
      </c>
      <c r="AY38" s="87">
        <v>73.987826673134137</v>
      </c>
      <c r="AZ38" s="87">
        <v>70</v>
      </c>
      <c r="BA38" s="87">
        <v>0</v>
      </c>
      <c r="BB38" s="87">
        <f t="shared" si="6"/>
        <v>80</v>
      </c>
      <c r="BC38" s="87">
        <f t="shared" si="7"/>
        <v>80</v>
      </c>
      <c r="BD38" s="87">
        <f t="shared" si="8"/>
        <v>16</v>
      </c>
      <c r="BE38" s="68">
        <f t="shared" si="9"/>
        <v>75.965847648560668</v>
      </c>
      <c r="BF38" s="68">
        <v>75.965847648560668</v>
      </c>
      <c r="BG38" s="68" t="s">
        <v>95</v>
      </c>
      <c r="BH38" s="68">
        <f t="shared" si="0"/>
        <v>1</v>
      </c>
    </row>
    <row r="39" spans="1:60" ht="13.5" customHeight="1" x14ac:dyDescent="0.35">
      <c r="A39" s="81" t="s">
        <v>132</v>
      </c>
      <c r="B39" s="81" t="s">
        <v>141</v>
      </c>
      <c r="C39" s="89">
        <v>2021</v>
      </c>
      <c r="D39" s="82" t="s">
        <v>133</v>
      </c>
      <c r="E39" s="146">
        <v>1</v>
      </c>
      <c r="F39" s="152" t="s">
        <v>178</v>
      </c>
      <c r="G39" t="s">
        <v>207</v>
      </c>
      <c r="H39" s="83">
        <v>0</v>
      </c>
      <c r="I39" s="83">
        <v>882892.19</v>
      </c>
      <c r="J39" s="83">
        <v>1447648.2719999999</v>
      </c>
      <c r="K39" s="83">
        <v>333637.21100000001</v>
      </c>
      <c r="L39" s="83">
        <v>91039.894</v>
      </c>
      <c r="M39" s="83">
        <v>1802694.5998940002</v>
      </c>
      <c r="N39" s="83">
        <v>466368.63399999996</v>
      </c>
      <c r="O39" s="83">
        <v>424677.10499999998</v>
      </c>
      <c r="P39" s="83">
        <v>152641.75699999998</v>
      </c>
      <c r="Q39" s="83">
        <v>17592.559000000001</v>
      </c>
      <c r="R39" s="83">
        <v>-170245.82799999998</v>
      </c>
      <c r="S39" s="83">
        <v>62363.190999999999</v>
      </c>
      <c r="T39" s="83">
        <v>0</v>
      </c>
      <c r="U39" s="83">
        <v>4100619.4388272204</v>
      </c>
      <c r="V39" s="83">
        <v>2610867.4273052597</v>
      </c>
      <c r="W39" s="85">
        <v>49.834133477079533</v>
      </c>
      <c r="X39" s="82">
        <v>55.000000000000007</v>
      </c>
      <c r="Y39" s="83">
        <v>268329.24463700003</v>
      </c>
      <c r="Z39" s="83">
        <v>347103.26202099997</v>
      </c>
      <c r="AA39" s="83">
        <v>1274823.122064</v>
      </c>
      <c r="AB39" s="83">
        <v>985274.23757799994</v>
      </c>
      <c r="AC39" s="86">
        <f t="shared" si="1"/>
        <v>882892.19</v>
      </c>
      <c r="AD39" s="86">
        <f t="shared" si="2"/>
        <v>1447648.2719999999</v>
      </c>
      <c r="AE39" s="86">
        <f t="shared" si="3"/>
        <v>-90290.07799999998</v>
      </c>
      <c r="AF39" s="86">
        <f t="shared" si="4"/>
        <v>1447648.2719999999</v>
      </c>
      <c r="AG39" s="87">
        <v>60.98803190503169</v>
      </c>
      <c r="AH39" s="87">
        <v>39.01196809496831</v>
      </c>
      <c r="AI39" s="360">
        <v>25.870640208686641</v>
      </c>
      <c r="AJ39" s="360">
        <v>33.829451549825087</v>
      </c>
      <c r="AK39" s="360">
        <v>76.473720452084606</v>
      </c>
      <c r="AL39" s="87">
        <v>63.670073906004049</v>
      </c>
      <c r="AM39" s="87">
        <v>36.329926093995951</v>
      </c>
      <c r="AN39" s="87">
        <v>35.943015341031867</v>
      </c>
      <c r="AO39" s="87">
        <v>50</v>
      </c>
      <c r="AP39" s="360">
        <v>-5.779604211073984</v>
      </c>
      <c r="AQ39" s="87">
        <v>80</v>
      </c>
      <c r="AR39" s="360">
        <v>56.363122928209769</v>
      </c>
      <c r="AS39" s="360">
        <f t="shared" si="5"/>
        <v>45.09049834256782</v>
      </c>
      <c r="AT39" s="87">
        <v>5.1658665229204708</v>
      </c>
      <c r="AU39" s="87">
        <v>14.195572418362289</v>
      </c>
      <c r="AV39" s="87">
        <v>36.390688382796789</v>
      </c>
      <c r="AW39" s="87">
        <v>129.35722399195311</v>
      </c>
      <c r="AX39" s="87">
        <v>70</v>
      </c>
      <c r="AY39" s="87">
        <v>77.287132663768574</v>
      </c>
      <c r="AZ39" s="87">
        <v>70</v>
      </c>
      <c r="BA39" s="87">
        <v>0</v>
      </c>
      <c r="BB39" s="87">
        <f t="shared" si="6"/>
        <v>58.796896127598927</v>
      </c>
      <c r="BC39" s="87">
        <f t="shared" si="7"/>
        <v>58.796896127598927</v>
      </c>
      <c r="BD39" s="87">
        <f t="shared" si="8"/>
        <v>11.759379225519787</v>
      </c>
      <c r="BE39" s="68">
        <f t="shared" si="9"/>
        <v>56.849877568087607</v>
      </c>
      <c r="BF39" s="68">
        <v>56.849877568087607</v>
      </c>
      <c r="BG39" s="68" t="s">
        <v>109</v>
      </c>
      <c r="BH39" s="68">
        <f t="shared" si="0"/>
        <v>17</v>
      </c>
    </row>
    <row r="40" spans="1:60" ht="15" customHeight="1" x14ac:dyDescent="0.35">
      <c r="A40" s="81" t="s">
        <v>128</v>
      </c>
      <c r="B40" s="81" t="s">
        <v>142</v>
      </c>
      <c r="C40" s="89">
        <v>2021</v>
      </c>
      <c r="D40" s="82" t="s">
        <v>176</v>
      </c>
      <c r="E40" s="146">
        <v>1</v>
      </c>
      <c r="F40" s="152" t="s">
        <v>178</v>
      </c>
      <c r="G40" t="s">
        <v>208</v>
      </c>
      <c r="H40" s="83">
        <v>9611.8389999999999</v>
      </c>
      <c r="I40" s="83">
        <v>769485.47700000007</v>
      </c>
      <c r="J40" s="83">
        <v>1217399.05</v>
      </c>
      <c r="K40" s="83">
        <v>353477.13900000002</v>
      </c>
      <c r="L40" s="83">
        <v>27468.102999999999</v>
      </c>
      <c r="M40" s="83">
        <v>1085275.851062</v>
      </c>
      <c r="N40" s="83">
        <v>153644.22700000001</v>
      </c>
      <c r="O40" s="83">
        <v>392522.88700000005</v>
      </c>
      <c r="P40" s="83">
        <v>224398.69100000005</v>
      </c>
      <c r="Q40" s="83">
        <v>5995.2690000000002</v>
      </c>
      <c r="R40" s="83">
        <v>-7153.9679999998771</v>
      </c>
      <c r="S40" s="83">
        <v>174000.791</v>
      </c>
      <c r="T40" s="83">
        <v>0</v>
      </c>
      <c r="U40" s="83">
        <v>4446077.2464549998</v>
      </c>
      <c r="V40" s="83">
        <v>2968031.7643189998</v>
      </c>
      <c r="W40" s="85">
        <v>40.66685409908078</v>
      </c>
      <c r="X40" s="82">
        <v>55.000000000000007</v>
      </c>
      <c r="Y40" s="83">
        <v>307549.51351100003</v>
      </c>
      <c r="Z40" s="83">
        <v>358089.458086</v>
      </c>
      <c r="AA40" s="83">
        <v>1056933.2510520001</v>
      </c>
      <c r="AB40" s="83">
        <v>941109.47692799999</v>
      </c>
      <c r="AC40" s="86">
        <f t="shared" si="1"/>
        <v>779097.31600000011</v>
      </c>
      <c r="AD40" s="86">
        <f t="shared" si="2"/>
        <v>1217399.05</v>
      </c>
      <c r="AE40" s="86">
        <f t="shared" si="3"/>
        <v>172842.09200000012</v>
      </c>
      <c r="AF40" s="86">
        <f t="shared" si="4"/>
        <v>1217399.05</v>
      </c>
      <c r="AG40" s="87">
        <v>63.996872348471122</v>
      </c>
      <c r="AH40" s="87">
        <v>36.003127651528878</v>
      </c>
      <c r="AI40" s="360">
        <v>14.157158924125232</v>
      </c>
      <c r="AJ40" s="360">
        <v>33.829451549825087</v>
      </c>
      <c r="AK40" s="360">
        <v>41.848620877799689</v>
      </c>
      <c r="AL40" s="87">
        <v>66.756189777978037</v>
      </c>
      <c r="AM40" s="87">
        <v>33.243810222021963</v>
      </c>
      <c r="AN40" s="87">
        <v>57.168307487761858</v>
      </c>
      <c r="AO40" s="87">
        <v>80</v>
      </c>
      <c r="AP40" s="360">
        <v>14.119233098286626</v>
      </c>
      <c r="AQ40" s="87">
        <v>60</v>
      </c>
      <c r="AR40" s="360">
        <v>50.219111750270109</v>
      </c>
      <c r="AS40" s="360">
        <f t="shared" si="5"/>
        <v>40.175289400216087</v>
      </c>
      <c r="AT40" s="87">
        <v>14.333145900919225</v>
      </c>
      <c r="AU40" s="87">
        <v>14.195572418362289</v>
      </c>
      <c r="AV40" s="87">
        <v>100</v>
      </c>
      <c r="AW40" s="87">
        <v>116.43310828166611</v>
      </c>
      <c r="AX40" s="87">
        <v>80</v>
      </c>
      <c r="AY40" s="87">
        <v>89.041524239234889</v>
      </c>
      <c r="AZ40" s="87">
        <v>80</v>
      </c>
      <c r="BA40" s="87">
        <v>0</v>
      </c>
      <c r="BB40" s="87">
        <f t="shared" si="6"/>
        <v>86.666666666666671</v>
      </c>
      <c r="BC40" s="87">
        <f t="shared" si="7"/>
        <v>86.666666666666671</v>
      </c>
      <c r="BD40" s="87">
        <f t="shared" si="8"/>
        <v>17.333333333333336</v>
      </c>
      <c r="BE40" s="68">
        <f t="shared" si="9"/>
        <v>57.508622733549423</v>
      </c>
      <c r="BF40" s="68">
        <v>57.508622733549423</v>
      </c>
      <c r="BG40" s="68" t="s">
        <v>109</v>
      </c>
      <c r="BH40" s="68">
        <f t="shared" si="0"/>
        <v>15</v>
      </c>
    </row>
    <row r="41" spans="1:60" ht="15" customHeight="1" x14ac:dyDescent="0.35">
      <c r="A41" s="81" t="s">
        <v>105</v>
      </c>
      <c r="B41" s="81" t="s">
        <v>143</v>
      </c>
      <c r="C41" s="89">
        <v>2021</v>
      </c>
      <c r="D41" s="82" t="s">
        <v>6</v>
      </c>
      <c r="E41" s="147">
        <v>2</v>
      </c>
      <c r="F41" s="152" t="s">
        <v>178</v>
      </c>
      <c r="G41" t="s">
        <v>211</v>
      </c>
      <c r="H41" s="83">
        <v>3519.482</v>
      </c>
      <c r="I41" s="83">
        <v>380461.48599999998</v>
      </c>
      <c r="J41" s="83">
        <v>821791.06400000001</v>
      </c>
      <c r="K41" s="83">
        <v>261305.258</v>
      </c>
      <c r="L41" s="83">
        <v>37630.343000000001</v>
      </c>
      <c r="M41" s="83">
        <v>701091.14795199991</v>
      </c>
      <c r="N41" s="83">
        <v>172047.09995199999</v>
      </c>
      <c r="O41" s="83">
        <v>305201.83600000001</v>
      </c>
      <c r="P41" s="83">
        <v>167742.99299999999</v>
      </c>
      <c r="Q41" s="83">
        <v>2312.3440000000001</v>
      </c>
      <c r="R41" s="83">
        <v>926.50800000003073</v>
      </c>
      <c r="S41" s="83">
        <v>96826.956999999995</v>
      </c>
      <c r="T41" s="83">
        <v>0</v>
      </c>
      <c r="U41" s="83">
        <v>3109285.7673209999</v>
      </c>
      <c r="V41" s="83">
        <v>1888736.4966210001</v>
      </c>
      <c r="W41" s="85">
        <v>44.140619056275021</v>
      </c>
      <c r="X41" s="82">
        <v>60</v>
      </c>
      <c r="Y41" s="83">
        <v>234928.10247899999</v>
      </c>
      <c r="Z41" s="83">
        <v>286278.31102899997</v>
      </c>
      <c r="AA41" s="83">
        <v>683405.71311300003</v>
      </c>
      <c r="AB41" s="83">
        <v>669919.91699499998</v>
      </c>
      <c r="AC41" s="86">
        <f t="shared" si="1"/>
        <v>383980.96799999999</v>
      </c>
      <c r="AD41" s="86">
        <f t="shared" si="2"/>
        <v>821791.06400000001</v>
      </c>
      <c r="AE41" s="86">
        <f t="shared" si="3"/>
        <v>100065.80900000002</v>
      </c>
      <c r="AF41" s="86">
        <f t="shared" si="4"/>
        <v>821791.06400000001</v>
      </c>
      <c r="AG41" s="87">
        <v>46.724889673417039</v>
      </c>
      <c r="AH41" s="87">
        <v>53.275110326582961</v>
      </c>
      <c r="AI41" s="360">
        <v>24.539904754834982</v>
      </c>
      <c r="AJ41" s="360">
        <v>32.399809404911757</v>
      </c>
      <c r="AK41" s="360">
        <v>75.740892324862799</v>
      </c>
      <c r="AL41" s="87">
        <v>60.745027571021865</v>
      </c>
      <c r="AM41" s="87">
        <v>39.254972428978135</v>
      </c>
      <c r="AN41" s="87">
        <v>54.961331556340966</v>
      </c>
      <c r="AO41" s="87">
        <v>70</v>
      </c>
      <c r="AP41" s="360">
        <v>11.454485769301865</v>
      </c>
      <c r="AQ41" s="87">
        <v>60</v>
      </c>
      <c r="AR41" s="360">
        <v>59.654195016084785</v>
      </c>
      <c r="AS41" s="360">
        <f t="shared" si="5"/>
        <v>47.723356012867832</v>
      </c>
      <c r="AT41" s="87">
        <v>15.859380943724977</v>
      </c>
      <c r="AU41" s="87">
        <v>23.304944717087167</v>
      </c>
      <c r="AV41" s="87">
        <v>68.051570755698435</v>
      </c>
      <c r="AW41" s="87">
        <v>121.85783991278359</v>
      </c>
      <c r="AX41" s="87">
        <v>70</v>
      </c>
      <c r="AY41" s="87">
        <v>98.026677878273716</v>
      </c>
      <c r="AZ41" s="87">
        <v>100</v>
      </c>
      <c r="BA41" s="87">
        <v>0</v>
      </c>
      <c r="BB41" s="87">
        <f t="shared" si="6"/>
        <v>79.350523585232807</v>
      </c>
      <c r="BC41" s="87">
        <f t="shared" si="7"/>
        <v>79.350523585232807</v>
      </c>
      <c r="BD41" s="87">
        <f t="shared" si="8"/>
        <v>15.870104717046562</v>
      </c>
      <c r="BE41" s="68">
        <f t="shared" si="9"/>
        <v>63.593460729914398</v>
      </c>
      <c r="BF41" s="68">
        <v>63.593460729914398</v>
      </c>
      <c r="BG41" s="68" t="s">
        <v>98</v>
      </c>
      <c r="BH41" s="68">
        <f t="shared" si="0"/>
        <v>9</v>
      </c>
    </row>
    <row r="42" spans="1:60" ht="15" customHeight="1" x14ac:dyDescent="0.35">
      <c r="A42" s="81" t="s">
        <v>121</v>
      </c>
      <c r="B42" s="81" t="s">
        <v>144</v>
      </c>
      <c r="C42" s="89">
        <v>2021</v>
      </c>
      <c r="D42" s="82" t="s">
        <v>122</v>
      </c>
      <c r="E42" s="147">
        <v>4</v>
      </c>
      <c r="F42" s="152" t="s">
        <v>178</v>
      </c>
      <c r="G42" t="s">
        <v>214</v>
      </c>
      <c r="H42" s="83">
        <v>3113.48</v>
      </c>
      <c r="I42" s="83">
        <v>264830.68</v>
      </c>
      <c r="J42" s="83">
        <v>367026.60800000001</v>
      </c>
      <c r="K42" s="83">
        <v>64565.973000000005</v>
      </c>
      <c r="L42" s="83">
        <v>21189.221000000001</v>
      </c>
      <c r="M42" s="83">
        <v>361018.84820499999</v>
      </c>
      <c r="N42" s="83">
        <v>27255.903055000002</v>
      </c>
      <c r="O42" s="83">
        <v>89556.649000000005</v>
      </c>
      <c r="P42" s="83">
        <v>40655.760999999999</v>
      </c>
      <c r="Q42" s="83">
        <v>51.527000000000001</v>
      </c>
      <c r="R42" s="83">
        <v>4708.76800000004</v>
      </c>
      <c r="S42" s="83">
        <v>60034.999000000003</v>
      </c>
      <c r="T42" s="83">
        <v>0</v>
      </c>
      <c r="U42" s="83">
        <v>1473933.3616869999</v>
      </c>
      <c r="V42" s="83">
        <v>757411.93328400003</v>
      </c>
      <c r="W42" s="85">
        <v>57.637590380653258</v>
      </c>
      <c r="X42" s="82">
        <v>70</v>
      </c>
      <c r="Y42" s="83">
        <v>59263.258520000003</v>
      </c>
      <c r="Z42" s="83">
        <v>66806.191844000001</v>
      </c>
      <c r="AA42" s="83">
        <v>313447.81499799999</v>
      </c>
      <c r="AB42" s="83">
        <v>281128.199188</v>
      </c>
      <c r="AC42" s="86">
        <f t="shared" si="1"/>
        <v>267944.15999999997</v>
      </c>
      <c r="AD42" s="86">
        <f t="shared" si="2"/>
        <v>367026.60800000001</v>
      </c>
      <c r="AE42" s="86">
        <f t="shared" si="3"/>
        <v>64795.294000000045</v>
      </c>
      <c r="AF42" s="86">
        <f t="shared" si="4"/>
        <v>367026.60800000001</v>
      </c>
      <c r="AG42" s="87">
        <v>73.004015011358518</v>
      </c>
      <c r="AH42" s="87">
        <v>26.995984988641482</v>
      </c>
      <c r="AI42" s="360">
        <v>7.5497174705745778</v>
      </c>
      <c r="AJ42" s="360">
        <v>43.098869787831411</v>
      </c>
      <c r="AK42" s="360">
        <v>17.517205225428381</v>
      </c>
      <c r="AL42" s="87">
        <v>51.387121899262752</v>
      </c>
      <c r="AM42" s="87">
        <v>48.612878100737248</v>
      </c>
      <c r="AN42" s="87">
        <v>45.396697457940839</v>
      </c>
      <c r="AO42" s="87">
        <v>70</v>
      </c>
      <c r="AP42" s="360">
        <v>17.534676149761871</v>
      </c>
      <c r="AQ42" s="87">
        <v>40</v>
      </c>
      <c r="AR42" s="360">
        <v>40.625213662961428</v>
      </c>
      <c r="AS42" s="360">
        <f t="shared" si="5"/>
        <v>32.500170930369144</v>
      </c>
      <c r="AT42" s="87">
        <v>12.362409619346737</v>
      </c>
      <c r="AU42" s="87">
        <v>16.238737718781703</v>
      </c>
      <c r="AV42" s="87">
        <v>76.129129205950463</v>
      </c>
      <c r="AW42" s="87">
        <v>112.72784101376138</v>
      </c>
      <c r="AX42" s="87">
        <v>80</v>
      </c>
      <c r="AY42" s="87">
        <v>89.688996297451865</v>
      </c>
      <c r="AZ42" s="87">
        <v>80</v>
      </c>
      <c r="BA42" s="87">
        <v>0</v>
      </c>
      <c r="BB42" s="87">
        <f t="shared" si="6"/>
        <v>78.709709735316821</v>
      </c>
      <c r="BC42" s="87">
        <f t="shared" si="7"/>
        <v>78.709709735316821</v>
      </c>
      <c r="BD42" s="87">
        <f t="shared" si="8"/>
        <v>15.741941947063365</v>
      </c>
      <c r="BE42" s="68">
        <f t="shared" si="9"/>
        <v>48.242112877432511</v>
      </c>
      <c r="BF42" s="68">
        <v>48.242112877432511</v>
      </c>
      <c r="BG42" s="68" t="s">
        <v>109</v>
      </c>
      <c r="BH42" s="68">
        <f t="shared" si="0"/>
        <v>27</v>
      </c>
    </row>
    <row r="43" spans="1:60" ht="15" x14ac:dyDescent="0.35">
      <c r="A43" s="81" t="s">
        <v>126</v>
      </c>
      <c r="B43" s="81" t="s">
        <v>145</v>
      </c>
      <c r="C43" s="89">
        <v>2021</v>
      </c>
      <c r="D43" s="82" t="s">
        <v>8</v>
      </c>
      <c r="E43" s="126">
        <v>3</v>
      </c>
      <c r="F43" s="152" t="s">
        <v>178</v>
      </c>
      <c r="G43" t="s">
        <v>215</v>
      </c>
      <c r="H43" s="83">
        <v>0</v>
      </c>
      <c r="I43" s="83">
        <v>1088713.8159999999</v>
      </c>
      <c r="J43" s="83">
        <v>1394677.0459999999</v>
      </c>
      <c r="K43" s="83">
        <v>135031.476</v>
      </c>
      <c r="L43" s="83">
        <v>105602.66</v>
      </c>
      <c r="M43" s="83">
        <v>1266578.9694400001</v>
      </c>
      <c r="N43" s="83">
        <v>69160.597000000009</v>
      </c>
      <c r="O43" s="83">
        <v>241487.06200000001</v>
      </c>
      <c r="P43" s="83">
        <v>138207.12500000003</v>
      </c>
      <c r="Q43" s="83">
        <v>45.290999999999997</v>
      </c>
      <c r="R43" s="83">
        <v>67443.680999999866</v>
      </c>
      <c r="S43" s="83">
        <v>218383.46299999999</v>
      </c>
      <c r="T43" s="83">
        <v>0</v>
      </c>
      <c r="U43" s="83">
        <v>3279299.1611040002</v>
      </c>
      <c r="V43" s="83">
        <v>1351266.651486</v>
      </c>
      <c r="W43" s="85">
        <v>28.191374367510353</v>
      </c>
      <c r="X43" s="82">
        <v>70</v>
      </c>
      <c r="Y43" s="83">
        <v>107253.130603</v>
      </c>
      <c r="Z43" s="83">
        <v>141658.62946500001</v>
      </c>
      <c r="AA43" s="83">
        <v>1221691.7315179999</v>
      </c>
      <c r="AB43" s="83">
        <v>1192998.3940870001</v>
      </c>
      <c r="AC43" s="86">
        <f t="shared" si="1"/>
        <v>1088713.8159999999</v>
      </c>
      <c r="AD43" s="86">
        <f t="shared" si="2"/>
        <v>1394677.0459999999</v>
      </c>
      <c r="AE43" s="86">
        <f t="shared" si="3"/>
        <v>285872.43499999982</v>
      </c>
      <c r="AF43" s="86">
        <f t="shared" si="4"/>
        <v>1394677.0459999999</v>
      </c>
      <c r="AG43" s="87">
        <v>78.06207316041251</v>
      </c>
      <c r="AH43" s="87">
        <v>21.93792683958749</v>
      </c>
      <c r="AI43" s="360">
        <v>5.4604251822196597</v>
      </c>
      <c r="AJ43" s="360">
        <v>16.294753788194086</v>
      </c>
      <c r="AK43" s="360">
        <v>33.510326410552217</v>
      </c>
      <c r="AL43" s="87">
        <v>41.205958502154047</v>
      </c>
      <c r="AM43" s="87">
        <v>58.794041497845953</v>
      </c>
      <c r="AN43" s="87">
        <v>57.231689290252753</v>
      </c>
      <c r="AO43" s="87">
        <v>80</v>
      </c>
      <c r="AP43" s="360">
        <v>20.256897246646119</v>
      </c>
      <c r="AQ43" s="87">
        <v>20</v>
      </c>
      <c r="AR43" s="360">
        <v>42.848458949597131</v>
      </c>
      <c r="AS43" s="360">
        <f t="shared" si="5"/>
        <v>34.278767159677706</v>
      </c>
      <c r="AT43" s="87">
        <v>41.808625632489644</v>
      </c>
      <c r="AU43" s="87">
        <v>17.283021658478575</v>
      </c>
      <c r="AV43" s="87">
        <v>100</v>
      </c>
      <c r="AW43" s="87">
        <v>132.07878284630476</v>
      </c>
      <c r="AX43" s="87">
        <v>60</v>
      </c>
      <c r="AY43" s="87">
        <v>97.651343895456563</v>
      </c>
      <c r="AZ43" s="87">
        <v>100</v>
      </c>
      <c r="BA43" s="87">
        <v>0</v>
      </c>
      <c r="BB43" s="87">
        <f t="shared" si="6"/>
        <v>86.666666666666671</v>
      </c>
      <c r="BC43" s="87">
        <f t="shared" si="7"/>
        <v>86.666666666666671</v>
      </c>
      <c r="BD43" s="87">
        <f t="shared" si="8"/>
        <v>17.333333333333336</v>
      </c>
      <c r="BE43" s="68">
        <f t="shared" si="9"/>
        <v>51.612100493011042</v>
      </c>
      <c r="BF43" s="68">
        <v>51.612100493011042</v>
      </c>
      <c r="BG43" s="68" t="s">
        <v>109</v>
      </c>
      <c r="BH43" s="68">
        <f t="shared" si="0"/>
        <v>25</v>
      </c>
    </row>
    <row r="44" spans="1:60" ht="15" x14ac:dyDescent="0.35">
      <c r="A44" s="81" t="s">
        <v>104</v>
      </c>
      <c r="B44" s="81" t="s">
        <v>146</v>
      </c>
      <c r="C44" s="89">
        <v>2021</v>
      </c>
      <c r="D44" s="82" t="s">
        <v>9</v>
      </c>
      <c r="E44" s="147">
        <v>2</v>
      </c>
      <c r="F44" s="152" t="s">
        <v>178</v>
      </c>
      <c r="G44" t="s">
        <v>207</v>
      </c>
      <c r="H44" s="83">
        <v>295.87400000000002</v>
      </c>
      <c r="I44" s="83">
        <v>669840.929</v>
      </c>
      <c r="J44" s="83">
        <v>884970.554</v>
      </c>
      <c r="K44" s="83">
        <v>145592.38299999997</v>
      </c>
      <c r="L44" s="83">
        <v>42925.482000000004</v>
      </c>
      <c r="M44" s="83">
        <v>933865.88940900005</v>
      </c>
      <c r="N44" s="83">
        <v>302570.76826600003</v>
      </c>
      <c r="O44" s="83">
        <v>189588.44699999999</v>
      </c>
      <c r="P44" s="83">
        <v>103001.70999999998</v>
      </c>
      <c r="Q44" s="83">
        <v>1158.1320000000001</v>
      </c>
      <c r="R44" s="83">
        <v>73075.476000000024</v>
      </c>
      <c r="S44" s="83">
        <v>89241.324999999997</v>
      </c>
      <c r="T44" s="83">
        <v>0</v>
      </c>
      <c r="U44" s="83">
        <v>2544924.47834806</v>
      </c>
      <c r="V44" s="83">
        <v>600163.80057234992</v>
      </c>
      <c r="W44" s="85">
        <v>31.605596742907053</v>
      </c>
      <c r="X44" s="82">
        <v>60</v>
      </c>
      <c r="Y44" s="83">
        <v>128384.815682</v>
      </c>
      <c r="Z44" s="83">
        <v>148495.29013000001</v>
      </c>
      <c r="AA44" s="83">
        <v>733304.70518599998</v>
      </c>
      <c r="AB44" s="83">
        <v>667645.42780800001</v>
      </c>
      <c r="AC44" s="86">
        <f t="shared" si="1"/>
        <v>670136.80299999996</v>
      </c>
      <c r="AD44" s="86">
        <f t="shared" si="2"/>
        <v>884970.554</v>
      </c>
      <c r="AE44" s="86">
        <f t="shared" si="3"/>
        <v>163474.93300000002</v>
      </c>
      <c r="AF44" s="86">
        <f t="shared" si="4"/>
        <v>884970.554</v>
      </c>
      <c r="AG44" s="87">
        <v>75.7241921746472</v>
      </c>
      <c r="AH44" s="87">
        <v>24.2758078253528</v>
      </c>
      <c r="AI44" s="360">
        <v>32.399809404911757</v>
      </c>
      <c r="AJ44" s="360">
        <v>32.399809404911757</v>
      </c>
      <c r="AK44" s="360">
        <v>100</v>
      </c>
      <c r="AL44" s="87">
        <v>23.582774486177414</v>
      </c>
      <c r="AM44" s="87">
        <v>76.417225513822586</v>
      </c>
      <c r="AN44" s="87">
        <v>54.32910687854308</v>
      </c>
      <c r="AO44" s="87">
        <v>70</v>
      </c>
      <c r="AP44" s="360">
        <v>18.472358459962955</v>
      </c>
      <c r="AQ44" s="87">
        <v>40</v>
      </c>
      <c r="AR44" s="360">
        <v>62.138606667835077</v>
      </c>
      <c r="AS44" s="360">
        <f t="shared" si="5"/>
        <v>49.710885334268063</v>
      </c>
      <c r="AT44" s="87">
        <v>28.394403257092943</v>
      </c>
      <c r="AU44" s="87">
        <v>23.304944717087167</v>
      </c>
      <c r="AV44" s="87">
        <v>100</v>
      </c>
      <c r="AW44" s="87">
        <v>115.66421569495587</v>
      </c>
      <c r="AX44" s="87">
        <v>80</v>
      </c>
      <c r="AY44" s="87">
        <v>91.046112630445251</v>
      </c>
      <c r="AZ44" s="87">
        <v>100</v>
      </c>
      <c r="BA44" s="87">
        <v>0</v>
      </c>
      <c r="BB44" s="87">
        <f t="shared" si="6"/>
        <v>93.333333333333329</v>
      </c>
      <c r="BC44" s="87">
        <f t="shared" si="7"/>
        <v>93.333333333333329</v>
      </c>
      <c r="BD44" s="87">
        <f t="shared" si="8"/>
        <v>18.666666666666668</v>
      </c>
      <c r="BE44" s="68">
        <f t="shared" si="9"/>
        <v>68.377552000934728</v>
      </c>
      <c r="BF44" s="68">
        <v>68.377552000934728</v>
      </c>
      <c r="BG44" s="68" t="s">
        <v>98</v>
      </c>
      <c r="BH44" s="68">
        <f t="shared" si="0"/>
        <v>6</v>
      </c>
    </row>
    <row r="45" spans="1:60" ht="15" x14ac:dyDescent="0.35">
      <c r="A45" s="81" t="s">
        <v>129</v>
      </c>
      <c r="B45" s="81" t="s">
        <v>147</v>
      </c>
      <c r="C45" s="89">
        <v>2021</v>
      </c>
      <c r="D45" s="82" t="s">
        <v>130</v>
      </c>
      <c r="E45" s="147">
        <v>2</v>
      </c>
      <c r="F45" s="152" t="s">
        <v>178</v>
      </c>
      <c r="G45" t="s">
        <v>207</v>
      </c>
      <c r="H45" s="83">
        <v>2519.2620000000002</v>
      </c>
      <c r="I45" s="83">
        <v>933148.47599999991</v>
      </c>
      <c r="J45" s="83">
        <v>1219001.24</v>
      </c>
      <c r="K45" s="83">
        <v>247624.878</v>
      </c>
      <c r="L45" s="83">
        <v>8449.0810000000001</v>
      </c>
      <c r="M45" s="83">
        <v>1254063.529441</v>
      </c>
      <c r="N45" s="83">
        <v>247356.26832099998</v>
      </c>
      <c r="O45" s="83">
        <v>259226.22</v>
      </c>
      <c r="P45" s="83">
        <v>134195.11900000001</v>
      </c>
      <c r="Q45" s="83">
        <v>3009.9160000000002</v>
      </c>
      <c r="R45" s="83">
        <v>-28868.820999999996</v>
      </c>
      <c r="S45" s="83">
        <v>222555.17499999999</v>
      </c>
      <c r="T45" s="83">
        <v>0</v>
      </c>
      <c r="U45" s="83">
        <v>2586901.2414681897</v>
      </c>
      <c r="V45" s="83">
        <v>2442794.8657883299</v>
      </c>
      <c r="W45" s="85">
        <v>52.708362595786042</v>
      </c>
      <c r="X45" s="82">
        <v>60</v>
      </c>
      <c r="Y45" s="83">
        <v>203704.50381900001</v>
      </c>
      <c r="Z45" s="83">
        <v>248252.299871</v>
      </c>
      <c r="AA45" s="83">
        <v>1123161.673092</v>
      </c>
      <c r="AB45" s="83">
        <v>1040058.443121</v>
      </c>
      <c r="AC45" s="86">
        <f t="shared" si="1"/>
        <v>935667.7379999999</v>
      </c>
      <c r="AD45" s="86">
        <f t="shared" si="2"/>
        <v>1219001.24</v>
      </c>
      <c r="AE45" s="86">
        <f t="shared" si="3"/>
        <v>196696.27</v>
      </c>
      <c r="AF45" s="86">
        <f t="shared" si="4"/>
        <v>1219001.24</v>
      </c>
      <c r="AG45" s="87">
        <v>76.756914373606364</v>
      </c>
      <c r="AH45" s="87">
        <v>23.243085626393636</v>
      </c>
      <c r="AI45" s="360">
        <v>19.724380983414711</v>
      </c>
      <c r="AJ45" s="360">
        <v>32.399809404911757</v>
      </c>
      <c r="AK45" s="360">
        <v>60.878077203826173</v>
      </c>
      <c r="AL45" s="87">
        <v>94.42938240664833</v>
      </c>
      <c r="AM45" s="87">
        <v>5.5706175933516704</v>
      </c>
      <c r="AN45" s="87">
        <v>51.767571582843743</v>
      </c>
      <c r="AO45" s="87">
        <v>70</v>
      </c>
      <c r="AP45" s="360">
        <v>15.579983775281775</v>
      </c>
      <c r="AQ45" s="87">
        <v>40</v>
      </c>
      <c r="AR45" s="360">
        <v>39.9383560847143</v>
      </c>
      <c r="AS45" s="360">
        <f t="shared" si="5"/>
        <v>31.950684867771443</v>
      </c>
      <c r="AT45" s="87">
        <v>7.291637404213958</v>
      </c>
      <c r="AU45" s="87">
        <v>23.304944717087167</v>
      </c>
      <c r="AV45" s="87">
        <v>31.287941219048399</v>
      </c>
      <c r="AW45" s="87">
        <v>121.868832164645</v>
      </c>
      <c r="AX45" s="87">
        <v>70</v>
      </c>
      <c r="AY45" s="87">
        <v>92.600955680563644</v>
      </c>
      <c r="AZ45" s="87">
        <v>100</v>
      </c>
      <c r="BA45" s="87">
        <v>0</v>
      </c>
      <c r="BB45" s="87">
        <f t="shared" si="6"/>
        <v>67.095980406349469</v>
      </c>
      <c r="BC45" s="87">
        <f t="shared" si="7"/>
        <v>67.095980406349469</v>
      </c>
      <c r="BD45" s="87">
        <f t="shared" si="8"/>
        <v>13.419196081269895</v>
      </c>
      <c r="BE45" s="68">
        <f t="shared" si="9"/>
        <v>45.369880949041338</v>
      </c>
      <c r="BF45" s="68">
        <v>45.369880949041338</v>
      </c>
      <c r="BG45" s="68" t="s">
        <v>109</v>
      </c>
      <c r="BH45" s="68">
        <f t="shared" si="0"/>
        <v>30</v>
      </c>
    </row>
    <row r="46" spans="1:60" ht="14.4" customHeight="1" x14ac:dyDescent="0.35">
      <c r="A46" s="81" t="s">
        <v>96</v>
      </c>
      <c r="B46" s="81" t="s">
        <v>148</v>
      </c>
      <c r="C46" s="89">
        <v>2021</v>
      </c>
      <c r="D46" s="82" t="s">
        <v>10</v>
      </c>
      <c r="E46" s="146" t="s">
        <v>51</v>
      </c>
      <c r="F46" s="146" t="s">
        <v>178</v>
      </c>
      <c r="G46" t="s">
        <v>208</v>
      </c>
      <c r="H46" s="83">
        <v>0</v>
      </c>
      <c r="I46" s="83">
        <v>1063021.0719999999</v>
      </c>
      <c r="J46" s="83">
        <v>3006770.165</v>
      </c>
      <c r="K46" s="83">
        <v>1591154.0919999999</v>
      </c>
      <c r="L46" s="83">
        <v>285929.67199999996</v>
      </c>
      <c r="M46" s="83">
        <v>2555574.7216389999</v>
      </c>
      <c r="N46" s="83">
        <v>868879.14533099998</v>
      </c>
      <c r="O46" s="83">
        <v>1878226.639</v>
      </c>
      <c r="P46" s="83">
        <v>1367829.8530000001</v>
      </c>
      <c r="Q46" s="83">
        <v>27225.511999999999</v>
      </c>
      <c r="R46" s="83">
        <v>-11860.236000000034</v>
      </c>
      <c r="S46" s="83">
        <v>221617.26500000001</v>
      </c>
      <c r="T46" s="83">
        <v>0</v>
      </c>
      <c r="U46" s="83">
        <v>8565831.9599910006</v>
      </c>
      <c r="V46" s="83">
        <v>6845744.8831230002</v>
      </c>
      <c r="W46" s="85">
        <v>44.810485902071065</v>
      </c>
      <c r="X46" s="82">
        <v>50</v>
      </c>
      <c r="Y46" s="83">
        <v>1339934.4525210001</v>
      </c>
      <c r="Z46" s="83">
        <v>1648897.5700020001</v>
      </c>
      <c r="AA46" s="83">
        <v>2519958.519266</v>
      </c>
      <c r="AB46" s="83">
        <v>2293416.860686</v>
      </c>
      <c r="AC46" s="86">
        <f t="shared" si="1"/>
        <v>1063021.0719999999</v>
      </c>
      <c r="AD46" s="86">
        <f t="shared" si="2"/>
        <v>3006770.165</v>
      </c>
      <c r="AE46" s="86">
        <f t="shared" si="3"/>
        <v>236982.54099999997</v>
      </c>
      <c r="AF46" s="86">
        <f t="shared" si="4"/>
        <v>3006770.165</v>
      </c>
      <c r="AG46" s="87">
        <v>35.354251029027353</v>
      </c>
      <c r="AH46" s="87">
        <v>64.645748970972647</v>
      </c>
      <c r="AI46" s="360">
        <v>33.999363742874657</v>
      </c>
      <c r="AJ46" s="360">
        <v>33.999363742874657</v>
      </c>
      <c r="AK46" s="360">
        <v>100</v>
      </c>
      <c r="AL46" s="87">
        <v>79.919205922995857</v>
      </c>
      <c r="AM46" s="87">
        <v>20.080794077004143</v>
      </c>
      <c r="AN46" s="87">
        <v>72.825601798953087</v>
      </c>
      <c r="AO46" s="87">
        <v>100</v>
      </c>
      <c r="AP46" s="360">
        <v>7.1403138739673686</v>
      </c>
      <c r="AQ46" s="87">
        <v>80</v>
      </c>
      <c r="AR46" s="360">
        <v>72.945308609595358</v>
      </c>
      <c r="AS46" s="360">
        <f t="shared" si="5"/>
        <v>58.356246887676292</v>
      </c>
      <c r="AT46" s="87">
        <v>5.1895140979289378</v>
      </c>
      <c r="AU46" s="87">
        <v>17.663359604407596</v>
      </c>
      <c r="AV46" s="87">
        <v>29.380107828603467</v>
      </c>
      <c r="AW46" s="87">
        <v>123.05807697531068</v>
      </c>
      <c r="AX46" s="87">
        <v>70</v>
      </c>
      <c r="AY46" s="87">
        <v>91.010103664484689</v>
      </c>
      <c r="AZ46" s="87">
        <v>100</v>
      </c>
      <c r="BA46" s="87">
        <v>0</v>
      </c>
      <c r="BB46" s="87">
        <f t="shared" si="6"/>
        <v>66.460035942867819</v>
      </c>
      <c r="BC46" s="87">
        <f t="shared" si="7"/>
        <v>66.460035942867819</v>
      </c>
      <c r="BD46" s="87">
        <f t="shared" si="8"/>
        <v>13.292007188573564</v>
      </c>
      <c r="BE46" s="68">
        <f t="shared" si="9"/>
        <v>71.648254076249856</v>
      </c>
      <c r="BF46" s="68">
        <v>71.648254076249856</v>
      </c>
      <c r="BG46" s="68" t="s">
        <v>95</v>
      </c>
      <c r="BH46" s="68">
        <f t="shared" si="0"/>
        <v>2</v>
      </c>
    </row>
    <row r="47" spans="1:60" ht="15" x14ac:dyDescent="0.35">
      <c r="A47" s="81" t="s">
        <v>115</v>
      </c>
      <c r="B47" s="81" t="s">
        <v>149</v>
      </c>
      <c r="C47" s="89">
        <v>2021</v>
      </c>
      <c r="D47" s="82" t="s">
        <v>116</v>
      </c>
      <c r="E47" s="147">
        <v>4</v>
      </c>
      <c r="F47" s="152" t="s">
        <v>178</v>
      </c>
      <c r="G47" t="s">
        <v>215</v>
      </c>
      <c r="H47" s="83">
        <v>10704.741</v>
      </c>
      <c r="I47" s="83">
        <v>439380.97200000001</v>
      </c>
      <c r="J47" s="83">
        <v>610313.68799999997</v>
      </c>
      <c r="K47" s="83">
        <v>88527.983000000007</v>
      </c>
      <c r="L47" s="83">
        <v>5528.9639999999999</v>
      </c>
      <c r="M47" s="83">
        <v>592240.361424</v>
      </c>
      <c r="N47" s="83">
        <v>104864.498865</v>
      </c>
      <c r="O47" s="83">
        <v>104761.68800000001</v>
      </c>
      <c r="P47" s="83">
        <v>27159.145999999993</v>
      </c>
      <c r="Q47" s="83">
        <v>2196.7139999999999</v>
      </c>
      <c r="R47" s="83">
        <v>9040.841999999946</v>
      </c>
      <c r="S47" s="83">
        <v>37725.678999999996</v>
      </c>
      <c r="T47" s="83">
        <v>0</v>
      </c>
      <c r="U47" s="83">
        <v>1760769.7670730602</v>
      </c>
      <c r="V47" s="83">
        <v>610449.77051771001</v>
      </c>
      <c r="W47" s="85">
        <v>67.478799311568636</v>
      </c>
      <c r="X47" s="82">
        <v>70</v>
      </c>
      <c r="Y47" s="83">
        <v>78702.280257999999</v>
      </c>
      <c r="Z47" s="83">
        <v>88963.380858999997</v>
      </c>
      <c r="AA47" s="83">
        <v>486457.384234</v>
      </c>
      <c r="AB47" s="83">
        <v>429829.17858100001</v>
      </c>
      <c r="AC47" s="86">
        <f t="shared" si="1"/>
        <v>450085.71299999999</v>
      </c>
      <c r="AD47" s="86">
        <f t="shared" si="2"/>
        <v>610313.68799999997</v>
      </c>
      <c r="AE47" s="86">
        <f t="shared" si="3"/>
        <v>48963.234999999942</v>
      </c>
      <c r="AF47" s="86">
        <f t="shared" si="4"/>
        <v>610313.68799999997</v>
      </c>
      <c r="AG47" s="87">
        <v>73.746619459729374</v>
      </c>
      <c r="AH47" s="87">
        <v>26.253380540270626</v>
      </c>
      <c r="AI47" s="360">
        <v>17.706408697451952</v>
      </c>
      <c r="AJ47" s="360">
        <v>43.098869787831411</v>
      </c>
      <c r="AK47" s="360">
        <v>41.083232076891264</v>
      </c>
      <c r="AL47" s="87">
        <v>34.669482741770658</v>
      </c>
      <c r="AM47" s="87">
        <v>65.330517258229349</v>
      </c>
      <c r="AN47" s="87">
        <v>25.92469300418297</v>
      </c>
      <c r="AO47" s="87">
        <v>40</v>
      </c>
      <c r="AP47" s="360">
        <v>8.0226342555829984</v>
      </c>
      <c r="AQ47" s="87">
        <v>80</v>
      </c>
      <c r="AR47" s="360">
        <v>50.533425975078252</v>
      </c>
      <c r="AS47" s="360">
        <f t="shared" si="5"/>
        <v>40.426740780062602</v>
      </c>
      <c r="AT47" s="87">
        <v>2.5212006884313576</v>
      </c>
      <c r="AU47" s="87">
        <v>16.238737718781703</v>
      </c>
      <c r="AV47" s="87">
        <v>15.52584155303734</v>
      </c>
      <c r="AW47" s="87">
        <v>113.03786950945042</v>
      </c>
      <c r="AX47" s="87">
        <v>80</v>
      </c>
      <c r="AY47" s="87">
        <v>88.359061350837635</v>
      </c>
      <c r="AZ47" s="87">
        <v>80</v>
      </c>
      <c r="BA47" s="87">
        <v>0</v>
      </c>
      <c r="BB47" s="87">
        <f t="shared" si="6"/>
        <v>58.508613851012448</v>
      </c>
      <c r="BC47" s="87">
        <f t="shared" si="7"/>
        <v>58.508613851012448</v>
      </c>
      <c r="BD47" s="87">
        <f t="shared" si="8"/>
        <v>11.70172277020249</v>
      </c>
      <c r="BE47" s="68">
        <f t="shared" si="9"/>
        <v>52.128463550265096</v>
      </c>
      <c r="BF47" s="68">
        <v>52.128463550265096</v>
      </c>
      <c r="BG47" s="68" t="s">
        <v>109</v>
      </c>
      <c r="BH47" s="68">
        <f t="shared" si="0"/>
        <v>24</v>
      </c>
    </row>
    <row r="48" spans="1:60" ht="15" x14ac:dyDescent="0.35">
      <c r="A48" s="81" t="s">
        <v>100</v>
      </c>
      <c r="B48" s="81" t="s">
        <v>150</v>
      </c>
      <c r="C48" s="89">
        <v>2021</v>
      </c>
      <c r="D48" s="82" t="s">
        <v>11</v>
      </c>
      <c r="E48" s="147">
        <v>2</v>
      </c>
      <c r="F48" s="152" t="s">
        <v>178</v>
      </c>
      <c r="G48" t="s">
        <v>214</v>
      </c>
      <c r="H48" s="83">
        <v>15539.933999999999</v>
      </c>
      <c r="I48" s="83">
        <v>565745.56000000006</v>
      </c>
      <c r="J48" s="83">
        <v>899003.31500000006</v>
      </c>
      <c r="K48" s="83">
        <v>197440.63</v>
      </c>
      <c r="L48" s="83">
        <v>66040.289999999994</v>
      </c>
      <c r="M48" s="83">
        <v>866397.77479599998</v>
      </c>
      <c r="N48" s="83">
        <v>158134.223165</v>
      </c>
      <c r="O48" s="83">
        <v>280924.82799999998</v>
      </c>
      <c r="P48" s="83">
        <v>175415.86699999997</v>
      </c>
      <c r="Q48" s="83">
        <v>2380.9549999999999</v>
      </c>
      <c r="R48" s="83">
        <v>106855.52899999998</v>
      </c>
      <c r="S48" s="83">
        <v>92324.804999999993</v>
      </c>
      <c r="T48" s="83">
        <v>0</v>
      </c>
      <c r="U48" s="83">
        <v>2680386.9332253998</v>
      </c>
      <c r="V48" s="83">
        <v>1552854.1150158301</v>
      </c>
      <c r="W48" s="85">
        <v>30.687034228382153</v>
      </c>
      <c r="X48" s="82">
        <v>60</v>
      </c>
      <c r="Y48" s="83">
        <v>135635.04224000001</v>
      </c>
      <c r="Z48" s="83">
        <v>198585.96017000001</v>
      </c>
      <c r="AA48" s="83">
        <v>690292.83153900004</v>
      </c>
      <c r="AB48" s="83">
        <v>622465.52866199997</v>
      </c>
      <c r="AC48" s="86">
        <f t="shared" si="1"/>
        <v>581285.49400000006</v>
      </c>
      <c r="AD48" s="86">
        <f t="shared" si="2"/>
        <v>899003.31500000006</v>
      </c>
      <c r="AE48" s="86">
        <f t="shared" si="3"/>
        <v>201561.28899999999</v>
      </c>
      <c r="AF48" s="86">
        <f t="shared" si="4"/>
        <v>899003.31500000006</v>
      </c>
      <c r="AG48" s="87">
        <v>64.65888215328772</v>
      </c>
      <c r="AH48" s="87">
        <v>35.34111784671228</v>
      </c>
      <c r="AI48" s="360">
        <v>18.251919356814359</v>
      </c>
      <c r="AJ48" s="360">
        <v>32.399809404911757</v>
      </c>
      <c r="AK48" s="360">
        <v>56.333415819561573</v>
      </c>
      <c r="AL48" s="87">
        <v>57.933953332149265</v>
      </c>
      <c r="AM48" s="87">
        <v>42.066046667850735</v>
      </c>
      <c r="AN48" s="87">
        <v>62.44227975463955</v>
      </c>
      <c r="AO48" s="87">
        <v>80</v>
      </c>
      <c r="AP48" s="360">
        <v>22.4205278931591</v>
      </c>
      <c r="AQ48" s="87">
        <v>20</v>
      </c>
      <c r="AR48" s="360">
        <v>46.74811606682492</v>
      </c>
      <c r="AS48" s="360">
        <f t="shared" si="5"/>
        <v>37.398492853459935</v>
      </c>
      <c r="AT48" s="87">
        <v>29.312965771617844</v>
      </c>
      <c r="AU48" s="87">
        <v>23.304944717087167</v>
      </c>
      <c r="AV48" s="87">
        <v>100</v>
      </c>
      <c r="AW48" s="87">
        <v>146.41198682167342</v>
      </c>
      <c r="AX48" s="87">
        <v>50</v>
      </c>
      <c r="AY48" s="87">
        <v>90.17412614212148</v>
      </c>
      <c r="AZ48" s="87">
        <v>100</v>
      </c>
      <c r="BA48" s="87">
        <v>0</v>
      </c>
      <c r="BB48" s="87">
        <f t="shared" si="6"/>
        <v>83.333333333333329</v>
      </c>
      <c r="BC48" s="87">
        <f t="shared" si="7"/>
        <v>83.333333333333329</v>
      </c>
      <c r="BD48" s="87">
        <f t="shared" si="8"/>
        <v>16.666666666666668</v>
      </c>
      <c r="BE48" s="68">
        <f t="shared" si="9"/>
        <v>54.065159520126599</v>
      </c>
      <c r="BF48" s="68">
        <v>54.065159520126599</v>
      </c>
      <c r="BG48" s="68" t="s">
        <v>109</v>
      </c>
      <c r="BH48" s="68">
        <f t="shared" si="0"/>
        <v>20</v>
      </c>
    </row>
    <row r="49" spans="1:60" ht="14.4" customHeight="1" x14ac:dyDescent="0.35">
      <c r="A49" s="81" t="s">
        <v>118</v>
      </c>
      <c r="B49" s="81" t="s">
        <v>151</v>
      </c>
      <c r="C49" s="89">
        <v>2021</v>
      </c>
      <c r="D49" s="82" t="s">
        <v>136</v>
      </c>
      <c r="E49" s="147">
        <v>4</v>
      </c>
      <c r="F49" s="152" t="s">
        <v>178</v>
      </c>
      <c r="G49" t="s">
        <v>207</v>
      </c>
      <c r="H49" s="83">
        <v>581.46299999999997</v>
      </c>
      <c r="I49" s="83">
        <v>460648.5039999999</v>
      </c>
      <c r="J49" s="83">
        <v>625831.94299999997</v>
      </c>
      <c r="K49" s="83">
        <v>116246.29699999999</v>
      </c>
      <c r="L49" s="83">
        <v>3295.04</v>
      </c>
      <c r="M49" s="83">
        <v>525421.18400000001</v>
      </c>
      <c r="N49" s="83">
        <v>56307.485000000001</v>
      </c>
      <c r="O49" s="83">
        <v>120122.79999999999</v>
      </c>
      <c r="P49" s="83">
        <v>66774.037999999986</v>
      </c>
      <c r="Q49" s="83">
        <v>0</v>
      </c>
      <c r="R49" s="83">
        <v>47061.996999999974</v>
      </c>
      <c r="S49" s="83">
        <v>77759.767999999996</v>
      </c>
      <c r="T49" s="83">
        <v>0</v>
      </c>
      <c r="U49" s="83">
        <v>1849307.5297123501</v>
      </c>
      <c r="V49" s="83">
        <v>763676.87493346992</v>
      </c>
      <c r="W49" s="85">
        <v>34.03136278973772</v>
      </c>
      <c r="X49" s="82">
        <v>70</v>
      </c>
      <c r="Y49" s="83">
        <v>74062.032865999994</v>
      </c>
      <c r="Z49" s="83">
        <v>117200.23901200001</v>
      </c>
      <c r="AA49" s="83">
        <v>526806.20623000001</v>
      </c>
      <c r="AB49" s="83">
        <v>474406.41069300001</v>
      </c>
      <c r="AC49" s="86">
        <f t="shared" si="1"/>
        <v>461229.96699999989</v>
      </c>
      <c r="AD49" s="86">
        <f t="shared" si="2"/>
        <v>625831.94299999997</v>
      </c>
      <c r="AE49" s="86">
        <f t="shared" si="3"/>
        <v>124821.76499999997</v>
      </c>
      <c r="AF49" s="86">
        <f t="shared" si="4"/>
        <v>625831.94299999997</v>
      </c>
      <c r="AG49" s="87">
        <v>73.698693740213884</v>
      </c>
      <c r="AH49" s="87">
        <v>26.301306259786116</v>
      </c>
      <c r="AI49" s="360">
        <v>10.716637759318056</v>
      </c>
      <c r="AJ49" s="360">
        <v>43.098869787831411</v>
      </c>
      <c r="AK49" s="360">
        <v>24.865240810430262</v>
      </c>
      <c r="AL49" s="87">
        <v>41.295288245122528</v>
      </c>
      <c r="AM49" s="87">
        <v>58.704711754877472</v>
      </c>
      <c r="AN49" s="87">
        <v>55.588146463452389</v>
      </c>
      <c r="AO49" s="87">
        <v>80</v>
      </c>
      <c r="AP49" s="360">
        <v>19.944933523471491</v>
      </c>
      <c r="AQ49" s="87">
        <v>40</v>
      </c>
      <c r="AR49" s="360">
        <v>45.974251765018771</v>
      </c>
      <c r="AS49" s="360">
        <f t="shared" si="5"/>
        <v>36.779401412015019</v>
      </c>
      <c r="AT49" s="87">
        <v>35.96863721026228</v>
      </c>
      <c r="AU49" s="87">
        <v>16.238737718781703</v>
      </c>
      <c r="AV49" s="87">
        <v>100</v>
      </c>
      <c r="AW49" s="87">
        <v>158.24604655944256</v>
      </c>
      <c r="AX49" s="87">
        <v>0</v>
      </c>
      <c r="AY49" s="87">
        <v>90.053307095223815</v>
      </c>
      <c r="AZ49" s="87">
        <v>100</v>
      </c>
      <c r="BA49" s="87">
        <v>0</v>
      </c>
      <c r="BB49" s="87">
        <f t="shared" si="6"/>
        <v>66.666666666666671</v>
      </c>
      <c r="BC49" s="87">
        <f t="shared" si="7"/>
        <v>66.666666666666671</v>
      </c>
      <c r="BD49" s="87">
        <f t="shared" si="8"/>
        <v>13.333333333333336</v>
      </c>
      <c r="BE49" s="68">
        <f t="shared" si="9"/>
        <v>50.112734745348355</v>
      </c>
      <c r="BF49" s="68">
        <v>50.112734745348355</v>
      </c>
      <c r="BG49" s="68" t="s">
        <v>109</v>
      </c>
      <c r="BH49" s="68">
        <f t="shared" si="0"/>
        <v>26</v>
      </c>
    </row>
    <row r="50" spans="1:60" ht="15" x14ac:dyDescent="0.35">
      <c r="A50" s="81" t="s">
        <v>112</v>
      </c>
      <c r="B50" s="81" t="s">
        <v>152</v>
      </c>
      <c r="C50" s="89">
        <v>2021</v>
      </c>
      <c r="D50" s="82" t="s">
        <v>12</v>
      </c>
      <c r="E50" s="147">
        <v>2</v>
      </c>
      <c r="F50" s="152" t="s">
        <v>178</v>
      </c>
      <c r="G50" t="s">
        <v>207</v>
      </c>
      <c r="H50" s="83">
        <v>9931.3330000000005</v>
      </c>
      <c r="I50" s="83">
        <v>673568.46</v>
      </c>
      <c r="J50" s="83">
        <v>1105602.209</v>
      </c>
      <c r="K50" s="83">
        <v>232386.77399999998</v>
      </c>
      <c r="L50" s="83">
        <v>140929.54</v>
      </c>
      <c r="M50" s="83">
        <v>851340.00199999998</v>
      </c>
      <c r="N50" s="83">
        <v>176253.14499999999</v>
      </c>
      <c r="O50" s="83">
        <v>383939.60000000003</v>
      </c>
      <c r="P50" s="83">
        <v>214768.93600000005</v>
      </c>
      <c r="Q50" s="83">
        <v>2178.1149999999998</v>
      </c>
      <c r="R50" s="83">
        <v>85091.543000000063</v>
      </c>
      <c r="S50" s="83">
        <v>198186.02600000001</v>
      </c>
      <c r="T50" s="83">
        <v>0</v>
      </c>
      <c r="U50" s="83">
        <v>2210930.3720315602</v>
      </c>
      <c r="V50" s="83">
        <v>1025792.7074581999</v>
      </c>
      <c r="W50" s="85">
        <v>46.771648740936314</v>
      </c>
      <c r="X50" s="82">
        <v>60</v>
      </c>
      <c r="Y50" s="83">
        <v>345282.92687700002</v>
      </c>
      <c r="Z50" s="83">
        <v>363625.97706800001</v>
      </c>
      <c r="AA50" s="83">
        <v>842212.17716299999</v>
      </c>
      <c r="AB50" s="83">
        <v>793135.45005600003</v>
      </c>
      <c r="AC50" s="86">
        <f t="shared" si="1"/>
        <v>683499.79299999995</v>
      </c>
      <c r="AD50" s="86">
        <f t="shared" si="2"/>
        <v>1105602.209</v>
      </c>
      <c r="AE50" s="86">
        <f t="shared" si="3"/>
        <v>285455.68400000007</v>
      </c>
      <c r="AF50" s="86">
        <f t="shared" si="4"/>
        <v>1105602.209</v>
      </c>
      <c r="AG50" s="87">
        <v>61.821493068308428</v>
      </c>
      <c r="AH50" s="87">
        <v>38.178506931691572</v>
      </c>
      <c r="AI50" s="360">
        <v>20.703026356795107</v>
      </c>
      <c r="AJ50" s="360">
        <v>32.399809404911757</v>
      </c>
      <c r="AK50" s="360">
        <v>63.898605383945757</v>
      </c>
      <c r="AL50" s="87">
        <v>46.396427514613613</v>
      </c>
      <c r="AM50" s="87">
        <v>53.603572485386387</v>
      </c>
      <c r="AN50" s="87">
        <v>55.93820903079547</v>
      </c>
      <c r="AO50" s="87">
        <v>80</v>
      </c>
      <c r="AP50" s="360">
        <v>25.819022581203981</v>
      </c>
      <c r="AQ50" s="87">
        <v>20</v>
      </c>
      <c r="AR50" s="360">
        <v>51.136136960204745</v>
      </c>
      <c r="AS50" s="360">
        <f t="shared" si="5"/>
        <v>40.9089095681638</v>
      </c>
      <c r="AT50" s="87">
        <v>13.228351259063681</v>
      </c>
      <c r="AU50" s="87">
        <v>23.304944717087167</v>
      </c>
      <c r="AV50" s="87">
        <v>56.761993729874263</v>
      </c>
      <c r="AW50" s="87">
        <v>105.31246950346151</v>
      </c>
      <c r="AX50" s="87">
        <v>100</v>
      </c>
      <c r="AY50" s="87">
        <v>94.17287846961375</v>
      </c>
      <c r="AZ50" s="87">
        <v>100</v>
      </c>
      <c r="BA50" s="87">
        <v>0</v>
      </c>
      <c r="BB50" s="87">
        <f t="shared" si="6"/>
        <v>85.587331243291416</v>
      </c>
      <c r="BC50" s="87">
        <f t="shared" si="7"/>
        <v>85.587331243291416</v>
      </c>
      <c r="BD50" s="87">
        <f t="shared" si="8"/>
        <v>17.117466248658285</v>
      </c>
      <c r="BE50" s="68">
        <f t="shared" si="9"/>
        <v>58.026375816822082</v>
      </c>
      <c r="BF50" s="68">
        <v>58.026375816822082</v>
      </c>
      <c r="BG50" s="68" t="s">
        <v>109</v>
      </c>
      <c r="BH50" s="68">
        <f t="shared" si="0"/>
        <v>13</v>
      </c>
    </row>
    <row r="51" spans="1:60" ht="15" x14ac:dyDescent="0.35">
      <c r="A51" s="81" t="s">
        <v>99</v>
      </c>
      <c r="B51" s="81" t="s">
        <v>153</v>
      </c>
      <c r="C51" s="89">
        <v>2021</v>
      </c>
      <c r="D51" s="82" t="s">
        <v>13</v>
      </c>
      <c r="E51" s="146">
        <v>1</v>
      </c>
      <c r="F51" s="152" t="s">
        <v>178</v>
      </c>
      <c r="G51" t="s">
        <v>210</v>
      </c>
      <c r="H51" s="83">
        <v>1469.4960000000001</v>
      </c>
      <c r="I51" s="83">
        <v>406290.05000000005</v>
      </c>
      <c r="J51" s="83">
        <v>789069.40099999995</v>
      </c>
      <c r="K51" s="83">
        <v>309258.15299999993</v>
      </c>
      <c r="L51" s="83">
        <v>16453.125</v>
      </c>
      <c r="M51" s="83">
        <v>618556.73</v>
      </c>
      <c r="N51" s="83">
        <v>142162.821</v>
      </c>
      <c r="O51" s="83">
        <v>332004.40899999993</v>
      </c>
      <c r="P51" s="83">
        <v>186371.32399999991</v>
      </c>
      <c r="Q51" s="83">
        <v>8380.1790000000001</v>
      </c>
      <c r="R51" s="83">
        <v>24879.58600000001</v>
      </c>
      <c r="S51" s="83">
        <v>182495.11900000001</v>
      </c>
      <c r="T51" s="83">
        <v>0</v>
      </c>
      <c r="U51" s="83">
        <v>8151185.7173680002</v>
      </c>
      <c r="V51" s="83">
        <v>1500266.4689730001</v>
      </c>
      <c r="W51" s="85">
        <v>41.465562160010769</v>
      </c>
      <c r="X51" s="82">
        <v>55.000000000000007</v>
      </c>
      <c r="Y51" s="83">
        <v>225554.81046499999</v>
      </c>
      <c r="Z51" s="83">
        <v>311967.03343100002</v>
      </c>
      <c r="AA51" s="83">
        <v>615161.18961700005</v>
      </c>
      <c r="AB51" s="83">
        <v>533139.54411400005</v>
      </c>
      <c r="AC51" s="86">
        <f t="shared" si="1"/>
        <v>407759.54600000003</v>
      </c>
      <c r="AD51" s="86">
        <f t="shared" si="2"/>
        <v>789069.40099999995</v>
      </c>
      <c r="AE51" s="86">
        <f t="shared" si="3"/>
        <v>215754.88400000002</v>
      </c>
      <c r="AF51" s="86">
        <f t="shared" si="4"/>
        <v>789069.40099999995</v>
      </c>
      <c r="AG51" s="87">
        <v>51.676005365718147</v>
      </c>
      <c r="AH51" s="87">
        <v>48.323994634281853</v>
      </c>
      <c r="AI51" s="360">
        <v>22.982988318630046</v>
      </c>
      <c r="AJ51" s="360">
        <v>33.829451549825087</v>
      </c>
      <c r="AK51" s="360">
        <v>67.937809410773255</v>
      </c>
      <c r="AL51" s="87">
        <v>18.405499776263628</v>
      </c>
      <c r="AM51" s="87">
        <v>81.594500223736375</v>
      </c>
      <c r="AN51" s="87">
        <v>56.13519548169613</v>
      </c>
      <c r="AO51" s="87">
        <v>80</v>
      </c>
      <c r="AP51" s="360">
        <v>26.802868851526291</v>
      </c>
      <c r="AQ51" s="87">
        <v>20</v>
      </c>
      <c r="AR51" s="360">
        <v>59.571260853758289</v>
      </c>
      <c r="AS51" s="360">
        <f t="shared" si="5"/>
        <v>47.657008683006637</v>
      </c>
      <c r="AT51" s="87">
        <v>13.534437839989232</v>
      </c>
      <c r="AU51" s="87">
        <v>14.195572418362289</v>
      </c>
      <c r="AV51" s="87">
        <v>95.342670525086646</v>
      </c>
      <c r="AW51" s="87">
        <v>138.310964322975</v>
      </c>
      <c r="AX51" s="87">
        <v>60</v>
      </c>
      <c r="AY51" s="87">
        <v>86.666641705068102</v>
      </c>
      <c r="AZ51" s="87">
        <v>80</v>
      </c>
      <c r="BA51" s="87">
        <v>0</v>
      </c>
      <c r="BB51" s="87">
        <f t="shared" si="6"/>
        <v>78.447556841695544</v>
      </c>
      <c r="BC51" s="87">
        <f t="shared" si="7"/>
        <v>78.447556841695544</v>
      </c>
      <c r="BD51" s="87">
        <f t="shared" si="8"/>
        <v>15.68951136833911</v>
      </c>
      <c r="BE51" s="68">
        <f t="shared" si="9"/>
        <v>63.346520051345749</v>
      </c>
      <c r="BF51" s="68">
        <v>63.346520051345749</v>
      </c>
      <c r="BG51" s="68" t="s">
        <v>98</v>
      </c>
      <c r="BH51" s="68">
        <f t="shared" si="0"/>
        <v>10</v>
      </c>
    </row>
    <row r="52" spans="1:60" ht="15" x14ac:dyDescent="0.35">
      <c r="A52" s="81" t="s">
        <v>127</v>
      </c>
      <c r="B52" s="81" t="s">
        <v>154</v>
      </c>
      <c r="C52" s="89">
        <v>2021</v>
      </c>
      <c r="D52" s="82" t="s">
        <v>14</v>
      </c>
      <c r="E52" s="146">
        <v>1</v>
      </c>
      <c r="F52" s="152" t="s">
        <v>178</v>
      </c>
      <c r="G52" t="s">
        <v>215</v>
      </c>
      <c r="H52" s="83">
        <v>229.60900000000001</v>
      </c>
      <c r="I52" s="83">
        <v>798517.14399999985</v>
      </c>
      <c r="J52" s="83">
        <v>1246873.0529999998</v>
      </c>
      <c r="K52" s="83">
        <v>225865.05099999998</v>
      </c>
      <c r="L52" s="83">
        <v>95343.696999999986</v>
      </c>
      <c r="M52" s="83">
        <v>1087168.5599409998</v>
      </c>
      <c r="N52" s="83">
        <v>197979.32070099999</v>
      </c>
      <c r="O52" s="83">
        <v>322152.64699999994</v>
      </c>
      <c r="P52" s="83">
        <v>191276.23999999993</v>
      </c>
      <c r="Q52" s="83">
        <v>0</v>
      </c>
      <c r="R52" s="83">
        <v>101196.64899999998</v>
      </c>
      <c r="S52" s="83">
        <v>175120.20499999999</v>
      </c>
      <c r="T52" s="83">
        <v>0</v>
      </c>
      <c r="U52" s="83">
        <v>3275623.10162109</v>
      </c>
      <c r="V52" s="83">
        <v>2009304.9739025</v>
      </c>
      <c r="W52" s="85">
        <v>33.426677924166611</v>
      </c>
      <c r="X52" s="82">
        <v>55.000000000000007</v>
      </c>
      <c r="Y52" s="83">
        <v>122468.089301</v>
      </c>
      <c r="Z52" s="83">
        <v>163754.35043200001</v>
      </c>
      <c r="AA52" s="83">
        <v>1013771.780717</v>
      </c>
      <c r="AB52" s="83">
        <v>898978.21502799995</v>
      </c>
      <c r="AC52" s="86">
        <f t="shared" si="1"/>
        <v>798746.75299999991</v>
      </c>
      <c r="AD52" s="86">
        <f t="shared" si="2"/>
        <v>1246873.0529999998</v>
      </c>
      <c r="AE52" s="86">
        <f t="shared" si="3"/>
        <v>276316.85399999993</v>
      </c>
      <c r="AF52" s="86">
        <f t="shared" si="4"/>
        <v>1246873.0529999998</v>
      </c>
      <c r="AG52" s="87">
        <v>64.059989994827475</v>
      </c>
      <c r="AH52" s="87">
        <v>35.940010005172525</v>
      </c>
      <c r="AI52" s="360">
        <v>18.210545079756926</v>
      </c>
      <c r="AJ52" s="360">
        <v>33.829451549825087</v>
      </c>
      <c r="AK52" s="360">
        <v>53.830447274428494</v>
      </c>
      <c r="AL52" s="87">
        <v>61.341152860599401</v>
      </c>
      <c r="AM52" s="87">
        <v>38.658847139400599</v>
      </c>
      <c r="AN52" s="87">
        <v>59.374412031449161</v>
      </c>
      <c r="AO52" s="87">
        <v>80</v>
      </c>
      <c r="AP52" s="360">
        <v>22.160784799637497</v>
      </c>
      <c r="AQ52" s="87">
        <v>20</v>
      </c>
      <c r="AR52" s="360">
        <v>45.685860883800324</v>
      </c>
      <c r="AS52" s="360">
        <f t="shared" si="5"/>
        <v>36.548688707040263</v>
      </c>
      <c r="AT52" s="87">
        <v>21.573322075833389</v>
      </c>
      <c r="AU52" s="87">
        <v>14.195572418362289</v>
      </c>
      <c r="AV52" s="87">
        <v>100</v>
      </c>
      <c r="AW52" s="87">
        <v>133.71185209685711</v>
      </c>
      <c r="AX52" s="87">
        <v>60</v>
      </c>
      <c r="AY52" s="87">
        <v>88.676586992013995</v>
      </c>
      <c r="AZ52" s="87">
        <v>80</v>
      </c>
      <c r="BA52" s="87">
        <v>0</v>
      </c>
      <c r="BB52" s="87">
        <f t="shared" si="6"/>
        <v>80</v>
      </c>
      <c r="BC52" s="87">
        <f t="shared" si="7"/>
        <v>80</v>
      </c>
      <c r="BD52" s="87">
        <f t="shared" si="8"/>
        <v>16</v>
      </c>
      <c r="BE52" s="68">
        <f t="shared" si="9"/>
        <v>52.548688707040263</v>
      </c>
      <c r="BF52" s="68">
        <v>52.548688707040263</v>
      </c>
      <c r="BG52" s="68" t="s">
        <v>109</v>
      </c>
      <c r="BH52" s="68">
        <f t="shared" si="0"/>
        <v>23</v>
      </c>
    </row>
    <row r="53" spans="1:60" ht="15" x14ac:dyDescent="0.35">
      <c r="A53" s="81" t="s">
        <v>111</v>
      </c>
      <c r="B53" s="81" t="s">
        <v>155</v>
      </c>
      <c r="C53" s="89">
        <v>2021</v>
      </c>
      <c r="D53" s="82" t="s">
        <v>15</v>
      </c>
      <c r="E53" s="147">
        <v>2</v>
      </c>
      <c r="F53" s="152" t="s">
        <v>178</v>
      </c>
      <c r="G53" t="s">
        <v>208</v>
      </c>
      <c r="H53" s="83">
        <v>0</v>
      </c>
      <c r="I53" s="83">
        <v>768307.95600000001</v>
      </c>
      <c r="J53" s="83">
        <v>1120634.862</v>
      </c>
      <c r="K53" s="83">
        <v>273737.95399999997</v>
      </c>
      <c r="L53" s="83">
        <v>43139.614999999998</v>
      </c>
      <c r="M53" s="83">
        <v>1330734.3631520001</v>
      </c>
      <c r="N53" s="83">
        <v>223964.14199999999</v>
      </c>
      <c r="O53" s="83">
        <v>318269.93699999998</v>
      </c>
      <c r="P53" s="83">
        <v>186914.66199999995</v>
      </c>
      <c r="Q53" s="83">
        <v>6280.0640000000003</v>
      </c>
      <c r="R53" s="83">
        <v>-17286.08200000017</v>
      </c>
      <c r="S53" s="83">
        <v>130985.663</v>
      </c>
      <c r="T53" s="83">
        <v>0</v>
      </c>
      <c r="U53" s="83">
        <v>2500756.8452041298</v>
      </c>
      <c r="V53" s="83">
        <v>1766594.6538104399</v>
      </c>
      <c r="W53" s="85">
        <v>28.514562165730045</v>
      </c>
      <c r="X53" s="82">
        <v>60</v>
      </c>
      <c r="Y53" s="83">
        <v>216662.97361399999</v>
      </c>
      <c r="Z53" s="83">
        <v>247291.909453</v>
      </c>
      <c r="AA53" s="83">
        <v>825168.83210300002</v>
      </c>
      <c r="AB53" s="83">
        <v>664118.78174100001</v>
      </c>
      <c r="AC53" s="86">
        <f t="shared" si="1"/>
        <v>768307.95600000001</v>
      </c>
      <c r="AD53" s="86">
        <f t="shared" si="2"/>
        <v>1120634.862</v>
      </c>
      <c r="AE53" s="86">
        <f t="shared" si="3"/>
        <v>119979.64499999983</v>
      </c>
      <c r="AF53" s="86">
        <f t="shared" si="4"/>
        <v>1120634.862</v>
      </c>
      <c r="AG53" s="87">
        <v>68.560061983865012</v>
      </c>
      <c r="AH53" s="87">
        <v>31.439938016134988</v>
      </c>
      <c r="AI53" s="360">
        <v>16.830116377961016</v>
      </c>
      <c r="AJ53" s="360">
        <v>32.399809404911757</v>
      </c>
      <c r="AK53" s="360">
        <v>51.945109206135015</v>
      </c>
      <c r="AL53" s="87">
        <v>70.642400007755967</v>
      </c>
      <c r="AM53" s="87">
        <v>29.357599992244033</v>
      </c>
      <c r="AN53" s="87">
        <v>58.728343544429698</v>
      </c>
      <c r="AO53" s="87">
        <v>80</v>
      </c>
      <c r="AP53" s="360">
        <v>10.706399476620945</v>
      </c>
      <c r="AQ53" s="87">
        <v>60</v>
      </c>
      <c r="AR53" s="360">
        <v>50.548529442902804</v>
      </c>
      <c r="AS53" s="360">
        <f t="shared" si="5"/>
        <v>40.438823554322248</v>
      </c>
      <c r="AT53" s="87">
        <v>31.485437834269952</v>
      </c>
      <c r="AU53" s="87">
        <v>23.304944717087167</v>
      </c>
      <c r="AV53" s="87">
        <v>100</v>
      </c>
      <c r="AW53" s="87">
        <v>114.13667288328074</v>
      </c>
      <c r="AX53" s="87">
        <v>80</v>
      </c>
      <c r="AY53" s="87">
        <v>80.482775876113408</v>
      </c>
      <c r="AZ53" s="87">
        <v>80</v>
      </c>
      <c r="BA53" s="87">
        <v>0</v>
      </c>
      <c r="BB53" s="87">
        <f t="shared" si="6"/>
        <v>86.666666666666671</v>
      </c>
      <c r="BC53" s="87">
        <f t="shared" si="7"/>
        <v>86.666666666666671</v>
      </c>
      <c r="BD53" s="87">
        <f t="shared" si="8"/>
        <v>17.333333333333336</v>
      </c>
      <c r="BE53" s="68">
        <f t="shared" si="9"/>
        <v>57.772156887655584</v>
      </c>
      <c r="BF53" s="68">
        <v>57.772156887655584</v>
      </c>
      <c r="BG53" s="68" t="s">
        <v>109</v>
      </c>
      <c r="BH53" s="68">
        <f t="shared" si="0"/>
        <v>14</v>
      </c>
    </row>
    <row r="54" spans="1:60" ht="14.4" customHeight="1" x14ac:dyDescent="0.35">
      <c r="A54" s="81" t="s">
        <v>135</v>
      </c>
      <c r="B54" s="81" t="s">
        <v>156</v>
      </c>
      <c r="C54" s="89">
        <v>2021</v>
      </c>
      <c r="D54" s="82" t="s">
        <v>16</v>
      </c>
      <c r="E54" s="126">
        <v>3</v>
      </c>
      <c r="F54" s="152" t="s">
        <v>178</v>
      </c>
      <c r="G54" t="s">
        <v>211</v>
      </c>
      <c r="H54" s="83">
        <v>1411.366</v>
      </c>
      <c r="I54" s="83">
        <v>208006.08899999998</v>
      </c>
      <c r="J54" s="83">
        <v>400596.79</v>
      </c>
      <c r="K54" s="83">
        <v>139838.891</v>
      </c>
      <c r="L54" s="83">
        <v>40305.690999999999</v>
      </c>
      <c r="M54" s="83">
        <v>284857.15756999998</v>
      </c>
      <c r="N54" s="83">
        <v>31289.25661</v>
      </c>
      <c r="O54" s="83">
        <v>182549.364</v>
      </c>
      <c r="P54" s="83">
        <v>86366.70699999998</v>
      </c>
      <c r="Q54" s="83">
        <v>2655.99</v>
      </c>
      <c r="R54" s="83">
        <v>21272.822999999975</v>
      </c>
      <c r="S54" s="83">
        <v>46789.593000000001</v>
      </c>
      <c r="T54" s="83">
        <v>0</v>
      </c>
      <c r="U54" s="83">
        <v>1346328.2390123601</v>
      </c>
      <c r="V54" s="83">
        <v>775789.47279531998</v>
      </c>
      <c r="W54" s="85">
        <v>52.1457714458233</v>
      </c>
      <c r="X54" s="82">
        <v>70</v>
      </c>
      <c r="Y54" s="83">
        <v>131344.59449600001</v>
      </c>
      <c r="Z54" s="83">
        <v>146897.12486400001</v>
      </c>
      <c r="AA54" s="83">
        <v>286065.23936200002</v>
      </c>
      <c r="AB54" s="83">
        <v>285435.94224399998</v>
      </c>
      <c r="AC54" s="86">
        <f t="shared" si="1"/>
        <v>209417.45499999999</v>
      </c>
      <c r="AD54" s="86">
        <f t="shared" si="2"/>
        <v>400596.79</v>
      </c>
      <c r="AE54" s="86">
        <f t="shared" si="3"/>
        <v>70718.405999999974</v>
      </c>
      <c r="AF54" s="86">
        <f t="shared" si="4"/>
        <v>400596.79</v>
      </c>
      <c r="AG54" s="87">
        <v>52.276368714786756</v>
      </c>
      <c r="AH54" s="87">
        <v>47.723631285213244</v>
      </c>
      <c r="AI54" s="360">
        <v>10.98419182333906</v>
      </c>
      <c r="AJ54" s="360">
        <v>16.294753788194086</v>
      </c>
      <c r="AK54" s="360">
        <v>67.40937584032325</v>
      </c>
      <c r="AL54" s="87">
        <v>57.622610171530226</v>
      </c>
      <c r="AM54" s="87">
        <v>42.377389828469774</v>
      </c>
      <c r="AN54" s="87">
        <v>47.31142585629604</v>
      </c>
      <c r="AO54" s="87">
        <v>70</v>
      </c>
      <c r="AP54" s="360">
        <v>17.653263272528964</v>
      </c>
      <c r="AQ54" s="87">
        <v>40</v>
      </c>
      <c r="AR54" s="360">
        <v>53.502079390801256</v>
      </c>
      <c r="AS54" s="360">
        <f t="shared" si="5"/>
        <v>42.801663512641007</v>
      </c>
      <c r="AT54" s="87">
        <v>17.8542285541767</v>
      </c>
      <c r="AU54" s="87">
        <v>17.283021658478575</v>
      </c>
      <c r="AV54" s="87">
        <v>100</v>
      </c>
      <c r="AW54" s="87">
        <v>111.84101289259654</v>
      </c>
      <c r="AX54" s="87">
        <v>80</v>
      </c>
      <c r="AY54" s="87">
        <v>99.780016223081304</v>
      </c>
      <c r="AZ54" s="87">
        <v>100</v>
      </c>
      <c r="BA54" s="87">
        <v>0</v>
      </c>
      <c r="BB54" s="87">
        <f t="shared" si="6"/>
        <v>93.333333333333329</v>
      </c>
      <c r="BC54" s="87">
        <f t="shared" si="7"/>
        <v>93.333333333333329</v>
      </c>
      <c r="BD54" s="87">
        <f t="shared" si="8"/>
        <v>18.666666666666668</v>
      </c>
      <c r="BE54" s="68">
        <f t="shared" si="9"/>
        <v>61.468330179307671</v>
      </c>
      <c r="BF54" s="68">
        <v>61.468330179307671</v>
      </c>
      <c r="BG54" s="68" t="s">
        <v>98</v>
      </c>
      <c r="BH54" s="68">
        <f t="shared" si="0"/>
        <v>11</v>
      </c>
    </row>
    <row r="55" spans="1:60" ht="13.5" customHeight="1" x14ac:dyDescent="0.35">
      <c r="A55" s="81" t="s">
        <v>114</v>
      </c>
      <c r="B55" s="81" t="s">
        <v>157</v>
      </c>
      <c r="C55" s="89">
        <v>2021</v>
      </c>
      <c r="D55" s="82" t="s">
        <v>7</v>
      </c>
      <c r="E55" s="147">
        <v>2</v>
      </c>
      <c r="F55" s="152" t="s">
        <v>178</v>
      </c>
      <c r="G55" t="s">
        <v>211</v>
      </c>
      <c r="H55" s="83">
        <v>0</v>
      </c>
      <c r="I55" s="83">
        <v>249440.91699999999</v>
      </c>
      <c r="J55" s="83">
        <v>582559.92200000002</v>
      </c>
      <c r="K55" s="83">
        <v>209804.72600000002</v>
      </c>
      <c r="L55" s="83">
        <v>82658.166000000012</v>
      </c>
      <c r="M55" s="83">
        <v>477374.44612199999</v>
      </c>
      <c r="N55" s="83">
        <v>60866.297000000006</v>
      </c>
      <c r="O55" s="83">
        <v>292778.16200000007</v>
      </c>
      <c r="P55" s="83">
        <v>192484.25100000005</v>
      </c>
      <c r="Q55" s="83">
        <v>1357.6859999999999</v>
      </c>
      <c r="R55" s="83">
        <v>42815.082000000053</v>
      </c>
      <c r="S55" s="83">
        <v>87820.456000000006</v>
      </c>
      <c r="T55" s="83">
        <v>0</v>
      </c>
      <c r="U55" s="83">
        <v>2417970.5466840002</v>
      </c>
      <c r="V55" s="83">
        <v>1016066.001316</v>
      </c>
      <c r="W55" s="85">
        <v>35.08552204243265</v>
      </c>
      <c r="X55" s="82">
        <v>60</v>
      </c>
      <c r="Y55" s="83">
        <v>153351</v>
      </c>
      <c r="Z55" s="83">
        <v>246795.14448700001</v>
      </c>
      <c r="AA55" s="83">
        <v>440204.95085700002</v>
      </c>
      <c r="AB55" s="83">
        <v>411255.18237499997</v>
      </c>
      <c r="AC55" s="86">
        <f t="shared" si="1"/>
        <v>249440.91699999999</v>
      </c>
      <c r="AD55" s="86">
        <f t="shared" si="2"/>
        <v>582559.92200000002</v>
      </c>
      <c r="AE55" s="86">
        <f t="shared" si="3"/>
        <v>131993.22400000005</v>
      </c>
      <c r="AF55" s="86">
        <f t="shared" si="4"/>
        <v>582559.92200000002</v>
      </c>
      <c r="AG55" s="87">
        <v>42.818070310027259</v>
      </c>
      <c r="AH55" s="87">
        <v>57.181929689972741</v>
      </c>
      <c r="AI55" s="360">
        <v>12.750221025539506</v>
      </c>
      <c r="AJ55" s="360">
        <v>32.399809404911757</v>
      </c>
      <c r="AK55" s="360">
        <v>39.352765524622484</v>
      </c>
      <c r="AL55" s="87">
        <v>42.02143829706408</v>
      </c>
      <c r="AM55" s="87">
        <v>57.97856170293592</v>
      </c>
      <c r="AN55" s="87">
        <v>65.744060173449682</v>
      </c>
      <c r="AO55" s="87">
        <v>100</v>
      </c>
      <c r="AP55" s="360">
        <v>22.657450163555886</v>
      </c>
      <c r="AQ55" s="87">
        <v>20</v>
      </c>
      <c r="AR55" s="360">
        <v>54.902651383506225</v>
      </c>
      <c r="AS55" s="360">
        <f t="shared" si="5"/>
        <v>43.92212110680498</v>
      </c>
      <c r="AT55" s="87">
        <v>24.91447795756735</v>
      </c>
      <c r="AU55" s="87">
        <v>23.304944717087167</v>
      </c>
      <c r="AV55" s="87">
        <v>100</v>
      </c>
      <c r="AW55" s="87">
        <v>160.93481261093831</v>
      </c>
      <c r="AX55" s="87">
        <v>0</v>
      </c>
      <c r="AY55" s="87">
        <v>93.423570446983831</v>
      </c>
      <c r="AZ55" s="87">
        <v>100</v>
      </c>
      <c r="BA55" s="87">
        <v>0</v>
      </c>
      <c r="BB55" s="87">
        <f t="shared" si="6"/>
        <v>66.666666666666671</v>
      </c>
      <c r="BC55" s="87">
        <f t="shared" si="7"/>
        <v>66.666666666666671</v>
      </c>
      <c r="BD55" s="87">
        <f t="shared" si="8"/>
        <v>13.333333333333336</v>
      </c>
      <c r="BE55" s="68">
        <f t="shared" si="9"/>
        <v>57.255454440138315</v>
      </c>
      <c r="BF55" s="68">
        <v>57.255454440138315</v>
      </c>
      <c r="BG55" s="68" t="s">
        <v>109</v>
      </c>
      <c r="BH55" s="68">
        <f t="shared" si="0"/>
        <v>16</v>
      </c>
    </row>
    <row r="56" spans="1:60" ht="13.5" customHeight="1" x14ac:dyDescent="0.35">
      <c r="A56" s="81" t="s">
        <v>117</v>
      </c>
      <c r="B56" s="81" t="s">
        <v>158</v>
      </c>
      <c r="C56" s="89">
        <v>2021</v>
      </c>
      <c r="D56" s="82" t="s">
        <v>17</v>
      </c>
      <c r="E56" s="146">
        <v>1</v>
      </c>
      <c r="F56" s="152" t="s">
        <v>178</v>
      </c>
      <c r="G56" t="s">
        <v>208</v>
      </c>
      <c r="H56" s="83">
        <v>0</v>
      </c>
      <c r="I56" s="83">
        <v>783482.70700000005</v>
      </c>
      <c r="J56" s="83">
        <v>1644599.0279999999</v>
      </c>
      <c r="K56" s="83">
        <v>595735.01</v>
      </c>
      <c r="L56" s="83">
        <v>45534.195</v>
      </c>
      <c r="M56" s="83">
        <v>1636662.003951</v>
      </c>
      <c r="N56" s="83">
        <v>553673.77966100001</v>
      </c>
      <c r="O56" s="83">
        <v>644114.56699999992</v>
      </c>
      <c r="P56" s="83">
        <v>303483.37099999993</v>
      </c>
      <c r="Q56" s="83">
        <v>20459.276999999998</v>
      </c>
      <c r="R56" s="83">
        <v>-90529.967000000179</v>
      </c>
      <c r="S56" s="83">
        <v>291452.31699999998</v>
      </c>
      <c r="T56" s="83">
        <v>0</v>
      </c>
      <c r="U56" s="83">
        <v>5823434.5536785899</v>
      </c>
      <c r="V56" s="83">
        <v>5281189.8542640805</v>
      </c>
      <c r="W56" s="85">
        <v>43.365976393781622</v>
      </c>
      <c r="X56" s="82">
        <v>55.000000000000007</v>
      </c>
      <c r="Y56" s="83">
        <v>390766.88153200003</v>
      </c>
      <c r="Z56" s="83">
        <v>654863.10763300001</v>
      </c>
      <c r="AA56" s="83">
        <v>1380994.0904409999</v>
      </c>
      <c r="AB56" s="83">
        <v>1086477.0220290001</v>
      </c>
      <c r="AC56" s="86">
        <f t="shared" si="1"/>
        <v>783482.70700000005</v>
      </c>
      <c r="AD56" s="86">
        <f t="shared" si="2"/>
        <v>1644599.0279999999</v>
      </c>
      <c r="AE56" s="86">
        <f t="shared" si="3"/>
        <v>221381.6269999998</v>
      </c>
      <c r="AF56" s="86">
        <f t="shared" si="4"/>
        <v>1644599.0279999999</v>
      </c>
      <c r="AG56" s="87">
        <v>47.639740365941648</v>
      </c>
      <c r="AH56" s="87">
        <v>52.360259634058352</v>
      </c>
      <c r="AI56" s="360">
        <v>33.829451549825087</v>
      </c>
      <c r="AJ56" s="360">
        <v>33.829451549825087</v>
      </c>
      <c r="AK56" s="360">
        <v>100</v>
      </c>
      <c r="AL56" s="87">
        <v>90.6885757122147</v>
      </c>
      <c r="AM56" s="87">
        <v>9.3114242877853002</v>
      </c>
      <c r="AN56" s="87">
        <v>47.116365092236762</v>
      </c>
      <c r="AO56" s="87">
        <v>70</v>
      </c>
      <c r="AP56" s="360">
        <v>13.399265032532998</v>
      </c>
      <c r="AQ56" s="87">
        <v>60</v>
      </c>
      <c r="AR56" s="360">
        <v>58.334336784368737</v>
      </c>
      <c r="AS56" s="360">
        <f t="shared" si="5"/>
        <v>46.667469427494993</v>
      </c>
      <c r="AT56" s="87">
        <v>11.634023606218385</v>
      </c>
      <c r="AU56" s="87">
        <v>14.195572418362289</v>
      </c>
      <c r="AV56" s="87">
        <v>81.955297492403446</v>
      </c>
      <c r="AW56" s="87">
        <v>167.58408621160825</v>
      </c>
      <c r="AX56" s="87">
        <v>0</v>
      </c>
      <c r="AY56" s="87">
        <v>78.673546074483909</v>
      </c>
      <c r="AZ56" s="87">
        <v>70</v>
      </c>
      <c r="BA56" s="87">
        <v>0</v>
      </c>
      <c r="BB56" s="87">
        <f t="shared" si="6"/>
        <v>50.651765830801146</v>
      </c>
      <c r="BC56" s="87">
        <f t="shared" si="7"/>
        <v>50.651765830801146</v>
      </c>
      <c r="BD56" s="87">
        <f t="shared" si="8"/>
        <v>10.13035316616023</v>
      </c>
      <c r="BE56" s="68">
        <f t="shared" si="9"/>
        <v>56.797822593655226</v>
      </c>
      <c r="BF56" s="68">
        <v>56.797822593655226</v>
      </c>
      <c r="BG56" s="68" t="s">
        <v>109</v>
      </c>
      <c r="BH56" s="68">
        <f t="shared" si="0"/>
        <v>18</v>
      </c>
    </row>
    <row r="57" spans="1:60" ht="13.5" customHeight="1" x14ac:dyDescent="0.35">
      <c r="A57" s="81" t="s">
        <v>97</v>
      </c>
      <c r="B57" s="81" t="s">
        <v>159</v>
      </c>
      <c r="C57" s="89">
        <v>2021</v>
      </c>
      <c r="D57" s="82" t="s">
        <v>18</v>
      </c>
      <c r="E57" s="126">
        <v>3</v>
      </c>
      <c r="F57" s="152" t="s">
        <v>178</v>
      </c>
      <c r="G57" t="s">
        <v>207</v>
      </c>
      <c r="H57" s="83">
        <v>2539.5500000000002</v>
      </c>
      <c r="I57" s="83">
        <v>615305.37599999993</v>
      </c>
      <c r="J57" s="83">
        <v>767668.16799999983</v>
      </c>
      <c r="K57" s="83">
        <v>141086.42300000001</v>
      </c>
      <c r="L57" s="83">
        <v>6956.6570000000002</v>
      </c>
      <c r="M57" s="83">
        <v>771527.24511299981</v>
      </c>
      <c r="N57" s="83">
        <v>125718.465</v>
      </c>
      <c r="O57" s="83">
        <v>151433.67800000001</v>
      </c>
      <c r="P57" s="83">
        <v>85922.378000000026</v>
      </c>
      <c r="Q57" s="83">
        <v>0</v>
      </c>
      <c r="R57" s="83">
        <v>-56269.44299999997</v>
      </c>
      <c r="S57" s="83">
        <v>109365.353</v>
      </c>
      <c r="T57" s="83">
        <v>0</v>
      </c>
      <c r="U57" s="83">
        <v>1601639.98055141</v>
      </c>
      <c r="V57" s="83">
        <v>531411.47772359999</v>
      </c>
      <c r="W57" s="85">
        <v>58.990685971755873</v>
      </c>
      <c r="X57" s="82">
        <v>70</v>
      </c>
      <c r="Y57" s="83">
        <v>128870.256176</v>
      </c>
      <c r="Z57" s="83">
        <v>146239.20265799999</v>
      </c>
      <c r="AA57" s="83">
        <v>765691.46120999998</v>
      </c>
      <c r="AB57" s="83">
        <v>644987.21608599997</v>
      </c>
      <c r="AC57" s="86">
        <f t="shared" si="1"/>
        <v>617844.92599999998</v>
      </c>
      <c r="AD57" s="86">
        <f t="shared" si="2"/>
        <v>767668.16799999983</v>
      </c>
      <c r="AE57" s="86">
        <f t="shared" si="3"/>
        <v>53095.910000000033</v>
      </c>
      <c r="AF57" s="86">
        <f t="shared" si="4"/>
        <v>767668.16799999983</v>
      </c>
      <c r="AG57" s="87">
        <v>80.483332741237248</v>
      </c>
      <c r="AH57" s="87">
        <v>19.516667258762752</v>
      </c>
      <c r="AI57" s="360">
        <v>16.294753788194086</v>
      </c>
      <c r="AJ57" s="360">
        <v>16.294753788194086</v>
      </c>
      <c r="AK57" s="360">
        <v>100</v>
      </c>
      <c r="AL57" s="87">
        <v>33.179209071731997</v>
      </c>
      <c r="AM57" s="87">
        <v>66.820790928267996</v>
      </c>
      <c r="AN57" s="87">
        <v>56.739279620481788</v>
      </c>
      <c r="AO57" s="87">
        <v>80</v>
      </c>
      <c r="AP57" s="360">
        <v>6.8361057452488332</v>
      </c>
      <c r="AQ57" s="87">
        <v>80</v>
      </c>
      <c r="AR57" s="360">
        <v>69.267491637406152</v>
      </c>
      <c r="AS57" s="360">
        <f t="shared" si="5"/>
        <v>55.413993309924926</v>
      </c>
      <c r="AT57" s="87">
        <v>11.009314028244122</v>
      </c>
      <c r="AU57" s="87">
        <v>17.283021658478575</v>
      </c>
      <c r="AV57" s="87">
        <v>63.700169135894441</v>
      </c>
      <c r="AW57" s="87">
        <v>113.47785516797528</v>
      </c>
      <c r="AX57" s="87">
        <v>80</v>
      </c>
      <c r="AY57" s="87">
        <v>84.235916000257518</v>
      </c>
      <c r="AZ57" s="87">
        <v>80</v>
      </c>
      <c r="BA57" s="87">
        <v>0</v>
      </c>
      <c r="BB57" s="87">
        <f t="shared" si="6"/>
        <v>74.566723045298147</v>
      </c>
      <c r="BC57" s="87">
        <f t="shared" si="7"/>
        <v>74.566723045298147</v>
      </c>
      <c r="BD57" s="87">
        <f t="shared" si="8"/>
        <v>14.91334460905963</v>
      </c>
      <c r="BE57" s="68">
        <f t="shared" si="9"/>
        <v>70.327337918984554</v>
      </c>
      <c r="BF57" s="68">
        <v>70.327337918984554</v>
      </c>
      <c r="BG57" s="68" t="s">
        <v>95</v>
      </c>
      <c r="BH57" s="68">
        <f t="shared" si="0"/>
        <v>3</v>
      </c>
    </row>
    <row r="58" spans="1:60" ht="14.4" customHeight="1" x14ac:dyDescent="0.35">
      <c r="A58" s="81" t="s">
        <v>108</v>
      </c>
      <c r="B58" s="81" t="s">
        <v>160</v>
      </c>
      <c r="C58" s="89">
        <v>2021</v>
      </c>
      <c r="D58" s="82" t="s">
        <v>19</v>
      </c>
      <c r="E58" s="147">
        <v>2</v>
      </c>
      <c r="F58" s="152" t="s">
        <v>178</v>
      </c>
      <c r="G58" t="s">
        <v>214</v>
      </c>
      <c r="H58" s="83">
        <v>6069.9350000000004</v>
      </c>
      <c r="I58" s="83">
        <v>707352.897</v>
      </c>
      <c r="J58" s="83">
        <v>1214613.713</v>
      </c>
      <c r="K58" s="83">
        <v>265402.20600000001</v>
      </c>
      <c r="L58" s="83">
        <v>71410.27</v>
      </c>
      <c r="M58" s="83">
        <v>1183953.765259</v>
      </c>
      <c r="N58" s="83">
        <v>327042.41334699997</v>
      </c>
      <c r="O58" s="83">
        <v>345099.679</v>
      </c>
      <c r="P58" s="83">
        <v>179199.76800000001</v>
      </c>
      <c r="Q58" s="83">
        <v>72.411000000000001</v>
      </c>
      <c r="R58" s="83">
        <v>-106565.35900000017</v>
      </c>
      <c r="S58" s="83">
        <v>134031.32999999999</v>
      </c>
      <c r="T58" s="83">
        <v>0</v>
      </c>
      <c r="U58" s="83">
        <v>2705198.1548449998</v>
      </c>
      <c r="V58" s="83">
        <v>1913752.1812710001</v>
      </c>
      <c r="W58" s="85">
        <v>24.04709669085338</v>
      </c>
      <c r="X58" s="82">
        <v>60</v>
      </c>
      <c r="Y58" s="83">
        <v>243664.68812499999</v>
      </c>
      <c r="Z58" s="83">
        <v>280580.73980500002</v>
      </c>
      <c r="AA58" s="83">
        <v>1155279.1609489999</v>
      </c>
      <c r="AB58" s="83">
        <v>938629.32175300003</v>
      </c>
      <c r="AC58" s="86">
        <f t="shared" si="1"/>
        <v>713422.83200000005</v>
      </c>
      <c r="AD58" s="86">
        <f t="shared" si="2"/>
        <v>1214613.713</v>
      </c>
      <c r="AE58" s="86">
        <f t="shared" si="3"/>
        <v>27538.381999999809</v>
      </c>
      <c r="AF58" s="86">
        <f t="shared" si="4"/>
        <v>1214613.713</v>
      </c>
      <c r="AG58" s="87">
        <v>58.736602786897741</v>
      </c>
      <c r="AH58" s="87">
        <v>41.263397213102259</v>
      </c>
      <c r="AI58" s="360">
        <v>27.622904115301889</v>
      </c>
      <c r="AJ58" s="360">
        <v>32.399809404911757</v>
      </c>
      <c r="AK58" s="360">
        <v>85.25637842522093</v>
      </c>
      <c r="AL58" s="87">
        <v>70.743511999055499</v>
      </c>
      <c r="AM58" s="87">
        <v>29.256488000944501</v>
      </c>
      <c r="AN58" s="87">
        <v>51.926958761384427</v>
      </c>
      <c r="AO58" s="87">
        <v>70</v>
      </c>
      <c r="AP58" s="360">
        <v>2.2433453735909121</v>
      </c>
      <c r="AQ58" s="87">
        <v>100</v>
      </c>
      <c r="AR58" s="360">
        <v>65.155252727853536</v>
      </c>
      <c r="AS58" s="360">
        <f t="shared" si="5"/>
        <v>52.124202182282829</v>
      </c>
      <c r="AT58" s="87">
        <v>35.952903309146613</v>
      </c>
      <c r="AU58" s="87">
        <v>23.304944717087167</v>
      </c>
      <c r="AV58" s="87">
        <v>100</v>
      </c>
      <c r="AW58" s="87">
        <v>115.15034942652917</v>
      </c>
      <c r="AX58" s="87">
        <v>80</v>
      </c>
      <c r="AY58" s="87">
        <v>81.246970730603877</v>
      </c>
      <c r="AZ58" s="87">
        <v>80</v>
      </c>
      <c r="BA58" s="87">
        <v>0</v>
      </c>
      <c r="BB58" s="87">
        <f t="shared" si="6"/>
        <v>86.666666666666671</v>
      </c>
      <c r="BC58" s="87">
        <f t="shared" si="7"/>
        <v>86.666666666666671</v>
      </c>
      <c r="BD58" s="87">
        <f t="shared" si="8"/>
        <v>17.333333333333336</v>
      </c>
      <c r="BE58" s="68">
        <f t="shared" si="9"/>
        <v>69.457535515616172</v>
      </c>
      <c r="BF58" s="68">
        <v>69.457535515616172</v>
      </c>
      <c r="BG58" s="68" t="s">
        <v>98</v>
      </c>
      <c r="BH58" s="68">
        <f t="shared" si="0"/>
        <v>5</v>
      </c>
    </row>
    <row r="59" spans="1:60" ht="13.5" customHeight="1" x14ac:dyDescent="0.35">
      <c r="A59" s="81" t="s">
        <v>103</v>
      </c>
      <c r="B59" s="81" t="s">
        <v>161</v>
      </c>
      <c r="C59" s="89">
        <v>2021</v>
      </c>
      <c r="D59" s="82" t="s">
        <v>20</v>
      </c>
      <c r="E59" s="146" t="s">
        <v>51</v>
      </c>
      <c r="F59" s="146" t="s">
        <v>178</v>
      </c>
      <c r="G59" t="s">
        <v>215</v>
      </c>
      <c r="H59" s="83">
        <v>2761.3649999999998</v>
      </c>
      <c r="I59" s="83">
        <v>739573.49499999988</v>
      </c>
      <c r="J59" s="83">
        <v>2377891.5599999996</v>
      </c>
      <c r="K59" s="83">
        <v>1188201.8399999999</v>
      </c>
      <c r="L59" s="83">
        <v>198856.56899999999</v>
      </c>
      <c r="M59" s="83">
        <v>1995706.107843</v>
      </c>
      <c r="N59" s="83">
        <v>562846.93999999994</v>
      </c>
      <c r="O59" s="83">
        <v>1395266.6749999998</v>
      </c>
      <c r="P59" s="83">
        <v>922974.61799999978</v>
      </c>
      <c r="Q59" s="83">
        <v>20263.793000000001</v>
      </c>
      <c r="R59" s="83">
        <v>-68237.832000000402</v>
      </c>
      <c r="S59" s="83">
        <v>536196.67099999997</v>
      </c>
      <c r="T59" s="83">
        <v>0</v>
      </c>
      <c r="U59" s="83">
        <v>6758418.8750999998</v>
      </c>
      <c r="V59" s="83">
        <v>4924028.6024820004</v>
      </c>
      <c r="W59" s="85">
        <v>31.822176244662703</v>
      </c>
      <c r="X59" s="82">
        <v>50</v>
      </c>
      <c r="Y59" s="83">
        <v>949733.58363300003</v>
      </c>
      <c r="Z59" s="83">
        <v>1133158.693836</v>
      </c>
      <c r="AA59" s="83">
        <v>1965489.9293819999</v>
      </c>
      <c r="AB59" s="83">
        <v>1854046.51813</v>
      </c>
      <c r="AC59" s="86">
        <f t="shared" si="1"/>
        <v>742334.85999999987</v>
      </c>
      <c r="AD59" s="86">
        <f t="shared" si="2"/>
        <v>2377891.5599999996</v>
      </c>
      <c r="AE59" s="86">
        <f t="shared" si="3"/>
        <v>488222.63199999958</v>
      </c>
      <c r="AF59" s="86">
        <f t="shared" si="4"/>
        <v>2377891.5599999996</v>
      </c>
      <c r="AG59" s="87">
        <v>31.218196510189049</v>
      </c>
      <c r="AH59" s="87">
        <v>68.781803489810954</v>
      </c>
      <c r="AI59" s="360">
        <v>28.202897099329743</v>
      </c>
      <c r="AJ59" s="360">
        <v>33.999363742874657</v>
      </c>
      <c r="AK59" s="360">
        <v>82.951249654606571</v>
      </c>
      <c r="AL59" s="87">
        <v>72.857700794834841</v>
      </c>
      <c r="AM59" s="87">
        <v>27.142299205165159</v>
      </c>
      <c r="AN59" s="87">
        <v>66.150409419045289</v>
      </c>
      <c r="AO59" s="87">
        <v>100</v>
      </c>
      <c r="AP59" s="360">
        <v>19.746973861127174</v>
      </c>
      <c r="AQ59" s="87">
        <v>40</v>
      </c>
      <c r="AR59" s="360">
        <v>63.775070469916535</v>
      </c>
      <c r="AS59" s="360">
        <f t="shared" si="5"/>
        <v>51.02005637593323</v>
      </c>
      <c r="AT59" s="87">
        <v>18.177823755337297</v>
      </c>
      <c r="AU59" s="87">
        <v>17.663359604407596</v>
      </c>
      <c r="AV59" s="87">
        <v>100</v>
      </c>
      <c r="AW59" s="87">
        <v>119.31332253213023</v>
      </c>
      <c r="AX59" s="87">
        <v>80</v>
      </c>
      <c r="AY59" s="87">
        <v>94.329993271090402</v>
      </c>
      <c r="AZ59" s="87">
        <v>100</v>
      </c>
      <c r="BA59" s="87">
        <v>0</v>
      </c>
      <c r="BB59" s="87">
        <f t="shared" si="6"/>
        <v>93.333333333333329</v>
      </c>
      <c r="BC59" s="87">
        <f t="shared" si="7"/>
        <v>93.333333333333329</v>
      </c>
      <c r="BD59" s="87">
        <f t="shared" si="8"/>
        <v>18.666666666666668</v>
      </c>
      <c r="BE59" s="68">
        <f t="shared" si="9"/>
        <v>69.686723042599894</v>
      </c>
      <c r="BF59" s="68">
        <v>69.686723042599894</v>
      </c>
      <c r="BG59" s="68" t="s">
        <v>98</v>
      </c>
      <c r="BH59" s="68">
        <f t="shared" si="0"/>
        <v>4</v>
      </c>
    </row>
    <row r="60" spans="1:60" ht="15" x14ac:dyDescent="0.35">
      <c r="A60" s="81" t="s">
        <v>110</v>
      </c>
      <c r="B60" s="81" t="s">
        <v>162</v>
      </c>
      <c r="C60" s="89">
        <v>2021</v>
      </c>
      <c r="D60" s="82" t="s">
        <v>21</v>
      </c>
      <c r="E60" s="147">
        <v>4</v>
      </c>
      <c r="F60" s="152" t="s">
        <v>178</v>
      </c>
      <c r="G60" t="s">
        <v>210</v>
      </c>
      <c r="H60" s="83">
        <v>20967.723999999998</v>
      </c>
      <c r="I60" s="83">
        <v>263634.24</v>
      </c>
      <c r="J60" s="83">
        <v>360487.20799999998</v>
      </c>
      <c r="K60" s="83">
        <v>57533.785000000003</v>
      </c>
      <c r="L60" s="83">
        <v>5152.0559999999996</v>
      </c>
      <c r="M60" s="83">
        <v>402008.83312100003</v>
      </c>
      <c r="N60" s="83">
        <v>56488.056423999995</v>
      </c>
      <c r="O60" s="83">
        <v>87867.019</v>
      </c>
      <c r="P60" s="83">
        <v>37769.505000000005</v>
      </c>
      <c r="Q60" s="83">
        <v>0</v>
      </c>
      <c r="R60" s="83">
        <v>-76600.185000000056</v>
      </c>
      <c r="S60" s="83">
        <v>130674.322</v>
      </c>
      <c r="T60" s="83">
        <v>0</v>
      </c>
      <c r="U60" s="83">
        <v>1305639.7396416599</v>
      </c>
      <c r="V60" s="83">
        <v>600434.91266186</v>
      </c>
      <c r="W60" s="85">
        <v>72.41082937899364</v>
      </c>
      <c r="X60" s="82">
        <v>70</v>
      </c>
      <c r="Y60" s="83">
        <v>34506.343055999998</v>
      </c>
      <c r="Z60" s="83">
        <v>51526.663135000003</v>
      </c>
      <c r="AA60" s="83">
        <v>352279.26472400001</v>
      </c>
      <c r="AB60" s="83">
        <v>316320.27284200001</v>
      </c>
      <c r="AC60" s="86">
        <f t="shared" si="1"/>
        <v>284601.96399999998</v>
      </c>
      <c r="AD60" s="86">
        <f t="shared" si="2"/>
        <v>360487.20799999998</v>
      </c>
      <c r="AE60" s="86">
        <f t="shared" si="3"/>
        <v>54074.136999999944</v>
      </c>
      <c r="AF60" s="86">
        <f t="shared" si="4"/>
        <v>360487.20799999998</v>
      </c>
      <c r="AG60" s="87">
        <v>78.949254698657711</v>
      </c>
      <c r="AH60" s="87">
        <v>21.050745301342289</v>
      </c>
      <c r="AI60" s="360">
        <v>14.051446577791424</v>
      </c>
      <c r="AJ60" s="360">
        <v>43.098869787831411</v>
      </c>
      <c r="AK60" s="360">
        <v>32.602819161997438</v>
      </c>
      <c r="AL60" s="87">
        <v>45.987793909110998</v>
      </c>
      <c r="AM60" s="87">
        <v>54.012206090889002</v>
      </c>
      <c r="AN60" s="87">
        <v>42.984848501574866</v>
      </c>
      <c r="AO60" s="87">
        <v>50</v>
      </c>
      <c r="AP60" s="360">
        <v>15.000292881405086</v>
      </c>
      <c r="AQ60" s="87">
        <v>40</v>
      </c>
      <c r="AR60" s="360">
        <v>39.53315411084575</v>
      </c>
      <c r="AS60" s="360">
        <f t="shared" si="5"/>
        <v>31.626523288676601</v>
      </c>
      <c r="AT60" s="87">
        <v>0</v>
      </c>
      <c r="AU60" s="87">
        <v>16.238737718781703</v>
      </c>
      <c r="AV60" s="87">
        <v>0</v>
      </c>
      <c r="AW60" s="87">
        <v>149.32519233167622</v>
      </c>
      <c r="AX60" s="87">
        <v>50</v>
      </c>
      <c r="AY60" s="87">
        <v>89.792475605916579</v>
      </c>
      <c r="AZ60" s="87">
        <v>80</v>
      </c>
      <c r="BA60" s="87">
        <v>0</v>
      </c>
      <c r="BB60" s="87">
        <f t="shared" si="6"/>
        <v>43.333333333333336</v>
      </c>
      <c r="BC60" s="87">
        <f t="shared" si="7"/>
        <v>43.333333333333336</v>
      </c>
      <c r="BD60" s="87">
        <f t="shared" si="8"/>
        <v>8.6666666666666679</v>
      </c>
      <c r="BE60" s="68">
        <f t="shared" si="9"/>
        <v>40.293189955343266</v>
      </c>
      <c r="BF60" s="68">
        <v>40.293189955343266</v>
      </c>
      <c r="BG60" s="68" t="s">
        <v>109</v>
      </c>
      <c r="BH60" s="68">
        <f t="shared" si="0"/>
        <v>32</v>
      </c>
    </row>
    <row r="61" spans="1:60" ht="13.5" customHeight="1" x14ac:dyDescent="0.35">
      <c r="A61" s="81" t="s">
        <v>125</v>
      </c>
      <c r="B61" s="81" t="s">
        <v>163</v>
      </c>
      <c r="C61" s="89">
        <v>2021</v>
      </c>
      <c r="D61" s="82" t="s">
        <v>22</v>
      </c>
      <c r="E61" s="126">
        <v>3</v>
      </c>
      <c r="F61" s="152" t="s">
        <v>178</v>
      </c>
      <c r="G61" t="s">
        <v>210</v>
      </c>
      <c r="H61" s="83">
        <v>21090.57</v>
      </c>
      <c r="I61" s="83">
        <v>248698.57800000001</v>
      </c>
      <c r="J61" s="83">
        <v>403300.58200000005</v>
      </c>
      <c r="K61" s="83">
        <v>104427.276</v>
      </c>
      <c r="L61" s="83">
        <v>8661.4120000000003</v>
      </c>
      <c r="M61" s="83">
        <v>614568.4219800001</v>
      </c>
      <c r="N61" s="83">
        <v>37498.904999999999</v>
      </c>
      <c r="O61" s="83">
        <v>135810.65</v>
      </c>
      <c r="P61" s="83">
        <v>56051.055999999997</v>
      </c>
      <c r="Q61" s="83">
        <v>0</v>
      </c>
      <c r="R61" s="83">
        <v>-13041.184999999998</v>
      </c>
      <c r="S61" s="83">
        <v>88023.207999999999</v>
      </c>
      <c r="T61" s="83">
        <v>0</v>
      </c>
      <c r="U61" s="83">
        <v>3041468.0490214801</v>
      </c>
      <c r="V61" s="83">
        <v>580186.15381703002</v>
      </c>
      <c r="W61" s="85">
        <v>65.909907839454078</v>
      </c>
      <c r="X61" s="82">
        <v>70</v>
      </c>
      <c r="Y61" s="83">
        <v>72980.234796000004</v>
      </c>
      <c r="Z61" s="83">
        <v>112725.543488</v>
      </c>
      <c r="AA61" s="83">
        <v>337341.88578299998</v>
      </c>
      <c r="AB61" s="83">
        <v>317379.87992699997</v>
      </c>
      <c r="AC61" s="86">
        <f t="shared" si="1"/>
        <v>269789.14799999999</v>
      </c>
      <c r="AD61" s="86">
        <f t="shared" si="2"/>
        <v>403300.58200000005</v>
      </c>
      <c r="AE61" s="86">
        <f t="shared" si="3"/>
        <v>74982.023000000001</v>
      </c>
      <c r="AF61" s="86">
        <f t="shared" si="4"/>
        <v>403300.58200000005</v>
      </c>
      <c r="AG61" s="87">
        <v>66.895303414166634</v>
      </c>
      <c r="AH61" s="87">
        <v>33.104696585833366</v>
      </c>
      <c r="AI61" s="360">
        <v>6.1016647876548928</v>
      </c>
      <c r="AJ61" s="360">
        <v>16.294753788194086</v>
      </c>
      <c r="AK61" s="360">
        <v>37.445578294504124</v>
      </c>
      <c r="AL61" s="87">
        <v>19.075858909768627</v>
      </c>
      <c r="AM61" s="87">
        <v>80.924141090231373</v>
      </c>
      <c r="AN61" s="87">
        <v>41.2714731871175</v>
      </c>
      <c r="AO61" s="87">
        <v>50</v>
      </c>
      <c r="AP61" s="360">
        <v>18.592093923633364</v>
      </c>
      <c r="AQ61" s="87">
        <v>40</v>
      </c>
      <c r="AR61" s="360">
        <v>48.29488319411378</v>
      </c>
      <c r="AS61" s="360">
        <f t="shared" si="5"/>
        <v>38.635906555291029</v>
      </c>
      <c r="AT61" s="87">
        <v>4.0900921605459111</v>
      </c>
      <c r="AU61" s="87">
        <v>17.283021658478575</v>
      </c>
      <c r="AV61" s="87">
        <v>23.665376583841891</v>
      </c>
      <c r="AW61" s="87">
        <v>154.46037383011873</v>
      </c>
      <c r="AX61" s="87">
        <v>0</v>
      </c>
      <c r="AY61" s="87">
        <v>94.082559356758665</v>
      </c>
      <c r="AZ61" s="87">
        <v>100</v>
      </c>
      <c r="BA61" s="87">
        <v>0</v>
      </c>
      <c r="BB61" s="87">
        <f t="shared" si="6"/>
        <v>41.221792194613961</v>
      </c>
      <c r="BC61" s="87">
        <f t="shared" si="7"/>
        <v>41.221792194613961</v>
      </c>
      <c r="BD61" s="87">
        <f t="shared" si="8"/>
        <v>8.2443584389227933</v>
      </c>
      <c r="BE61" s="68">
        <f t="shared" si="9"/>
        <v>46.880264994213825</v>
      </c>
      <c r="BF61" s="68">
        <v>46.880264994213825</v>
      </c>
      <c r="BG61" s="68" t="s">
        <v>109</v>
      </c>
      <c r="BH61" s="68">
        <f t="shared" si="0"/>
        <v>28</v>
      </c>
    </row>
    <row r="62" spans="1:60" ht="15" x14ac:dyDescent="0.35">
      <c r="A62" s="81" t="s">
        <v>113</v>
      </c>
      <c r="B62" s="81" t="s">
        <v>164</v>
      </c>
      <c r="C62" s="89">
        <v>2021</v>
      </c>
      <c r="D62" s="82" t="s">
        <v>23</v>
      </c>
      <c r="E62" s="147">
        <v>4</v>
      </c>
      <c r="F62" s="152" t="s">
        <v>178</v>
      </c>
      <c r="G62" t="s">
        <v>214</v>
      </c>
      <c r="H62" s="83">
        <v>26011.460999999999</v>
      </c>
      <c r="I62" s="83">
        <v>354674.83100000001</v>
      </c>
      <c r="J62" s="83">
        <v>478436.40500000003</v>
      </c>
      <c r="K62" s="83">
        <v>47513.984000000004</v>
      </c>
      <c r="L62" s="83">
        <v>19523.545000000002</v>
      </c>
      <c r="M62" s="83">
        <v>431104.806324</v>
      </c>
      <c r="N62" s="83">
        <v>54875.114323999995</v>
      </c>
      <c r="O62" s="83">
        <v>93481.967000000004</v>
      </c>
      <c r="P62" s="83">
        <v>35210.130000000005</v>
      </c>
      <c r="Q62" s="83">
        <v>0</v>
      </c>
      <c r="R62" s="83">
        <v>8901.4580000000424</v>
      </c>
      <c r="S62" s="83">
        <v>55515.32</v>
      </c>
      <c r="T62" s="83">
        <v>0</v>
      </c>
      <c r="U62" s="83">
        <v>1561976.96025574</v>
      </c>
      <c r="V62" s="83">
        <v>395230.20788305998</v>
      </c>
      <c r="W62" s="85">
        <v>59.615741400164893</v>
      </c>
      <c r="X62" s="82">
        <v>70</v>
      </c>
      <c r="Y62" s="83">
        <v>47819.821390999998</v>
      </c>
      <c r="Z62" s="83">
        <v>49349.334778999997</v>
      </c>
      <c r="AA62" s="83">
        <v>414744.27569799998</v>
      </c>
      <c r="AB62" s="83">
        <v>355105.912044</v>
      </c>
      <c r="AC62" s="86">
        <f t="shared" si="1"/>
        <v>380686.29200000002</v>
      </c>
      <c r="AD62" s="86">
        <f t="shared" si="2"/>
        <v>478436.40500000003</v>
      </c>
      <c r="AE62" s="86">
        <f t="shared" si="3"/>
        <v>64416.778000000042</v>
      </c>
      <c r="AF62" s="86">
        <f t="shared" si="4"/>
        <v>478436.40500000003</v>
      </c>
      <c r="AG62" s="87">
        <v>79.568838830314348</v>
      </c>
      <c r="AH62" s="87">
        <v>20.431161169685652</v>
      </c>
      <c r="AI62" s="360">
        <v>12.728949786460555</v>
      </c>
      <c r="AJ62" s="360">
        <v>43.098869787831411</v>
      </c>
      <c r="AK62" s="360">
        <v>29.534300665244967</v>
      </c>
      <c r="AL62" s="87">
        <v>25.303203436390611</v>
      </c>
      <c r="AM62" s="87">
        <v>74.696796563609382</v>
      </c>
      <c r="AN62" s="87">
        <v>37.665157388055391</v>
      </c>
      <c r="AO62" s="87">
        <v>50</v>
      </c>
      <c r="AP62" s="360">
        <v>13.464020991462814</v>
      </c>
      <c r="AQ62" s="87">
        <v>60</v>
      </c>
      <c r="AR62" s="360">
        <v>46.932451679708002</v>
      </c>
      <c r="AS62" s="360">
        <f t="shared" si="5"/>
        <v>37.5459613437664</v>
      </c>
      <c r="AT62" s="87">
        <v>10.384258599835105</v>
      </c>
      <c r="AU62" s="87">
        <v>16.238737718781703</v>
      </c>
      <c r="AV62" s="87">
        <v>63.947449485711466</v>
      </c>
      <c r="AW62" s="87">
        <v>103.19849247343249</v>
      </c>
      <c r="AX62" s="87">
        <v>100</v>
      </c>
      <c r="AY62" s="87">
        <v>85.620449238598724</v>
      </c>
      <c r="AZ62" s="87">
        <v>80</v>
      </c>
      <c r="BA62" s="87">
        <v>0</v>
      </c>
      <c r="BB62" s="87">
        <f t="shared" si="6"/>
        <v>81.315816495237158</v>
      </c>
      <c r="BC62" s="87">
        <f t="shared" si="7"/>
        <v>81.315816495237158</v>
      </c>
      <c r="BD62" s="87">
        <f t="shared" si="8"/>
        <v>16.263163299047431</v>
      </c>
      <c r="BE62" s="68">
        <f t="shared" si="9"/>
        <v>53.809124642813828</v>
      </c>
      <c r="BF62" s="68">
        <v>53.809124642813828</v>
      </c>
      <c r="BG62" s="68" t="s">
        <v>109</v>
      </c>
      <c r="BH62" s="68">
        <f t="shared" si="0"/>
        <v>21</v>
      </c>
    </row>
    <row r="63" spans="1:60" ht="15" x14ac:dyDescent="0.35">
      <c r="A63" s="81" t="s">
        <v>106</v>
      </c>
      <c r="B63" s="81" t="s">
        <v>165</v>
      </c>
      <c r="C63" s="89">
        <v>2021</v>
      </c>
      <c r="D63" s="82" t="s">
        <v>173</v>
      </c>
      <c r="E63" s="126">
        <v>3</v>
      </c>
      <c r="F63" s="152" t="s">
        <v>178</v>
      </c>
      <c r="G63" t="s">
        <v>207</v>
      </c>
      <c r="H63" s="83">
        <v>119183.045</v>
      </c>
      <c r="I63" s="83">
        <v>76595.913</v>
      </c>
      <c r="J63" s="83">
        <v>498562.70899999997</v>
      </c>
      <c r="K63" s="83">
        <v>49905.727999999996</v>
      </c>
      <c r="L63" s="83">
        <v>138995.61499999999</v>
      </c>
      <c r="M63" s="83">
        <v>199549.19900000002</v>
      </c>
      <c r="N63" s="83">
        <v>10983.412</v>
      </c>
      <c r="O63" s="83">
        <v>308084.38799999998</v>
      </c>
      <c r="P63" s="83">
        <v>118795.01799999998</v>
      </c>
      <c r="Q63" s="83">
        <v>0</v>
      </c>
      <c r="R63" s="83">
        <v>109724.13999999996</v>
      </c>
      <c r="S63" s="83">
        <v>210539.201</v>
      </c>
      <c r="T63" s="83">
        <v>0</v>
      </c>
      <c r="U63" s="83">
        <v>1660618.82861182</v>
      </c>
      <c r="V63" s="83">
        <v>344515.3892795</v>
      </c>
      <c r="W63" s="85">
        <v>58.347152083063492</v>
      </c>
      <c r="X63" s="82">
        <v>70</v>
      </c>
      <c r="Y63" s="83">
        <v>81126.589076999997</v>
      </c>
      <c r="Z63" s="83">
        <v>186678.763205</v>
      </c>
      <c r="AA63" s="83">
        <v>169323.41753999999</v>
      </c>
      <c r="AB63" s="83">
        <v>139618.61489999999</v>
      </c>
      <c r="AC63" s="86">
        <f t="shared" si="1"/>
        <v>195778.95799999998</v>
      </c>
      <c r="AD63" s="86">
        <f t="shared" si="2"/>
        <v>498562.70899999997</v>
      </c>
      <c r="AE63" s="86">
        <f t="shared" si="3"/>
        <v>320263.34099999996</v>
      </c>
      <c r="AF63" s="86">
        <f t="shared" si="4"/>
        <v>498562.70899999997</v>
      </c>
      <c r="AG63" s="87">
        <v>39.268672619475836</v>
      </c>
      <c r="AH63" s="87">
        <v>60.731327380524164</v>
      </c>
      <c r="AI63" s="360">
        <v>5.5041122966371816</v>
      </c>
      <c r="AJ63" s="360">
        <v>16.294753788194086</v>
      </c>
      <c r="AK63" s="360">
        <v>33.778431808064717</v>
      </c>
      <c r="AL63" s="87">
        <v>20.746205170243353</v>
      </c>
      <c r="AM63" s="87">
        <v>79.253794829756643</v>
      </c>
      <c r="AN63" s="87">
        <v>38.559246306242557</v>
      </c>
      <c r="AO63" s="87">
        <v>50</v>
      </c>
      <c r="AP63" s="360">
        <v>64.237323654304831</v>
      </c>
      <c r="AQ63" s="87">
        <v>0</v>
      </c>
      <c r="AR63" s="360">
        <v>44.752710803669103</v>
      </c>
      <c r="AS63" s="360">
        <f t="shared" si="5"/>
        <v>35.802168642935285</v>
      </c>
      <c r="AT63" s="87">
        <v>11.652847916936505</v>
      </c>
      <c r="AU63" s="87">
        <v>17.283021658478575</v>
      </c>
      <c r="AV63" s="87">
        <v>67.423672475813504</v>
      </c>
      <c r="AW63" s="87">
        <v>230.10798966022949</v>
      </c>
      <c r="AX63" s="87">
        <v>0</v>
      </c>
      <c r="AY63" s="87">
        <v>82.45676642276446</v>
      </c>
      <c r="AZ63" s="87">
        <v>80</v>
      </c>
      <c r="BA63" s="87">
        <v>0</v>
      </c>
      <c r="BB63" s="87">
        <f t="shared" si="6"/>
        <v>49.141224158604501</v>
      </c>
      <c r="BC63" s="87">
        <f t="shared" si="7"/>
        <v>49.141224158604501</v>
      </c>
      <c r="BD63" s="87">
        <f t="shared" si="8"/>
        <v>9.8282448317209017</v>
      </c>
      <c r="BE63" s="68">
        <f t="shared" si="9"/>
        <v>45.630413474656187</v>
      </c>
      <c r="BF63" s="68">
        <v>45.630413474656187</v>
      </c>
      <c r="BG63" s="68" t="s">
        <v>109</v>
      </c>
      <c r="BH63" s="68">
        <f t="shared" si="0"/>
        <v>29</v>
      </c>
    </row>
    <row r="64" spans="1:60" ht="13.5" customHeight="1" x14ac:dyDescent="0.35">
      <c r="A64" s="81" t="s">
        <v>131</v>
      </c>
      <c r="B64" s="81" t="s">
        <v>166</v>
      </c>
      <c r="C64" s="89">
        <v>2021</v>
      </c>
      <c r="D64" s="82" t="s">
        <v>24</v>
      </c>
      <c r="E64" s="147">
        <v>4</v>
      </c>
      <c r="F64" s="152" t="s">
        <v>178</v>
      </c>
      <c r="G64" t="s">
        <v>214</v>
      </c>
      <c r="H64" s="83">
        <v>27288.614000000001</v>
      </c>
      <c r="I64" s="83">
        <v>154378.50199999998</v>
      </c>
      <c r="J64" s="83">
        <v>205065.06299999997</v>
      </c>
      <c r="K64" s="83">
        <v>16150.599999999999</v>
      </c>
      <c r="L64" s="83">
        <v>459.76100000000002</v>
      </c>
      <c r="M64" s="83">
        <v>161164.54700000002</v>
      </c>
      <c r="N64" s="83">
        <v>16823.567000000003</v>
      </c>
      <c r="O64" s="83">
        <v>44758.040999999997</v>
      </c>
      <c r="P64" s="83">
        <v>17344.657999999996</v>
      </c>
      <c r="Q64" s="83">
        <v>0</v>
      </c>
      <c r="R64" s="83">
        <v>16487.132999999943</v>
      </c>
      <c r="S64" s="83">
        <v>42643.307000000001</v>
      </c>
      <c r="T64" s="83">
        <v>0</v>
      </c>
      <c r="U64" s="83">
        <v>966283.35043999995</v>
      </c>
      <c r="V64" s="83">
        <v>333122.25690400001</v>
      </c>
      <c r="W64" s="85">
        <v>62.909249342439566</v>
      </c>
      <c r="X64" s="82">
        <v>70</v>
      </c>
      <c r="Y64" s="83">
        <v>14519.956894000001</v>
      </c>
      <c r="Z64" s="83">
        <v>16228.395227000001</v>
      </c>
      <c r="AA64" s="83">
        <v>163554.07363999999</v>
      </c>
      <c r="AB64" s="83">
        <v>146848.42225800001</v>
      </c>
      <c r="AC64" s="86">
        <f t="shared" si="1"/>
        <v>181667.11599999998</v>
      </c>
      <c r="AD64" s="86">
        <f t="shared" si="2"/>
        <v>205065.06299999997</v>
      </c>
      <c r="AE64" s="86">
        <f t="shared" si="3"/>
        <v>59130.439999999944</v>
      </c>
      <c r="AF64" s="86">
        <f t="shared" si="4"/>
        <v>205065.06299999997</v>
      </c>
      <c r="AG64" s="87">
        <v>88.589988632046996</v>
      </c>
      <c r="AH64" s="87">
        <v>11.410011367953004</v>
      </c>
      <c r="AI64" s="360">
        <v>10.438751768402266</v>
      </c>
      <c r="AJ64" s="360">
        <v>43.098869787831411</v>
      </c>
      <c r="AK64" s="360">
        <v>24.220476824080333</v>
      </c>
      <c r="AL64" s="87">
        <v>34.474593477400994</v>
      </c>
      <c r="AM64" s="87">
        <v>65.525406522599013</v>
      </c>
      <c r="AN64" s="87">
        <v>38.752049045220716</v>
      </c>
      <c r="AO64" s="87">
        <v>50</v>
      </c>
      <c r="AP64" s="360">
        <v>28.834965417780577</v>
      </c>
      <c r="AQ64" s="87">
        <v>20</v>
      </c>
      <c r="AR64" s="360">
        <v>34.231178942926469</v>
      </c>
      <c r="AS64" s="360">
        <f t="shared" si="5"/>
        <v>27.384943154341176</v>
      </c>
      <c r="AT64" s="87">
        <v>7.0907506575604291</v>
      </c>
      <c r="AU64" s="87">
        <v>16.238737718781703</v>
      </c>
      <c r="AV64" s="87">
        <v>43.665651729563166</v>
      </c>
      <c r="AW64" s="87">
        <v>111.76613915228612</v>
      </c>
      <c r="AX64" s="87">
        <v>80</v>
      </c>
      <c r="AY64" s="87">
        <v>89.785854298700684</v>
      </c>
      <c r="AZ64" s="87">
        <v>80</v>
      </c>
      <c r="BA64" s="87">
        <v>0</v>
      </c>
      <c r="BB64" s="87">
        <f t="shared" si="6"/>
        <v>67.888550576521055</v>
      </c>
      <c r="BC64" s="87">
        <f t="shared" si="7"/>
        <v>67.888550576521055</v>
      </c>
      <c r="BD64" s="87">
        <f t="shared" si="8"/>
        <v>13.577710115304212</v>
      </c>
      <c r="BE64" s="68">
        <f t="shared" si="9"/>
        <v>40.962653269645386</v>
      </c>
      <c r="BF64" s="68">
        <v>40.962653269645386</v>
      </c>
      <c r="BG64" s="68" t="s">
        <v>109</v>
      </c>
      <c r="BH64" s="68">
        <f t="shared" si="0"/>
        <v>31</v>
      </c>
    </row>
    <row r="65" spans="1:60" ht="15" x14ac:dyDescent="0.35">
      <c r="A65" s="81" t="s">
        <v>119</v>
      </c>
      <c r="B65" s="81" t="s">
        <v>167</v>
      </c>
      <c r="C65" s="89">
        <v>2021</v>
      </c>
      <c r="D65" s="82" t="s">
        <v>120</v>
      </c>
      <c r="E65" s="147">
        <v>4</v>
      </c>
      <c r="F65" s="152" t="s">
        <v>178</v>
      </c>
      <c r="G65" t="s">
        <v>210</v>
      </c>
      <c r="H65" s="83">
        <v>27156.856</v>
      </c>
      <c r="I65" s="83">
        <v>120511.557</v>
      </c>
      <c r="J65" s="83">
        <v>204548.73100000003</v>
      </c>
      <c r="K65" s="83">
        <v>24643.221000000001</v>
      </c>
      <c r="L65" s="83">
        <v>677.125</v>
      </c>
      <c r="M65" s="83">
        <v>247384.38265299998</v>
      </c>
      <c r="N65" s="83">
        <v>105956.75165299998</v>
      </c>
      <c r="O65" s="83">
        <v>52477.202000000005</v>
      </c>
      <c r="P65" s="83">
        <v>33736.965000000004</v>
      </c>
      <c r="Q65" s="83">
        <v>0</v>
      </c>
      <c r="R65" s="83">
        <v>11215.003000000055</v>
      </c>
      <c r="S65" s="83">
        <v>52312.982000000004</v>
      </c>
      <c r="T65" s="83">
        <v>0</v>
      </c>
      <c r="U65" s="83">
        <v>934672.21466518997</v>
      </c>
      <c r="V65" s="83">
        <v>206157.69083567002</v>
      </c>
      <c r="W65" s="85">
        <v>54.610036395137115</v>
      </c>
      <c r="X65" s="82">
        <v>70</v>
      </c>
      <c r="Y65" s="83">
        <v>13621.619476</v>
      </c>
      <c r="Z65" s="83">
        <v>37935.542221000003</v>
      </c>
      <c r="AA65" s="83">
        <v>174593.490785</v>
      </c>
      <c r="AB65" s="83">
        <v>128623.757178</v>
      </c>
      <c r="AC65" s="86">
        <f t="shared" si="1"/>
        <v>147668.413</v>
      </c>
      <c r="AD65" s="86">
        <f t="shared" si="2"/>
        <v>204548.73100000003</v>
      </c>
      <c r="AE65" s="86">
        <f t="shared" si="3"/>
        <v>63527.985000000059</v>
      </c>
      <c r="AF65" s="86">
        <f t="shared" si="4"/>
        <v>204548.73100000003</v>
      </c>
      <c r="AG65" s="87">
        <v>72.192289963412179</v>
      </c>
      <c r="AH65" s="87">
        <v>27.807710036587821</v>
      </c>
      <c r="AI65" s="360">
        <v>42.830816770524649</v>
      </c>
      <c r="AJ65" s="360">
        <v>43.098869787831411</v>
      </c>
      <c r="AK65" s="360">
        <v>99.378050935845096</v>
      </c>
      <c r="AL65" s="87">
        <v>22.056683359258518</v>
      </c>
      <c r="AM65" s="87">
        <v>77.943316640741486</v>
      </c>
      <c r="AN65" s="87">
        <v>64.28880297390856</v>
      </c>
      <c r="AO65" s="87">
        <v>80</v>
      </c>
      <c r="AP65" s="360">
        <v>31.057628512004825</v>
      </c>
      <c r="AQ65" s="87">
        <v>0</v>
      </c>
      <c r="AR65" s="360">
        <v>57.025815522634879</v>
      </c>
      <c r="AS65" s="360">
        <f t="shared" si="5"/>
        <v>45.620652418107909</v>
      </c>
      <c r="AT65" s="87">
        <v>15.389963604862878</v>
      </c>
      <c r="AU65" s="87">
        <v>16.238737718781703</v>
      </c>
      <c r="AV65" s="87">
        <v>94.773152146320243</v>
      </c>
      <c r="AW65" s="87">
        <v>278.49509588664421</v>
      </c>
      <c r="AX65" s="87">
        <v>0</v>
      </c>
      <c r="AY65" s="87">
        <v>73.670419555555711</v>
      </c>
      <c r="AZ65" s="87">
        <v>70</v>
      </c>
      <c r="BA65" s="87">
        <v>0</v>
      </c>
      <c r="BB65" s="87">
        <f t="shared" si="6"/>
        <v>54.924384048773412</v>
      </c>
      <c r="BC65" s="87">
        <f t="shared" si="7"/>
        <v>54.924384048773412</v>
      </c>
      <c r="BD65" s="87">
        <f t="shared" si="8"/>
        <v>10.984876809754683</v>
      </c>
      <c r="BE65" s="68">
        <f t="shared" si="9"/>
        <v>56.60552922786259</v>
      </c>
      <c r="BF65" s="68">
        <v>56.60552922786259</v>
      </c>
      <c r="BG65" s="68" t="s">
        <v>109</v>
      </c>
      <c r="BH65" s="68">
        <f t="shared" si="0"/>
        <v>19</v>
      </c>
    </row>
    <row r="66" spans="1:60" ht="14.4" customHeight="1" x14ac:dyDescent="0.35">
      <c r="A66" s="81" t="s">
        <v>101</v>
      </c>
      <c r="B66" s="81" t="s">
        <v>168</v>
      </c>
      <c r="C66" s="89">
        <v>2021</v>
      </c>
      <c r="D66" s="82" t="s">
        <v>25</v>
      </c>
      <c r="E66" s="147">
        <v>4</v>
      </c>
      <c r="F66" s="152" t="s">
        <v>178</v>
      </c>
      <c r="G66" t="s">
        <v>210</v>
      </c>
      <c r="H66" s="83">
        <v>23331.414000000001</v>
      </c>
      <c r="I66" s="83">
        <v>128022.166</v>
      </c>
      <c r="J66" s="83">
        <v>206644.58199999999</v>
      </c>
      <c r="K66" s="83">
        <v>43068.071000000004</v>
      </c>
      <c r="L66" s="83">
        <v>1984.1770000000001</v>
      </c>
      <c r="M66" s="83">
        <v>266111.998135</v>
      </c>
      <c r="N66" s="83">
        <v>114691.26356600001</v>
      </c>
      <c r="O66" s="83">
        <v>68853.489000000001</v>
      </c>
      <c r="P66" s="83">
        <v>36969.695000000007</v>
      </c>
      <c r="Q66" s="83">
        <v>198.33600000000001</v>
      </c>
      <c r="R66" s="83">
        <v>855.30300000001444</v>
      </c>
      <c r="S66" s="83">
        <v>30232.170999999998</v>
      </c>
      <c r="T66" s="83">
        <v>0</v>
      </c>
      <c r="U66" s="83">
        <v>886694.05316799995</v>
      </c>
      <c r="V66" s="83">
        <v>168959.14295400001</v>
      </c>
      <c r="W66" s="85">
        <v>54.326511938009403</v>
      </c>
      <c r="X66" s="82">
        <v>70</v>
      </c>
      <c r="Y66" s="83">
        <v>23061.394586999999</v>
      </c>
      <c r="Z66" s="83">
        <v>43223.486043999997</v>
      </c>
      <c r="AA66" s="83">
        <v>169707.49721100001</v>
      </c>
      <c r="AB66" s="83">
        <v>157725.149554</v>
      </c>
      <c r="AC66" s="86">
        <f t="shared" si="1"/>
        <v>151353.57999999999</v>
      </c>
      <c r="AD66" s="86">
        <f t="shared" si="2"/>
        <v>206644.58199999999</v>
      </c>
      <c r="AE66" s="86">
        <f t="shared" si="3"/>
        <v>31285.810000000012</v>
      </c>
      <c r="AF66" s="86">
        <f t="shared" si="4"/>
        <v>206644.58199999999</v>
      </c>
      <c r="AG66" s="87">
        <v>73.243430113255997</v>
      </c>
      <c r="AH66" s="87">
        <v>26.756569886744003</v>
      </c>
      <c r="AI66" s="360">
        <v>43.098869787831411</v>
      </c>
      <c r="AJ66" s="360">
        <v>43.098869787831411</v>
      </c>
      <c r="AK66" s="360">
        <v>100</v>
      </c>
      <c r="AL66" s="87">
        <v>19.054953887458598</v>
      </c>
      <c r="AM66" s="87">
        <v>80.945046112541405</v>
      </c>
      <c r="AN66" s="87">
        <v>53.693277620252488</v>
      </c>
      <c r="AO66" s="87">
        <v>70</v>
      </c>
      <c r="AP66" s="360">
        <v>15.139913031932291</v>
      </c>
      <c r="AQ66" s="87">
        <v>40</v>
      </c>
      <c r="AR66" s="360">
        <v>63.540323199857085</v>
      </c>
      <c r="AS66" s="360">
        <f t="shared" si="5"/>
        <v>50.832258559885673</v>
      </c>
      <c r="AT66" s="87">
        <v>15.673488061990593</v>
      </c>
      <c r="AU66" s="87">
        <v>16.238737718781703</v>
      </c>
      <c r="AV66" s="87">
        <v>96.519128108477645</v>
      </c>
      <c r="AW66" s="87">
        <v>187.42789331728284</v>
      </c>
      <c r="AX66" s="87">
        <v>0</v>
      </c>
      <c r="AY66" s="87">
        <v>92.939411720802084</v>
      </c>
      <c r="AZ66" s="87">
        <v>100</v>
      </c>
      <c r="BA66" s="87">
        <v>0</v>
      </c>
      <c r="BB66" s="87">
        <f t="shared" si="6"/>
        <v>65.50637603615921</v>
      </c>
      <c r="BC66" s="87">
        <f t="shared" si="7"/>
        <v>65.50637603615921</v>
      </c>
      <c r="BD66" s="87">
        <f t="shared" si="8"/>
        <v>13.101275207231843</v>
      </c>
      <c r="BE66" s="68">
        <f t="shared" si="9"/>
        <v>63.933533767117517</v>
      </c>
      <c r="BF66" s="68">
        <v>63.933533767117517</v>
      </c>
      <c r="BG66" s="68" t="s">
        <v>98</v>
      </c>
      <c r="BH66" s="68">
        <f t="shared" si="0"/>
        <v>8</v>
      </c>
    </row>
    <row r="67" spans="1:60" ht="15" x14ac:dyDescent="0.35">
      <c r="A67" s="81" t="s">
        <v>123</v>
      </c>
      <c r="B67" s="81" t="s">
        <v>169</v>
      </c>
      <c r="C67" s="89">
        <v>2021</v>
      </c>
      <c r="D67" s="82" t="s">
        <v>124</v>
      </c>
      <c r="E67" s="147">
        <v>4</v>
      </c>
      <c r="F67" s="152" t="s">
        <v>178</v>
      </c>
      <c r="G67" t="s">
        <v>210</v>
      </c>
      <c r="H67" s="83">
        <v>24110.710999999999</v>
      </c>
      <c r="I67" s="83">
        <v>86838.692999999999</v>
      </c>
      <c r="J67" s="83">
        <v>133145.973</v>
      </c>
      <c r="K67" s="83">
        <v>10889.958999999999</v>
      </c>
      <c r="L67" s="83">
        <v>397.72800000000001</v>
      </c>
      <c r="M67" s="83">
        <v>160089.75407200001</v>
      </c>
      <c r="N67" s="83">
        <v>60733.424072000002</v>
      </c>
      <c r="O67" s="83">
        <v>35445.463999999993</v>
      </c>
      <c r="P67" s="83">
        <v>19130.557999999994</v>
      </c>
      <c r="Q67" s="83">
        <v>0</v>
      </c>
      <c r="R67" s="83">
        <v>6325.8349999999919</v>
      </c>
      <c r="S67" s="83">
        <v>57574.599000000002</v>
      </c>
      <c r="T67" s="83">
        <v>0</v>
      </c>
      <c r="U67" s="83">
        <v>661217.96552553005</v>
      </c>
      <c r="V67" s="83">
        <v>63687.943693000001</v>
      </c>
      <c r="W67" s="85">
        <v>38.857004192895666</v>
      </c>
      <c r="X67" s="82">
        <v>70</v>
      </c>
      <c r="Y67" s="83">
        <v>8885.189531</v>
      </c>
      <c r="Z67" s="83">
        <v>10940.901218999999</v>
      </c>
      <c r="AA67" s="83">
        <v>110527.195011</v>
      </c>
      <c r="AB67" s="83">
        <v>90385.050529</v>
      </c>
      <c r="AC67" s="86">
        <f t="shared" si="1"/>
        <v>110949.40399999999</v>
      </c>
      <c r="AD67" s="86">
        <f t="shared" si="2"/>
        <v>133145.973</v>
      </c>
      <c r="AE67" s="86">
        <f t="shared" si="3"/>
        <v>63900.433999999994</v>
      </c>
      <c r="AF67" s="86">
        <f t="shared" si="4"/>
        <v>133145.973</v>
      </c>
      <c r="AG67" s="87">
        <v>83.329147326145574</v>
      </c>
      <c r="AH67" s="87">
        <v>16.670852673854426</v>
      </c>
      <c r="AI67" s="360">
        <v>37.937108732570906</v>
      </c>
      <c r="AJ67" s="360">
        <v>43.098869787831411</v>
      </c>
      <c r="AK67" s="360">
        <v>88.023442190779022</v>
      </c>
      <c r="AL67" s="87">
        <v>9.6319136825602438</v>
      </c>
      <c r="AM67" s="87">
        <v>90.368086317439762</v>
      </c>
      <c r="AN67" s="87">
        <v>53.971808635372909</v>
      </c>
      <c r="AO67" s="87">
        <v>70</v>
      </c>
      <c r="AP67" s="360">
        <v>47.992765053434994</v>
      </c>
      <c r="AQ67" s="87">
        <v>0</v>
      </c>
      <c r="AR67" s="360">
        <v>53.012476236414635</v>
      </c>
      <c r="AS67" s="360">
        <f t="shared" si="5"/>
        <v>42.409980989131711</v>
      </c>
      <c r="AT67" s="87">
        <v>31.142995807104327</v>
      </c>
      <c r="AU67" s="87">
        <v>16.238737718781703</v>
      </c>
      <c r="AV67" s="87">
        <v>100</v>
      </c>
      <c r="AW67" s="87">
        <v>123.13638533908275</v>
      </c>
      <c r="AX67" s="87">
        <v>70</v>
      </c>
      <c r="AY67" s="87">
        <v>81.776299959484717</v>
      </c>
      <c r="AZ67" s="87">
        <v>80</v>
      </c>
      <c r="BA67" s="87">
        <v>0</v>
      </c>
      <c r="BB67" s="87">
        <f t="shared" si="6"/>
        <v>83.333333333333329</v>
      </c>
      <c r="BC67" s="87">
        <f t="shared" si="7"/>
        <v>83.333333333333329</v>
      </c>
      <c r="BD67" s="87">
        <f t="shared" si="8"/>
        <v>16.666666666666668</v>
      </c>
      <c r="BE67" s="68">
        <f t="shared" si="9"/>
        <v>59.076647655798382</v>
      </c>
      <c r="BF67" s="68">
        <v>59.076647655798382</v>
      </c>
      <c r="BG67" s="68" t="s">
        <v>109</v>
      </c>
      <c r="BH67" s="68">
        <f t="shared" si="0"/>
        <v>12</v>
      </c>
    </row>
    <row r="68" spans="1:60" ht="15" x14ac:dyDescent="0.35">
      <c r="A68" s="81" t="s">
        <v>134</v>
      </c>
      <c r="B68" s="81" t="s">
        <v>170</v>
      </c>
      <c r="C68" s="89">
        <v>2021</v>
      </c>
      <c r="D68" s="82" t="s">
        <v>26</v>
      </c>
      <c r="E68" s="147">
        <v>4</v>
      </c>
      <c r="F68" s="152" t="s">
        <v>178</v>
      </c>
      <c r="G68" t="s">
        <v>210</v>
      </c>
      <c r="H68" s="83">
        <v>25553.024000000001</v>
      </c>
      <c r="I68" s="83">
        <v>82785.123999999996</v>
      </c>
      <c r="J68" s="83">
        <v>133068.20799999998</v>
      </c>
      <c r="K68" s="83">
        <v>11517.588</v>
      </c>
      <c r="L68" s="83">
        <v>264.56299999999999</v>
      </c>
      <c r="M68" s="83">
        <v>123019.601</v>
      </c>
      <c r="N68" s="83">
        <v>18589.568999999996</v>
      </c>
      <c r="O68" s="83">
        <v>37393.707000000002</v>
      </c>
      <c r="P68" s="83">
        <v>15817.618000000002</v>
      </c>
      <c r="Q68" s="83">
        <v>182.727</v>
      </c>
      <c r="R68" s="83">
        <v>-11527.482000000018</v>
      </c>
      <c r="S68" s="83">
        <v>32994.565999999999</v>
      </c>
      <c r="T68" s="83">
        <v>0</v>
      </c>
      <c r="U68" s="83">
        <v>669778.100293</v>
      </c>
      <c r="V68" s="83">
        <v>138404.87291400001</v>
      </c>
      <c r="W68" s="85">
        <v>38.146327061576649</v>
      </c>
      <c r="X68" s="82">
        <v>70</v>
      </c>
      <c r="Y68" s="83">
        <v>11790.4</v>
      </c>
      <c r="Z68" s="83">
        <v>9787.6997850000007</v>
      </c>
      <c r="AA68" s="83">
        <v>128272.993307</v>
      </c>
      <c r="AB68" s="83">
        <v>108084.081314</v>
      </c>
      <c r="AC68" s="86">
        <f t="shared" si="1"/>
        <v>108338.148</v>
      </c>
      <c r="AD68" s="86">
        <f t="shared" si="2"/>
        <v>133068.20799999998</v>
      </c>
      <c r="AE68" s="86">
        <f t="shared" si="3"/>
        <v>21649.81099999998</v>
      </c>
      <c r="AF68" s="86">
        <f t="shared" si="4"/>
        <v>133068.20799999998</v>
      </c>
      <c r="AG68" s="87">
        <v>81.41550083848729</v>
      </c>
      <c r="AH68" s="87">
        <v>18.58449916151271</v>
      </c>
      <c r="AI68" s="360">
        <v>15.111062667159844</v>
      </c>
      <c r="AJ68" s="360">
        <v>43.098869787831411</v>
      </c>
      <c r="AK68" s="360">
        <v>35.061389640956016</v>
      </c>
      <c r="AL68" s="87">
        <v>20.664287598154321</v>
      </c>
      <c r="AM68" s="87">
        <v>79.335712401845683</v>
      </c>
      <c r="AN68" s="87">
        <v>42.300213776612203</v>
      </c>
      <c r="AO68" s="87">
        <v>50</v>
      </c>
      <c r="AP68" s="360">
        <v>16.26970959133979</v>
      </c>
      <c r="AQ68" s="87">
        <v>40</v>
      </c>
      <c r="AR68" s="360">
        <v>44.59632024086288</v>
      </c>
      <c r="AS68" s="360">
        <f t="shared" si="5"/>
        <v>35.677056192690308</v>
      </c>
      <c r="AT68" s="87">
        <v>31.853672938423351</v>
      </c>
      <c r="AU68" s="87">
        <v>16.238737718781703</v>
      </c>
      <c r="AV68" s="87">
        <v>100</v>
      </c>
      <c r="AW68" s="87">
        <v>83.014145279210211</v>
      </c>
      <c r="AX68" s="87">
        <v>80</v>
      </c>
      <c r="AY68" s="87">
        <v>84.260980060953898</v>
      </c>
      <c r="AZ68" s="87">
        <v>80</v>
      </c>
      <c r="BA68" s="87">
        <v>0</v>
      </c>
      <c r="BB68" s="87">
        <f t="shared" si="6"/>
        <v>86.666666666666671</v>
      </c>
      <c r="BC68" s="87">
        <f t="shared" si="7"/>
        <v>86.666666666666671</v>
      </c>
      <c r="BD68" s="87">
        <f t="shared" si="8"/>
        <v>17.333333333333336</v>
      </c>
      <c r="BE68" s="68">
        <f t="shared" si="9"/>
        <v>53.010389526023644</v>
      </c>
      <c r="BF68" s="68">
        <v>53.010389526023644</v>
      </c>
      <c r="BG68" s="68" t="s">
        <v>109</v>
      </c>
      <c r="BH68" s="68">
        <f t="shared" si="0"/>
        <v>22</v>
      </c>
    </row>
    <row r="69" spans="1:60" ht="15" customHeight="1" x14ac:dyDescent="0.35">
      <c r="A69" s="82" t="s">
        <v>94</v>
      </c>
      <c r="B69" s="81" t="s">
        <v>140</v>
      </c>
      <c r="C69" s="82">
        <v>2022</v>
      </c>
      <c r="D69" s="82" t="s">
        <v>27</v>
      </c>
      <c r="E69" s="146">
        <v>1</v>
      </c>
      <c r="F69" s="152" t="s">
        <v>178</v>
      </c>
      <c r="G69" t="s">
        <v>207</v>
      </c>
      <c r="H69" s="83">
        <v>0</v>
      </c>
      <c r="I69" s="83">
        <v>436053.82109300001</v>
      </c>
      <c r="J69" s="83">
        <v>1569969.3571200001</v>
      </c>
      <c r="K69" s="83">
        <v>674382.50961499999</v>
      </c>
      <c r="L69" s="83">
        <v>281475.84954800003</v>
      </c>
      <c r="M69" s="83">
        <v>1587461.3580779999</v>
      </c>
      <c r="N69" s="83">
        <v>174765.79506099998</v>
      </c>
      <c r="O69" s="83">
        <v>956923.96782000002</v>
      </c>
      <c r="P69" s="83">
        <v>619105.97923100006</v>
      </c>
      <c r="Q69" s="83">
        <v>45443.775835</v>
      </c>
      <c r="R69" s="83">
        <v>-275774.40520599973</v>
      </c>
      <c r="S69" s="83">
        <v>171328.126903</v>
      </c>
      <c r="T69" s="83">
        <v>0</v>
      </c>
      <c r="U69" s="83">
        <v>4509474.4042680897</v>
      </c>
      <c r="V69" s="83">
        <v>2246925.24756794</v>
      </c>
      <c r="W69" s="85">
        <v>22.942732727074912</v>
      </c>
      <c r="X69" s="82">
        <v>55</v>
      </c>
      <c r="Y69" s="83">
        <v>787464.88290600001</v>
      </c>
      <c r="Z69" s="83">
        <v>852385.35538700002</v>
      </c>
      <c r="AA69" s="83">
        <v>1516215.9453499999</v>
      </c>
      <c r="AB69" s="83">
        <v>1066531.8900599999</v>
      </c>
      <c r="AC69" s="86">
        <f t="shared" ref="AC69:AC100" si="10">+H69+I69</f>
        <v>436053.82109300001</v>
      </c>
      <c r="AD69" s="86">
        <f t="shared" ref="AD69:AD100" si="11">+J69</f>
        <v>1569969.3571200001</v>
      </c>
      <c r="AE69" s="86">
        <f t="shared" ref="AE69:AE100" si="12">+R69+Q69+S69</f>
        <v>-59002.50246799973</v>
      </c>
      <c r="AF69" s="86">
        <f t="shared" ref="AF69:AF100" si="13">+J69+T69</f>
        <v>1569969.3571200001</v>
      </c>
      <c r="AG69" s="87">
        <v>27.77467083134097</v>
      </c>
      <c r="AH69" s="87">
        <v>72.22532916865903</v>
      </c>
      <c r="AI69" s="360">
        <v>11.009136957676603</v>
      </c>
      <c r="AJ69" s="360">
        <v>20.637702566567782</v>
      </c>
      <c r="AK69" s="360">
        <v>53.344779643791099</v>
      </c>
      <c r="AL69" s="87">
        <v>49.826765741064833</v>
      </c>
      <c r="AM69" s="87">
        <v>50.173234258935167</v>
      </c>
      <c r="AN69" s="87">
        <v>64.697509943387217</v>
      </c>
      <c r="AO69" s="87">
        <v>80</v>
      </c>
      <c r="AP69" s="360">
        <f t="shared" ref="AP69:AP100" si="14">+AE69/AF69*100</f>
        <v>-3.7581945278368827</v>
      </c>
      <c r="AQ69" s="87">
        <v>100</v>
      </c>
      <c r="AR69" s="360">
        <v>71.148668614277057</v>
      </c>
      <c r="AS69" s="360">
        <v>56.91893489142165</v>
      </c>
      <c r="AT69" s="87">
        <v>32.057267272925088</v>
      </c>
      <c r="AU69" s="87">
        <v>14.890698827065711</v>
      </c>
      <c r="AV69" s="87">
        <v>100</v>
      </c>
      <c r="AW69" s="87">
        <v>108.24423715777934</v>
      </c>
      <c r="AX69" s="87">
        <v>100</v>
      </c>
      <c r="AY69" s="87">
        <v>70.34168802477565</v>
      </c>
      <c r="AZ69" s="87">
        <v>70</v>
      </c>
      <c r="BA69" s="87">
        <v>0.18025792427137546</v>
      </c>
      <c r="BB69" s="87">
        <v>90</v>
      </c>
      <c r="BC69" s="87">
        <v>90.180257924271373</v>
      </c>
      <c r="BD69" s="87">
        <v>18.036051584854274</v>
      </c>
      <c r="BE69" s="68">
        <v>74.918934891421657</v>
      </c>
      <c r="BF69" s="68">
        <v>74.95498647627592</v>
      </c>
      <c r="BG69" s="68" t="s">
        <v>95</v>
      </c>
      <c r="BH69" s="68">
        <f t="shared" ref="BH69:BH132" si="15">COUNTIFS($C$5:$C$164,$C69,$BF$5:$BF$164,"&gt;"&amp;$BF69)+1</f>
        <v>1</v>
      </c>
    </row>
    <row r="70" spans="1:60" ht="14.4" customHeight="1" x14ac:dyDescent="0.35">
      <c r="A70" s="82" t="s">
        <v>96</v>
      </c>
      <c r="B70" s="81" t="s">
        <v>148</v>
      </c>
      <c r="C70" s="82">
        <v>2022</v>
      </c>
      <c r="D70" s="82" t="s">
        <v>10</v>
      </c>
      <c r="E70" s="146" t="s">
        <v>51</v>
      </c>
      <c r="F70" s="146" t="s">
        <v>178</v>
      </c>
      <c r="G70" t="s">
        <v>208</v>
      </c>
      <c r="H70" s="83">
        <v>0</v>
      </c>
      <c r="I70" s="83">
        <v>932557.15288399998</v>
      </c>
      <c r="J70" s="83">
        <v>3554823.9348729998</v>
      </c>
      <c r="K70" s="83">
        <v>1886324.9334750001</v>
      </c>
      <c r="L70" s="83">
        <v>412735.705029</v>
      </c>
      <c r="M70" s="83">
        <v>3333551.2341559995</v>
      </c>
      <c r="N70" s="83">
        <v>388088.14334499999</v>
      </c>
      <c r="O70" s="83">
        <v>2300641.8180999998</v>
      </c>
      <c r="P70" s="83">
        <v>1639205.5287129998</v>
      </c>
      <c r="Q70" s="83">
        <v>72263.593798999995</v>
      </c>
      <c r="R70" s="83">
        <v>-241175.02810899913</v>
      </c>
      <c r="S70" s="83">
        <v>535719.33379099995</v>
      </c>
      <c r="T70" s="83">
        <v>0</v>
      </c>
      <c r="U70" s="83">
        <v>8767231.2337890007</v>
      </c>
      <c r="V70" s="83">
        <v>7103861.2916949997</v>
      </c>
      <c r="W70" s="85">
        <v>37.607161452806075</v>
      </c>
      <c r="X70" s="82">
        <v>50</v>
      </c>
      <c r="Y70" s="83">
        <v>1473252.7549999999</v>
      </c>
      <c r="Z70" s="83">
        <v>1987670.1935650001</v>
      </c>
      <c r="AA70" s="83">
        <v>3134562.6735950001</v>
      </c>
      <c r="AB70" s="83">
        <v>2847453.544646</v>
      </c>
      <c r="AC70" s="86">
        <f t="shared" si="10"/>
        <v>932557.15288399998</v>
      </c>
      <c r="AD70" s="86">
        <f t="shared" si="11"/>
        <v>3554823.9348729998</v>
      </c>
      <c r="AE70" s="86">
        <f t="shared" si="12"/>
        <v>366807.89948100084</v>
      </c>
      <c r="AF70" s="86">
        <f t="shared" si="13"/>
        <v>3554823.9348729998</v>
      </c>
      <c r="AG70" s="87">
        <v>26.233567961990126</v>
      </c>
      <c r="AH70" s="87">
        <v>73.766432038009867</v>
      </c>
      <c r="AI70" s="360">
        <v>11.641883267567584</v>
      </c>
      <c r="AJ70" s="360">
        <v>11.641883267567584</v>
      </c>
      <c r="AK70" s="360">
        <v>100</v>
      </c>
      <c r="AL70" s="87">
        <v>81.027420199853339</v>
      </c>
      <c r="AM70" s="87">
        <v>18.972579800146661</v>
      </c>
      <c r="AN70" s="87">
        <v>71.249923209113376</v>
      </c>
      <c r="AO70" s="87">
        <v>100</v>
      </c>
      <c r="AP70" s="360">
        <f t="shared" si="14"/>
        <v>10.318595412914746</v>
      </c>
      <c r="AQ70" s="87">
        <v>60</v>
      </c>
      <c r="AR70" s="360">
        <v>70.547802367631306</v>
      </c>
      <c r="AS70" s="360">
        <v>56.438241894105047</v>
      </c>
      <c r="AT70" s="87">
        <v>12.392838547193925</v>
      </c>
      <c r="AU70" s="87">
        <v>17.297460846326022</v>
      </c>
      <c r="AV70" s="87">
        <v>71.645420430745844</v>
      </c>
      <c r="AW70" s="87">
        <v>134.9171204207251</v>
      </c>
      <c r="AX70" s="87">
        <v>60</v>
      </c>
      <c r="AY70" s="87">
        <v>90.840536341239684</v>
      </c>
      <c r="AZ70" s="87">
        <v>100</v>
      </c>
      <c r="BA70" s="87">
        <v>0.28025665257616239</v>
      </c>
      <c r="BB70" s="87">
        <v>77.215140143581948</v>
      </c>
      <c r="BC70" s="87">
        <v>77.495396796158104</v>
      </c>
      <c r="BD70" s="87">
        <v>15.499079359231622</v>
      </c>
      <c r="BE70" s="68">
        <v>71.881269922821446</v>
      </c>
      <c r="BF70" s="68">
        <v>71.937321253336677</v>
      </c>
      <c r="BG70" s="68" t="s">
        <v>95</v>
      </c>
      <c r="BH70" s="68">
        <f t="shared" si="15"/>
        <v>2</v>
      </c>
    </row>
    <row r="71" spans="1:60" ht="14.4" customHeight="1" x14ac:dyDescent="0.35">
      <c r="A71" s="82" t="s">
        <v>97</v>
      </c>
      <c r="B71" s="81" t="s">
        <v>159</v>
      </c>
      <c r="C71" s="82">
        <v>2022</v>
      </c>
      <c r="D71" s="82" t="s">
        <v>18</v>
      </c>
      <c r="E71" s="126">
        <v>3</v>
      </c>
      <c r="F71" s="152" t="s">
        <v>178</v>
      </c>
      <c r="G71" t="s">
        <v>207</v>
      </c>
      <c r="H71" s="83">
        <v>0</v>
      </c>
      <c r="I71" s="83">
        <v>578699.46367799991</v>
      </c>
      <c r="J71" s="83">
        <v>836404.30041499983</v>
      </c>
      <c r="K71" s="83">
        <v>179740.51947500001</v>
      </c>
      <c r="L71" s="83">
        <v>22124.968696</v>
      </c>
      <c r="M71" s="83">
        <v>852754.52582199802</v>
      </c>
      <c r="N71" s="83">
        <v>90245.483850999008</v>
      </c>
      <c r="O71" s="83">
        <v>202983.26746999999</v>
      </c>
      <c r="P71" s="83">
        <v>121778.08097700099</v>
      </c>
      <c r="Q71" s="83">
        <v>989.45435099999997</v>
      </c>
      <c r="R71" s="83">
        <v>-64426.588871997199</v>
      </c>
      <c r="S71" s="83">
        <v>137942.13736399999</v>
      </c>
      <c r="T71" s="83">
        <v>0</v>
      </c>
      <c r="U71" s="83">
        <v>1687581.5856451401</v>
      </c>
      <c r="V71" s="83">
        <v>530734.74416770006</v>
      </c>
      <c r="W71" s="85">
        <v>67.202289898686956</v>
      </c>
      <c r="X71" s="82">
        <v>70</v>
      </c>
      <c r="Y71" s="83">
        <v>147710.40189000001</v>
      </c>
      <c r="Z71" s="83">
        <v>198297.62028999999</v>
      </c>
      <c r="AA71" s="83">
        <v>819625.70279400004</v>
      </c>
      <c r="AB71" s="83">
        <v>723977.27041300002</v>
      </c>
      <c r="AC71" s="86">
        <f t="shared" si="10"/>
        <v>578699.46367799991</v>
      </c>
      <c r="AD71" s="86">
        <f t="shared" si="11"/>
        <v>836404.30041499983</v>
      </c>
      <c r="AE71" s="86">
        <f t="shared" si="12"/>
        <v>74505.002843002789</v>
      </c>
      <c r="AF71" s="86">
        <f t="shared" si="13"/>
        <v>836404.30041499983</v>
      </c>
      <c r="AG71" s="87">
        <v>69.188963207251064</v>
      </c>
      <c r="AH71" s="87">
        <v>30.811036792748936</v>
      </c>
      <c r="AI71" s="360">
        <v>10.582820860904658</v>
      </c>
      <c r="AJ71" s="360">
        <v>10.582820860904658</v>
      </c>
      <c r="AK71" s="360">
        <v>100</v>
      </c>
      <c r="AL71" s="87">
        <v>31.44942731552781</v>
      </c>
      <c r="AM71" s="87">
        <v>68.550572684472186</v>
      </c>
      <c r="AN71" s="87">
        <v>59.994147544698109</v>
      </c>
      <c r="AO71" s="87">
        <v>80</v>
      </c>
      <c r="AP71" s="360">
        <f t="shared" si="14"/>
        <v>8.9077737651558628</v>
      </c>
      <c r="AQ71" s="87">
        <v>80</v>
      </c>
      <c r="AR71" s="360">
        <v>71.87232189544423</v>
      </c>
      <c r="AS71" s="360">
        <v>57.497857516355388</v>
      </c>
      <c r="AT71" s="87">
        <v>2.7977101013130437</v>
      </c>
      <c r="AU71" s="87">
        <v>14.279616044593576</v>
      </c>
      <c r="AV71" s="87">
        <v>19.592334223666246</v>
      </c>
      <c r="AW71" s="87">
        <v>134.24756669315158</v>
      </c>
      <c r="AX71" s="87">
        <v>60</v>
      </c>
      <c r="AY71" s="87">
        <v>88.330230243518884</v>
      </c>
      <c r="AZ71" s="87">
        <v>80</v>
      </c>
      <c r="BA71" s="87">
        <v>0.34320824518242921</v>
      </c>
      <c r="BB71" s="87">
        <v>53.197444741222078</v>
      </c>
      <c r="BC71" s="87">
        <v>53.54065298640451</v>
      </c>
      <c r="BD71" s="87">
        <v>10.708130597280903</v>
      </c>
      <c r="BE71" s="68">
        <v>68.137346464599801</v>
      </c>
      <c r="BF71" s="68">
        <v>68.205988113636295</v>
      </c>
      <c r="BG71" s="68" t="s">
        <v>98</v>
      </c>
      <c r="BH71" s="68">
        <f t="shared" si="15"/>
        <v>3</v>
      </c>
    </row>
    <row r="72" spans="1:60" ht="14.4" customHeight="1" x14ac:dyDescent="0.35">
      <c r="A72" s="82" t="s">
        <v>99</v>
      </c>
      <c r="B72" s="81" t="s">
        <v>153</v>
      </c>
      <c r="C72" s="82">
        <v>2022</v>
      </c>
      <c r="D72" s="82" t="s">
        <v>13</v>
      </c>
      <c r="E72" s="146">
        <v>1</v>
      </c>
      <c r="F72" s="152" t="s">
        <v>178</v>
      </c>
      <c r="G72" t="s">
        <v>210</v>
      </c>
      <c r="H72" s="83">
        <v>0</v>
      </c>
      <c r="I72" s="83">
        <v>334261.29108099994</v>
      </c>
      <c r="J72" s="83">
        <v>887838.80665799999</v>
      </c>
      <c r="K72" s="83">
        <v>343144.55385000003</v>
      </c>
      <c r="L72" s="83">
        <v>74181.047659999997</v>
      </c>
      <c r="M72" s="83">
        <v>1311318.878393</v>
      </c>
      <c r="N72" s="83">
        <v>270626.08982200001</v>
      </c>
      <c r="O72" s="83">
        <v>423718.60675600002</v>
      </c>
      <c r="P72" s="83">
        <v>215778.92516700001</v>
      </c>
      <c r="Q72" s="83">
        <v>11816.891799999999</v>
      </c>
      <c r="R72" s="83">
        <v>48355.966997999814</v>
      </c>
      <c r="S72" s="83">
        <v>159898.13665299999</v>
      </c>
      <c r="T72" s="83">
        <v>0</v>
      </c>
      <c r="U72" s="83">
        <v>8494587.3280650005</v>
      </c>
      <c r="V72" s="83">
        <v>1496413.0753279999</v>
      </c>
      <c r="W72" s="85">
        <v>49.238283033106924</v>
      </c>
      <c r="X72" s="82">
        <v>55</v>
      </c>
      <c r="Y72" s="83">
        <v>365070.73131800001</v>
      </c>
      <c r="Z72" s="83">
        <v>373735.98364400002</v>
      </c>
      <c r="AA72" s="83">
        <v>631543.15807100001</v>
      </c>
      <c r="AB72" s="83">
        <v>559950.97079499997</v>
      </c>
      <c r="AC72" s="86">
        <f t="shared" si="10"/>
        <v>334261.29108099994</v>
      </c>
      <c r="AD72" s="86">
        <f t="shared" si="11"/>
        <v>887838.80665799999</v>
      </c>
      <c r="AE72" s="86">
        <f t="shared" si="12"/>
        <v>220070.99545099982</v>
      </c>
      <c r="AF72" s="86">
        <f t="shared" si="13"/>
        <v>887838.80665799999</v>
      </c>
      <c r="AG72" s="87">
        <v>37.648871458911017</v>
      </c>
      <c r="AH72" s="87">
        <v>62.351128541088983</v>
      </c>
      <c r="AI72" s="360">
        <v>20.637702566567782</v>
      </c>
      <c r="AJ72" s="360">
        <v>20.637702566567782</v>
      </c>
      <c r="AK72" s="360">
        <v>100</v>
      </c>
      <c r="AL72" s="87">
        <v>17.616077362393433</v>
      </c>
      <c r="AM72" s="87">
        <v>82.38392263760656</v>
      </c>
      <c r="AN72" s="87">
        <v>50.925053024932922</v>
      </c>
      <c r="AO72" s="87">
        <v>70</v>
      </c>
      <c r="AP72" s="360">
        <f t="shared" si="14"/>
        <v>24.787269243094968</v>
      </c>
      <c r="AQ72" s="87">
        <v>20</v>
      </c>
      <c r="AR72" s="360">
        <v>66.947010235739114</v>
      </c>
      <c r="AS72" s="360">
        <v>53.557608188591296</v>
      </c>
      <c r="AT72" s="87">
        <v>5.7617169668930757</v>
      </c>
      <c r="AU72" s="87">
        <v>14.890698827065711</v>
      </c>
      <c r="AV72" s="87">
        <v>38.693395345693467</v>
      </c>
      <c r="AW72" s="87">
        <v>102.3735817699535</v>
      </c>
      <c r="AX72" s="87">
        <v>100</v>
      </c>
      <c r="AY72" s="87">
        <v>88.663927973715545</v>
      </c>
      <c r="AZ72" s="87">
        <v>80</v>
      </c>
      <c r="BA72" s="87">
        <v>0.20905962564121183</v>
      </c>
      <c r="BB72" s="87">
        <v>72.897798448564487</v>
      </c>
      <c r="BC72" s="87">
        <v>73.106858074205704</v>
      </c>
      <c r="BD72" s="87">
        <v>14.621371614841141</v>
      </c>
      <c r="BE72" s="68">
        <v>68.137167878304197</v>
      </c>
      <c r="BF72" s="68">
        <v>68.178979803432441</v>
      </c>
      <c r="BG72" s="68" t="s">
        <v>98</v>
      </c>
      <c r="BH72" s="68">
        <f t="shared" si="15"/>
        <v>4</v>
      </c>
    </row>
    <row r="73" spans="1:60" ht="14.4" customHeight="1" x14ac:dyDescent="0.35">
      <c r="A73" s="82" t="s">
        <v>100</v>
      </c>
      <c r="B73" s="81" t="s">
        <v>150</v>
      </c>
      <c r="C73" s="82">
        <v>2022</v>
      </c>
      <c r="D73" s="82" t="s">
        <v>11</v>
      </c>
      <c r="E73" s="126">
        <v>3</v>
      </c>
      <c r="F73" s="152" t="s">
        <v>178</v>
      </c>
      <c r="G73" t="s">
        <v>214</v>
      </c>
      <c r="H73" s="83">
        <v>0</v>
      </c>
      <c r="I73" s="83">
        <v>507781.275456</v>
      </c>
      <c r="J73" s="83">
        <v>976823.20924400003</v>
      </c>
      <c r="K73" s="83">
        <v>238032.43295400002</v>
      </c>
      <c r="L73" s="83">
        <v>88097.546258000002</v>
      </c>
      <c r="M73" s="83">
        <v>1233499.3546889999</v>
      </c>
      <c r="N73" s="83">
        <v>116305.50101200001</v>
      </c>
      <c r="O73" s="83">
        <v>327937.27965100005</v>
      </c>
      <c r="P73" s="83">
        <v>200718.07497700004</v>
      </c>
      <c r="Q73" s="83">
        <v>4205.7967879999997</v>
      </c>
      <c r="R73" s="83">
        <v>-78714.245823999867</v>
      </c>
      <c r="S73" s="83">
        <v>195074.210273</v>
      </c>
      <c r="T73" s="83">
        <v>0</v>
      </c>
      <c r="U73" s="83">
        <v>2757635.8548494903</v>
      </c>
      <c r="V73" s="83">
        <v>1751644.9545177601</v>
      </c>
      <c r="W73" s="85">
        <v>34.088093512006296</v>
      </c>
      <c r="X73" s="82">
        <v>70</v>
      </c>
      <c r="Y73" s="83">
        <v>183859.87119400001</v>
      </c>
      <c r="Z73" s="83">
        <v>249688.620494</v>
      </c>
      <c r="AA73" s="83">
        <v>928318.25039399997</v>
      </c>
      <c r="AB73" s="83">
        <v>812275.49421399995</v>
      </c>
      <c r="AC73" s="86">
        <f t="shared" si="10"/>
        <v>507781.275456</v>
      </c>
      <c r="AD73" s="86">
        <f t="shared" si="11"/>
        <v>976823.20924400003</v>
      </c>
      <c r="AE73" s="86">
        <f t="shared" si="12"/>
        <v>120565.76123700014</v>
      </c>
      <c r="AF73" s="86">
        <f t="shared" si="13"/>
        <v>976823.20924400003</v>
      </c>
      <c r="AG73" s="87">
        <v>51.982924919340405</v>
      </c>
      <c r="AH73" s="87">
        <v>48.017075080659595</v>
      </c>
      <c r="AI73" s="360">
        <v>9.428906514614587</v>
      </c>
      <c r="AJ73" s="360">
        <v>10.582820860904658</v>
      </c>
      <c r="AK73" s="360">
        <v>89.09634433525288</v>
      </c>
      <c r="AL73" s="87">
        <v>63.519806338366728</v>
      </c>
      <c r="AM73" s="87">
        <v>36.480193661633272</v>
      </c>
      <c r="AN73" s="87">
        <v>61.206238946242955</v>
      </c>
      <c r="AO73" s="87">
        <v>80</v>
      </c>
      <c r="AP73" s="360">
        <f t="shared" si="14"/>
        <v>12.342638882455557</v>
      </c>
      <c r="AQ73" s="87">
        <v>60</v>
      </c>
      <c r="AR73" s="360">
        <v>62.718722615509151</v>
      </c>
      <c r="AS73" s="360">
        <v>50.174978092407322</v>
      </c>
      <c r="AT73" s="87">
        <v>35.911906487993704</v>
      </c>
      <c r="AU73" s="87">
        <v>14.279616044593576</v>
      </c>
      <c r="AV73" s="87">
        <v>100</v>
      </c>
      <c r="AW73" s="87">
        <v>135.80376124083145</v>
      </c>
      <c r="AX73" s="87">
        <v>60</v>
      </c>
      <c r="AY73" s="87">
        <v>87.49967954085264</v>
      </c>
      <c r="AZ73" s="87">
        <v>80</v>
      </c>
      <c r="BA73" s="87">
        <v>0.29508324625827953</v>
      </c>
      <c r="BB73" s="87">
        <v>80</v>
      </c>
      <c r="BC73" s="87">
        <v>80.295083246258287</v>
      </c>
      <c r="BD73" s="87">
        <v>16.059016649251657</v>
      </c>
      <c r="BE73" s="68">
        <v>66.174978092407315</v>
      </c>
      <c r="BF73" s="68">
        <v>66.233994741658975</v>
      </c>
      <c r="BG73" s="68" t="s">
        <v>98</v>
      </c>
      <c r="BH73" s="68">
        <f t="shared" si="15"/>
        <v>5</v>
      </c>
    </row>
    <row r="74" spans="1:60" ht="14.4" customHeight="1" x14ac:dyDescent="0.35">
      <c r="A74" s="82" t="s">
        <v>101</v>
      </c>
      <c r="B74" s="81" t="s">
        <v>168</v>
      </c>
      <c r="C74" s="82">
        <v>2022</v>
      </c>
      <c r="D74" s="82" t="s">
        <v>25</v>
      </c>
      <c r="E74" s="147">
        <v>4</v>
      </c>
      <c r="F74" s="152" t="s">
        <v>178</v>
      </c>
      <c r="G74" t="s">
        <v>210</v>
      </c>
      <c r="H74" s="83">
        <v>23778.164551999998</v>
      </c>
      <c r="I74" s="83">
        <v>103654.92590699998</v>
      </c>
      <c r="J74" s="83">
        <v>194500.26311499998</v>
      </c>
      <c r="K74" s="83">
        <v>35465.942702999993</v>
      </c>
      <c r="L74" s="83">
        <v>11120.251118</v>
      </c>
      <c r="M74" s="83">
        <v>165641.42309099899</v>
      </c>
      <c r="N74" s="83">
        <v>31883.586985999002</v>
      </c>
      <c r="O74" s="83">
        <v>70825.566270999989</v>
      </c>
      <c r="P74" s="83">
        <v>35187.807159999989</v>
      </c>
      <c r="Q74" s="83">
        <v>525.85563400000001</v>
      </c>
      <c r="R74" s="83">
        <v>-6778.919086998998</v>
      </c>
      <c r="S74" s="83">
        <v>30096.76583</v>
      </c>
      <c r="T74" s="83">
        <v>0</v>
      </c>
      <c r="U74" s="83">
        <v>901488.60103200004</v>
      </c>
      <c r="V74" s="83">
        <v>178039.29000199999</v>
      </c>
      <c r="W74" s="85">
        <v>60.639893279458732</v>
      </c>
      <c r="X74" s="82">
        <v>70</v>
      </c>
      <c r="Y74" s="83">
        <v>22970.051909000002</v>
      </c>
      <c r="Z74" s="83">
        <v>45353.246717000002</v>
      </c>
      <c r="AA74" s="83">
        <v>160396.72309099999</v>
      </c>
      <c r="AB74" s="83">
        <v>138308.607128</v>
      </c>
      <c r="AC74" s="86">
        <f t="shared" si="10"/>
        <v>127433.09045899998</v>
      </c>
      <c r="AD74" s="86">
        <f t="shared" si="11"/>
        <v>194500.26311499998</v>
      </c>
      <c r="AE74" s="86">
        <f t="shared" si="12"/>
        <v>23843.702377001002</v>
      </c>
      <c r="AF74" s="86">
        <f t="shared" si="13"/>
        <v>194500.26311499998</v>
      </c>
      <c r="AG74" s="87">
        <v>65.518209805019168</v>
      </c>
      <c r="AH74" s="87">
        <v>34.481790194980832</v>
      </c>
      <c r="AI74" s="360">
        <v>19.248558960087543</v>
      </c>
      <c r="AJ74" s="360">
        <v>19.248558960087543</v>
      </c>
      <c r="AK74" s="360">
        <v>100</v>
      </c>
      <c r="AL74" s="87">
        <v>19.749477674835308</v>
      </c>
      <c r="AM74" s="87">
        <v>80.250522325164695</v>
      </c>
      <c r="AN74" s="87">
        <v>49.682352027177338</v>
      </c>
      <c r="AO74" s="87">
        <v>70</v>
      </c>
      <c r="AP74" s="360">
        <f t="shared" si="14"/>
        <v>12.258956360847288</v>
      </c>
      <c r="AQ74" s="87">
        <v>60</v>
      </c>
      <c r="AR74" s="360">
        <v>68.9464625040291</v>
      </c>
      <c r="AS74" s="360">
        <v>55.157170003223285</v>
      </c>
      <c r="AT74" s="87">
        <v>9.3601067205412676</v>
      </c>
      <c r="AU74" s="87">
        <v>12.383671405907876</v>
      </c>
      <c r="AV74" s="87">
        <v>75.584262645049222</v>
      </c>
      <c r="AW74" s="87">
        <v>197.44512070183845</v>
      </c>
      <c r="AX74" s="87">
        <v>0</v>
      </c>
      <c r="AY74" s="87">
        <v>86.229072803146707</v>
      </c>
      <c r="AZ74" s="87">
        <v>80</v>
      </c>
      <c r="BA74" s="87">
        <v>0</v>
      </c>
      <c r="BB74" s="87">
        <v>51.861420881683074</v>
      </c>
      <c r="BC74" s="87">
        <v>51.861420881683074</v>
      </c>
      <c r="BD74" s="87">
        <v>10.372284176336615</v>
      </c>
      <c r="BE74" s="68">
        <v>65.529454179559906</v>
      </c>
      <c r="BF74" s="68">
        <v>65.529454179559906</v>
      </c>
      <c r="BG74" s="68" t="s">
        <v>98</v>
      </c>
      <c r="BH74" s="68">
        <f t="shared" si="15"/>
        <v>6</v>
      </c>
    </row>
    <row r="75" spans="1:60" ht="15" x14ac:dyDescent="0.35">
      <c r="A75" s="82" t="s">
        <v>102</v>
      </c>
      <c r="B75" s="81" t="s">
        <v>139</v>
      </c>
      <c r="C75" s="82">
        <v>2022</v>
      </c>
      <c r="D75" s="82" t="s">
        <v>2</v>
      </c>
      <c r="E75" s="146" t="s">
        <v>51</v>
      </c>
      <c r="F75" s="146" t="s">
        <v>178</v>
      </c>
      <c r="G75" t="s">
        <v>211</v>
      </c>
      <c r="H75" s="83">
        <v>0</v>
      </c>
      <c r="I75" s="83">
        <v>1548440.09916</v>
      </c>
      <c r="J75" s="83">
        <v>5044817.4379440006</v>
      </c>
      <c r="K75" s="83">
        <v>1748023.1876289998</v>
      </c>
      <c r="L75" s="83">
        <v>1073334.1986080001</v>
      </c>
      <c r="M75" s="83">
        <v>4336505.9294499997</v>
      </c>
      <c r="N75" s="83">
        <v>338868.67157100001</v>
      </c>
      <c r="O75" s="83">
        <v>2830271.5466410001</v>
      </c>
      <c r="P75" s="83">
        <v>1932154.2197449999</v>
      </c>
      <c r="Q75" s="83">
        <v>145779.73674800002</v>
      </c>
      <c r="R75" s="83">
        <v>85443.807489001192</v>
      </c>
      <c r="S75" s="83">
        <v>751371.76904399996</v>
      </c>
      <c r="T75" s="83">
        <v>0</v>
      </c>
      <c r="U75" s="83">
        <v>13310231.460189</v>
      </c>
      <c r="V75" s="83">
        <v>11006822.922897</v>
      </c>
      <c r="W75" s="85">
        <v>20.080040978787288</v>
      </c>
      <c r="X75" s="82">
        <v>50</v>
      </c>
      <c r="Y75" s="83">
        <v>1578074.8615590001</v>
      </c>
      <c r="Z75" s="83">
        <v>1902217.9787039999</v>
      </c>
      <c r="AA75" s="83">
        <v>4061256.3035590001</v>
      </c>
      <c r="AB75" s="83">
        <v>3623869.2646300001</v>
      </c>
      <c r="AC75" s="86">
        <f t="shared" si="10"/>
        <v>1548440.09916</v>
      </c>
      <c r="AD75" s="86">
        <f t="shared" si="11"/>
        <v>5044817.4379440006</v>
      </c>
      <c r="AE75" s="86">
        <f t="shared" si="12"/>
        <v>982595.31328100117</v>
      </c>
      <c r="AF75" s="86">
        <f t="shared" si="13"/>
        <v>5044817.4379440006</v>
      </c>
      <c r="AG75" s="87">
        <v>30.693679567343512</v>
      </c>
      <c r="AH75" s="87">
        <v>69.306320432656491</v>
      </c>
      <c r="AI75" s="360">
        <v>7.8143251060647998</v>
      </c>
      <c r="AJ75" s="360">
        <v>11.641883267567584</v>
      </c>
      <c r="AK75" s="360">
        <v>67.122517263459031</v>
      </c>
      <c r="AL75" s="87">
        <v>82.694451676655575</v>
      </c>
      <c r="AM75" s="87">
        <v>17.305548323344425</v>
      </c>
      <c r="AN75" s="87">
        <v>68.267450239469198</v>
      </c>
      <c r="AO75" s="87">
        <v>100</v>
      </c>
      <c r="AP75" s="360">
        <f t="shared" si="14"/>
        <v>19.477321535771068</v>
      </c>
      <c r="AQ75" s="87">
        <v>40</v>
      </c>
      <c r="AR75" s="360">
        <v>58.746877203891998</v>
      </c>
      <c r="AS75" s="360">
        <v>46.997501763113604</v>
      </c>
      <c r="AT75" s="87">
        <v>29.919959021212712</v>
      </c>
      <c r="AU75" s="87">
        <v>17.297460846326022</v>
      </c>
      <c r="AV75" s="87">
        <v>100</v>
      </c>
      <c r="AW75" s="87">
        <v>120.54041446581151</v>
      </c>
      <c r="AX75" s="87">
        <v>70</v>
      </c>
      <c r="AY75" s="87">
        <v>89.230252753422505</v>
      </c>
      <c r="AZ75" s="87">
        <v>80</v>
      </c>
      <c r="BA75" s="87">
        <v>0.21218080264158748</v>
      </c>
      <c r="BB75" s="87">
        <v>83.333333333333329</v>
      </c>
      <c r="BC75" s="87">
        <v>83.545514135974912</v>
      </c>
      <c r="BD75" s="87">
        <v>16.709102827194982</v>
      </c>
      <c r="BE75" s="68">
        <v>63.664168429780275</v>
      </c>
      <c r="BF75" s="68">
        <v>63.706604590308586</v>
      </c>
      <c r="BG75" s="68" t="s">
        <v>98</v>
      </c>
      <c r="BH75" s="68">
        <f t="shared" si="15"/>
        <v>7</v>
      </c>
    </row>
    <row r="76" spans="1:60" ht="14.4" customHeight="1" x14ac:dyDescent="0.35">
      <c r="A76" s="82" t="s">
        <v>103</v>
      </c>
      <c r="B76" s="81" t="s">
        <v>161</v>
      </c>
      <c r="C76" s="82">
        <v>2022</v>
      </c>
      <c r="D76" s="82" t="s">
        <v>20</v>
      </c>
      <c r="E76" s="146" t="s">
        <v>51</v>
      </c>
      <c r="F76" s="146" t="s">
        <v>178</v>
      </c>
      <c r="G76" t="s">
        <v>215</v>
      </c>
      <c r="H76" s="83">
        <v>0</v>
      </c>
      <c r="I76" s="83">
        <v>607911.49011899997</v>
      </c>
      <c r="J76" s="83">
        <v>2528949.9947520001</v>
      </c>
      <c r="K76" s="83">
        <v>1120858.497376</v>
      </c>
      <c r="L76" s="83">
        <v>484888.11108800001</v>
      </c>
      <c r="M76" s="83">
        <v>2229780.7643549996</v>
      </c>
      <c r="N76" s="83">
        <v>129486.148631</v>
      </c>
      <c r="O76" s="83">
        <v>1612146.048838</v>
      </c>
      <c r="P76" s="83">
        <v>1094887.861699</v>
      </c>
      <c r="Q76" s="83">
        <v>37948.436702999999</v>
      </c>
      <c r="R76" s="83">
        <v>-150809.02241099952</v>
      </c>
      <c r="S76" s="83">
        <v>568427.16128799994</v>
      </c>
      <c r="T76" s="83">
        <v>0</v>
      </c>
      <c r="U76" s="83">
        <v>6785306.6824190002</v>
      </c>
      <c r="V76" s="83">
        <v>4568818.632797</v>
      </c>
      <c r="W76" s="85">
        <v>40.420415029428575</v>
      </c>
      <c r="X76" s="82">
        <v>50</v>
      </c>
      <c r="Y76" s="83">
        <v>1069439.5</v>
      </c>
      <c r="Z76" s="83">
        <v>1226817.013057</v>
      </c>
      <c r="AA76" s="83">
        <v>2162500.8300239998</v>
      </c>
      <c r="AB76" s="83">
        <v>2030272.4232399999</v>
      </c>
      <c r="AC76" s="86">
        <f t="shared" si="10"/>
        <v>607911.49011899997</v>
      </c>
      <c r="AD76" s="86">
        <f t="shared" si="11"/>
        <v>2528949.9947520001</v>
      </c>
      <c r="AE76" s="86">
        <f t="shared" si="12"/>
        <v>455566.57558000041</v>
      </c>
      <c r="AF76" s="86">
        <f t="shared" si="13"/>
        <v>2528949.9947520001</v>
      </c>
      <c r="AG76" s="87">
        <v>24.038098474881643</v>
      </c>
      <c r="AH76" s="87">
        <v>75.96190152511835</v>
      </c>
      <c r="AI76" s="360">
        <v>5.8071246600091637</v>
      </c>
      <c r="AJ76" s="360">
        <v>11.641883267567584</v>
      </c>
      <c r="AK76" s="360">
        <v>49.881316678263559</v>
      </c>
      <c r="AL76" s="87">
        <v>67.334003408202477</v>
      </c>
      <c r="AM76" s="87">
        <v>32.665996591797523</v>
      </c>
      <c r="AN76" s="87">
        <v>67.914930070273201</v>
      </c>
      <c r="AO76" s="87">
        <v>100</v>
      </c>
      <c r="AP76" s="360">
        <f t="shared" si="14"/>
        <v>18.0140602433966</v>
      </c>
      <c r="AQ76" s="87">
        <v>40</v>
      </c>
      <c r="AR76" s="360">
        <v>59.701842959035886</v>
      </c>
      <c r="AS76" s="360">
        <v>47.761474367228715</v>
      </c>
      <c r="AT76" s="87">
        <v>9.5795849705714247</v>
      </c>
      <c r="AU76" s="87">
        <v>17.297460846326022</v>
      </c>
      <c r="AV76" s="87">
        <v>55.381451969617423</v>
      </c>
      <c r="AW76" s="87">
        <v>114.71588743982245</v>
      </c>
      <c r="AX76" s="87">
        <v>80</v>
      </c>
      <c r="AY76" s="87">
        <v>93.88539394074904</v>
      </c>
      <c r="AZ76" s="87">
        <v>100</v>
      </c>
      <c r="BA76" s="87">
        <v>0.11823785017751598</v>
      </c>
      <c r="BB76" s="87">
        <v>78.460483989872472</v>
      </c>
      <c r="BC76" s="87">
        <v>78.578721840049994</v>
      </c>
      <c r="BD76" s="87">
        <v>15.71574436801</v>
      </c>
      <c r="BE76" s="68">
        <v>63.453571165203208</v>
      </c>
      <c r="BF76" s="68">
        <v>63.477218735238715</v>
      </c>
      <c r="BG76" s="68" t="s">
        <v>98</v>
      </c>
      <c r="BH76" s="68">
        <f t="shared" si="15"/>
        <v>8</v>
      </c>
    </row>
    <row r="77" spans="1:60" ht="14.4" customHeight="1" x14ac:dyDescent="0.35">
      <c r="A77" s="82" t="s">
        <v>104</v>
      </c>
      <c r="B77" s="81" t="s">
        <v>146</v>
      </c>
      <c r="C77" s="82">
        <v>2022</v>
      </c>
      <c r="D77" s="82" t="s">
        <v>9</v>
      </c>
      <c r="E77" s="147">
        <v>2</v>
      </c>
      <c r="F77" s="152" t="s">
        <v>178</v>
      </c>
      <c r="G77" t="s">
        <v>207</v>
      </c>
      <c r="H77" s="83">
        <v>0</v>
      </c>
      <c r="I77" s="83">
        <v>519202.52956399997</v>
      </c>
      <c r="J77" s="83">
        <v>946737.18176499999</v>
      </c>
      <c r="K77" s="83">
        <v>170013.47431299998</v>
      </c>
      <c r="L77" s="83">
        <v>70819.290700000012</v>
      </c>
      <c r="M77" s="83">
        <v>1751244.4582660003</v>
      </c>
      <c r="N77" s="83">
        <v>996764.08921400004</v>
      </c>
      <c r="O77" s="83">
        <v>241917.769034</v>
      </c>
      <c r="P77" s="83">
        <v>143783.93098499998</v>
      </c>
      <c r="Q77" s="83">
        <v>3796.4052120000001</v>
      </c>
      <c r="R77" s="83">
        <v>-408934.31969799998</v>
      </c>
      <c r="S77" s="83">
        <v>126984.75463700001</v>
      </c>
      <c r="T77" s="83">
        <v>0</v>
      </c>
      <c r="U77" s="83">
        <v>2975264.3782754801</v>
      </c>
      <c r="V77" s="83">
        <v>829394.55267201003</v>
      </c>
      <c r="W77" s="85">
        <v>49.719730816383318</v>
      </c>
      <c r="X77" s="82">
        <v>60</v>
      </c>
      <c r="Y77" s="83">
        <v>143080.90915399999</v>
      </c>
      <c r="Z77" s="83">
        <v>193315.49919999999</v>
      </c>
      <c r="AA77" s="83">
        <v>1257537.6634140001</v>
      </c>
      <c r="AB77" s="83">
        <v>733714.02175800002</v>
      </c>
      <c r="AC77" s="86">
        <f t="shared" si="10"/>
        <v>519202.52956399997</v>
      </c>
      <c r="AD77" s="86">
        <f t="shared" si="11"/>
        <v>946737.18176499999</v>
      </c>
      <c r="AE77" s="86">
        <f t="shared" si="12"/>
        <v>-278153.15984899993</v>
      </c>
      <c r="AF77" s="86">
        <f t="shared" si="13"/>
        <v>946737.18176499999</v>
      </c>
      <c r="AG77" s="87">
        <v>54.841252626843271</v>
      </c>
      <c r="AH77" s="87">
        <v>45.158747373156729</v>
      </c>
      <c r="AI77" s="360">
        <v>56.917472858183885</v>
      </c>
      <c r="AJ77" s="360">
        <v>56.917472858183885</v>
      </c>
      <c r="AK77" s="360">
        <v>100</v>
      </c>
      <c r="AL77" s="87">
        <v>27.876331217084743</v>
      </c>
      <c r="AM77" s="87">
        <v>72.12366878291526</v>
      </c>
      <c r="AN77" s="87">
        <v>59.435043386495543</v>
      </c>
      <c r="AO77" s="87">
        <v>80</v>
      </c>
      <c r="AP77" s="360">
        <f t="shared" si="14"/>
        <v>-29.380187575440907</v>
      </c>
      <c r="AQ77" s="87">
        <v>20</v>
      </c>
      <c r="AR77" s="360">
        <v>63.456483231214392</v>
      </c>
      <c r="AS77" s="360">
        <v>50.765186584971516</v>
      </c>
      <c r="AT77" s="87">
        <v>10.280269183616682</v>
      </c>
      <c r="AU77" s="87">
        <v>17.363438674099687</v>
      </c>
      <c r="AV77" s="87">
        <v>59.206412834292593</v>
      </c>
      <c r="AW77" s="87">
        <v>135.10921921241902</v>
      </c>
      <c r="AX77" s="87">
        <v>60</v>
      </c>
      <c r="AY77" s="87">
        <v>58.345292002315993</v>
      </c>
      <c r="AZ77" s="87">
        <v>50</v>
      </c>
      <c r="BA77" s="87">
        <v>0.21248736143576388</v>
      </c>
      <c r="BB77" s="87">
        <v>56.402137611430867</v>
      </c>
      <c r="BC77" s="87">
        <v>56.614624972866629</v>
      </c>
      <c r="BD77" s="87">
        <v>11.322924994573327</v>
      </c>
      <c r="BE77" s="68">
        <v>62.045614107257691</v>
      </c>
      <c r="BF77" s="68">
        <v>62.088111579544844</v>
      </c>
      <c r="BG77" s="68" t="s">
        <v>98</v>
      </c>
      <c r="BH77" s="68">
        <f t="shared" si="15"/>
        <v>9</v>
      </c>
    </row>
    <row r="78" spans="1:60" ht="15" x14ac:dyDescent="0.35">
      <c r="A78" s="82" t="s">
        <v>105</v>
      </c>
      <c r="B78" s="81" t="s">
        <v>143</v>
      </c>
      <c r="C78" s="82">
        <v>2022</v>
      </c>
      <c r="D78" s="82" t="s">
        <v>6</v>
      </c>
      <c r="E78" s="147">
        <v>2</v>
      </c>
      <c r="F78" s="152" t="s">
        <v>178</v>
      </c>
      <c r="G78" t="s">
        <v>211</v>
      </c>
      <c r="H78" s="83">
        <v>0</v>
      </c>
      <c r="I78" s="83">
        <v>411042.57998799998</v>
      </c>
      <c r="J78" s="83">
        <v>840770.33165999991</v>
      </c>
      <c r="K78" s="83">
        <v>291864.594942</v>
      </c>
      <c r="L78" s="83">
        <v>39614.497010000006</v>
      </c>
      <c r="M78" s="83">
        <v>856208.96290699998</v>
      </c>
      <c r="N78" s="83">
        <v>217450.579401</v>
      </c>
      <c r="O78" s="83">
        <v>334419.22224799998</v>
      </c>
      <c r="P78" s="83">
        <v>177878.96398999999</v>
      </c>
      <c r="Q78" s="83">
        <v>8920.4882379999999</v>
      </c>
      <c r="R78" s="83">
        <v>-58626.739406000124</v>
      </c>
      <c r="S78" s="83">
        <v>146780.726933</v>
      </c>
      <c r="T78" s="83">
        <v>0</v>
      </c>
      <c r="U78" s="83">
        <v>3217779.8682479998</v>
      </c>
      <c r="V78" s="83">
        <v>1939962.3559049999</v>
      </c>
      <c r="W78" s="85">
        <v>38.682199811748838</v>
      </c>
      <c r="X78" s="82">
        <v>60</v>
      </c>
      <c r="Y78" s="83">
        <v>247665.88659000001</v>
      </c>
      <c r="Z78" s="83">
        <v>314010.073493</v>
      </c>
      <c r="AA78" s="83">
        <v>742856.81280800002</v>
      </c>
      <c r="AB78" s="83">
        <v>674388.63773399999</v>
      </c>
      <c r="AC78" s="86">
        <f t="shared" si="10"/>
        <v>411042.57998799998</v>
      </c>
      <c r="AD78" s="86">
        <f t="shared" si="11"/>
        <v>840770.33165999991</v>
      </c>
      <c r="AE78" s="86">
        <f t="shared" si="12"/>
        <v>97074.475764999865</v>
      </c>
      <c r="AF78" s="86">
        <f t="shared" si="13"/>
        <v>840770.33165999991</v>
      </c>
      <c r="AG78" s="87">
        <v>48.888806432601612</v>
      </c>
      <c r="AH78" s="87">
        <v>51.111193567398388</v>
      </c>
      <c r="AI78" s="360">
        <v>25.396905290819653</v>
      </c>
      <c r="AJ78" s="360">
        <v>56.917472858183885</v>
      </c>
      <c r="AK78" s="360">
        <v>44.620577856818812</v>
      </c>
      <c r="AL78" s="87">
        <v>60.288846202560798</v>
      </c>
      <c r="AM78" s="87">
        <v>39.711153797439202</v>
      </c>
      <c r="AN78" s="87">
        <v>53.190412558907205</v>
      </c>
      <c r="AO78" s="87">
        <v>70</v>
      </c>
      <c r="AP78" s="360">
        <f t="shared" si="14"/>
        <v>11.545896912577538</v>
      </c>
      <c r="AQ78" s="87">
        <v>60</v>
      </c>
      <c r="AR78" s="360">
        <v>53.088585044331282</v>
      </c>
      <c r="AS78" s="360">
        <v>42.470868035465031</v>
      </c>
      <c r="AT78" s="87">
        <v>21.317800188251162</v>
      </c>
      <c r="AU78" s="87">
        <v>17.363438674099687</v>
      </c>
      <c r="AV78" s="87">
        <v>100</v>
      </c>
      <c r="AW78" s="87">
        <v>126.78777760492703</v>
      </c>
      <c r="AX78" s="87">
        <v>70</v>
      </c>
      <c r="AY78" s="87">
        <v>90.78312618347131</v>
      </c>
      <c r="AZ78" s="87">
        <v>100</v>
      </c>
      <c r="BA78" s="87">
        <v>0.16925399653633602</v>
      </c>
      <c r="BB78" s="87">
        <v>90</v>
      </c>
      <c r="BC78" s="87">
        <v>90.169253996536341</v>
      </c>
      <c r="BD78" s="87">
        <v>18.03385079930727</v>
      </c>
      <c r="BE78" s="68">
        <v>60.470868035465031</v>
      </c>
      <c r="BF78" s="68">
        <v>60.504718834772305</v>
      </c>
      <c r="BG78" s="68" t="s">
        <v>98</v>
      </c>
      <c r="BH78" s="68">
        <f t="shared" si="15"/>
        <v>10</v>
      </c>
    </row>
    <row r="79" spans="1:60" ht="15" customHeight="1" x14ac:dyDescent="0.35">
      <c r="A79" s="82" t="s">
        <v>106</v>
      </c>
      <c r="B79" s="81" t="s">
        <v>165</v>
      </c>
      <c r="C79" s="82">
        <v>2022</v>
      </c>
      <c r="D79" s="82" t="s">
        <v>173</v>
      </c>
      <c r="E79" s="126">
        <v>3</v>
      </c>
      <c r="F79" s="152" t="s">
        <v>178</v>
      </c>
      <c r="G79" t="s">
        <v>207</v>
      </c>
      <c r="H79" s="83">
        <v>10788.5359555</v>
      </c>
      <c r="I79" s="83">
        <v>57466.396444999991</v>
      </c>
      <c r="J79" s="83">
        <v>463777.38031149999</v>
      </c>
      <c r="K79" s="83">
        <v>60644.703705</v>
      </c>
      <c r="L79" s="83">
        <v>164407.157534</v>
      </c>
      <c r="M79" s="83">
        <v>351927.14605599997</v>
      </c>
      <c r="N79" s="83">
        <v>32999.921353999998</v>
      </c>
      <c r="O79" s="83">
        <v>236180.3030175</v>
      </c>
      <c r="P79" s="83">
        <v>346.93882149999263</v>
      </c>
      <c r="Q79" s="83">
        <v>0</v>
      </c>
      <c r="R79" s="83">
        <v>-123983.12994049996</v>
      </c>
      <c r="S79" s="83">
        <v>269964.59620199999</v>
      </c>
      <c r="T79" s="83">
        <v>0</v>
      </c>
      <c r="U79" s="83">
        <v>1762665.56195439</v>
      </c>
      <c r="V79" s="83">
        <v>351589.29261950002</v>
      </c>
      <c r="W79" s="85">
        <v>59.097711895223938</v>
      </c>
      <c r="X79" s="82">
        <v>70</v>
      </c>
      <c r="Y79" s="83">
        <v>223280.57226099999</v>
      </c>
      <c r="Z79" s="83">
        <v>224679.49359699999</v>
      </c>
      <c r="AA79" s="83">
        <v>351927.14605600003</v>
      </c>
      <c r="AB79" s="83">
        <v>262051.619469</v>
      </c>
      <c r="AC79" s="86">
        <f t="shared" si="10"/>
        <v>68254.932400499994</v>
      </c>
      <c r="AD79" s="86">
        <f t="shared" si="11"/>
        <v>463777.38031149999</v>
      </c>
      <c r="AE79" s="86">
        <f t="shared" si="12"/>
        <v>145981.46626150003</v>
      </c>
      <c r="AF79" s="86">
        <f t="shared" si="13"/>
        <v>463777.38031149999</v>
      </c>
      <c r="AG79" s="87">
        <v>14.717175804187775</v>
      </c>
      <c r="AH79" s="87">
        <v>85.282824195812225</v>
      </c>
      <c r="AI79" s="360">
        <v>9.3769184116160584</v>
      </c>
      <c r="AJ79" s="360">
        <v>10.582820860904658</v>
      </c>
      <c r="AK79" s="360">
        <v>88.605094377591925</v>
      </c>
      <c r="AL79" s="87">
        <v>19.946454971847778</v>
      </c>
      <c r="AM79" s="87">
        <v>80.053545028152229</v>
      </c>
      <c r="AN79" s="87">
        <v>0.14689574747233933</v>
      </c>
      <c r="AO79" s="87">
        <v>20</v>
      </c>
      <c r="AP79" s="360">
        <f t="shared" si="14"/>
        <v>31.476624876239185</v>
      </c>
      <c r="AQ79" s="87">
        <v>0</v>
      </c>
      <c r="AR79" s="360">
        <v>54.788292720311276</v>
      </c>
      <c r="AS79" s="360">
        <v>43.830634176249021</v>
      </c>
      <c r="AT79" s="87">
        <v>10.902288104776062</v>
      </c>
      <c r="AU79" s="87">
        <v>14.279616044593576</v>
      </c>
      <c r="AV79" s="87">
        <v>76.348608188970104</v>
      </c>
      <c r="AW79" s="87">
        <v>100.62653070163432</v>
      </c>
      <c r="AX79" s="87">
        <v>100</v>
      </c>
      <c r="AY79" s="87">
        <v>74.461894288569979</v>
      </c>
      <c r="AZ79" s="87">
        <v>70</v>
      </c>
      <c r="BA79" s="87">
        <v>0.65798582584237475</v>
      </c>
      <c r="BB79" s="87">
        <v>82.116202729656706</v>
      </c>
      <c r="BC79" s="87">
        <v>82.77418855549908</v>
      </c>
      <c r="BD79" s="87">
        <v>16.554837711099818</v>
      </c>
      <c r="BE79" s="68">
        <v>60.253874722180363</v>
      </c>
      <c r="BF79" s="68">
        <v>60.385471887348842</v>
      </c>
      <c r="BG79" s="68" t="s">
        <v>98</v>
      </c>
      <c r="BH79" s="68">
        <f t="shared" si="15"/>
        <v>11</v>
      </c>
    </row>
    <row r="80" spans="1:60" ht="14.4" customHeight="1" x14ac:dyDescent="0.35">
      <c r="A80" s="82" t="s">
        <v>108</v>
      </c>
      <c r="B80" s="81" t="s">
        <v>160</v>
      </c>
      <c r="C80" s="82">
        <v>2022</v>
      </c>
      <c r="D80" s="82" t="s">
        <v>19</v>
      </c>
      <c r="E80" s="147">
        <v>2</v>
      </c>
      <c r="F80" s="152" t="s">
        <v>178</v>
      </c>
      <c r="G80" t="s">
        <v>214</v>
      </c>
      <c r="H80" s="83">
        <v>0</v>
      </c>
      <c r="I80" s="83">
        <v>692882.27621199994</v>
      </c>
      <c r="J80" s="83">
        <v>1261784.0906759999</v>
      </c>
      <c r="K80" s="83">
        <v>304529.42197199998</v>
      </c>
      <c r="L80" s="83">
        <v>110845.179078</v>
      </c>
      <c r="M80" s="83">
        <v>1365956.461968</v>
      </c>
      <c r="N80" s="83">
        <v>50407.260083000001</v>
      </c>
      <c r="O80" s="83">
        <v>432779.78275499999</v>
      </c>
      <c r="P80" s="83">
        <v>243293.95307600001</v>
      </c>
      <c r="Q80" s="83">
        <v>1782.348608</v>
      </c>
      <c r="R80" s="83">
        <v>-110256.55744700017</v>
      </c>
      <c r="S80" s="83">
        <v>106371.77722800001</v>
      </c>
      <c r="T80" s="83">
        <v>0</v>
      </c>
      <c r="U80" s="83">
        <v>2689599.459551</v>
      </c>
      <c r="V80" s="83">
        <v>2074614.567062</v>
      </c>
      <c r="W80" s="85">
        <v>30.614211433518435</v>
      </c>
      <c r="X80" s="82">
        <v>60</v>
      </c>
      <c r="Y80" s="83">
        <v>303718.35700000002</v>
      </c>
      <c r="Z80" s="83">
        <v>341476.618074</v>
      </c>
      <c r="AA80" s="83">
        <v>1182554.8184440001</v>
      </c>
      <c r="AB80" s="83">
        <v>1018414.8408680001</v>
      </c>
      <c r="AC80" s="86">
        <f t="shared" si="10"/>
        <v>692882.27621199994</v>
      </c>
      <c r="AD80" s="86">
        <f t="shared" si="11"/>
        <v>1261784.0906759999</v>
      </c>
      <c r="AE80" s="86">
        <f t="shared" si="12"/>
        <v>-2102.4316110001673</v>
      </c>
      <c r="AF80" s="86">
        <f t="shared" si="13"/>
        <v>1261784.0906759999</v>
      </c>
      <c r="AG80" s="87">
        <v>54.912903192557195</v>
      </c>
      <c r="AH80" s="87">
        <v>45.087096807442805</v>
      </c>
      <c r="AI80" s="360">
        <v>3.6902537882046262</v>
      </c>
      <c r="AJ80" s="360">
        <v>56.917472858183885</v>
      </c>
      <c r="AK80" s="360">
        <v>6.4835165774125239</v>
      </c>
      <c r="AL80" s="87">
        <v>77.134703447937738</v>
      </c>
      <c r="AM80" s="87">
        <v>22.865296552062262</v>
      </c>
      <c r="AN80" s="87">
        <v>56.216570822054926</v>
      </c>
      <c r="AO80" s="87">
        <v>80</v>
      </c>
      <c r="AP80" s="360">
        <f t="shared" si="14"/>
        <v>-0.16662372164431011</v>
      </c>
      <c r="AQ80" s="87">
        <v>100</v>
      </c>
      <c r="AR80" s="360">
        <v>50.887181987383521</v>
      </c>
      <c r="AS80" s="360">
        <v>40.709745589906817</v>
      </c>
      <c r="AT80" s="87">
        <v>29.385788566481565</v>
      </c>
      <c r="AU80" s="87">
        <v>17.363438674099687</v>
      </c>
      <c r="AV80" s="87">
        <v>100</v>
      </c>
      <c r="AW80" s="87">
        <v>112.43199833126978</v>
      </c>
      <c r="AX80" s="87">
        <v>80</v>
      </c>
      <c r="AY80" s="87">
        <v>86.119884252640858</v>
      </c>
      <c r="AZ80" s="87">
        <v>80</v>
      </c>
      <c r="BA80" s="87">
        <v>0.22532102412550192</v>
      </c>
      <c r="BB80" s="87">
        <v>86.666666666666671</v>
      </c>
      <c r="BC80" s="87">
        <v>86.891987690792178</v>
      </c>
      <c r="BD80" s="87">
        <v>17.378397538158435</v>
      </c>
      <c r="BE80" s="68">
        <v>58.043078923240152</v>
      </c>
      <c r="BF80" s="68">
        <v>58.088143128065255</v>
      </c>
      <c r="BG80" s="68" t="s">
        <v>109</v>
      </c>
      <c r="BH80" s="68">
        <f t="shared" si="15"/>
        <v>12</v>
      </c>
    </row>
    <row r="81" spans="1:60" ht="15" customHeight="1" x14ac:dyDescent="0.35">
      <c r="A81" s="82" t="s">
        <v>110</v>
      </c>
      <c r="B81" s="81" t="s">
        <v>162</v>
      </c>
      <c r="C81" s="82">
        <v>2022</v>
      </c>
      <c r="D81" s="82" t="s">
        <v>21</v>
      </c>
      <c r="E81" s="147">
        <v>4</v>
      </c>
      <c r="F81" s="152" t="s">
        <v>178</v>
      </c>
      <c r="G81" t="s">
        <v>210</v>
      </c>
      <c r="H81" s="83">
        <v>21414.164552000002</v>
      </c>
      <c r="I81" s="83">
        <v>215129.86238300003</v>
      </c>
      <c r="J81" s="83">
        <v>326175.23331700003</v>
      </c>
      <c r="K81" s="83">
        <v>43860.944031999999</v>
      </c>
      <c r="L81" s="83">
        <v>6798.347694</v>
      </c>
      <c r="M81" s="83">
        <v>425840.12829900003</v>
      </c>
      <c r="N81" s="83">
        <v>64948.269012000004</v>
      </c>
      <c r="O81" s="83">
        <v>72823.034960999998</v>
      </c>
      <c r="P81" s="83">
        <v>25493.615114709995</v>
      </c>
      <c r="Q81" s="83">
        <v>0</v>
      </c>
      <c r="R81" s="83">
        <v>-14899.513952289999</v>
      </c>
      <c r="S81" s="83">
        <v>62240.051906000001</v>
      </c>
      <c r="T81" s="83">
        <v>0</v>
      </c>
      <c r="U81" s="83">
        <v>1245328.5959431899</v>
      </c>
      <c r="V81" s="83">
        <v>574021.31202359009</v>
      </c>
      <c r="W81" s="85">
        <v>65.044221292995815</v>
      </c>
      <c r="X81" s="82">
        <v>70</v>
      </c>
      <c r="Y81" s="83">
        <v>42368.197294999998</v>
      </c>
      <c r="Z81" s="83">
        <v>51054.691656000003</v>
      </c>
      <c r="AA81" s="83">
        <v>293745.32742300001</v>
      </c>
      <c r="AB81" s="83">
        <v>273357.917403</v>
      </c>
      <c r="AC81" s="86">
        <f t="shared" si="10"/>
        <v>236544.02693500003</v>
      </c>
      <c r="AD81" s="86">
        <f t="shared" si="11"/>
        <v>326175.23331700003</v>
      </c>
      <c r="AE81" s="86">
        <f t="shared" si="12"/>
        <v>47340.537953710002</v>
      </c>
      <c r="AF81" s="86">
        <f t="shared" si="13"/>
        <v>326175.23331700003</v>
      </c>
      <c r="AG81" s="87">
        <v>72.520535826553669</v>
      </c>
      <c r="AH81" s="87">
        <v>27.479464173446331</v>
      </c>
      <c r="AI81" s="360">
        <v>15.251796318828163</v>
      </c>
      <c r="AJ81" s="360">
        <v>19.248558960087543</v>
      </c>
      <c r="AK81" s="360">
        <v>79.236042295182799</v>
      </c>
      <c r="AL81" s="87">
        <v>46.093963785424556</v>
      </c>
      <c r="AM81" s="87">
        <v>53.906036214575444</v>
      </c>
      <c r="AN81" s="87">
        <v>35.007625167452808</v>
      </c>
      <c r="AO81" s="87">
        <v>50</v>
      </c>
      <c r="AP81" s="360">
        <f t="shared" si="14"/>
        <v>14.513835852062115</v>
      </c>
      <c r="AQ81" s="87">
        <v>60</v>
      </c>
      <c r="AR81" s="360">
        <v>54.12430853664091</v>
      </c>
      <c r="AS81" s="360">
        <v>43.299446829312728</v>
      </c>
      <c r="AT81" s="87">
        <v>4.9557787070041854</v>
      </c>
      <c r="AU81" s="87">
        <v>12.383671405907876</v>
      </c>
      <c r="AV81" s="87">
        <v>40.018654763723248</v>
      </c>
      <c r="AW81" s="87">
        <v>120.50239310518204</v>
      </c>
      <c r="AX81" s="87">
        <v>70</v>
      </c>
      <c r="AY81" s="87">
        <v>93.059494699419787</v>
      </c>
      <c r="AZ81" s="87">
        <v>100</v>
      </c>
      <c r="BA81" s="87">
        <v>0</v>
      </c>
      <c r="BB81" s="87">
        <v>70.006218254574421</v>
      </c>
      <c r="BC81" s="87">
        <v>70.006218254574421</v>
      </c>
      <c r="BD81" s="87">
        <v>14.001243650914885</v>
      </c>
      <c r="BE81" s="68">
        <v>57.300690480227615</v>
      </c>
      <c r="BF81" s="68">
        <v>57.300690480227615</v>
      </c>
      <c r="BG81" s="68" t="s">
        <v>109</v>
      </c>
      <c r="BH81" s="68">
        <f t="shared" si="15"/>
        <v>13</v>
      </c>
    </row>
    <row r="82" spans="1:60" ht="15" x14ac:dyDescent="0.35">
      <c r="A82" s="82" t="s">
        <v>111</v>
      </c>
      <c r="B82" s="81" t="s">
        <v>155</v>
      </c>
      <c r="C82" s="82">
        <v>2022</v>
      </c>
      <c r="D82" s="82" t="s">
        <v>15</v>
      </c>
      <c r="E82" s="147">
        <v>2</v>
      </c>
      <c r="F82" s="152" t="s">
        <v>178</v>
      </c>
      <c r="G82" t="s">
        <v>208</v>
      </c>
      <c r="H82" s="83">
        <v>0</v>
      </c>
      <c r="I82" s="83">
        <v>574389.423022</v>
      </c>
      <c r="J82" s="83">
        <v>1219852.4850320001</v>
      </c>
      <c r="K82" s="83">
        <v>287270.10701000004</v>
      </c>
      <c r="L82" s="83">
        <v>67425.084814000002</v>
      </c>
      <c r="M82" s="83">
        <v>1138734.0118140001</v>
      </c>
      <c r="N82" s="83">
        <v>27279.170419999999</v>
      </c>
      <c r="O82" s="83">
        <v>356431.93287400005</v>
      </c>
      <c r="P82" s="83">
        <v>206786.49425200006</v>
      </c>
      <c r="Q82" s="83">
        <v>10961.530954</v>
      </c>
      <c r="R82" s="83">
        <v>-68526.9654039999</v>
      </c>
      <c r="S82" s="83">
        <v>146827.785753</v>
      </c>
      <c r="T82" s="83">
        <v>0</v>
      </c>
      <c r="U82" s="83">
        <v>2526590.06709813</v>
      </c>
      <c r="V82" s="83">
        <v>1607305.2774115899</v>
      </c>
      <c r="W82" s="85">
        <v>47.268782012456519</v>
      </c>
      <c r="X82" s="82">
        <v>60</v>
      </c>
      <c r="Y82" s="83">
        <v>245595.33630900001</v>
      </c>
      <c r="Z82" s="83">
        <v>317317.02929899999</v>
      </c>
      <c r="AA82" s="83">
        <v>1138734.0118140001</v>
      </c>
      <c r="AB82" s="83">
        <v>908178.66924700001</v>
      </c>
      <c r="AC82" s="86">
        <f t="shared" si="10"/>
        <v>574389.423022</v>
      </c>
      <c r="AD82" s="86">
        <f t="shared" si="11"/>
        <v>1219852.4850320001</v>
      </c>
      <c r="AE82" s="86">
        <f t="shared" si="12"/>
        <v>89262.351303000105</v>
      </c>
      <c r="AF82" s="86">
        <f t="shared" si="13"/>
        <v>1219852.4850320001</v>
      </c>
      <c r="AG82" s="87">
        <v>47.086793695955144</v>
      </c>
      <c r="AH82" s="87">
        <v>52.913206304044856</v>
      </c>
      <c r="AI82" s="360">
        <v>2.3955700046707449</v>
      </c>
      <c r="AJ82" s="360">
        <v>56.917472858183885</v>
      </c>
      <c r="AK82" s="360">
        <v>4.2088481522002388</v>
      </c>
      <c r="AL82" s="87">
        <v>63.615593932007805</v>
      </c>
      <c r="AM82" s="87">
        <v>36.384406067992195</v>
      </c>
      <c r="AN82" s="87">
        <v>58.015703751520995</v>
      </c>
      <c r="AO82" s="87">
        <v>80</v>
      </c>
      <c r="AP82" s="360">
        <f t="shared" si="14"/>
        <v>7.3174709563885099</v>
      </c>
      <c r="AQ82" s="87">
        <v>80</v>
      </c>
      <c r="AR82" s="360">
        <v>50.701292104847461</v>
      </c>
      <c r="AS82" s="360">
        <v>40.561033683877973</v>
      </c>
      <c r="AT82" s="87">
        <v>12.731217987543481</v>
      </c>
      <c r="AU82" s="87">
        <v>17.363438674099687</v>
      </c>
      <c r="AV82" s="87">
        <v>73.321985503563326</v>
      </c>
      <c r="AW82" s="87">
        <v>129.20319826422195</v>
      </c>
      <c r="AX82" s="87">
        <v>70</v>
      </c>
      <c r="AY82" s="87">
        <v>79.753362929792004</v>
      </c>
      <c r="AZ82" s="87">
        <v>70</v>
      </c>
      <c r="BA82" s="87">
        <v>0.14895486811942527</v>
      </c>
      <c r="BB82" s="87">
        <v>71.10732850118778</v>
      </c>
      <c r="BC82" s="87">
        <v>71.256283369307212</v>
      </c>
      <c r="BD82" s="87">
        <v>14.251256673861443</v>
      </c>
      <c r="BE82" s="68">
        <v>54.782499384115532</v>
      </c>
      <c r="BF82" s="68">
        <v>54.812290357739414</v>
      </c>
      <c r="BG82" s="68" t="s">
        <v>109</v>
      </c>
      <c r="BH82" s="68">
        <f t="shared" si="15"/>
        <v>14</v>
      </c>
    </row>
    <row r="83" spans="1:60" ht="15" x14ac:dyDescent="0.35">
      <c r="A83" s="82" t="s">
        <v>112</v>
      </c>
      <c r="B83" s="81" t="s">
        <v>152</v>
      </c>
      <c r="C83" s="82">
        <v>2022</v>
      </c>
      <c r="D83" s="82" t="s">
        <v>12</v>
      </c>
      <c r="E83" s="126">
        <v>3</v>
      </c>
      <c r="F83" s="152" t="s">
        <v>178</v>
      </c>
      <c r="G83" t="s">
        <v>207</v>
      </c>
      <c r="H83" s="83">
        <v>0</v>
      </c>
      <c r="I83" s="83">
        <v>689104.31501599995</v>
      </c>
      <c r="J83" s="83">
        <v>1223324.3602209999</v>
      </c>
      <c r="K83" s="83">
        <v>277499.74871899997</v>
      </c>
      <c r="L83" s="83">
        <v>174340.826007</v>
      </c>
      <c r="M83" s="83">
        <v>948841.02318099909</v>
      </c>
      <c r="N83" s="83">
        <v>20858.243491999998</v>
      </c>
      <c r="O83" s="83">
        <v>452777.67980399996</v>
      </c>
      <c r="P83" s="83">
        <v>257576.32448299997</v>
      </c>
      <c r="Q83" s="83">
        <v>5193.8250440000002</v>
      </c>
      <c r="R83" s="83">
        <v>79281.981719000731</v>
      </c>
      <c r="S83" s="83">
        <v>281072.62861900002</v>
      </c>
      <c r="T83" s="83">
        <v>0</v>
      </c>
      <c r="U83" s="83">
        <v>2160031.4465727098</v>
      </c>
      <c r="V83" s="83">
        <v>1023075.3640255901</v>
      </c>
      <c r="W83" s="85">
        <v>44.81782840250181</v>
      </c>
      <c r="X83" s="82">
        <v>70</v>
      </c>
      <c r="Y83" s="83">
        <v>368420.90929699998</v>
      </c>
      <c r="Z83" s="83">
        <v>438889.99632999999</v>
      </c>
      <c r="AA83" s="83">
        <v>948841.02318100003</v>
      </c>
      <c r="AB83" s="83">
        <v>872354.02603499999</v>
      </c>
      <c r="AC83" s="86">
        <f t="shared" si="10"/>
        <v>689104.31501599995</v>
      </c>
      <c r="AD83" s="86">
        <f t="shared" si="11"/>
        <v>1223324.3602209999</v>
      </c>
      <c r="AE83" s="86">
        <f t="shared" si="12"/>
        <v>365548.43538200075</v>
      </c>
      <c r="AF83" s="86">
        <f t="shared" si="13"/>
        <v>1223324.3602209999</v>
      </c>
      <c r="AG83" s="87">
        <v>56.330466180818121</v>
      </c>
      <c r="AH83" s="87">
        <v>43.669533819181879</v>
      </c>
      <c r="AI83" s="360">
        <v>2.198286433914137</v>
      </c>
      <c r="AJ83" s="360">
        <v>10.582820860904658</v>
      </c>
      <c r="AK83" s="360">
        <v>20.772216243734277</v>
      </c>
      <c r="AL83" s="87">
        <v>47.363910634212701</v>
      </c>
      <c r="AM83" s="87">
        <v>52.636089365787299</v>
      </c>
      <c r="AN83" s="87">
        <v>56.888034894851828</v>
      </c>
      <c r="AO83" s="87">
        <v>80</v>
      </c>
      <c r="AP83" s="360">
        <f t="shared" si="14"/>
        <v>29.881562672058827</v>
      </c>
      <c r="AQ83" s="87">
        <v>20</v>
      </c>
      <c r="AR83" s="360">
        <v>43.415567885740685</v>
      </c>
      <c r="AS83" s="360">
        <v>34.732454308592551</v>
      </c>
      <c r="AT83" s="87">
        <v>25.18217159749819</v>
      </c>
      <c r="AU83" s="87">
        <v>14.279616044593576</v>
      </c>
      <c r="AV83" s="87">
        <v>100</v>
      </c>
      <c r="AW83" s="87">
        <v>119.12733106475015</v>
      </c>
      <c r="AX83" s="87">
        <v>80</v>
      </c>
      <c r="AY83" s="87">
        <v>91.938902800642353</v>
      </c>
      <c r="AZ83" s="87">
        <v>100</v>
      </c>
      <c r="BA83" s="87">
        <v>0.21207068716161395</v>
      </c>
      <c r="BB83" s="87">
        <v>93.333333333333329</v>
      </c>
      <c r="BC83" s="87">
        <v>93.545404020494942</v>
      </c>
      <c r="BD83" s="87">
        <v>18.709080804098988</v>
      </c>
      <c r="BE83" s="68">
        <v>53.399120975259223</v>
      </c>
      <c r="BF83" s="68">
        <v>53.44153511269154</v>
      </c>
      <c r="BG83" s="68" t="s">
        <v>109</v>
      </c>
      <c r="BH83" s="68">
        <f t="shared" si="15"/>
        <v>15</v>
      </c>
    </row>
    <row r="84" spans="1:60" ht="15" x14ac:dyDescent="0.35">
      <c r="A84" s="82" t="s">
        <v>113</v>
      </c>
      <c r="B84" s="81" t="s">
        <v>164</v>
      </c>
      <c r="C84" s="82">
        <v>2022</v>
      </c>
      <c r="D84" s="82" t="s">
        <v>23</v>
      </c>
      <c r="E84" s="147">
        <v>4</v>
      </c>
      <c r="F84" s="152" t="s">
        <v>178</v>
      </c>
      <c r="G84" t="s">
        <v>214</v>
      </c>
      <c r="H84" s="83">
        <v>21414.164553999999</v>
      </c>
      <c r="I84" s="83">
        <v>327927.172265</v>
      </c>
      <c r="J84" s="83">
        <v>465998.71775100002</v>
      </c>
      <c r="K84" s="83">
        <v>53482.48141</v>
      </c>
      <c r="L84" s="83">
        <v>21122.064774000002</v>
      </c>
      <c r="M84" s="83">
        <v>443877.21294199902</v>
      </c>
      <c r="N84" s="83">
        <v>26680.269411000001</v>
      </c>
      <c r="O84" s="83">
        <v>96829.871471000006</v>
      </c>
      <c r="P84" s="83">
        <v>30663.860529000012</v>
      </c>
      <c r="Q84" s="83">
        <v>0</v>
      </c>
      <c r="R84" s="83">
        <v>-44044.506132999028</v>
      </c>
      <c r="S84" s="83">
        <v>87767.825695000007</v>
      </c>
      <c r="T84" s="83">
        <v>0</v>
      </c>
      <c r="U84" s="83">
        <v>1543856.76087306</v>
      </c>
      <c r="V84" s="83">
        <v>521413.19074354996</v>
      </c>
      <c r="W84" s="85">
        <v>65.178204088456809</v>
      </c>
      <c r="X84" s="82">
        <v>70</v>
      </c>
      <c r="Y84" s="83">
        <v>48951.438408000002</v>
      </c>
      <c r="Z84" s="83">
        <v>58685.461440999999</v>
      </c>
      <c r="AA84" s="83">
        <v>443877.21294200001</v>
      </c>
      <c r="AB84" s="83">
        <v>387355.24359899998</v>
      </c>
      <c r="AC84" s="86">
        <f t="shared" si="10"/>
        <v>349341.33681900002</v>
      </c>
      <c r="AD84" s="86">
        <f t="shared" si="11"/>
        <v>465998.71775100002</v>
      </c>
      <c r="AE84" s="86">
        <f t="shared" si="12"/>
        <v>43723.319562000979</v>
      </c>
      <c r="AF84" s="86">
        <f t="shared" si="13"/>
        <v>465998.71775100002</v>
      </c>
      <c r="AG84" s="87">
        <v>74.966158384509924</v>
      </c>
      <c r="AH84" s="87">
        <v>25.033841615490076</v>
      </c>
      <c r="AI84" s="360">
        <v>6.010731939620042</v>
      </c>
      <c r="AJ84" s="360">
        <v>19.248558960087543</v>
      </c>
      <c r="AK84" s="360">
        <v>31.226919127210888</v>
      </c>
      <c r="AL84" s="87">
        <v>33.773417583680995</v>
      </c>
      <c r="AM84" s="87">
        <v>66.226582416319005</v>
      </c>
      <c r="AN84" s="87">
        <v>31.667769525216876</v>
      </c>
      <c r="AO84" s="87">
        <v>40</v>
      </c>
      <c r="AP84" s="360">
        <f t="shared" si="14"/>
        <v>9.3827124188277136</v>
      </c>
      <c r="AQ84" s="87">
        <v>80</v>
      </c>
      <c r="AR84" s="360">
        <v>48.497468631803997</v>
      </c>
      <c r="AS84" s="360">
        <v>38.797974905443198</v>
      </c>
      <c r="AT84" s="87">
        <v>4.821795911543191</v>
      </c>
      <c r="AU84" s="87">
        <v>12.383671405907876</v>
      </c>
      <c r="AV84" s="87">
        <v>38.936723637893508</v>
      </c>
      <c r="AW84" s="87">
        <v>119.88506027518324</v>
      </c>
      <c r="AX84" s="87">
        <v>80</v>
      </c>
      <c r="AY84" s="87">
        <v>87.266305254019528</v>
      </c>
      <c r="AZ84" s="87">
        <v>80</v>
      </c>
      <c r="BA84" s="87">
        <v>0.12532544169917081</v>
      </c>
      <c r="BB84" s="87">
        <v>66.312241212631179</v>
      </c>
      <c r="BC84" s="87">
        <v>66.437566654330354</v>
      </c>
      <c r="BD84" s="87">
        <v>13.287513330866071</v>
      </c>
      <c r="BE84" s="68">
        <v>52.060423147969431</v>
      </c>
      <c r="BF84" s="68">
        <v>52.085488236309267</v>
      </c>
      <c r="BG84" s="68" t="s">
        <v>109</v>
      </c>
      <c r="BH84" s="68">
        <f t="shared" si="15"/>
        <v>16</v>
      </c>
    </row>
    <row r="85" spans="1:60" ht="15" x14ac:dyDescent="0.35">
      <c r="A85" s="82" t="s">
        <v>114</v>
      </c>
      <c r="B85" s="81" t="s">
        <v>157</v>
      </c>
      <c r="C85" s="82">
        <v>2022</v>
      </c>
      <c r="D85" s="82" t="s">
        <v>7</v>
      </c>
      <c r="E85" s="147">
        <v>2</v>
      </c>
      <c r="F85" s="152" t="s">
        <v>178</v>
      </c>
      <c r="G85" t="s">
        <v>211</v>
      </c>
      <c r="H85" s="83">
        <v>0</v>
      </c>
      <c r="I85" s="83">
        <v>199020.24036300002</v>
      </c>
      <c r="J85" s="83">
        <v>860399.06939900015</v>
      </c>
      <c r="K85" s="83">
        <v>242057.36808500002</v>
      </c>
      <c r="L85" s="83">
        <v>107499.11524800002</v>
      </c>
      <c r="M85" s="83">
        <v>601440.35049500014</v>
      </c>
      <c r="N85" s="83">
        <v>1855.853881</v>
      </c>
      <c r="O85" s="83">
        <v>349895.58065100003</v>
      </c>
      <c r="P85" s="83">
        <v>251838.82924000002</v>
      </c>
      <c r="Q85" s="83">
        <v>1620.61032</v>
      </c>
      <c r="R85" s="83">
        <v>214440.68268600001</v>
      </c>
      <c r="S85" s="83">
        <v>115694.27179699999</v>
      </c>
      <c r="T85" s="83">
        <v>0</v>
      </c>
      <c r="U85" s="83">
        <v>2736898.5714560002</v>
      </c>
      <c r="V85" s="83">
        <v>1416198.8449800001</v>
      </c>
      <c r="W85" s="85">
        <v>43.914829875049989</v>
      </c>
      <c r="X85" s="82">
        <v>60</v>
      </c>
      <c r="Y85" s="83">
        <v>194681.85857899999</v>
      </c>
      <c r="Z85" s="83">
        <v>265178.13941800001</v>
      </c>
      <c r="AA85" s="83">
        <v>547901.63530199998</v>
      </c>
      <c r="AB85" s="83">
        <v>481051.01163199998</v>
      </c>
      <c r="AC85" s="86">
        <f t="shared" si="10"/>
        <v>199020.24036300002</v>
      </c>
      <c r="AD85" s="86">
        <f t="shared" si="11"/>
        <v>860399.06939900015</v>
      </c>
      <c r="AE85" s="86">
        <f t="shared" si="12"/>
        <v>331755.56480300002</v>
      </c>
      <c r="AF85" s="86">
        <f t="shared" si="13"/>
        <v>860399.06939900015</v>
      </c>
      <c r="AG85" s="87">
        <v>23.131154767754253</v>
      </c>
      <c r="AH85" s="87">
        <v>76.868845232245747</v>
      </c>
      <c r="AI85" s="360">
        <v>0.3085682361472068</v>
      </c>
      <c r="AJ85" s="360">
        <v>56.917472858183885</v>
      </c>
      <c r="AK85" s="360">
        <v>0.54213270662251345</v>
      </c>
      <c r="AL85" s="87">
        <v>51.744659438606732</v>
      </c>
      <c r="AM85" s="87">
        <v>48.255340561393268</v>
      </c>
      <c r="AN85" s="87">
        <v>71.975424431323205</v>
      </c>
      <c r="AO85" s="87">
        <v>100</v>
      </c>
      <c r="AP85" s="360">
        <f t="shared" si="14"/>
        <v>38.55833607941203</v>
      </c>
      <c r="AQ85" s="87">
        <v>0</v>
      </c>
      <c r="AR85" s="360">
        <v>45.133263700052304</v>
      </c>
      <c r="AS85" s="360">
        <v>36.106610960041841</v>
      </c>
      <c r="AT85" s="87">
        <v>16.085170124950011</v>
      </c>
      <c r="AU85" s="87">
        <v>17.363438674099687</v>
      </c>
      <c r="AV85" s="87">
        <v>92.638160141306486</v>
      </c>
      <c r="AW85" s="87">
        <v>136.21101696560666</v>
      </c>
      <c r="AX85" s="87">
        <v>60</v>
      </c>
      <c r="AY85" s="87">
        <v>87.798790994089231</v>
      </c>
      <c r="AZ85" s="87">
        <v>80</v>
      </c>
      <c r="BA85" s="87">
        <v>0.20229783218738828</v>
      </c>
      <c r="BB85" s="87">
        <v>77.546053380435495</v>
      </c>
      <c r="BC85" s="87">
        <v>77.748351212622879</v>
      </c>
      <c r="BD85" s="87">
        <v>15.549670242524577</v>
      </c>
      <c r="BE85" s="68">
        <v>51.615821636128942</v>
      </c>
      <c r="BF85" s="68">
        <v>51.656281202566419</v>
      </c>
      <c r="BG85" s="68" t="s">
        <v>109</v>
      </c>
      <c r="BH85" s="68">
        <f t="shared" si="15"/>
        <v>17</v>
      </c>
    </row>
    <row r="86" spans="1:60" ht="15" customHeight="1" x14ac:dyDescent="0.35">
      <c r="A86" s="82" t="s">
        <v>115</v>
      </c>
      <c r="B86" s="81" t="s">
        <v>149</v>
      </c>
      <c r="C86" s="82">
        <v>2022</v>
      </c>
      <c r="D86" s="82" t="s">
        <v>116</v>
      </c>
      <c r="E86" s="147">
        <v>4</v>
      </c>
      <c r="F86" s="152" t="s">
        <v>178</v>
      </c>
      <c r="G86" t="s">
        <v>215</v>
      </c>
      <c r="H86" s="83">
        <v>0</v>
      </c>
      <c r="I86" s="83">
        <v>462717.73322699999</v>
      </c>
      <c r="J86" s="83">
        <v>599708.56495799997</v>
      </c>
      <c r="K86" s="83">
        <v>90826.660070999991</v>
      </c>
      <c r="L86" s="83">
        <v>8648.926508999999</v>
      </c>
      <c r="M86" s="83">
        <v>570590.54774499906</v>
      </c>
      <c r="N86" s="83">
        <v>35283.378062999996</v>
      </c>
      <c r="O86" s="83">
        <v>99475.586579999988</v>
      </c>
      <c r="P86" s="83">
        <v>16888.301557999977</v>
      </c>
      <c r="Q86" s="83">
        <v>1577.5975880000001</v>
      </c>
      <c r="R86" s="83">
        <v>3001.2558540009195</v>
      </c>
      <c r="S86" s="83">
        <v>49060.770587999999</v>
      </c>
      <c r="T86" s="83">
        <v>0</v>
      </c>
      <c r="U86" s="83">
        <v>1945097.42928372</v>
      </c>
      <c r="V86" s="83">
        <v>618986.08825091005</v>
      </c>
      <c r="W86" s="85">
        <v>65.999982578873343</v>
      </c>
      <c r="X86" s="82">
        <v>70</v>
      </c>
      <c r="Y86" s="83">
        <v>102074.364124</v>
      </c>
      <c r="Z86" s="83">
        <v>92668.206894000003</v>
      </c>
      <c r="AA86" s="83">
        <v>481463.59428999998</v>
      </c>
      <c r="AB86" s="83">
        <v>431747.94697200001</v>
      </c>
      <c r="AC86" s="86">
        <f t="shared" si="10"/>
        <v>462717.73322699999</v>
      </c>
      <c r="AD86" s="86">
        <f t="shared" si="11"/>
        <v>599708.56495799997</v>
      </c>
      <c r="AE86" s="86">
        <f t="shared" si="12"/>
        <v>53639.624030000923</v>
      </c>
      <c r="AF86" s="86">
        <f t="shared" si="13"/>
        <v>599708.56495799997</v>
      </c>
      <c r="AG86" s="87">
        <v>77.157099341978892</v>
      </c>
      <c r="AH86" s="87">
        <v>22.842900658021108</v>
      </c>
      <c r="AI86" s="360">
        <v>6.183659754344264</v>
      </c>
      <c r="AJ86" s="360">
        <v>19.248558960087543</v>
      </c>
      <c r="AK86" s="360">
        <v>32.125312690504607</v>
      </c>
      <c r="AL86" s="87">
        <v>31.822883467531547</v>
      </c>
      <c r="AM86" s="87">
        <v>68.17711653246846</v>
      </c>
      <c r="AN86" s="87">
        <v>16.97733297045513</v>
      </c>
      <c r="AO86" s="87">
        <v>30</v>
      </c>
      <c r="AP86" s="360">
        <f t="shared" si="14"/>
        <v>8.9442818002370075</v>
      </c>
      <c r="AQ86" s="87">
        <v>80</v>
      </c>
      <c r="AR86" s="360">
        <v>46.629065976198838</v>
      </c>
      <c r="AS86" s="360">
        <v>37.30325278095907</v>
      </c>
      <c r="AT86" s="87">
        <v>4.0000174211266568</v>
      </c>
      <c r="AU86" s="87">
        <v>12.383671405907876</v>
      </c>
      <c r="AV86" s="87">
        <v>32.300739336626528</v>
      </c>
      <c r="AW86" s="87">
        <v>90.784995517019937</v>
      </c>
      <c r="AX86" s="87">
        <v>100</v>
      </c>
      <c r="AY86" s="87">
        <v>89.674058868082398</v>
      </c>
      <c r="AZ86" s="87">
        <v>80</v>
      </c>
      <c r="BA86" s="87">
        <v>0.17330022689879279</v>
      </c>
      <c r="BB86" s="87">
        <v>70.76691311220884</v>
      </c>
      <c r="BC86" s="87">
        <v>70.940213339107629</v>
      </c>
      <c r="BD86" s="87">
        <v>14.188042667821527</v>
      </c>
      <c r="BE86" s="68">
        <v>51.456635403400838</v>
      </c>
      <c r="BF86" s="68">
        <v>51.491295448780598</v>
      </c>
      <c r="BG86" s="68" t="s">
        <v>109</v>
      </c>
      <c r="BH86" s="68">
        <f t="shared" si="15"/>
        <v>18</v>
      </c>
    </row>
    <row r="87" spans="1:60" ht="15" x14ac:dyDescent="0.35">
      <c r="A87" s="82" t="s">
        <v>117</v>
      </c>
      <c r="B87" s="81" t="s">
        <v>158</v>
      </c>
      <c r="C87" s="82">
        <v>2022</v>
      </c>
      <c r="D87" s="82" t="s">
        <v>17</v>
      </c>
      <c r="E87" s="146">
        <v>1</v>
      </c>
      <c r="F87" s="152" t="s">
        <v>178</v>
      </c>
      <c r="G87" t="s">
        <v>208</v>
      </c>
      <c r="H87" s="83">
        <v>0</v>
      </c>
      <c r="I87" s="83">
        <v>695592.43047999998</v>
      </c>
      <c r="J87" s="83">
        <v>1729681.4293709998</v>
      </c>
      <c r="K87" s="83">
        <v>711150.01786499994</v>
      </c>
      <c r="L87" s="83">
        <v>73389.315663000001</v>
      </c>
      <c r="M87" s="83">
        <v>1703023.0995329989</v>
      </c>
      <c r="N87" s="83">
        <v>159064.28687699902</v>
      </c>
      <c r="O87" s="83">
        <v>785177.73752799991</v>
      </c>
      <c r="P87" s="83">
        <v>374531.93435699993</v>
      </c>
      <c r="Q87" s="83">
        <v>16429.548910000001</v>
      </c>
      <c r="R87" s="83">
        <v>-108580.74114799895</v>
      </c>
      <c r="S87" s="83">
        <v>402482.58755400003</v>
      </c>
      <c r="T87" s="83">
        <v>0</v>
      </c>
      <c r="U87" s="83">
        <v>5145515.5677054394</v>
      </c>
      <c r="V87" s="83">
        <v>4990902.4668351794</v>
      </c>
      <c r="W87" s="85">
        <v>40.652017346596359</v>
      </c>
      <c r="X87" s="82">
        <v>55</v>
      </c>
      <c r="Y87" s="83">
        <v>611108.64599999995</v>
      </c>
      <c r="Z87" s="83">
        <v>736211.01805800002</v>
      </c>
      <c r="AA87" s="83">
        <v>1427616.3673479999</v>
      </c>
      <c r="AB87" s="83">
        <v>1201680.943434</v>
      </c>
      <c r="AC87" s="86">
        <f t="shared" si="10"/>
        <v>695592.43047999998</v>
      </c>
      <c r="AD87" s="86">
        <f t="shared" si="11"/>
        <v>1729681.4293709998</v>
      </c>
      <c r="AE87" s="86">
        <f t="shared" si="12"/>
        <v>310331.39531600109</v>
      </c>
      <c r="AF87" s="86">
        <f t="shared" si="13"/>
        <v>1729681.4293709998</v>
      </c>
      <c r="AG87" s="87">
        <v>40.21506033818914</v>
      </c>
      <c r="AH87" s="87">
        <v>59.78493966181086</v>
      </c>
      <c r="AI87" s="360">
        <v>9.3401132915118694</v>
      </c>
      <c r="AJ87" s="360">
        <v>20.637702566567782</v>
      </c>
      <c r="AK87" s="360">
        <v>45.257524481637134</v>
      </c>
      <c r="AL87" s="87">
        <v>96.995187385290379</v>
      </c>
      <c r="AM87" s="87">
        <v>3.0048126147096212</v>
      </c>
      <c r="AN87" s="87">
        <v>47.700274276261418</v>
      </c>
      <c r="AO87" s="87">
        <v>70</v>
      </c>
      <c r="AP87" s="360">
        <f t="shared" si="14"/>
        <v>17.941534784752434</v>
      </c>
      <c r="AQ87" s="87">
        <v>40</v>
      </c>
      <c r="AR87" s="360">
        <v>43.609455351631524</v>
      </c>
      <c r="AS87" s="360">
        <v>34.887564281305224</v>
      </c>
      <c r="AT87" s="87">
        <v>14.347982653403641</v>
      </c>
      <c r="AU87" s="87">
        <v>14.890698827065711</v>
      </c>
      <c r="AV87" s="87">
        <v>96.355334427450671</v>
      </c>
      <c r="AW87" s="87">
        <v>120.4713798236787</v>
      </c>
      <c r="AX87" s="87">
        <v>70</v>
      </c>
      <c r="AY87" s="87">
        <v>84.173939926612988</v>
      </c>
      <c r="AZ87" s="87">
        <v>80</v>
      </c>
      <c r="BA87" s="87">
        <v>0.18960691247602626</v>
      </c>
      <c r="BB87" s="87">
        <v>82.118444809150205</v>
      </c>
      <c r="BC87" s="87">
        <v>82.308051721626242</v>
      </c>
      <c r="BD87" s="87">
        <v>16.461610344325248</v>
      </c>
      <c r="BE87" s="68">
        <v>51.311253243135269</v>
      </c>
      <c r="BF87" s="68">
        <v>51.349174625630468</v>
      </c>
      <c r="BG87" s="68" t="s">
        <v>109</v>
      </c>
      <c r="BH87" s="68">
        <f t="shared" si="15"/>
        <v>19</v>
      </c>
    </row>
    <row r="88" spans="1:60" ht="15" x14ac:dyDescent="0.35">
      <c r="A88" s="82" t="s">
        <v>118</v>
      </c>
      <c r="B88" s="81" t="s">
        <v>151</v>
      </c>
      <c r="C88" s="82">
        <v>2022</v>
      </c>
      <c r="D88" s="82" t="s">
        <v>136</v>
      </c>
      <c r="E88" s="147">
        <v>4</v>
      </c>
      <c r="F88" s="152" t="s">
        <v>178</v>
      </c>
      <c r="G88" t="s">
        <v>207</v>
      </c>
      <c r="H88" s="83">
        <v>0</v>
      </c>
      <c r="I88" s="83">
        <v>357451.35559999995</v>
      </c>
      <c r="J88" s="83">
        <v>547267.03744099999</v>
      </c>
      <c r="K88" s="83">
        <v>144048.90871000002</v>
      </c>
      <c r="L88" s="83">
        <v>6760.5772550000002</v>
      </c>
      <c r="M88" s="83">
        <v>503049.57647600002</v>
      </c>
      <c r="N88" s="83">
        <v>27701.972943000001</v>
      </c>
      <c r="O88" s="83">
        <v>151254.14069700002</v>
      </c>
      <c r="P88" s="83">
        <v>95950.82526800003</v>
      </c>
      <c r="Q88" s="83">
        <v>0</v>
      </c>
      <c r="R88" s="83">
        <v>-11085.854463999975</v>
      </c>
      <c r="S88" s="83">
        <v>111976.148084</v>
      </c>
      <c r="T88" s="83">
        <v>0</v>
      </c>
      <c r="U88" s="83">
        <v>1643700.5991958599</v>
      </c>
      <c r="V88" s="83">
        <v>853006.44674622</v>
      </c>
      <c r="W88" s="85">
        <v>39.097334235174152</v>
      </c>
      <c r="X88" s="82">
        <v>70</v>
      </c>
      <c r="Y88" s="83">
        <v>78235.328703000006</v>
      </c>
      <c r="Z88" s="83">
        <v>147287.91797800001</v>
      </c>
      <c r="AA88" s="83">
        <v>503049.57647600002</v>
      </c>
      <c r="AB88" s="83">
        <v>454146.20763899997</v>
      </c>
      <c r="AC88" s="86">
        <f t="shared" si="10"/>
        <v>357451.35559999995</v>
      </c>
      <c r="AD88" s="86">
        <f t="shared" si="11"/>
        <v>547267.03744099999</v>
      </c>
      <c r="AE88" s="86">
        <f t="shared" si="12"/>
        <v>100890.29362000003</v>
      </c>
      <c r="AF88" s="86">
        <f t="shared" si="13"/>
        <v>547267.03744099999</v>
      </c>
      <c r="AG88" s="87">
        <v>65.315710822166267</v>
      </c>
      <c r="AH88" s="87">
        <v>34.684289177833733</v>
      </c>
      <c r="AI88" s="360">
        <v>5.5068077260018589</v>
      </c>
      <c r="AJ88" s="360">
        <v>19.248558960087543</v>
      </c>
      <c r="AK88" s="360">
        <v>28.608935024280971</v>
      </c>
      <c r="AL88" s="87">
        <v>51.895487971686116</v>
      </c>
      <c r="AM88" s="87">
        <v>48.104512028313884</v>
      </c>
      <c r="AN88" s="87">
        <v>63.436825481831661</v>
      </c>
      <c r="AO88" s="87">
        <v>80</v>
      </c>
      <c r="AP88" s="360">
        <f t="shared" si="14"/>
        <v>18.435295151661101</v>
      </c>
      <c r="AQ88" s="87">
        <v>40</v>
      </c>
      <c r="AR88" s="360">
        <v>46.27954724608572</v>
      </c>
      <c r="AS88" s="360">
        <v>37.023637796868577</v>
      </c>
      <c r="AT88" s="87">
        <v>30.902665764825848</v>
      </c>
      <c r="AU88" s="87">
        <v>12.383671405907876</v>
      </c>
      <c r="AV88" s="87">
        <v>100</v>
      </c>
      <c r="AW88" s="87">
        <v>188.26266907772589</v>
      </c>
      <c r="AX88" s="87">
        <v>0</v>
      </c>
      <c r="AY88" s="87">
        <v>90.278618425726236</v>
      </c>
      <c r="AZ88" s="87">
        <v>100</v>
      </c>
      <c r="BA88" s="87">
        <v>0.30030061931231911</v>
      </c>
      <c r="BB88" s="87">
        <v>66.666666666666671</v>
      </c>
      <c r="BC88" s="87">
        <v>66.966967285978996</v>
      </c>
      <c r="BD88" s="87">
        <v>13.393393457195799</v>
      </c>
      <c r="BE88" s="68">
        <v>50.356971130201913</v>
      </c>
      <c r="BF88" s="68">
        <v>50.417031254064376</v>
      </c>
      <c r="BG88" s="68" t="s">
        <v>109</v>
      </c>
      <c r="BH88" s="68">
        <f t="shared" si="15"/>
        <v>20</v>
      </c>
    </row>
    <row r="89" spans="1:60" ht="15" x14ac:dyDescent="0.35">
      <c r="A89" s="82" t="s">
        <v>119</v>
      </c>
      <c r="B89" s="81" t="s">
        <v>167</v>
      </c>
      <c r="C89" s="82">
        <v>2022</v>
      </c>
      <c r="D89" s="82" t="s">
        <v>120</v>
      </c>
      <c r="E89" s="147">
        <v>4</v>
      </c>
      <c r="F89" s="152" t="s">
        <v>178</v>
      </c>
      <c r="G89" t="s">
        <v>210</v>
      </c>
      <c r="H89" s="83">
        <v>21203.164553999999</v>
      </c>
      <c r="I89" s="83">
        <v>109508.94024699999</v>
      </c>
      <c r="J89" s="83">
        <v>187148.714645</v>
      </c>
      <c r="K89" s="83">
        <v>23696.350337</v>
      </c>
      <c r="L89" s="83">
        <v>3070.645368</v>
      </c>
      <c r="M89" s="83">
        <v>188624.65685500001</v>
      </c>
      <c r="N89" s="83">
        <v>5342.921980000001</v>
      </c>
      <c r="O89" s="83">
        <v>47970.160258999997</v>
      </c>
      <c r="P89" s="83">
        <v>25710.889961000001</v>
      </c>
      <c r="Q89" s="83">
        <v>0</v>
      </c>
      <c r="R89" s="83">
        <v>-23735.212507999997</v>
      </c>
      <c r="S89" s="83">
        <v>65302.176076999996</v>
      </c>
      <c r="T89" s="83">
        <v>0</v>
      </c>
      <c r="U89" s="83">
        <v>1017379.44514829</v>
      </c>
      <c r="V89" s="83">
        <v>204422.13386970002</v>
      </c>
      <c r="W89" s="85">
        <v>50.678099567650357</v>
      </c>
      <c r="X89" s="82">
        <v>70</v>
      </c>
      <c r="Y89" s="83">
        <v>19215.554644</v>
      </c>
      <c r="Z89" s="83">
        <v>26165.331584</v>
      </c>
      <c r="AA89" s="83">
        <v>188624.65685500001</v>
      </c>
      <c r="AB89" s="83">
        <v>137886.597962</v>
      </c>
      <c r="AC89" s="86">
        <f t="shared" si="10"/>
        <v>130712.10480099999</v>
      </c>
      <c r="AD89" s="86">
        <f t="shared" si="11"/>
        <v>187148.714645</v>
      </c>
      <c r="AE89" s="86">
        <f t="shared" si="12"/>
        <v>41566.963569</v>
      </c>
      <c r="AF89" s="86">
        <f t="shared" si="13"/>
        <v>187148.714645</v>
      </c>
      <c r="AG89" s="87">
        <v>69.843976780148409</v>
      </c>
      <c r="AH89" s="87">
        <v>30.156023219851591</v>
      </c>
      <c r="AI89" s="360">
        <v>2.8325681642497167</v>
      </c>
      <c r="AJ89" s="360">
        <v>19.248558960087543</v>
      </c>
      <c r="AK89" s="360">
        <v>14.715741423153444</v>
      </c>
      <c r="AL89" s="87">
        <v>20.093008055603491</v>
      </c>
      <c r="AM89" s="87">
        <v>79.906991944396509</v>
      </c>
      <c r="AN89" s="87">
        <v>53.597673683352376</v>
      </c>
      <c r="AO89" s="87">
        <v>70</v>
      </c>
      <c r="AP89" s="360">
        <f t="shared" si="14"/>
        <v>22.210659393438977</v>
      </c>
      <c r="AQ89" s="87">
        <v>20</v>
      </c>
      <c r="AR89" s="360">
        <v>42.955751317480306</v>
      </c>
      <c r="AS89" s="360">
        <v>34.364601053984245</v>
      </c>
      <c r="AT89" s="87">
        <v>19.321900432349643</v>
      </c>
      <c r="AU89" s="87">
        <v>12.383671405907876</v>
      </c>
      <c r="AV89" s="87">
        <v>100</v>
      </c>
      <c r="AW89" s="87">
        <v>136.16745427730888</v>
      </c>
      <c r="AX89" s="87">
        <v>60</v>
      </c>
      <c r="AY89" s="87">
        <v>73.101046417275398</v>
      </c>
      <c r="AZ89" s="87">
        <v>70</v>
      </c>
      <c r="BA89" s="87">
        <v>0.18200620729174866</v>
      </c>
      <c r="BB89" s="87">
        <v>76.666666666666671</v>
      </c>
      <c r="BC89" s="87">
        <v>76.848672873958421</v>
      </c>
      <c r="BD89" s="87">
        <v>15.369734574791686</v>
      </c>
      <c r="BE89" s="68">
        <v>49.697934387317581</v>
      </c>
      <c r="BF89" s="68">
        <v>49.734335628775931</v>
      </c>
      <c r="BG89" s="68" t="s">
        <v>109</v>
      </c>
      <c r="BH89" s="68">
        <f t="shared" si="15"/>
        <v>21</v>
      </c>
    </row>
    <row r="90" spans="1:60" ht="15" customHeight="1" x14ac:dyDescent="0.35">
      <c r="A90" s="82" t="s">
        <v>121</v>
      </c>
      <c r="B90" s="81" t="s">
        <v>144</v>
      </c>
      <c r="C90" s="82">
        <v>2022</v>
      </c>
      <c r="D90" s="82" t="s">
        <v>122</v>
      </c>
      <c r="E90" s="147">
        <v>4</v>
      </c>
      <c r="F90" s="152" t="s">
        <v>178</v>
      </c>
      <c r="G90" t="s">
        <v>214</v>
      </c>
      <c r="H90" s="83">
        <v>0</v>
      </c>
      <c r="I90" s="83">
        <v>241838.70787399999</v>
      </c>
      <c r="J90" s="83">
        <v>376888.02044300002</v>
      </c>
      <c r="K90" s="83">
        <v>68850.132134999993</v>
      </c>
      <c r="L90" s="83">
        <v>30077.805372999999</v>
      </c>
      <c r="M90" s="83">
        <v>403866.28250199993</v>
      </c>
      <c r="N90" s="83">
        <v>6458.7650410000006</v>
      </c>
      <c r="O90" s="83">
        <v>100031.46369799999</v>
      </c>
      <c r="P90" s="83">
        <v>43886.518732999997</v>
      </c>
      <c r="Q90" s="83">
        <v>302.708752</v>
      </c>
      <c r="R90" s="83">
        <v>-28381.571984999871</v>
      </c>
      <c r="S90" s="83">
        <v>80571.011507000003</v>
      </c>
      <c r="T90" s="83">
        <v>0</v>
      </c>
      <c r="U90" s="83">
        <v>1150234.685698</v>
      </c>
      <c r="V90" s="83">
        <v>517183.89894400002</v>
      </c>
      <c r="W90" s="85">
        <v>61.160171155204182</v>
      </c>
      <c r="X90" s="82">
        <v>70</v>
      </c>
      <c r="Y90" s="83">
        <v>58162.722000000002</v>
      </c>
      <c r="Z90" s="83">
        <v>72456.518056000001</v>
      </c>
      <c r="AA90" s="83">
        <v>349124.64746299997</v>
      </c>
      <c r="AB90" s="83">
        <v>316055.321719</v>
      </c>
      <c r="AC90" s="86">
        <f t="shared" si="10"/>
        <v>241838.70787399999</v>
      </c>
      <c r="AD90" s="86">
        <f t="shared" si="11"/>
        <v>376888.02044300002</v>
      </c>
      <c r="AE90" s="86">
        <f t="shared" si="12"/>
        <v>52492.14827400013</v>
      </c>
      <c r="AF90" s="86">
        <f t="shared" si="13"/>
        <v>376888.02044300002</v>
      </c>
      <c r="AG90" s="87">
        <v>64.167257847500437</v>
      </c>
      <c r="AH90" s="87">
        <v>35.832742152499563</v>
      </c>
      <c r="AI90" s="360">
        <v>1.599233538632435</v>
      </c>
      <c r="AJ90" s="360">
        <v>19.248558960087543</v>
      </c>
      <c r="AK90" s="360">
        <v>8.3083286491653379</v>
      </c>
      <c r="AL90" s="87">
        <v>44.963337080219929</v>
      </c>
      <c r="AM90" s="87">
        <v>55.036662919780071</v>
      </c>
      <c r="AN90" s="87">
        <v>43.872714754525234</v>
      </c>
      <c r="AO90" s="87">
        <v>50</v>
      </c>
      <c r="AP90" s="360">
        <f t="shared" si="14"/>
        <v>13.927783698802642</v>
      </c>
      <c r="AQ90" s="87">
        <v>60</v>
      </c>
      <c r="AR90" s="360">
        <v>41.835546744288997</v>
      </c>
      <c r="AS90" s="360">
        <v>33.468437395431202</v>
      </c>
      <c r="AT90" s="87">
        <v>8.839828844795818</v>
      </c>
      <c r="AU90" s="87">
        <v>12.383671405907876</v>
      </c>
      <c r="AV90" s="87">
        <v>71.382940931221754</v>
      </c>
      <c r="AW90" s="87">
        <v>124.57552804354653</v>
      </c>
      <c r="AX90" s="87">
        <v>70</v>
      </c>
      <c r="AY90" s="87">
        <v>90.527931504032622</v>
      </c>
      <c r="AZ90" s="87">
        <v>100</v>
      </c>
      <c r="BA90" s="87">
        <v>0.20559104534780459</v>
      </c>
      <c r="BB90" s="87">
        <v>80.460980310407251</v>
      </c>
      <c r="BC90" s="87">
        <v>80.666571355755053</v>
      </c>
      <c r="BD90" s="87">
        <v>16.133314271151011</v>
      </c>
      <c r="BE90" s="68">
        <v>49.560633457512651</v>
      </c>
      <c r="BF90" s="68">
        <v>49.601751666582217</v>
      </c>
      <c r="BG90" s="68" t="s">
        <v>109</v>
      </c>
      <c r="BH90" s="68">
        <f t="shared" si="15"/>
        <v>22</v>
      </c>
    </row>
    <row r="91" spans="1:60" ht="15" x14ac:dyDescent="0.35">
      <c r="A91" s="82" t="s">
        <v>123</v>
      </c>
      <c r="B91" s="81" t="s">
        <v>169</v>
      </c>
      <c r="C91" s="82">
        <v>2022</v>
      </c>
      <c r="D91" s="82" t="s">
        <v>124</v>
      </c>
      <c r="E91" s="147">
        <v>4</v>
      </c>
      <c r="F91" s="152" t="s">
        <v>178</v>
      </c>
      <c r="G91" t="s">
        <v>210</v>
      </c>
      <c r="H91" s="83">
        <v>24448.164553999999</v>
      </c>
      <c r="I91" s="83">
        <v>87975.558932</v>
      </c>
      <c r="J91" s="83">
        <v>152298.114084</v>
      </c>
      <c r="K91" s="83">
        <v>13674.786845000001</v>
      </c>
      <c r="L91" s="83">
        <v>6242.9669690000001</v>
      </c>
      <c r="M91" s="83">
        <v>151098.856246999</v>
      </c>
      <c r="N91" s="83">
        <v>10863.183561999002</v>
      </c>
      <c r="O91" s="83">
        <v>44438.794859000001</v>
      </c>
      <c r="P91" s="83">
        <v>26944.791105000004</v>
      </c>
      <c r="Q91" s="83">
        <v>0</v>
      </c>
      <c r="R91" s="83">
        <v>-16294.745916999003</v>
      </c>
      <c r="S91" s="83">
        <v>74062.254142999998</v>
      </c>
      <c r="T91" s="83">
        <v>0</v>
      </c>
      <c r="U91" s="83">
        <v>683455.55801389995</v>
      </c>
      <c r="V91" s="83">
        <v>68390.571605749996</v>
      </c>
      <c r="W91" s="85">
        <v>39.780076251264006</v>
      </c>
      <c r="X91" s="82">
        <v>70</v>
      </c>
      <c r="Y91" s="83">
        <v>11368.936368999999</v>
      </c>
      <c r="Z91" s="83">
        <v>17932.211865000001</v>
      </c>
      <c r="AA91" s="83">
        <v>151098.85624699999</v>
      </c>
      <c r="AB91" s="83">
        <v>123447.304775</v>
      </c>
      <c r="AC91" s="86">
        <f t="shared" si="10"/>
        <v>112423.723486</v>
      </c>
      <c r="AD91" s="86">
        <f t="shared" si="11"/>
        <v>152298.114084</v>
      </c>
      <c r="AE91" s="86">
        <f t="shared" si="12"/>
        <v>57767.508226000995</v>
      </c>
      <c r="AF91" s="86">
        <f t="shared" si="13"/>
        <v>152298.114084</v>
      </c>
      <c r="AG91" s="87">
        <v>73.818198053321083</v>
      </c>
      <c r="AH91" s="87">
        <v>26.181801946678917</v>
      </c>
      <c r="AI91" s="360">
        <v>7.1894545278629511</v>
      </c>
      <c r="AJ91" s="360">
        <v>19.248558960087543</v>
      </c>
      <c r="AK91" s="360">
        <v>37.350611766680814</v>
      </c>
      <c r="AL91" s="87">
        <v>10.006586500589858</v>
      </c>
      <c r="AM91" s="87">
        <v>89.993413499410138</v>
      </c>
      <c r="AN91" s="87">
        <v>60.633487452783584</v>
      </c>
      <c r="AO91" s="87">
        <v>80</v>
      </c>
      <c r="AP91" s="360">
        <f t="shared" si="14"/>
        <v>37.930547317309085</v>
      </c>
      <c r="AQ91" s="87">
        <v>0</v>
      </c>
      <c r="AR91" s="360">
        <v>46.70516544255397</v>
      </c>
      <c r="AS91" s="360">
        <v>37.364132354043178</v>
      </c>
      <c r="AT91" s="87">
        <v>30.219923748735994</v>
      </c>
      <c r="AU91" s="87">
        <v>12.383671405907876</v>
      </c>
      <c r="AV91" s="87">
        <v>100</v>
      </c>
      <c r="AW91" s="87">
        <v>157.72989911260538</v>
      </c>
      <c r="AX91" s="87">
        <v>0</v>
      </c>
      <c r="AY91" s="87">
        <v>81.699695048122507</v>
      </c>
      <c r="AZ91" s="87">
        <v>80</v>
      </c>
      <c r="BA91" s="87">
        <v>0</v>
      </c>
      <c r="BB91" s="87">
        <v>60</v>
      </c>
      <c r="BC91" s="87">
        <v>60</v>
      </c>
      <c r="BD91" s="87">
        <v>12</v>
      </c>
      <c r="BE91" s="68">
        <v>49.364132354043178</v>
      </c>
      <c r="BF91" s="68">
        <v>49.364132354043178</v>
      </c>
      <c r="BG91" s="68" t="s">
        <v>109</v>
      </c>
      <c r="BH91" s="68">
        <f t="shared" si="15"/>
        <v>23</v>
      </c>
    </row>
    <row r="92" spans="1:60" ht="15" customHeight="1" x14ac:dyDescent="0.35">
      <c r="A92" s="82" t="s">
        <v>125</v>
      </c>
      <c r="B92" s="81" t="s">
        <v>163</v>
      </c>
      <c r="C92" s="82">
        <v>2022</v>
      </c>
      <c r="D92" s="82" t="s">
        <v>22</v>
      </c>
      <c r="E92" s="126">
        <v>3</v>
      </c>
      <c r="F92" s="152" t="s">
        <v>178</v>
      </c>
      <c r="G92" t="s">
        <v>210</v>
      </c>
      <c r="H92" s="83">
        <v>21414.164553999999</v>
      </c>
      <c r="I92" s="83">
        <v>204418.17079199999</v>
      </c>
      <c r="J92" s="83">
        <v>456087.67351399997</v>
      </c>
      <c r="K92" s="83">
        <v>135227.122049</v>
      </c>
      <c r="L92" s="83">
        <v>29152.457986000001</v>
      </c>
      <c r="M92" s="83">
        <v>878544.21789800003</v>
      </c>
      <c r="N92" s="83">
        <v>0</v>
      </c>
      <c r="O92" s="83">
        <v>187460.669887</v>
      </c>
      <c r="P92" s="83">
        <v>103225.843999</v>
      </c>
      <c r="Q92" s="83">
        <v>0</v>
      </c>
      <c r="R92" s="83">
        <v>-39510.302674999984</v>
      </c>
      <c r="S92" s="83">
        <v>95431.227178999994</v>
      </c>
      <c r="T92" s="83">
        <v>0</v>
      </c>
      <c r="U92" s="83">
        <v>2916766.6471600602</v>
      </c>
      <c r="V92" s="83">
        <v>570195.25089145999</v>
      </c>
      <c r="W92" s="85">
        <v>68.72220498254265</v>
      </c>
      <c r="X92" s="82">
        <v>70</v>
      </c>
      <c r="Y92" s="83">
        <v>92449.080071999997</v>
      </c>
      <c r="Z92" s="83">
        <v>163265.83620600001</v>
      </c>
      <c r="AA92" s="83">
        <v>411363.15030099999</v>
      </c>
      <c r="AB92" s="83">
        <v>350125.29098300001</v>
      </c>
      <c r="AC92" s="86">
        <f t="shared" si="10"/>
        <v>225832.33534599998</v>
      </c>
      <c r="AD92" s="86">
        <f t="shared" si="11"/>
        <v>456087.67351399997</v>
      </c>
      <c r="AE92" s="86">
        <f t="shared" si="12"/>
        <v>55920.92450400001</v>
      </c>
      <c r="AF92" s="86">
        <f t="shared" si="13"/>
        <v>456087.67351399997</v>
      </c>
      <c r="AG92" s="87">
        <v>49.51511484755526</v>
      </c>
      <c r="AH92" s="87">
        <v>50.48488515244474</v>
      </c>
      <c r="AI92" s="360">
        <v>0</v>
      </c>
      <c r="AJ92" s="360">
        <v>10.582820860904658</v>
      </c>
      <c r="AK92" s="360">
        <v>0</v>
      </c>
      <c r="AL92" s="87">
        <v>19.548881342517969</v>
      </c>
      <c r="AM92" s="87">
        <v>80.451118657482027</v>
      </c>
      <c r="AN92" s="87">
        <v>55.065334003780009</v>
      </c>
      <c r="AO92" s="87">
        <v>80</v>
      </c>
      <c r="AP92" s="360">
        <f t="shared" si="14"/>
        <v>12.261003256928293</v>
      </c>
      <c r="AQ92" s="87">
        <v>60</v>
      </c>
      <c r="AR92" s="360">
        <v>54.187200761985352</v>
      </c>
      <c r="AS92" s="360">
        <v>43.349760609588287</v>
      </c>
      <c r="AT92" s="87">
        <v>1.2777950174573505</v>
      </c>
      <c r="AU92" s="87">
        <v>14.279616044593576</v>
      </c>
      <c r="AV92" s="87">
        <v>8.9483849808492426</v>
      </c>
      <c r="AW92" s="87">
        <v>176.60082293825684</v>
      </c>
      <c r="AX92" s="87">
        <v>0</v>
      </c>
      <c r="AY92" s="87">
        <v>85.113430973777938</v>
      </c>
      <c r="AZ92" s="87">
        <v>80</v>
      </c>
      <c r="BA92" s="87">
        <v>0.22704073524496227</v>
      </c>
      <c r="BB92" s="87">
        <v>29.64946166028308</v>
      </c>
      <c r="BC92" s="87">
        <v>29.876502395528043</v>
      </c>
      <c r="BD92" s="87">
        <v>5.9753004791056092</v>
      </c>
      <c r="BE92" s="68">
        <v>49.279652941644905</v>
      </c>
      <c r="BF92" s="68">
        <v>49.3250610886939</v>
      </c>
      <c r="BG92" s="68" t="s">
        <v>109</v>
      </c>
      <c r="BH92" s="68">
        <f t="shared" si="15"/>
        <v>24</v>
      </c>
    </row>
    <row r="93" spans="1:60" ht="15" customHeight="1" x14ac:dyDescent="0.35">
      <c r="A93" s="82" t="s">
        <v>126</v>
      </c>
      <c r="B93" s="81" t="s">
        <v>145</v>
      </c>
      <c r="C93" s="82">
        <v>2022</v>
      </c>
      <c r="D93" s="82" t="s">
        <v>8</v>
      </c>
      <c r="E93" s="126">
        <v>3</v>
      </c>
      <c r="F93" s="152" t="s">
        <v>178</v>
      </c>
      <c r="G93" t="s">
        <v>215</v>
      </c>
      <c r="H93" s="83">
        <v>0</v>
      </c>
      <c r="I93" s="83">
        <v>1001504.451166</v>
      </c>
      <c r="J93" s="83">
        <v>1402957.1760780001</v>
      </c>
      <c r="K93" s="83">
        <v>148387.05001800001</v>
      </c>
      <c r="L93" s="83">
        <v>114218.50507699999</v>
      </c>
      <c r="M93" s="83">
        <v>1327799.3988300003</v>
      </c>
      <c r="N93" s="83">
        <v>1027.1153749999999</v>
      </c>
      <c r="O93" s="83">
        <v>263702.73362200003</v>
      </c>
      <c r="P93" s="83">
        <v>146927.80170400103</v>
      </c>
      <c r="Q93" s="83">
        <v>1371.576468</v>
      </c>
      <c r="R93" s="83">
        <v>73471.070431000786</v>
      </c>
      <c r="S93" s="83">
        <v>275881.29616500001</v>
      </c>
      <c r="T93" s="83">
        <v>0</v>
      </c>
      <c r="U93" s="83">
        <v>3328135.1911249999</v>
      </c>
      <c r="V93" s="83">
        <v>1384787.928692</v>
      </c>
      <c r="W93" s="85">
        <v>46.114558996883325</v>
      </c>
      <c r="X93" s="82">
        <v>70</v>
      </c>
      <c r="Y93" s="83">
        <v>122812.919532</v>
      </c>
      <c r="Z93" s="83">
        <v>161072.63925199999</v>
      </c>
      <c r="AA93" s="83">
        <v>1212711.1737289999</v>
      </c>
      <c r="AB93" s="83">
        <v>1178807.770673</v>
      </c>
      <c r="AC93" s="86">
        <f t="shared" si="10"/>
        <v>1001504.451166</v>
      </c>
      <c r="AD93" s="86">
        <f t="shared" si="11"/>
        <v>1402957.1760780001</v>
      </c>
      <c r="AE93" s="86">
        <f t="shared" si="12"/>
        <v>350723.94306400081</v>
      </c>
      <c r="AF93" s="86">
        <f t="shared" si="13"/>
        <v>1402957.1760780001</v>
      </c>
      <c r="AG93" s="87">
        <v>71.385247407602932</v>
      </c>
      <c r="AH93" s="87">
        <v>28.614752592397068</v>
      </c>
      <c r="AI93" s="360">
        <v>7.7354710049202441E-2</v>
      </c>
      <c r="AJ93" s="360">
        <v>10.582820860904658</v>
      </c>
      <c r="AK93" s="360">
        <v>0.73094604043585676</v>
      </c>
      <c r="AL93" s="87">
        <v>41.608523968159602</v>
      </c>
      <c r="AM93" s="87">
        <v>58.391476031840398</v>
      </c>
      <c r="AN93" s="87">
        <v>55.717208420983631</v>
      </c>
      <c r="AO93" s="87">
        <v>80</v>
      </c>
      <c r="AP93" s="360">
        <f t="shared" si="14"/>
        <v>24.998905814392558</v>
      </c>
      <c r="AQ93" s="87">
        <v>20</v>
      </c>
      <c r="AR93" s="360">
        <v>37.547434932934664</v>
      </c>
      <c r="AS93" s="360">
        <v>30.037947946347732</v>
      </c>
      <c r="AT93" s="87">
        <v>23.885441003116675</v>
      </c>
      <c r="AU93" s="87">
        <v>14.279616044593576</v>
      </c>
      <c r="AV93" s="87">
        <v>100</v>
      </c>
      <c r="AW93" s="87">
        <v>131.1528460245024</v>
      </c>
      <c r="AX93" s="87">
        <v>60</v>
      </c>
      <c r="AY93" s="87">
        <v>97.204329951727146</v>
      </c>
      <c r="AZ93" s="87">
        <v>100</v>
      </c>
      <c r="BA93" s="87">
        <v>0.14731909783062724</v>
      </c>
      <c r="BB93" s="87">
        <v>86.666666666666671</v>
      </c>
      <c r="BC93" s="87">
        <v>86.813985764497303</v>
      </c>
      <c r="BD93" s="87">
        <v>17.362797152899461</v>
      </c>
      <c r="BE93" s="68">
        <v>47.371281279681071</v>
      </c>
      <c r="BF93" s="68">
        <v>47.400745099247189</v>
      </c>
      <c r="BG93" s="68" t="s">
        <v>109</v>
      </c>
      <c r="BH93" s="68">
        <f t="shared" si="15"/>
        <v>25</v>
      </c>
    </row>
    <row r="94" spans="1:60" ht="14.4" customHeight="1" x14ac:dyDescent="0.35">
      <c r="A94" s="82" t="s">
        <v>127</v>
      </c>
      <c r="B94" s="81" t="s">
        <v>154</v>
      </c>
      <c r="C94" s="82">
        <v>2022</v>
      </c>
      <c r="D94" s="82" t="s">
        <v>14</v>
      </c>
      <c r="E94" s="147">
        <v>2</v>
      </c>
      <c r="F94" s="152" t="s">
        <v>178</v>
      </c>
      <c r="G94" t="s">
        <v>215</v>
      </c>
      <c r="H94" s="83">
        <v>0</v>
      </c>
      <c r="I94" s="83">
        <v>727175.85146699997</v>
      </c>
      <c r="J94" s="83">
        <v>1296323.6730729998</v>
      </c>
      <c r="K94" s="83">
        <v>246455.63723999998</v>
      </c>
      <c r="L94" s="83">
        <v>104368.300821</v>
      </c>
      <c r="M94" s="83">
        <v>1229271.0733440004</v>
      </c>
      <c r="N94" s="83">
        <v>94211.542596999992</v>
      </c>
      <c r="O94" s="83">
        <v>355292.26555099996</v>
      </c>
      <c r="P94" s="83">
        <v>209258.19138999996</v>
      </c>
      <c r="Q94" s="83">
        <v>0</v>
      </c>
      <c r="R94" s="83">
        <v>50733.014281999553</v>
      </c>
      <c r="S94" s="83">
        <v>234199.52967600001</v>
      </c>
      <c r="T94" s="83">
        <v>0</v>
      </c>
      <c r="U94" s="83">
        <v>3465952.4058371698</v>
      </c>
      <c r="V94" s="83">
        <v>2303160.62849788</v>
      </c>
      <c r="W94" s="85">
        <v>35.566961271585733</v>
      </c>
      <c r="X94" s="82">
        <v>60</v>
      </c>
      <c r="Y94" s="83">
        <v>133375.67124699999</v>
      </c>
      <c r="Z94" s="83">
        <v>176621.18709799999</v>
      </c>
      <c r="AA94" s="83">
        <v>1060841.818407</v>
      </c>
      <c r="AB94" s="83">
        <v>953878.26940500003</v>
      </c>
      <c r="AC94" s="86">
        <f t="shared" si="10"/>
        <v>727175.85146699997</v>
      </c>
      <c r="AD94" s="86">
        <f t="shared" si="11"/>
        <v>1296323.6730729998</v>
      </c>
      <c r="AE94" s="86">
        <f t="shared" si="12"/>
        <v>284932.54395799956</v>
      </c>
      <c r="AF94" s="86">
        <f t="shared" si="13"/>
        <v>1296323.6730729998</v>
      </c>
      <c r="AG94" s="87">
        <v>56.095238139344737</v>
      </c>
      <c r="AH94" s="87">
        <v>43.904761860655263</v>
      </c>
      <c r="AI94" s="360">
        <v>7.6640168828438497</v>
      </c>
      <c r="AJ94" s="360">
        <v>56.917472858183885</v>
      </c>
      <c r="AK94" s="360">
        <v>13.465139082930801</v>
      </c>
      <c r="AL94" s="87">
        <v>66.451017175510586</v>
      </c>
      <c r="AM94" s="87">
        <v>33.548982824489414</v>
      </c>
      <c r="AN94" s="87">
        <v>58.897480097258772</v>
      </c>
      <c r="AO94" s="87">
        <v>80</v>
      </c>
      <c r="AP94" s="360">
        <f t="shared" si="14"/>
        <v>21.980046332298535</v>
      </c>
      <c r="AQ94" s="87">
        <v>20</v>
      </c>
      <c r="AR94" s="360">
        <v>38.183776753615099</v>
      </c>
      <c r="AS94" s="360">
        <v>30.547021402892081</v>
      </c>
      <c r="AT94" s="87">
        <v>24.433038728414267</v>
      </c>
      <c r="AU94" s="87">
        <v>17.363438674099687</v>
      </c>
      <c r="AV94" s="87">
        <v>100</v>
      </c>
      <c r="AW94" s="87">
        <v>132.42384120482748</v>
      </c>
      <c r="AX94" s="87">
        <v>60</v>
      </c>
      <c r="AY94" s="87">
        <v>89.917106665099183</v>
      </c>
      <c r="AZ94" s="87">
        <v>80</v>
      </c>
      <c r="BA94" s="87">
        <v>0.19126899605320691</v>
      </c>
      <c r="BB94" s="87">
        <v>80</v>
      </c>
      <c r="BC94" s="87">
        <v>80.191268996053211</v>
      </c>
      <c r="BD94" s="87">
        <v>16.038253799210644</v>
      </c>
      <c r="BE94" s="68">
        <v>46.547021402892085</v>
      </c>
      <c r="BF94" s="68">
        <v>46.585275202102721</v>
      </c>
      <c r="BG94" s="68" t="s">
        <v>109</v>
      </c>
      <c r="BH94" s="68">
        <f t="shared" si="15"/>
        <v>26</v>
      </c>
    </row>
    <row r="95" spans="1:60" ht="15" customHeight="1" x14ac:dyDescent="0.35">
      <c r="A95" s="82" t="s">
        <v>128</v>
      </c>
      <c r="B95" s="81" t="s">
        <v>142</v>
      </c>
      <c r="C95" s="82">
        <v>2022</v>
      </c>
      <c r="D95" s="82" t="s">
        <v>176</v>
      </c>
      <c r="E95" s="146">
        <v>1</v>
      </c>
      <c r="F95" s="152" t="s">
        <v>178</v>
      </c>
      <c r="G95" t="s">
        <v>208</v>
      </c>
      <c r="H95" s="83">
        <v>0</v>
      </c>
      <c r="I95" s="83">
        <v>719740.04197200004</v>
      </c>
      <c r="J95" s="83">
        <v>1291822.9808430001</v>
      </c>
      <c r="K95" s="83">
        <v>403773.56935400009</v>
      </c>
      <c r="L95" s="83">
        <v>38371.823922999996</v>
      </c>
      <c r="M95" s="83">
        <v>1255995.2632489989</v>
      </c>
      <c r="N95" s="83">
        <v>3259.221618</v>
      </c>
      <c r="O95" s="83">
        <v>444596.07160800009</v>
      </c>
      <c r="P95" s="83">
        <v>267347.62609500007</v>
      </c>
      <c r="Q95" s="83">
        <v>10637.919648999999</v>
      </c>
      <c r="R95" s="83">
        <v>-11832.686692998977</v>
      </c>
      <c r="S95" s="83">
        <v>262243.75168300001</v>
      </c>
      <c r="T95" s="83">
        <v>0</v>
      </c>
      <c r="U95" s="83">
        <v>4326882.6956350002</v>
      </c>
      <c r="V95" s="83">
        <v>3072938.6689309999</v>
      </c>
      <c r="W95" s="85">
        <v>34.899107685839823</v>
      </c>
      <c r="X95" s="82">
        <v>55</v>
      </c>
      <c r="Y95" s="83">
        <v>346458.587</v>
      </c>
      <c r="Z95" s="83">
        <v>416971.42256699997</v>
      </c>
      <c r="AA95" s="83">
        <v>1126407.222023</v>
      </c>
      <c r="AB95" s="83">
        <v>992648.88413599995</v>
      </c>
      <c r="AC95" s="86">
        <f t="shared" si="10"/>
        <v>719740.04197200004</v>
      </c>
      <c r="AD95" s="86">
        <f t="shared" si="11"/>
        <v>1291822.9808430001</v>
      </c>
      <c r="AE95" s="86">
        <f t="shared" si="12"/>
        <v>261048.98463900102</v>
      </c>
      <c r="AF95" s="86">
        <f t="shared" si="13"/>
        <v>1291822.9808430001</v>
      </c>
      <c r="AG95" s="87">
        <v>55.715067206988522</v>
      </c>
      <c r="AH95" s="87">
        <v>44.284932793011478</v>
      </c>
      <c r="AI95" s="360">
        <v>0.25949314566434512</v>
      </c>
      <c r="AJ95" s="360">
        <v>20.637702566567782</v>
      </c>
      <c r="AK95" s="360">
        <v>1.2573741908884433</v>
      </c>
      <c r="AL95" s="87">
        <v>71.019689811119889</v>
      </c>
      <c r="AM95" s="87">
        <v>28.980310188880111</v>
      </c>
      <c r="AN95" s="87">
        <v>60.132700931896721</v>
      </c>
      <c r="AO95" s="87">
        <v>80</v>
      </c>
      <c r="AP95" s="360">
        <f t="shared" si="14"/>
        <v>20.207798476278015</v>
      </c>
      <c r="AQ95" s="87">
        <v>20</v>
      </c>
      <c r="AR95" s="360">
        <v>34.904523434556005</v>
      </c>
      <c r="AS95" s="360">
        <v>27.923618747644806</v>
      </c>
      <c r="AT95" s="87">
        <v>20.100892314160177</v>
      </c>
      <c r="AU95" s="87">
        <v>14.890698827065711</v>
      </c>
      <c r="AV95" s="87">
        <v>100</v>
      </c>
      <c r="AW95" s="87">
        <v>120.35245718040174</v>
      </c>
      <c r="AX95" s="87">
        <v>70</v>
      </c>
      <c r="AY95" s="87">
        <v>88.125223696029465</v>
      </c>
      <c r="AZ95" s="87">
        <v>80</v>
      </c>
      <c r="BA95" s="87">
        <v>0.17729082663059426</v>
      </c>
      <c r="BB95" s="87">
        <v>83.333333333333329</v>
      </c>
      <c r="BC95" s="87">
        <v>83.510624159963925</v>
      </c>
      <c r="BD95" s="87">
        <v>16.702124831992787</v>
      </c>
      <c r="BE95" s="68">
        <v>44.590285414311474</v>
      </c>
      <c r="BF95" s="68">
        <v>44.625743579637593</v>
      </c>
      <c r="BG95" s="68" t="s">
        <v>109</v>
      </c>
      <c r="BH95" s="68">
        <f t="shared" si="15"/>
        <v>27</v>
      </c>
    </row>
    <row r="96" spans="1:60" ht="15" x14ac:dyDescent="0.35">
      <c r="A96" s="82" t="s">
        <v>129</v>
      </c>
      <c r="B96" s="81" t="s">
        <v>147</v>
      </c>
      <c r="C96" s="82">
        <v>2022</v>
      </c>
      <c r="D96" s="82" t="s">
        <v>130</v>
      </c>
      <c r="E96" s="147">
        <v>2</v>
      </c>
      <c r="F96" s="152" t="s">
        <v>178</v>
      </c>
      <c r="G96" t="s">
        <v>207</v>
      </c>
      <c r="H96" s="83">
        <v>0</v>
      </c>
      <c r="I96" s="83">
        <v>908501.80338100006</v>
      </c>
      <c r="J96" s="83">
        <v>1374879.8797130003</v>
      </c>
      <c r="K96" s="83">
        <v>289200.84723499999</v>
      </c>
      <c r="L96" s="83">
        <v>25375.170160999998</v>
      </c>
      <c r="M96" s="83">
        <v>1485072.416281</v>
      </c>
      <c r="N96" s="83">
        <v>204969.961954</v>
      </c>
      <c r="O96" s="83">
        <v>314971.69619699998</v>
      </c>
      <c r="P96" s="83">
        <v>123479.564908</v>
      </c>
      <c r="Q96" s="83">
        <v>10849.335374</v>
      </c>
      <c r="R96" s="83">
        <v>-41712.905881999759</v>
      </c>
      <c r="S96" s="83">
        <v>236668.94558</v>
      </c>
      <c r="T96" s="83">
        <v>0</v>
      </c>
      <c r="U96" s="83">
        <v>2987369.2097149198</v>
      </c>
      <c r="V96" s="83">
        <v>2370908.1765469201</v>
      </c>
      <c r="W96" s="85">
        <v>52.689214060559351</v>
      </c>
      <c r="X96" s="82">
        <v>60</v>
      </c>
      <c r="Y96" s="83">
        <v>239593.62985900001</v>
      </c>
      <c r="Z96" s="83">
        <v>300173.98116000002</v>
      </c>
      <c r="AA96" s="83">
        <v>1225100.6543060001</v>
      </c>
      <c r="AB96" s="83">
        <v>1083150.0963920001</v>
      </c>
      <c r="AC96" s="86">
        <f t="shared" si="10"/>
        <v>908501.80338100006</v>
      </c>
      <c r="AD96" s="86">
        <f t="shared" si="11"/>
        <v>1374879.8797130003</v>
      </c>
      <c r="AE96" s="86">
        <f t="shared" si="12"/>
        <v>205805.37507200026</v>
      </c>
      <c r="AF96" s="86">
        <f t="shared" si="13"/>
        <v>1374879.8797130003</v>
      </c>
      <c r="AG96" s="87">
        <v>66.078631070711822</v>
      </c>
      <c r="AH96" s="87">
        <v>33.921368929288178</v>
      </c>
      <c r="AI96" s="360">
        <v>13.802017982887127</v>
      </c>
      <c r="AJ96" s="360">
        <v>56.917472858183885</v>
      </c>
      <c r="AK96" s="360">
        <v>24.249175674535596</v>
      </c>
      <c r="AL96" s="87">
        <v>79.36441765673726</v>
      </c>
      <c r="AM96" s="87">
        <v>20.63558234326274</v>
      </c>
      <c r="AN96" s="87">
        <v>39.203384430697966</v>
      </c>
      <c r="AO96" s="87">
        <v>50</v>
      </c>
      <c r="AP96" s="360">
        <f t="shared" si="14"/>
        <v>14.968971334060191</v>
      </c>
      <c r="AQ96" s="87">
        <v>60</v>
      </c>
      <c r="AR96" s="360">
        <v>37.761225389417305</v>
      </c>
      <c r="AS96" s="360">
        <v>30.208980311533846</v>
      </c>
      <c r="AT96" s="87">
        <v>7.3107859394406489</v>
      </c>
      <c r="AU96" s="87">
        <v>17.363438674099687</v>
      </c>
      <c r="AV96" s="87">
        <v>42.10448216312038</v>
      </c>
      <c r="AW96" s="87">
        <v>125.28462519502349</v>
      </c>
      <c r="AX96" s="87">
        <v>70</v>
      </c>
      <c r="AY96" s="87">
        <v>88.41315140800306</v>
      </c>
      <c r="AZ96" s="87">
        <v>80</v>
      </c>
      <c r="BA96" s="87">
        <v>0.23810333908707426</v>
      </c>
      <c r="BB96" s="87">
        <v>64.034827387706798</v>
      </c>
      <c r="BC96" s="87">
        <v>64.272930726793874</v>
      </c>
      <c r="BD96" s="87">
        <v>12.854586145358775</v>
      </c>
      <c r="BE96" s="68">
        <v>43.015945789075204</v>
      </c>
      <c r="BF96" s="68">
        <v>43.063566456892623</v>
      </c>
      <c r="BG96" s="68" t="s">
        <v>109</v>
      </c>
      <c r="BH96" s="68">
        <f t="shared" si="15"/>
        <v>28</v>
      </c>
    </row>
    <row r="97" spans="1:60" ht="15" x14ac:dyDescent="0.35">
      <c r="A97" s="82" t="s">
        <v>131</v>
      </c>
      <c r="B97" s="81" t="s">
        <v>166</v>
      </c>
      <c r="C97" s="82">
        <v>2022</v>
      </c>
      <c r="D97" s="82" t="s">
        <v>24</v>
      </c>
      <c r="E97" s="147">
        <v>4</v>
      </c>
      <c r="F97" s="152" t="s">
        <v>178</v>
      </c>
      <c r="G97" t="s">
        <v>214</v>
      </c>
      <c r="H97" s="83">
        <v>27484.375062999999</v>
      </c>
      <c r="I97" s="83">
        <v>147377.69007300001</v>
      </c>
      <c r="J97" s="83">
        <v>237060.88230500001</v>
      </c>
      <c r="K97" s="83">
        <v>18643.743096999999</v>
      </c>
      <c r="L97" s="83">
        <v>4467.7941929999997</v>
      </c>
      <c r="M97" s="83">
        <v>211744.89240300001</v>
      </c>
      <c r="N97" s="83">
        <v>0</v>
      </c>
      <c r="O97" s="83">
        <v>50939.673945999995</v>
      </c>
      <c r="P97" s="83">
        <v>20439.834503999999</v>
      </c>
      <c r="Q97" s="83">
        <v>0</v>
      </c>
      <c r="R97" s="83">
        <v>-5183.8495399999956</v>
      </c>
      <c r="S97" s="83">
        <v>62583.543255999997</v>
      </c>
      <c r="T97" s="83">
        <v>0</v>
      </c>
      <c r="U97" s="83">
        <v>1026020.419626</v>
      </c>
      <c r="V97" s="83">
        <v>357726.83288100001</v>
      </c>
      <c r="W97" s="85">
        <v>58.585303491843845</v>
      </c>
      <c r="X97" s="82">
        <v>70</v>
      </c>
      <c r="Y97" s="83">
        <v>18079.069972000001</v>
      </c>
      <c r="Z97" s="83">
        <v>20048.682058999999</v>
      </c>
      <c r="AA97" s="83">
        <v>211744.89240300001</v>
      </c>
      <c r="AB97" s="83">
        <v>167261.16360599999</v>
      </c>
      <c r="AC97" s="86">
        <f t="shared" si="10"/>
        <v>174862.06513599999</v>
      </c>
      <c r="AD97" s="86">
        <f t="shared" si="11"/>
        <v>237060.88230500001</v>
      </c>
      <c r="AE97" s="86">
        <f t="shared" si="12"/>
        <v>57399.693716000002</v>
      </c>
      <c r="AF97" s="86">
        <f t="shared" si="13"/>
        <v>237060.88230500001</v>
      </c>
      <c r="AG97" s="87">
        <v>73.762513425148029</v>
      </c>
      <c r="AH97" s="87">
        <v>26.237486574851971</v>
      </c>
      <c r="AI97" s="360">
        <v>0</v>
      </c>
      <c r="AJ97" s="360">
        <v>19.248558960087543</v>
      </c>
      <c r="AK97" s="360">
        <v>0</v>
      </c>
      <c r="AL97" s="87">
        <v>34.865469150350528</v>
      </c>
      <c r="AM97" s="87">
        <v>65.134530849649479</v>
      </c>
      <c r="AN97" s="87">
        <v>40.125569954899611</v>
      </c>
      <c r="AO97" s="87">
        <v>50</v>
      </c>
      <c r="AP97" s="360">
        <f t="shared" si="14"/>
        <v>24.213060019809664</v>
      </c>
      <c r="AQ97" s="87">
        <v>20</v>
      </c>
      <c r="AR97" s="360">
        <v>32.27440348490029</v>
      </c>
      <c r="AS97" s="360">
        <v>25.819522787920235</v>
      </c>
      <c r="AT97" s="87">
        <v>11.414696508156155</v>
      </c>
      <c r="AU97" s="87">
        <v>12.383671405907876</v>
      </c>
      <c r="AV97" s="87">
        <v>92.175382679409182</v>
      </c>
      <c r="AW97" s="87">
        <v>110.89443256788341</v>
      </c>
      <c r="AX97" s="87">
        <v>80</v>
      </c>
      <c r="AY97" s="87">
        <v>78.991829133551377</v>
      </c>
      <c r="AZ97" s="87">
        <v>70</v>
      </c>
      <c r="BA97" s="87">
        <v>0.23296800301111475</v>
      </c>
      <c r="BB97" s="87">
        <v>80.725127559803056</v>
      </c>
      <c r="BC97" s="87">
        <v>80.958095562814165</v>
      </c>
      <c r="BD97" s="87">
        <v>16.191619112562833</v>
      </c>
      <c r="BE97" s="68">
        <v>41.964548299880846</v>
      </c>
      <c r="BF97" s="68">
        <v>42.011141900483068</v>
      </c>
      <c r="BG97" s="68" t="s">
        <v>109</v>
      </c>
      <c r="BH97" s="68">
        <f t="shared" si="15"/>
        <v>29</v>
      </c>
    </row>
    <row r="98" spans="1:60" ht="15" customHeight="1" x14ac:dyDescent="0.35">
      <c r="A98" s="82" t="s">
        <v>132</v>
      </c>
      <c r="B98" s="81" t="s">
        <v>141</v>
      </c>
      <c r="C98" s="82">
        <v>2022</v>
      </c>
      <c r="D98" s="82" t="s">
        <v>133</v>
      </c>
      <c r="E98" s="146">
        <v>1</v>
      </c>
      <c r="F98" s="152" t="s">
        <v>178</v>
      </c>
      <c r="G98" t="s">
        <v>207</v>
      </c>
      <c r="H98" s="83">
        <v>0</v>
      </c>
      <c r="I98" s="83">
        <v>827847.98440900003</v>
      </c>
      <c r="J98" s="83">
        <v>1651003.351267</v>
      </c>
      <c r="K98" s="83">
        <v>382618.33313899999</v>
      </c>
      <c r="L98" s="83">
        <v>139073.58487799999</v>
      </c>
      <c r="M98" s="83">
        <v>1773408.3013679991</v>
      </c>
      <c r="N98" s="83">
        <v>0</v>
      </c>
      <c r="O98" s="83">
        <v>521691.91801699996</v>
      </c>
      <c r="P98" s="83">
        <v>191103.50160199997</v>
      </c>
      <c r="Q98" s="83">
        <v>14769.883715</v>
      </c>
      <c r="R98" s="83">
        <v>103732.41791800107</v>
      </c>
      <c r="S98" s="83">
        <v>191626.57978599999</v>
      </c>
      <c r="T98" s="83">
        <v>0</v>
      </c>
      <c r="U98" s="83">
        <v>4312832.9145214604</v>
      </c>
      <c r="V98" s="83">
        <v>2581812.4645820302</v>
      </c>
      <c r="W98" s="85">
        <v>52.814365072053427</v>
      </c>
      <c r="X98" s="82">
        <v>55</v>
      </c>
      <c r="Y98" s="83">
        <v>371834.696772</v>
      </c>
      <c r="Z98" s="83">
        <v>404405.57156100002</v>
      </c>
      <c r="AA98" s="83">
        <v>1221682.516934</v>
      </c>
      <c r="AB98" s="83">
        <v>1046056.8068350001</v>
      </c>
      <c r="AC98" s="86">
        <f t="shared" si="10"/>
        <v>827847.98440900003</v>
      </c>
      <c r="AD98" s="86">
        <f t="shared" si="11"/>
        <v>1651003.351267</v>
      </c>
      <c r="AE98" s="86">
        <f t="shared" si="12"/>
        <v>310128.88141900103</v>
      </c>
      <c r="AF98" s="86">
        <f t="shared" si="13"/>
        <v>1651003.351267</v>
      </c>
      <c r="AG98" s="87">
        <v>50.142114113438922</v>
      </c>
      <c r="AH98" s="87">
        <v>49.857885886561078</v>
      </c>
      <c r="AI98" s="360">
        <v>0</v>
      </c>
      <c r="AJ98" s="360">
        <v>20.637702566567782</v>
      </c>
      <c r="AK98" s="360">
        <v>0</v>
      </c>
      <c r="AL98" s="87">
        <v>59.86349380447772</v>
      </c>
      <c r="AM98" s="87">
        <v>40.13650619552228</v>
      </c>
      <c r="AN98" s="87">
        <v>36.63148594066827</v>
      </c>
      <c r="AO98" s="87">
        <v>50</v>
      </c>
      <c r="AP98" s="360">
        <f t="shared" si="14"/>
        <v>18.784267226411405</v>
      </c>
      <c r="AQ98" s="87">
        <v>40</v>
      </c>
      <c r="AR98" s="360">
        <v>35.998878416416673</v>
      </c>
      <c r="AS98" s="360">
        <v>28.799102733133338</v>
      </c>
      <c r="AT98" s="87">
        <v>2.1856349279465732</v>
      </c>
      <c r="AU98" s="87">
        <v>14.890698827065711</v>
      </c>
      <c r="AV98" s="87">
        <v>14.677853291706551</v>
      </c>
      <c r="AW98" s="87">
        <v>108.75950390637475</v>
      </c>
      <c r="AX98" s="87">
        <v>100</v>
      </c>
      <c r="AY98" s="87">
        <v>85.624275729200122</v>
      </c>
      <c r="AZ98" s="87">
        <v>80</v>
      </c>
      <c r="BA98" s="87">
        <v>0.25807812350358572</v>
      </c>
      <c r="BB98" s="87">
        <v>64.89261776390218</v>
      </c>
      <c r="BC98" s="87">
        <v>65.15069588740576</v>
      </c>
      <c r="BD98" s="87">
        <v>13.030139177481153</v>
      </c>
      <c r="BE98" s="68">
        <v>41.777626285913776</v>
      </c>
      <c r="BF98" s="68">
        <v>41.829241910614492</v>
      </c>
      <c r="BG98" s="68" t="s">
        <v>109</v>
      </c>
      <c r="BH98" s="68">
        <f t="shared" si="15"/>
        <v>30</v>
      </c>
    </row>
    <row r="99" spans="1:60" ht="15" x14ac:dyDescent="0.35">
      <c r="A99" s="82" t="s">
        <v>134</v>
      </c>
      <c r="B99" s="81" t="s">
        <v>170</v>
      </c>
      <c r="C99" s="82">
        <v>2022</v>
      </c>
      <c r="D99" s="82" t="s">
        <v>26</v>
      </c>
      <c r="E99" s="147">
        <v>4</v>
      </c>
      <c r="F99" s="152" t="s">
        <v>178</v>
      </c>
      <c r="G99" t="s">
        <v>210</v>
      </c>
      <c r="H99" s="83">
        <v>24145.021270000001</v>
      </c>
      <c r="I99" s="83">
        <v>84870.922787999996</v>
      </c>
      <c r="J99" s="83">
        <v>160606.444143</v>
      </c>
      <c r="K99" s="83">
        <v>17212.860812999999</v>
      </c>
      <c r="L99" s="83">
        <v>1934.698535</v>
      </c>
      <c r="M99" s="83">
        <v>144619.84922099998</v>
      </c>
      <c r="N99" s="83">
        <v>13.042388000000001</v>
      </c>
      <c r="O99" s="83">
        <v>43418.356082999999</v>
      </c>
      <c r="P99" s="83">
        <v>15302.119566199999</v>
      </c>
      <c r="Q99" s="83">
        <v>13.326851</v>
      </c>
      <c r="R99" s="83">
        <v>-12129.641594799992</v>
      </c>
      <c r="S99" s="83">
        <v>36466.284346</v>
      </c>
      <c r="T99" s="83">
        <v>0</v>
      </c>
      <c r="U99" s="83">
        <v>662768.51649099996</v>
      </c>
      <c r="V99" s="83">
        <v>161440.65052299999</v>
      </c>
      <c r="W99" s="85">
        <v>74.058560554216598</v>
      </c>
      <c r="X99" s="82">
        <v>70</v>
      </c>
      <c r="Y99" s="83">
        <v>16175.418578999999</v>
      </c>
      <c r="Z99" s="83">
        <v>18038.871997999999</v>
      </c>
      <c r="AA99" s="83">
        <v>144619.84922100001</v>
      </c>
      <c r="AB99" s="83">
        <v>112813.766389</v>
      </c>
      <c r="AC99" s="86">
        <f t="shared" si="10"/>
        <v>109015.94405799999</v>
      </c>
      <c r="AD99" s="86">
        <f t="shared" si="11"/>
        <v>160606.444143</v>
      </c>
      <c r="AE99" s="86">
        <f t="shared" si="12"/>
        <v>24349.969602200006</v>
      </c>
      <c r="AF99" s="86">
        <f t="shared" si="13"/>
        <v>160606.444143</v>
      </c>
      <c r="AG99" s="87">
        <v>67.877689864632643</v>
      </c>
      <c r="AH99" s="87">
        <v>32.122310135367357</v>
      </c>
      <c r="AI99" s="360">
        <v>9.0183941348668892E-3</v>
      </c>
      <c r="AJ99" s="360">
        <v>19.248558960087543</v>
      </c>
      <c r="AK99" s="360">
        <v>4.685230802766481E-2</v>
      </c>
      <c r="AL99" s="87">
        <v>24.358527375099335</v>
      </c>
      <c r="AM99" s="87">
        <v>75.641472624900672</v>
      </c>
      <c r="AN99" s="87">
        <v>35.243433760937307</v>
      </c>
      <c r="AO99" s="87">
        <v>50</v>
      </c>
      <c r="AP99" s="360">
        <f t="shared" si="14"/>
        <v>15.161265621770067</v>
      </c>
      <c r="AQ99" s="87">
        <v>40</v>
      </c>
      <c r="AR99" s="360">
        <v>39.562127013659143</v>
      </c>
      <c r="AS99" s="360">
        <v>31.649701610927316</v>
      </c>
      <c r="AT99" s="87">
        <v>0</v>
      </c>
      <c r="AU99" s="87">
        <v>12.383671405907876</v>
      </c>
      <c r="AV99" s="87">
        <v>0</v>
      </c>
      <c r="AW99" s="87">
        <v>111.52027942831265</v>
      </c>
      <c r="AX99" s="87">
        <v>80</v>
      </c>
      <c r="AY99" s="87">
        <v>78.007111054724092</v>
      </c>
      <c r="AZ99" s="87">
        <v>70</v>
      </c>
      <c r="BA99" s="87">
        <v>0</v>
      </c>
      <c r="BB99" s="87">
        <v>50</v>
      </c>
      <c r="BC99" s="87">
        <v>50</v>
      </c>
      <c r="BD99" s="87">
        <v>10</v>
      </c>
      <c r="BE99" s="68">
        <v>41.649701610927316</v>
      </c>
      <c r="BF99" s="68">
        <v>41.649701610927316</v>
      </c>
      <c r="BG99" s="68" t="s">
        <v>109</v>
      </c>
      <c r="BH99" s="68">
        <f t="shared" si="15"/>
        <v>31</v>
      </c>
    </row>
    <row r="100" spans="1:60" ht="15" x14ac:dyDescent="0.35">
      <c r="A100" s="82" t="s">
        <v>135</v>
      </c>
      <c r="B100" s="81" t="s">
        <v>156</v>
      </c>
      <c r="C100" s="82">
        <v>2022</v>
      </c>
      <c r="D100" s="82" t="s">
        <v>16</v>
      </c>
      <c r="E100" s="126">
        <v>3</v>
      </c>
      <c r="F100" s="152" t="s">
        <v>178</v>
      </c>
      <c r="G100" t="s">
        <v>211</v>
      </c>
      <c r="H100" s="83">
        <v>0</v>
      </c>
      <c r="I100" s="83">
        <v>176128.55166600001</v>
      </c>
      <c r="J100" s="83">
        <v>429799.70546700002</v>
      </c>
      <c r="K100" s="83">
        <v>138152.63939</v>
      </c>
      <c r="L100" s="83">
        <v>53918.444669999997</v>
      </c>
      <c r="M100" s="83">
        <v>251139.80498400002</v>
      </c>
      <c r="N100" s="83">
        <v>2978.8376850000004</v>
      </c>
      <c r="O100" s="83">
        <v>193296.32545400001</v>
      </c>
      <c r="P100" s="83">
        <v>103249.04642100001</v>
      </c>
      <c r="Q100" s="83">
        <v>1995.192669</v>
      </c>
      <c r="R100" s="83">
        <v>97216.158131000004</v>
      </c>
      <c r="S100" s="83">
        <v>85627.558885999999</v>
      </c>
      <c r="T100" s="83">
        <v>0</v>
      </c>
      <c r="U100" s="83">
        <v>1368282.3056876899</v>
      </c>
      <c r="V100" s="83">
        <v>823558.50605547999</v>
      </c>
      <c r="W100" s="85">
        <v>79.777609051135855</v>
      </c>
      <c r="X100" s="82">
        <v>70</v>
      </c>
      <c r="Y100" s="83">
        <v>119436.538155</v>
      </c>
      <c r="Z100" s="83">
        <v>147249.97887600001</v>
      </c>
      <c r="AA100" s="83">
        <v>242536.26830299999</v>
      </c>
      <c r="AB100" s="83">
        <v>230938.234486</v>
      </c>
      <c r="AC100" s="86">
        <f t="shared" si="10"/>
        <v>176128.55166600001</v>
      </c>
      <c r="AD100" s="86">
        <f t="shared" si="11"/>
        <v>429799.70546700002</v>
      </c>
      <c r="AE100" s="86">
        <f t="shared" si="12"/>
        <v>184838.909686</v>
      </c>
      <c r="AF100" s="86">
        <f t="shared" si="13"/>
        <v>429799.70546700002</v>
      </c>
      <c r="AG100" s="87">
        <v>40.979216464242818</v>
      </c>
      <c r="AH100" s="87">
        <v>59.020783535757182</v>
      </c>
      <c r="AI100" s="360">
        <v>1.1861272589543423</v>
      </c>
      <c r="AJ100" s="360">
        <v>10.582820860904658</v>
      </c>
      <c r="AK100" s="360">
        <v>11.208044381967815</v>
      </c>
      <c r="AL100" s="87">
        <v>60.189224302039392</v>
      </c>
      <c r="AM100" s="87">
        <v>39.810775697960608</v>
      </c>
      <c r="AN100" s="87">
        <v>53.414903867673814</v>
      </c>
      <c r="AO100" s="87">
        <v>70</v>
      </c>
      <c r="AP100" s="360">
        <f t="shared" si="14"/>
        <v>43.005825116879222</v>
      </c>
      <c r="AQ100" s="87">
        <v>0</v>
      </c>
      <c r="AR100" s="360">
        <v>36.007920723137126</v>
      </c>
      <c r="AS100" s="360">
        <v>28.806336578509701</v>
      </c>
      <c r="AT100" s="87">
        <v>0</v>
      </c>
      <c r="AU100" s="87">
        <v>14.279616044593576</v>
      </c>
      <c r="AV100" s="87">
        <v>0</v>
      </c>
      <c r="AW100" s="87">
        <v>123.28721273292837</v>
      </c>
      <c r="AX100" s="87">
        <v>70</v>
      </c>
      <c r="AY100" s="87">
        <v>95.218020835337256</v>
      </c>
      <c r="AZ100" s="87">
        <v>100</v>
      </c>
      <c r="BA100" s="87">
        <v>0.15690189122515541</v>
      </c>
      <c r="BB100" s="87">
        <v>56.666666666666664</v>
      </c>
      <c r="BC100" s="87">
        <v>56.823568557891818</v>
      </c>
      <c r="BD100" s="87">
        <v>11.364713711578364</v>
      </c>
      <c r="BE100" s="68">
        <v>40.139669911843036</v>
      </c>
      <c r="BF100" s="68">
        <v>40.171050290088061</v>
      </c>
      <c r="BG100" s="68" t="s">
        <v>109</v>
      </c>
      <c r="BH100" s="68">
        <f t="shared" si="15"/>
        <v>32</v>
      </c>
    </row>
    <row r="101" spans="1:60" ht="14.4" customHeight="1" x14ac:dyDescent="0.35">
      <c r="A101" s="82" t="s">
        <v>131</v>
      </c>
      <c r="B101" s="81" t="s">
        <v>166</v>
      </c>
      <c r="C101" s="82">
        <v>2023</v>
      </c>
      <c r="D101" s="82" t="s">
        <v>24</v>
      </c>
      <c r="E101" s="147">
        <v>4</v>
      </c>
      <c r="F101" s="152" t="s">
        <v>178</v>
      </c>
      <c r="G101" t="s">
        <v>214</v>
      </c>
      <c r="H101" s="83">
        <v>34557.430219000002</v>
      </c>
      <c r="I101" s="83">
        <v>168915.013336</v>
      </c>
      <c r="J101" s="83">
        <v>245955.03864899999</v>
      </c>
      <c r="K101" s="83">
        <v>16258.542930000001</v>
      </c>
      <c r="L101" s="83">
        <v>4667.3536889999996</v>
      </c>
      <c r="M101" s="83">
        <v>254174.61194199999</v>
      </c>
      <c r="N101" s="83">
        <v>617.15029100000004</v>
      </c>
      <c r="O101" s="83">
        <v>55775.180199000002</v>
      </c>
      <c r="P101" s="83">
        <v>23766.996714000001</v>
      </c>
      <c r="Q101" s="83">
        <v>685.55854099999999</v>
      </c>
      <c r="R101" s="83">
        <v>-40227.756777999981</v>
      </c>
      <c r="S101" s="83">
        <v>56179.647369999999</v>
      </c>
      <c r="T101" s="83">
        <v>7500</v>
      </c>
      <c r="U101" s="83">
        <v>1105764.0715439999</v>
      </c>
      <c r="V101" s="83">
        <v>359243.17229800002</v>
      </c>
      <c r="W101" s="85">
        <v>51.589238217229607</v>
      </c>
      <c r="X101" s="82">
        <v>70</v>
      </c>
      <c r="Y101" s="83">
        <v>21797.5</v>
      </c>
      <c r="Z101" s="83">
        <v>19306.410107</v>
      </c>
      <c r="AA101" s="83">
        <v>254174.61194199999</v>
      </c>
      <c r="AB101" s="83">
        <v>220409.96067500001</v>
      </c>
      <c r="AC101" s="86">
        <f t="shared" ref="AC101:AC132" si="16">+H101+I101</f>
        <v>203472.44355500001</v>
      </c>
      <c r="AD101" s="86">
        <f t="shared" ref="AD101:AD132" si="17">+J101</f>
        <v>245955.03864899999</v>
      </c>
      <c r="AE101" s="86">
        <f t="shared" ref="AE101:AE132" si="18">+R101+Q101+S101</f>
        <v>16637.449133000016</v>
      </c>
      <c r="AF101" s="86">
        <f t="shared" ref="AF101:AF132" si="19">+J101+T101</f>
        <v>253455.03864899999</v>
      </c>
      <c r="AG101" s="87">
        <v>82.727495510012105</v>
      </c>
      <c r="AH101" s="87">
        <v>17.272504489987895</v>
      </c>
      <c r="AI101" s="360">
        <v>0.2428056391174219</v>
      </c>
      <c r="AJ101" s="360">
        <v>15.292494007283075</v>
      </c>
      <c r="AK101" s="360">
        <v>1.5877438892687177</v>
      </c>
      <c r="AL101" s="87">
        <v>32.488229771870031</v>
      </c>
      <c r="AM101" s="87">
        <v>67.511770228129961</v>
      </c>
      <c r="AN101" s="87">
        <v>42.612137924434926</v>
      </c>
      <c r="AO101" s="87">
        <v>50</v>
      </c>
      <c r="AP101" s="360">
        <v>6.5642605574871089</v>
      </c>
      <c r="AQ101" s="87">
        <v>80</v>
      </c>
      <c r="AR101" s="360">
        <v>43.274403721477313</v>
      </c>
      <c r="AS101" s="360">
        <v>34.619522977181852</v>
      </c>
      <c r="AT101" s="87">
        <v>18.410761782770393</v>
      </c>
      <c r="AU101" s="87">
        <v>14.259994728309753</v>
      </c>
      <c r="AV101" s="87">
        <v>100</v>
      </c>
      <c r="AW101" s="87">
        <v>88.571671554077298</v>
      </c>
      <c r="AX101" s="87">
        <v>80</v>
      </c>
      <c r="AY101" s="87">
        <v>86.715962302834285</v>
      </c>
      <c r="AZ101" s="87">
        <v>80</v>
      </c>
      <c r="BA101" s="87">
        <v>0</v>
      </c>
      <c r="BB101" s="87">
        <v>86.666666666666671</v>
      </c>
      <c r="BC101" s="87">
        <v>86.666666666666671</v>
      </c>
      <c r="BD101" s="87">
        <v>17.333333333333336</v>
      </c>
      <c r="BE101" s="68">
        <v>51.952856310515187</v>
      </c>
      <c r="BF101" s="68">
        <v>51.952856310515187</v>
      </c>
      <c r="BG101" s="68" t="s">
        <v>109</v>
      </c>
      <c r="BH101" s="68">
        <f t="shared" si="15"/>
        <v>21</v>
      </c>
    </row>
    <row r="102" spans="1:60" ht="13.5" customHeight="1" x14ac:dyDescent="0.35">
      <c r="A102" s="82" t="s">
        <v>102</v>
      </c>
      <c r="B102" s="81" t="s">
        <v>139</v>
      </c>
      <c r="C102" s="82">
        <v>2023</v>
      </c>
      <c r="D102" s="82" t="s">
        <v>2</v>
      </c>
      <c r="E102" s="146" t="s">
        <v>51</v>
      </c>
      <c r="F102" s="146" t="s">
        <v>178</v>
      </c>
      <c r="G102" t="s">
        <v>211</v>
      </c>
      <c r="H102" s="83">
        <v>0</v>
      </c>
      <c r="I102" s="83">
        <v>1708148.793023</v>
      </c>
      <c r="J102" s="83">
        <v>5664596.7314109998</v>
      </c>
      <c r="K102" s="83">
        <v>1966806.0016119999</v>
      </c>
      <c r="L102" s="83">
        <v>1246195.7623409999</v>
      </c>
      <c r="M102" s="83">
        <v>4564607.303692</v>
      </c>
      <c r="N102" s="83">
        <v>254340.86568200003</v>
      </c>
      <c r="O102" s="83">
        <v>3225182.6409119996</v>
      </c>
      <c r="P102" s="83">
        <v>1980997.5266229997</v>
      </c>
      <c r="Q102" s="83">
        <v>262444.20826400002</v>
      </c>
      <c r="R102" s="83">
        <v>-39182.918036999181</v>
      </c>
      <c r="S102" s="83">
        <v>943595.33242700004</v>
      </c>
      <c r="T102" s="83">
        <v>450647.795942</v>
      </c>
      <c r="U102" s="83">
        <v>14361624.727996999</v>
      </c>
      <c r="V102" s="83">
        <v>10956548.592325</v>
      </c>
      <c r="W102" s="85">
        <v>27.189236154129446</v>
      </c>
      <c r="X102" s="82">
        <v>50</v>
      </c>
      <c r="Y102" s="83">
        <v>1792060.7955149999</v>
      </c>
      <c r="Z102" s="83">
        <v>2180396.2604109999</v>
      </c>
      <c r="AA102" s="83">
        <v>4459594.5351590002</v>
      </c>
      <c r="AB102" s="83">
        <v>4227348.3222249998</v>
      </c>
      <c r="AC102" s="86">
        <f t="shared" si="16"/>
        <v>1708148.793023</v>
      </c>
      <c r="AD102" s="86">
        <f t="shared" si="17"/>
        <v>5664596.7314109998</v>
      </c>
      <c r="AE102" s="86">
        <f t="shared" si="18"/>
        <v>1166856.6226540008</v>
      </c>
      <c r="AF102" s="86">
        <f t="shared" si="19"/>
        <v>6115244.5273529999</v>
      </c>
      <c r="AG102" s="87">
        <v>30.154817262649438</v>
      </c>
      <c r="AH102" s="87">
        <v>69.845182737350569</v>
      </c>
      <c r="AI102" s="360">
        <v>5.5720207404540814</v>
      </c>
      <c r="AJ102" s="360">
        <v>5.5720207404540814</v>
      </c>
      <c r="AK102" s="360">
        <v>100</v>
      </c>
      <c r="AL102" s="87">
        <v>76.290453203152993</v>
      </c>
      <c r="AM102" s="87">
        <v>23.709546796847007</v>
      </c>
      <c r="AN102" s="87">
        <v>61.422801347548614</v>
      </c>
      <c r="AO102" s="87">
        <v>80</v>
      </c>
      <c r="AP102" s="360">
        <v>19.081111432825693</v>
      </c>
      <c r="AQ102" s="87">
        <v>40</v>
      </c>
      <c r="AR102" s="360">
        <v>62.710945906839513</v>
      </c>
      <c r="AS102" s="360">
        <v>50.16875672547161</v>
      </c>
      <c r="AT102" s="87">
        <v>22.810763845870554</v>
      </c>
      <c r="AU102" s="87">
        <v>14.329015619977676</v>
      </c>
      <c r="AV102" s="87">
        <v>100</v>
      </c>
      <c r="AW102" s="87">
        <v>121.66977068344384</v>
      </c>
      <c r="AX102" s="87">
        <v>80</v>
      </c>
      <c r="AY102" s="87">
        <v>94.792212361393069</v>
      </c>
      <c r="AZ102" s="87">
        <v>100</v>
      </c>
      <c r="BA102" s="87">
        <v>4.0803692067927881E-2</v>
      </c>
      <c r="BB102" s="87">
        <v>93.333333333333329</v>
      </c>
      <c r="BC102" s="87">
        <v>93.374137025401254</v>
      </c>
      <c r="BD102" s="87">
        <v>18.674827405080251</v>
      </c>
      <c r="BE102" s="68">
        <v>68.835423392138281</v>
      </c>
      <c r="BF102" s="68">
        <v>68.843584130551861</v>
      </c>
      <c r="BG102" s="68" t="s">
        <v>98</v>
      </c>
      <c r="BH102" s="68">
        <f t="shared" si="15"/>
        <v>4</v>
      </c>
    </row>
    <row r="103" spans="1:60" ht="15" customHeight="1" x14ac:dyDescent="0.35">
      <c r="A103" s="82" t="s">
        <v>110</v>
      </c>
      <c r="B103" s="81" t="s">
        <v>162</v>
      </c>
      <c r="C103" s="82">
        <v>2023</v>
      </c>
      <c r="D103" s="82" t="s">
        <v>21</v>
      </c>
      <c r="E103" s="147">
        <v>4</v>
      </c>
      <c r="F103" s="152" t="s">
        <v>178</v>
      </c>
      <c r="G103" t="s">
        <v>210</v>
      </c>
      <c r="H103" s="83">
        <v>30109.057852999998</v>
      </c>
      <c r="I103" s="83">
        <v>244620.76264100001</v>
      </c>
      <c r="J103" s="83">
        <v>370058.700901</v>
      </c>
      <c r="K103" s="83">
        <v>49513.888716999994</v>
      </c>
      <c r="L103" s="83">
        <v>8792.1599659999993</v>
      </c>
      <c r="M103" s="83">
        <v>333259.83750200004</v>
      </c>
      <c r="N103" s="83">
        <v>18501.991699999999</v>
      </c>
      <c r="O103" s="83">
        <v>89284.392137999996</v>
      </c>
      <c r="P103" s="83">
        <v>37605.030095999995</v>
      </c>
      <c r="Q103" s="83">
        <v>0</v>
      </c>
      <c r="R103" s="83">
        <v>-14880.498643000028</v>
      </c>
      <c r="S103" s="83">
        <v>56672.337827000003</v>
      </c>
      <c r="T103" s="83">
        <v>0</v>
      </c>
      <c r="U103" s="83">
        <v>1290623.2658160001</v>
      </c>
      <c r="V103" s="83">
        <v>677132.26076900004</v>
      </c>
      <c r="W103" s="85">
        <v>64.187469361036165</v>
      </c>
      <c r="X103" s="82">
        <v>70</v>
      </c>
      <c r="Y103" s="83">
        <v>49324.494471999998</v>
      </c>
      <c r="Z103" s="83">
        <v>58822.049183000003</v>
      </c>
      <c r="AA103" s="83">
        <v>333353.27889399999</v>
      </c>
      <c r="AB103" s="83">
        <v>311804.13501899998</v>
      </c>
      <c r="AC103" s="86">
        <f t="shared" si="16"/>
        <v>274729.82049399999</v>
      </c>
      <c r="AD103" s="86">
        <f t="shared" si="17"/>
        <v>370058.700901</v>
      </c>
      <c r="AE103" s="86">
        <f t="shared" si="18"/>
        <v>41791.839183999975</v>
      </c>
      <c r="AF103" s="86">
        <f t="shared" si="19"/>
        <v>370058.700901</v>
      </c>
      <c r="AG103" s="87">
        <v>74.239524655170072</v>
      </c>
      <c r="AH103" s="87">
        <v>25.760475344829928</v>
      </c>
      <c r="AI103" s="360">
        <v>5.5518216172355181</v>
      </c>
      <c r="AJ103" s="360">
        <v>15.292494007283075</v>
      </c>
      <c r="AK103" s="360">
        <v>36.304226207912556</v>
      </c>
      <c r="AL103" s="87">
        <v>52.465524115659058</v>
      </c>
      <c r="AM103" s="87">
        <v>47.534475884340942</v>
      </c>
      <c r="AN103" s="87">
        <v>42.118257396966762</v>
      </c>
      <c r="AO103" s="87">
        <v>50</v>
      </c>
      <c r="AP103" s="360">
        <v>11.293299977070486</v>
      </c>
      <c r="AQ103" s="87">
        <v>60</v>
      </c>
      <c r="AR103" s="360">
        <v>43.919835487416684</v>
      </c>
      <c r="AS103" s="360">
        <v>35.13586838993335</v>
      </c>
      <c r="AT103" s="87">
        <v>5.8125306389638354</v>
      </c>
      <c r="AU103" s="87">
        <v>14.259994728309753</v>
      </c>
      <c r="AV103" s="87">
        <v>40.761099493427366</v>
      </c>
      <c r="AW103" s="87">
        <v>119.25524997806409</v>
      </c>
      <c r="AX103" s="87">
        <v>100</v>
      </c>
      <c r="AY103" s="87">
        <v>93.535643643135657</v>
      </c>
      <c r="AZ103" s="87">
        <v>100</v>
      </c>
      <c r="BA103" s="87">
        <v>0</v>
      </c>
      <c r="BB103" s="87">
        <v>80.253699831142455</v>
      </c>
      <c r="BC103" s="87">
        <v>80.253699831142455</v>
      </c>
      <c r="BD103" s="87">
        <v>16.050739966228491</v>
      </c>
      <c r="BE103" s="68">
        <v>51.186608356161841</v>
      </c>
      <c r="BF103" s="68">
        <v>51.186608356161841</v>
      </c>
      <c r="BG103" s="68" t="s">
        <v>109</v>
      </c>
      <c r="BH103" s="68">
        <f t="shared" si="15"/>
        <v>23</v>
      </c>
    </row>
    <row r="104" spans="1:60" ht="15" customHeight="1" x14ac:dyDescent="0.35">
      <c r="A104" s="82" t="s">
        <v>94</v>
      </c>
      <c r="B104" s="81" t="s">
        <v>140</v>
      </c>
      <c r="C104" s="82">
        <v>2023</v>
      </c>
      <c r="D104" s="82" t="s">
        <v>27</v>
      </c>
      <c r="E104" s="146">
        <v>1</v>
      </c>
      <c r="F104" s="152" t="s">
        <v>178</v>
      </c>
      <c r="G104" t="s">
        <v>207</v>
      </c>
      <c r="H104" s="83">
        <v>0</v>
      </c>
      <c r="I104" s="83">
        <v>481591.39182599995</v>
      </c>
      <c r="J104" s="83">
        <v>1603683.2893439999</v>
      </c>
      <c r="K104" s="83">
        <v>639026.43422399997</v>
      </c>
      <c r="L104" s="83">
        <v>296363.20218499994</v>
      </c>
      <c r="M104" s="83">
        <v>1607868.4976029999</v>
      </c>
      <c r="N104" s="83">
        <v>25905.723109999999</v>
      </c>
      <c r="O104" s="83">
        <v>936342.46884999995</v>
      </c>
      <c r="P104" s="83">
        <v>555787.702819</v>
      </c>
      <c r="Q104" s="83">
        <v>113958.637302</v>
      </c>
      <c r="R104" s="83">
        <v>-310647.51297100005</v>
      </c>
      <c r="S104" s="83">
        <v>136837.24488700001</v>
      </c>
      <c r="T104" s="83">
        <v>527712.31049599999</v>
      </c>
      <c r="U104" s="83">
        <v>5003770.71215</v>
      </c>
      <c r="V104" s="83">
        <v>2536165.0810890002</v>
      </c>
      <c r="W104" s="85">
        <v>32.333513805782218</v>
      </c>
      <c r="X104" s="82">
        <v>55</v>
      </c>
      <c r="Y104" s="83">
        <v>899465.62714</v>
      </c>
      <c r="Z104" s="83">
        <v>822926.98657199997</v>
      </c>
      <c r="AA104" s="83">
        <v>1549243.4210349999</v>
      </c>
      <c r="AB104" s="83">
        <v>1227197.63579</v>
      </c>
      <c r="AC104" s="86">
        <f t="shared" si="16"/>
        <v>481591.39182599995</v>
      </c>
      <c r="AD104" s="86">
        <f t="shared" si="17"/>
        <v>1603683.2893439999</v>
      </c>
      <c r="AE104" s="86">
        <f t="shared" si="18"/>
        <v>-59851.630782000022</v>
      </c>
      <c r="AF104" s="86">
        <f t="shared" si="19"/>
        <v>2131395.5998399998</v>
      </c>
      <c r="AG104" s="87">
        <v>30.030330491440047</v>
      </c>
      <c r="AH104" s="87">
        <v>69.969669508559946</v>
      </c>
      <c r="AI104" s="360">
        <v>1.6111841950147094</v>
      </c>
      <c r="AJ104" s="360">
        <v>12.797078475185518</v>
      </c>
      <c r="AK104" s="360">
        <v>12.590250174201204</v>
      </c>
      <c r="AL104" s="87">
        <v>50.685077854002444</v>
      </c>
      <c r="AM104" s="87">
        <v>49.314922145997556</v>
      </c>
      <c r="AN104" s="87">
        <v>59.357310098473818</v>
      </c>
      <c r="AO104" s="87">
        <v>80</v>
      </c>
      <c r="AP104" s="360">
        <v>-2.8080958216528638</v>
      </c>
      <c r="AQ104" s="87">
        <v>100</v>
      </c>
      <c r="AR104" s="360">
        <v>62.374968365751741</v>
      </c>
      <c r="AS104" s="360">
        <v>49.899974692601397</v>
      </c>
      <c r="AT104" s="87">
        <v>22.666486194217782</v>
      </c>
      <c r="AU104" s="87">
        <v>8.2320920492945238</v>
      </c>
      <c r="AV104" s="87">
        <v>100</v>
      </c>
      <c r="AW104" s="87">
        <v>91.49065419971997</v>
      </c>
      <c r="AX104" s="87">
        <v>100</v>
      </c>
      <c r="AY104" s="87">
        <v>79.212705965221943</v>
      </c>
      <c r="AZ104" s="87">
        <v>70</v>
      </c>
      <c r="BA104" s="87">
        <v>0</v>
      </c>
      <c r="BB104" s="87">
        <v>90</v>
      </c>
      <c r="BC104" s="87">
        <v>90</v>
      </c>
      <c r="BD104" s="87">
        <v>18</v>
      </c>
      <c r="BE104" s="68">
        <v>67.899974692601404</v>
      </c>
      <c r="BF104" s="68">
        <v>67.899974692601404</v>
      </c>
      <c r="BG104" s="68" t="s">
        <v>98</v>
      </c>
      <c r="BH104" s="68">
        <f t="shared" si="15"/>
        <v>5</v>
      </c>
    </row>
    <row r="105" spans="1:60" ht="15" customHeight="1" x14ac:dyDescent="0.35">
      <c r="A105" s="82" t="s">
        <v>132</v>
      </c>
      <c r="B105" s="81" t="s">
        <v>141</v>
      </c>
      <c r="C105" s="82">
        <v>2023</v>
      </c>
      <c r="D105" s="82" t="s">
        <v>133</v>
      </c>
      <c r="E105" s="146">
        <v>1</v>
      </c>
      <c r="F105" s="152" t="s">
        <v>178</v>
      </c>
      <c r="G105" t="s">
        <v>207</v>
      </c>
      <c r="H105" s="83">
        <v>0</v>
      </c>
      <c r="I105" s="83">
        <v>913695.39040799998</v>
      </c>
      <c r="J105" s="83">
        <v>1666732.3174399999</v>
      </c>
      <c r="K105" s="83">
        <v>421059.49491000001</v>
      </c>
      <c r="L105" s="83">
        <v>160789.46922299999</v>
      </c>
      <c r="M105" s="83">
        <v>1622824.5231549998</v>
      </c>
      <c r="N105" s="83">
        <v>961.45631100000003</v>
      </c>
      <c r="O105" s="83">
        <v>581848.964133</v>
      </c>
      <c r="P105" s="83">
        <v>216733.41467299999</v>
      </c>
      <c r="Q105" s="83">
        <v>51713.429916000001</v>
      </c>
      <c r="R105" s="83">
        <v>-60513.404335999861</v>
      </c>
      <c r="S105" s="83">
        <v>173209.12760599999</v>
      </c>
      <c r="T105" s="83">
        <v>45000</v>
      </c>
      <c r="U105" s="83">
        <v>3719552.3405789998</v>
      </c>
      <c r="V105" s="83">
        <v>3258556.5031349999</v>
      </c>
      <c r="W105" s="85">
        <v>61.617439621570469</v>
      </c>
      <c r="X105" s="82">
        <v>55</v>
      </c>
      <c r="Y105" s="83">
        <v>474580.80184899998</v>
      </c>
      <c r="Z105" s="83">
        <v>450190.37723799999</v>
      </c>
      <c r="AA105" s="83">
        <v>1363635.791775</v>
      </c>
      <c r="AB105" s="83">
        <v>1181509.1197510001</v>
      </c>
      <c r="AC105" s="86">
        <f t="shared" si="16"/>
        <v>913695.39040799998</v>
      </c>
      <c r="AD105" s="86">
        <f t="shared" si="17"/>
        <v>1666732.3174399999</v>
      </c>
      <c r="AE105" s="86">
        <f t="shared" si="18"/>
        <v>164409.15318600013</v>
      </c>
      <c r="AF105" s="86">
        <f t="shared" si="19"/>
        <v>1711732.3174399999</v>
      </c>
      <c r="AG105" s="87">
        <v>54.819564056415544</v>
      </c>
      <c r="AH105" s="87">
        <v>45.180435943584456</v>
      </c>
      <c r="AI105" s="360">
        <v>5.9245857902787503E-2</v>
      </c>
      <c r="AJ105" s="360">
        <v>12.797078475185518</v>
      </c>
      <c r="AK105" s="360">
        <v>0.46296393366399685</v>
      </c>
      <c r="AL105" s="87">
        <v>87.606147320076715</v>
      </c>
      <c r="AM105" s="87">
        <v>12.393852679923285</v>
      </c>
      <c r="AN105" s="87">
        <v>37.24908490572799</v>
      </c>
      <c r="AO105" s="87">
        <v>50</v>
      </c>
      <c r="AP105" s="360">
        <v>9.6048401675259623</v>
      </c>
      <c r="AQ105" s="87">
        <v>80</v>
      </c>
      <c r="AR105" s="360">
        <v>37.607450511434351</v>
      </c>
      <c r="AS105" s="360">
        <v>30.085960409147482</v>
      </c>
      <c r="AT105" s="87">
        <v>0</v>
      </c>
      <c r="AU105" s="87">
        <v>8.2320920492945238</v>
      </c>
      <c r="AV105" s="87">
        <v>0</v>
      </c>
      <c r="AW105" s="87">
        <v>94.860638164044303</v>
      </c>
      <c r="AX105" s="87">
        <v>100</v>
      </c>
      <c r="AY105" s="87">
        <v>86.644038450550525</v>
      </c>
      <c r="AZ105" s="87">
        <v>80</v>
      </c>
      <c r="BA105" s="87">
        <v>0</v>
      </c>
      <c r="BB105" s="87">
        <v>60</v>
      </c>
      <c r="BC105" s="87">
        <v>60</v>
      </c>
      <c r="BD105" s="87">
        <v>12</v>
      </c>
      <c r="BE105" s="68">
        <v>42.085960409147482</v>
      </c>
      <c r="BF105" s="68">
        <v>42.085960409147482</v>
      </c>
      <c r="BG105" s="68" t="s">
        <v>109</v>
      </c>
      <c r="BH105" s="68">
        <f t="shared" si="15"/>
        <v>32</v>
      </c>
    </row>
    <row r="106" spans="1:60" ht="15" x14ac:dyDescent="0.35">
      <c r="A106" s="82" t="s">
        <v>128</v>
      </c>
      <c r="B106" s="81" t="s">
        <v>142</v>
      </c>
      <c r="C106" s="82">
        <v>2023</v>
      </c>
      <c r="D106" s="82" t="s">
        <v>176</v>
      </c>
      <c r="E106" s="146">
        <v>1</v>
      </c>
      <c r="F106" s="152" t="s">
        <v>178</v>
      </c>
      <c r="G106" t="s">
        <v>208</v>
      </c>
      <c r="H106" s="83">
        <v>0</v>
      </c>
      <c r="I106" s="83">
        <v>792473.63756200008</v>
      </c>
      <c r="J106" s="83">
        <v>1420268.732081</v>
      </c>
      <c r="K106" s="83">
        <v>404855.47992299998</v>
      </c>
      <c r="L106" s="83">
        <v>43990.007371</v>
      </c>
      <c r="M106" s="83">
        <v>1417519.699948</v>
      </c>
      <c r="N106" s="83">
        <v>10674.980749999999</v>
      </c>
      <c r="O106" s="83">
        <v>451441.32001299999</v>
      </c>
      <c r="P106" s="83">
        <v>253509.68873699996</v>
      </c>
      <c r="Q106" s="83">
        <v>16085.080384999999</v>
      </c>
      <c r="R106" s="83">
        <v>-70528.433475000085</v>
      </c>
      <c r="S106" s="83">
        <v>222701.51098799999</v>
      </c>
      <c r="T106" s="83">
        <v>31671.411477000001</v>
      </c>
      <c r="U106" s="83">
        <v>4782029.6766579999</v>
      </c>
      <c r="V106" s="83">
        <v>2336981.9760139999</v>
      </c>
      <c r="W106" s="85">
        <v>43.501004097567922</v>
      </c>
      <c r="X106" s="82">
        <v>55</v>
      </c>
      <c r="Y106" s="83">
        <v>419333.21735200001</v>
      </c>
      <c r="Z106" s="83">
        <v>417105.59775900003</v>
      </c>
      <c r="AA106" s="83">
        <v>1292865.53428</v>
      </c>
      <c r="AB106" s="83">
        <v>1139800.6235430001</v>
      </c>
      <c r="AC106" s="86">
        <f t="shared" si="16"/>
        <v>792473.63756200008</v>
      </c>
      <c r="AD106" s="86">
        <f t="shared" si="17"/>
        <v>1420268.732081</v>
      </c>
      <c r="AE106" s="86">
        <f t="shared" si="18"/>
        <v>168258.15789799992</v>
      </c>
      <c r="AF106" s="86">
        <f t="shared" si="19"/>
        <v>1451940.143558</v>
      </c>
      <c r="AG106" s="87">
        <v>55.797443093804873</v>
      </c>
      <c r="AH106" s="87">
        <v>44.202556906195127</v>
      </c>
      <c r="AI106" s="360">
        <v>0.75307459574576618</v>
      </c>
      <c r="AJ106" s="360">
        <v>12.797078475185518</v>
      </c>
      <c r="AK106" s="360">
        <v>5.8847384362456907</v>
      </c>
      <c r="AL106" s="87">
        <v>48.870085173692154</v>
      </c>
      <c r="AM106" s="87">
        <v>51.129914826307846</v>
      </c>
      <c r="AN106" s="87">
        <v>56.155623665485408</v>
      </c>
      <c r="AO106" s="87">
        <v>80</v>
      </c>
      <c r="AP106" s="360">
        <v>11.588505121545914</v>
      </c>
      <c r="AQ106" s="87">
        <v>60</v>
      </c>
      <c r="AR106" s="360">
        <v>48.24344203374973</v>
      </c>
      <c r="AS106" s="360">
        <v>38.59475362699979</v>
      </c>
      <c r="AT106" s="87">
        <v>11.498995902432078</v>
      </c>
      <c r="AU106" s="87">
        <v>8.2320920492945238</v>
      </c>
      <c r="AV106" s="87">
        <v>100</v>
      </c>
      <c r="AW106" s="87">
        <v>99.468771015311674</v>
      </c>
      <c r="AX106" s="87">
        <v>100</v>
      </c>
      <c r="AY106" s="87">
        <v>88.160801979902558</v>
      </c>
      <c r="AZ106" s="87">
        <v>80</v>
      </c>
      <c r="BA106" s="87">
        <v>0</v>
      </c>
      <c r="BB106" s="87">
        <v>93.333333333333329</v>
      </c>
      <c r="BC106" s="87">
        <v>93.333333333333329</v>
      </c>
      <c r="BD106" s="87">
        <v>18.666666666666668</v>
      </c>
      <c r="BE106" s="68">
        <v>57.261420293666461</v>
      </c>
      <c r="BF106" s="68">
        <v>57.261420293666461</v>
      </c>
      <c r="BG106" s="68" t="s">
        <v>109</v>
      </c>
      <c r="BH106" s="68">
        <f t="shared" si="15"/>
        <v>14</v>
      </c>
    </row>
    <row r="107" spans="1:60" ht="13.5" customHeight="1" x14ac:dyDescent="0.35">
      <c r="A107" s="82" t="s">
        <v>105</v>
      </c>
      <c r="B107" s="81" t="s">
        <v>143</v>
      </c>
      <c r="C107" s="82">
        <v>2023</v>
      </c>
      <c r="D107" s="82" t="s">
        <v>6</v>
      </c>
      <c r="E107" s="147">
        <v>2</v>
      </c>
      <c r="F107" s="152" t="s">
        <v>178</v>
      </c>
      <c r="G107" t="s">
        <v>211</v>
      </c>
      <c r="H107" s="83">
        <v>0</v>
      </c>
      <c r="I107" s="83">
        <v>450286.99479899998</v>
      </c>
      <c r="J107" s="83">
        <v>984962.23442300013</v>
      </c>
      <c r="K107" s="83">
        <v>233923.67282499999</v>
      </c>
      <c r="L107" s="83">
        <v>123832.357439</v>
      </c>
      <c r="M107" s="83">
        <v>834837.01954600005</v>
      </c>
      <c r="N107" s="83">
        <v>169075.44768500002</v>
      </c>
      <c r="O107" s="83">
        <v>361659.43781600002</v>
      </c>
      <c r="P107" s="83">
        <v>164886.484191</v>
      </c>
      <c r="Q107" s="83">
        <v>21753.611606999999</v>
      </c>
      <c r="R107" s="83">
        <v>-6649.2221240000799</v>
      </c>
      <c r="S107" s="83">
        <v>138264.37872099999</v>
      </c>
      <c r="T107" s="83">
        <v>44237.847815000001</v>
      </c>
      <c r="U107" s="83">
        <v>3529365.723183</v>
      </c>
      <c r="V107" s="83">
        <v>2207580.019353</v>
      </c>
      <c r="W107" s="85">
        <v>39.399462547470627</v>
      </c>
      <c r="X107" s="82">
        <v>60</v>
      </c>
      <c r="Y107" s="83">
        <v>223151.64033600001</v>
      </c>
      <c r="Z107" s="83">
        <v>265962.122042</v>
      </c>
      <c r="AA107" s="83">
        <v>794838.50292200001</v>
      </c>
      <c r="AB107" s="83">
        <v>735214.10199999996</v>
      </c>
      <c r="AC107" s="86">
        <f t="shared" si="16"/>
        <v>450286.99479899998</v>
      </c>
      <c r="AD107" s="86">
        <f t="shared" si="17"/>
        <v>984962.23442300013</v>
      </c>
      <c r="AE107" s="86">
        <f t="shared" si="18"/>
        <v>153368.76820399991</v>
      </c>
      <c r="AF107" s="86">
        <f t="shared" si="19"/>
        <v>1029200.0822380001</v>
      </c>
      <c r="AG107" s="87">
        <v>45.716168504956151</v>
      </c>
      <c r="AH107" s="87">
        <v>54.283831495043849</v>
      </c>
      <c r="AI107" s="360">
        <v>20.252509618817143</v>
      </c>
      <c r="AJ107" s="360">
        <v>53.313090942941258</v>
      </c>
      <c r="AK107" s="360">
        <v>37.987873635937838</v>
      </c>
      <c r="AL107" s="87">
        <v>62.548916505089977</v>
      </c>
      <c r="AM107" s="87">
        <v>37.451083494910023</v>
      </c>
      <c r="AN107" s="87">
        <v>45.591644223837072</v>
      </c>
      <c r="AO107" s="87">
        <v>70</v>
      </c>
      <c r="AP107" s="360">
        <v>14.901744651098243</v>
      </c>
      <c r="AQ107" s="87">
        <v>60</v>
      </c>
      <c r="AR107" s="360">
        <v>51.944557725178342</v>
      </c>
      <c r="AS107" s="360">
        <v>41.555646180142674</v>
      </c>
      <c r="AT107" s="87">
        <v>20.600537452529373</v>
      </c>
      <c r="AU107" s="87">
        <v>11.000603938263692</v>
      </c>
      <c r="AV107" s="87">
        <v>100</v>
      </c>
      <c r="AW107" s="87">
        <v>119.18447995342545</v>
      </c>
      <c r="AX107" s="87">
        <v>100</v>
      </c>
      <c r="AY107" s="87">
        <v>92.498551504134767</v>
      </c>
      <c r="AZ107" s="87">
        <v>100</v>
      </c>
      <c r="BA107" s="87">
        <v>0</v>
      </c>
      <c r="BB107" s="87">
        <v>100</v>
      </c>
      <c r="BC107" s="87">
        <v>100</v>
      </c>
      <c r="BD107" s="87">
        <v>20</v>
      </c>
      <c r="BE107" s="68">
        <v>61.555646180142674</v>
      </c>
      <c r="BF107" s="68">
        <v>61.555646180142674</v>
      </c>
      <c r="BG107" s="68" t="s">
        <v>98</v>
      </c>
      <c r="BH107" s="68">
        <f t="shared" si="15"/>
        <v>7</v>
      </c>
    </row>
    <row r="108" spans="1:60" ht="13.5" customHeight="1" x14ac:dyDescent="0.35">
      <c r="A108" s="82" t="s">
        <v>121</v>
      </c>
      <c r="B108" s="81" t="s">
        <v>144</v>
      </c>
      <c r="C108" s="82">
        <v>2023</v>
      </c>
      <c r="D108" s="82" t="s">
        <v>122</v>
      </c>
      <c r="E108" s="147">
        <v>4</v>
      </c>
      <c r="F108" s="152" t="s">
        <v>178</v>
      </c>
      <c r="G108" t="s">
        <v>214</v>
      </c>
      <c r="H108" s="83">
        <v>0</v>
      </c>
      <c r="I108" s="83">
        <v>268438.70236300002</v>
      </c>
      <c r="J108" s="83">
        <v>417207.44781899999</v>
      </c>
      <c r="K108" s="83">
        <v>77392.158637</v>
      </c>
      <c r="L108" s="83">
        <v>27446.771142000001</v>
      </c>
      <c r="M108" s="83">
        <v>393850.55815900001</v>
      </c>
      <c r="N108" s="83">
        <v>3050.981683</v>
      </c>
      <c r="O108" s="83">
        <v>105954.90638499999</v>
      </c>
      <c r="P108" s="83">
        <v>38555.959730999995</v>
      </c>
      <c r="Q108" s="83">
        <v>841.21625500000005</v>
      </c>
      <c r="R108" s="83">
        <v>-29150.735068000038</v>
      </c>
      <c r="S108" s="83">
        <v>64940.249766000001</v>
      </c>
      <c r="T108" s="83">
        <v>2500</v>
      </c>
      <c r="U108" s="83">
        <v>1150291.720405</v>
      </c>
      <c r="V108" s="83">
        <v>662833.46281499998</v>
      </c>
      <c r="W108" s="85">
        <v>63.850091459608407</v>
      </c>
      <c r="X108" s="82">
        <v>70</v>
      </c>
      <c r="Y108" s="83">
        <v>65088.055999999997</v>
      </c>
      <c r="Z108" s="83">
        <v>82206.178755999994</v>
      </c>
      <c r="AA108" s="83">
        <v>378959.236233</v>
      </c>
      <c r="AB108" s="83">
        <v>348813.037389</v>
      </c>
      <c r="AC108" s="86">
        <f t="shared" si="16"/>
        <v>268438.70236300002</v>
      </c>
      <c r="AD108" s="86">
        <f t="shared" si="17"/>
        <v>417207.44781899999</v>
      </c>
      <c r="AE108" s="86">
        <f t="shared" si="18"/>
        <v>36630.730952999962</v>
      </c>
      <c r="AF108" s="86">
        <f t="shared" si="19"/>
        <v>419707.44781899999</v>
      </c>
      <c r="AG108" s="87">
        <v>64.341780993195172</v>
      </c>
      <c r="AH108" s="87">
        <v>35.658219006804828</v>
      </c>
      <c r="AI108" s="360">
        <v>0.77465465512132115</v>
      </c>
      <c r="AJ108" s="360">
        <v>15.292494007283075</v>
      </c>
      <c r="AK108" s="360">
        <v>5.0655874362441509</v>
      </c>
      <c r="AL108" s="87">
        <v>57.623075177975416</v>
      </c>
      <c r="AM108" s="87">
        <v>42.376924822024584</v>
      </c>
      <c r="AN108" s="87">
        <v>36.389027225320028</v>
      </c>
      <c r="AO108" s="87">
        <v>50</v>
      </c>
      <c r="AP108" s="360">
        <v>8.7276818992254501</v>
      </c>
      <c r="AQ108" s="87">
        <v>80</v>
      </c>
      <c r="AR108" s="360">
        <v>42.62014625301471</v>
      </c>
      <c r="AS108" s="360">
        <v>34.096117002411766</v>
      </c>
      <c r="AT108" s="87">
        <v>6.1499085403915927</v>
      </c>
      <c r="AU108" s="87">
        <v>14.259994728309753</v>
      </c>
      <c r="AV108" s="87">
        <v>43.127004305144972</v>
      </c>
      <c r="AW108" s="87">
        <v>126.29994473333171</v>
      </c>
      <c r="AX108" s="87">
        <v>80</v>
      </c>
      <c r="AY108" s="87">
        <v>92.045002216157926</v>
      </c>
      <c r="AZ108" s="87">
        <v>100</v>
      </c>
      <c r="BA108" s="87">
        <v>0</v>
      </c>
      <c r="BB108" s="87">
        <v>74.375668101714993</v>
      </c>
      <c r="BC108" s="87">
        <v>74.375668101714993</v>
      </c>
      <c r="BD108" s="87">
        <v>14.875133620343</v>
      </c>
      <c r="BE108" s="68">
        <v>48.971250622754766</v>
      </c>
      <c r="BF108" s="68">
        <v>48.971250622754766</v>
      </c>
      <c r="BG108" s="68" t="s">
        <v>109</v>
      </c>
      <c r="BH108" s="68">
        <f t="shared" si="15"/>
        <v>29</v>
      </c>
    </row>
    <row r="109" spans="1:60" ht="15" customHeight="1" x14ac:dyDescent="0.35">
      <c r="A109" s="82" t="s">
        <v>125</v>
      </c>
      <c r="B109" s="81" t="s">
        <v>163</v>
      </c>
      <c r="C109" s="82">
        <v>2023</v>
      </c>
      <c r="D109" s="82" t="s">
        <v>22</v>
      </c>
      <c r="E109" s="126">
        <v>3</v>
      </c>
      <c r="F109" s="152" t="s">
        <v>178</v>
      </c>
      <c r="G109" t="s">
        <v>210</v>
      </c>
      <c r="H109" s="83">
        <v>30109.057851999998</v>
      </c>
      <c r="I109" s="83">
        <v>228911.26804300002</v>
      </c>
      <c r="J109" s="83">
        <v>553078.37683600001</v>
      </c>
      <c r="K109" s="83">
        <v>158427.985507</v>
      </c>
      <c r="L109" s="83">
        <v>50541.451228000005</v>
      </c>
      <c r="M109" s="83">
        <v>1096573.1743999999</v>
      </c>
      <c r="N109" s="83">
        <v>0</v>
      </c>
      <c r="O109" s="83">
        <v>240786.19702600001</v>
      </c>
      <c r="P109" s="83">
        <v>135206.35305400001</v>
      </c>
      <c r="Q109" s="83">
        <v>0</v>
      </c>
      <c r="R109" s="83">
        <v>-563.64433600008488</v>
      </c>
      <c r="S109" s="83">
        <v>68535.564731000006</v>
      </c>
      <c r="T109" s="83">
        <v>0</v>
      </c>
      <c r="U109" s="83">
        <v>3392284.5204039998</v>
      </c>
      <c r="V109" s="83">
        <v>669984.83466499997</v>
      </c>
      <c r="W109" s="85">
        <v>57.852022612366049</v>
      </c>
      <c r="X109" s="82">
        <v>70</v>
      </c>
      <c r="Y109" s="83">
        <v>121316.393381</v>
      </c>
      <c r="Z109" s="83">
        <v>207675.249453</v>
      </c>
      <c r="AA109" s="83">
        <v>448062.17719999998</v>
      </c>
      <c r="AB109" s="83">
        <v>400751.83343399997</v>
      </c>
      <c r="AC109" s="86">
        <f t="shared" si="16"/>
        <v>259020.32589500002</v>
      </c>
      <c r="AD109" s="86">
        <f t="shared" si="17"/>
        <v>553078.37683600001</v>
      </c>
      <c r="AE109" s="86">
        <f t="shared" si="18"/>
        <v>67971.920394999921</v>
      </c>
      <c r="AF109" s="86">
        <f t="shared" si="19"/>
        <v>553078.37683600001</v>
      </c>
      <c r="AG109" s="87">
        <v>46.832481026790404</v>
      </c>
      <c r="AH109" s="87">
        <v>53.167518973209596</v>
      </c>
      <c r="AI109" s="360">
        <v>0</v>
      </c>
      <c r="AJ109" s="360">
        <v>22.663660119266531</v>
      </c>
      <c r="AK109" s="360">
        <v>0</v>
      </c>
      <c r="AL109" s="87">
        <v>19.75025475119077</v>
      </c>
      <c r="AM109" s="87">
        <v>80.249745248809234</v>
      </c>
      <c r="AN109" s="87">
        <v>56.152036422337147</v>
      </c>
      <c r="AO109" s="87">
        <v>80</v>
      </c>
      <c r="AP109" s="360">
        <v>12.28974468028337</v>
      </c>
      <c r="AQ109" s="87">
        <v>60</v>
      </c>
      <c r="AR109" s="360">
        <v>54.683452844403767</v>
      </c>
      <c r="AS109" s="360">
        <v>43.746762275523018</v>
      </c>
      <c r="AT109" s="87">
        <v>12.147977387633951</v>
      </c>
      <c r="AU109" s="87">
        <v>6.1457242308292548</v>
      </c>
      <c r="AV109" s="87">
        <v>100</v>
      </c>
      <c r="AW109" s="87">
        <v>171.18481984605808</v>
      </c>
      <c r="AX109" s="87">
        <v>0</v>
      </c>
      <c r="AY109" s="87">
        <v>89.441120859241309</v>
      </c>
      <c r="AZ109" s="87">
        <v>80</v>
      </c>
      <c r="BA109" s="87">
        <v>0.25000994524354037</v>
      </c>
      <c r="BB109" s="87">
        <v>60</v>
      </c>
      <c r="BC109" s="87">
        <v>60.250009945243541</v>
      </c>
      <c r="BD109" s="87">
        <v>12.05000198904871</v>
      </c>
      <c r="BE109" s="68">
        <v>55.746762275523018</v>
      </c>
      <c r="BF109" s="68">
        <v>55.796764264571728</v>
      </c>
      <c r="BG109" s="68" t="s">
        <v>109</v>
      </c>
      <c r="BH109" s="68">
        <f t="shared" si="15"/>
        <v>15</v>
      </c>
    </row>
    <row r="110" spans="1:60" ht="15" customHeight="1" x14ac:dyDescent="0.35">
      <c r="A110" s="82" t="s">
        <v>126</v>
      </c>
      <c r="B110" s="81" t="s">
        <v>145</v>
      </c>
      <c r="C110" s="82">
        <v>2023</v>
      </c>
      <c r="D110" s="82" t="s">
        <v>8</v>
      </c>
      <c r="E110" s="126">
        <v>3</v>
      </c>
      <c r="F110" s="152" t="s">
        <v>178</v>
      </c>
      <c r="G110" t="s">
        <v>215</v>
      </c>
      <c r="H110" s="83">
        <v>0</v>
      </c>
      <c r="I110" s="83">
        <v>1114309.8660890001</v>
      </c>
      <c r="J110" s="83">
        <v>1539779.4888460003</v>
      </c>
      <c r="K110" s="83">
        <v>148586.424994</v>
      </c>
      <c r="L110" s="83">
        <v>119385.03152999999</v>
      </c>
      <c r="M110" s="83">
        <v>1451083.9791770002</v>
      </c>
      <c r="N110" s="83">
        <v>6274.7557669999997</v>
      </c>
      <c r="O110" s="83">
        <v>269104.36723199999</v>
      </c>
      <c r="P110" s="83">
        <v>129390.91616899997</v>
      </c>
      <c r="Q110" s="83">
        <v>3436.8677309999998</v>
      </c>
      <c r="R110" s="83">
        <v>-6281.0528810000978</v>
      </c>
      <c r="S110" s="83">
        <v>339729.42427900003</v>
      </c>
      <c r="T110" s="83">
        <v>4634.6248189999997</v>
      </c>
      <c r="U110" s="83">
        <v>3571240.4643020001</v>
      </c>
      <c r="V110" s="83">
        <v>1337492.1441220001</v>
      </c>
      <c r="W110" s="85">
        <v>48.266820190145872</v>
      </c>
      <c r="X110" s="82">
        <v>70</v>
      </c>
      <c r="Y110" s="83">
        <v>156637.01415999999</v>
      </c>
      <c r="Z110" s="83">
        <v>163984.65431000001</v>
      </c>
      <c r="AA110" s="83">
        <v>1406347.090664</v>
      </c>
      <c r="AB110" s="83">
        <v>1310442.6065450001</v>
      </c>
      <c r="AC110" s="86">
        <f t="shared" si="16"/>
        <v>1114309.8660890001</v>
      </c>
      <c r="AD110" s="86">
        <f t="shared" si="17"/>
        <v>1539779.4888460003</v>
      </c>
      <c r="AE110" s="86">
        <f t="shared" si="18"/>
        <v>336885.23912899994</v>
      </c>
      <c r="AF110" s="86">
        <f t="shared" si="19"/>
        <v>1544414.1136650003</v>
      </c>
      <c r="AG110" s="87">
        <v>72.368145839124551</v>
      </c>
      <c r="AH110" s="87">
        <v>27.631854160875449</v>
      </c>
      <c r="AI110" s="360">
        <v>0.43241851312828927</v>
      </c>
      <c r="AJ110" s="360">
        <v>22.663660119266531</v>
      </c>
      <c r="AK110" s="360">
        <v>1.9079818125258918</v>
      </c>
      <c r="AL110" s="87">
        <v>37.451752619055668</v>
      </c>
      <c r="AM110" s="87">
        <v>62.548247380944332</v>
      </c>
      <c r="AN110" s="87">
        <v>48.082057344483601</v>
      </c>
      <c r="AO110" s="87">
        <v>70</v>
      </c>
      <c r="AP110" s="360">
        <v>21.813141705209379</v>
      </c>
      <c r="AQ110" s="87">
        <v>20</v>
      </c>
      <c r="AR110" s="360">
        <v>36.41761667086913</v>
      </c>
      <c r="AS110" s="360">
        <v>29.134093336695305</v>
      </c>
      <c r="AT110" s="87">
        <v>21.733179809854128</v>
      </c>
      <c r="AU110" s="87">
        <v>6.1457242308292548</v>
      </c>
      <c r="AV110" s="87">
        <v>100</v>
      </c>
      <c r="AW110" s="87">
        <v>104.69087092179542</v>
      </c>
      <c r="AX110" s="87">
        <v>100</v>
      </c>
      <c r="AY110" s="87">
        <v>93.18059640072785</v>
      </c>
      <c r="AZ110" s="87">
        <v>100</v>
      </c>
      <c r="BA110" s="87">
        <v>0</v>
      </c>
      <c r="BB110" s="87">
        <v>100</v>
      </c>
      <c r="BC110" s="87">
        <v>100</v>
      </c>
      <c r="BD110" s="87">
        <v>20</v>
      </c>
      <c r="BE110" s="68">
        <v>49.134093336695301</v>
      </c>
      <c r="BF110" s="68">
        <v>49.134093336695301</v>
      </c>
      <c r="BG110" s="68" t="s">
        <v>109</v>
      </c>
      <c r="BH110" s="68">
        <f t="shared" si="15"/>
        <v>28</v>
      </c>
    </row>
    <row r="111" spans="1:60" ht="13.5" customHeight="1" x14ac:dyDescent="0.35">
      <c r="A111" s="82" t="s">
        <v>104</v>
      </c>
      <c r="B111" s="81" t="s">
        <v>146</v>
      </c>
      <c r="C111" s="82">
        <v>2023</v>
      </c>
      <c r="D111" s="82" t="s">
        <v>9</v>
      </c>
      <c r="E111" s="147">
        <v>2</v>
      </c>
      <c r="F111" s="152" t="s">
        <v>178</v>
      </c>
      <c r="G111" t="s">
        <v>207</v>
      </c>
      <c r="H111" s="83">
        <v>0</v>
      </c>
      <c r="I111" s="83">
        <v>568496.49386499997</v>
      </c>
      <c r="J111" s="83">
        <v>1057632.6996209999</v>
      </c>
      <c r="K111" s="83">
        <v>221033.41530599998</v>
      </c>
      <c r="L111" s="83">
        <v>98338.136108000006</v>
      </c>
      <c r="M111" s="83">
        <v>1803062.6119929999</v>
      </c>
      <c r="N111" s="83">
        <v>961268.41009000002</v>
      </c>
      <c r="O111" s="83">
        <v>320364.55025099998</v>
      </c>
      <c r="P111" s="83">
        <v>202046.06509399999</v>
      </c>
      <c r="Q111" s="83">
        <v>10757.321447</v>
      </c>
      <c r="R111" s="83">
        <v>-55264.31556300004</v>
      </c>
      <c r="S111" s="83">
        <v>163743.40888100001</v>
      </c>
      <c r="T111" s="83">
        <v>46398</v>
      </c>
      <c r="U111" s="83">
        <v>4477617.1364430003</v>
      </c>
      <c r="V111" s="83">
        <v>1242687.811797</v>
      </c>
      <c r="W111" s="85">
        <v>51.788428483941516</v>
      </c>
      <c r="X111" s="82">
        <v>60</v>
      </c>
      <c r="Y111" s="83">
        <v>204462.58078300001</v>
      </c>
      <c r="Z111" s="83">
        <v>264984.52338899998</v>
      </c>
      <c r="AA111" s="83">
        <v>994578.56992499996</v>
      </c>
      <c r="AB111" s="83">
        <v>846432.20963699999</v>
      </c>
      <c r="AC111" s="86">
        <f t="shared" si="16"/>
        <v>568496.49386499997</v>
      </c>
      <c r="AD111" s="86">
        <f t="shared" si="17"/>
        <v>1057632.6996209999</v>
      </c>
      <c r="AE111" s="86">
        <f t="shared" si="18"/>
        <v>119236.41476499996</v>
      </c>
      <c r="AF111" s="86">
        <f t="shared" si="19"/>
        <v>1104030.6996209999</v>
      </c>
      <c r="AG111" s="87">
        <v>53.751788694574145</v>
      </c>
      <c r="AH111" s="87">
        <v>46.248211305425855</v>
      </c>
      <c r="AI111" s="360">
        <v>53.313090942941258</v>
      </c>
      <c r="AJ111" s="360">
        <v>53.313090942941258</v>
      </c>
      <c r="AK111" s="360">
        <v>100.00000000000001</v>
      </c>
      <c r="AL111" s="87">
        <v>27.753328923164382</v>
      </c>
      <c r="AM111" s="87">
        <v>72.246671076835611</v>
      </c>
      <c r="AN111" s="87">
        <v>63.067547559709858</v>
      </c>
      <c r="AO111" s="87">
        <v>80</v>
      </c>
      <c r="AP111" s="360">
        <v>10.800099562986098</v>
      </c>
      <c r="AQ111" s="87">
        <v>60</v>
      </c>
      <c r="AR111" s="360">
        <v>71.698976476452302</v>
      </c>
      <c r="AS111" s="360">
        <v>57.359181181161844</v>
      </c>
      <c r="AT111" s="87">
        <v>8.2115715160584841</v>
      </c>
      <c r="AU111" s="87">
        <v>11.000603938263692</v>
      </c>
      <c r="AV111" s="87">
        <v>74.64655179063358</v>
      </c>
      <c r="AW111" s="87">
        <v>129.60049823015441</v>
      </c>
      <c r="AX111" s="87">
        <v>80</v>
      </c>
      <c r="AY111" s="87">
        <v>85.104609653999333</v>
      </c>
      <c r="AZ111" s="87">
        <v>80</v>
      </c>
      <c r="BA111" s="87">
        <v>0.19091871707136499</v>
      </c>
      <c r="BB111" s="87">
        <v>78.215517263544527</v>
      </c>
      <c r="BC111" s="87">
        <v>78.406435980615896</v>
      </c>
      <c r="BD111" s="87">
        <v>15.681287196123179</v>
      </c>
      <c r="BE111" s="68">
        <v>73.002284633870744</v>
      </c>
      <c r="BF111" s="68">
        <v>73.040468377285023</v>
      </c>
      <c r="BG111" s="68" t="s">
        <v>95</v>
      </c>
      <c r="BH111" s="68">
        <f t="shared" si="15"/>
        <v>1</v>
      </c>
    </row>
    <row r="112" spans="1:60" ht="15" x14ac:dyDescent="0.35">
      <c r="A112" s="82" t="s">
        <v>115</v>
      </c>
      <c r="B112" s="81" t="s">
        <v>149</v>
      </c>
      <c r="C112" s="82">
        <v>2023</v>
      </c>
      <c r="D112" s="82" t="s">
        <v>116</v>
      </c>
      <c r="E112" s="126">
        <v>3</v>
      </c>
      <c r="F112" s="152" t="s">
        <v>178</v>
      </c>
      <c r="G112" t="s">
        <v>215</v>
      </c>
      <c r="H112" s="83">
        <v>0</v>
      </c>
      <c r="I112" s="83">
        <v>518697.60873800004</v>
      </c>
      <c r="J112" s="83">
        <v>656112.21831000003</v>
      </c>
      <c r="K112" s="83">
        <v>100633.80316</v>
      </c>
      <c r="L112" s="83">
        <v>9516.3565689999978</v>
      </c>
      <c r="M112" s="83">
        <v>598844.99029499991</v>
      </c>
      <c r="N112" s="83">
        <v>13348.375322999998</v>
      </c>
      <c r="O112" s="83">
        <v>110150.15972899999</v>
      </c>
      <c r="P112" s="83">
        <v>32795.823357000001</v>
      </c>
      <c r="Q112" s="83">
        <v>4120.9272810000002</v>
      </c>
      <c r="R112" s="83">
        <v>-20087.108356999815</v>
      </c>
      <c r="S112" s="83">
        <v>56057.526241</v>
      </c>
      <c r="T112" s="83">
        <v>3999.9996259999998</v>
      </c>
      <c r="U112" s="83">
        <v>2226540.3175889999</v>
      </c>
      <c r="V112" s="83">
        <v>618554.82496899995</v>
      </c>
      <c r="W112" s="85">
        <v>68.497339794911397</v>
      </c>
      <c r="X112" s="82">
        <v>70</v>
      </c>
      <c r="Y112" s="83">
        <v>102019.77401199999</v>
      </c>
      <c r="Z112" s="83">
        <v>102596.66250000001</v>
      </c>
      <c r="AA112" s="83">
        <v>598844.99029500003</v>
      </c>
      <c r="AB112" s="83">
        <v>522746.90524599998</v>
      </c>
      <c r="AC112" s="86">
        <f t="shared" si="16"/>
        <v>518697.60873800004</v>
      </c>
      <c r="AD112" s="86">
        <f t="shared" si="17"/>
        <v>656112.21831000003</v>
      </c>
      <c r="AE112" s="86">
        <f t="shared" si="18"/>
        <v>40091.345165000181</v>
      </c>
      <c r="AF112" s="86">
        <f t="shared" si="19"/>
        <v>660112.21793599997</v>
      </c>
      <c r="AG112" s="87">
        <v>79.056233714721898</v>
      </c>
      <c r="AH112" s="87">
        <v>20.943766285278102</v>
      </c>
      <c r="AI112" s="360">
        <v>2.2290201202859508</v>
      </c>
      <c r="AJ112" s="360">
        <v>22.663660119266531</v>
      </c>
      <c r="AK112" s="360">
        <v>9.8352168562175244</v>
      </c>
      <c r="AL112" s="87">
        <v>27.780984700012056</v>
      </c>
      <c r="AM112" s="87">
        <v>72.219015299987944</v>
      </c>
      <c r="AN112" s="87">
        <v>29.773741080073641</v>
      </c>
      <c r="AO112" s="87">
        <v>40</v>
      </c>
      <c r="AP112" s="360">
        <v>6.0734135917610246</v>
      </c>
      <c r="AQ112" s="87">
        <v>80</v>
      </c>
      <c r="AR112" s="360">
        <v>44.599599688296713</v>
      </c>
      <c r="AS112" s="360">
        <v>35.679679750637369</v>
      </c>
      <c r="AT112" s="87">
        <v>1.5026602050886027</v>
      </c>
      <c r="AU112" s="87">
        <v>6.1457242308292548</v>
      </c>
      <c r="AV112" s="87">
        <v>24.450498405878616</v>
      </c>
      <c r="AW112" s="87">
        <v>100.56546732590502</v>
      </c>
      <c r="AX112" s="87">
        <v>100</v>
      </c>
      <c r="AY112" s="87">
        <v>87.292523727799249</v>
      </c>
      <c r="AZ112" s="87">
        <v>80</v>
      </c>
      <c r="BA112" s="87">
        <v>0</v>
      </c>
      <c r="BB112" s="87">
        <v>68.150166135292878</v>
      </c>
      <c r="BC112" s="87">
        <v>68.150166135292878</v>
      </c>
      <c r="BD112" s="87">
        <v>13.630033227058576</v>
      </c>
      <c r="BE112" s="68">
        <v>49.309712977695945</v>
      </c>
      <c r="BF112" s="68">
        <v>49.309712977695945</v>
      </c>
      <c r="BG112" s="68" t="s">
        <v>109</v>
      </c>
      <c r="BH112" s="68">
        <f t="shared" si="15"/>
        <v>25</v>
      </c>
    </row>
    <row r="113" spans="1:60" ht="13.5" customHeight="1" x14ac:dyDescent="0.35">
      <c r="A113" s="82" t="s">
        <v>129</v>
      </c>
      <c r="B113" s="81" t="s">
        <v>147</v>
      </c>
      <c r="C113" s="82">
        <v>2023</v>
      </c>
      <c r="D113" s="82" t="s">
        <v>130</v>
      </c>
      <c r="E113" s="146">
        <v>1</v>
      </c>
      <c r="F113" s="152" t="s">
        <v>178</v>
      </c>
      <c r="G113" t="s">
        <v>207</v>
      </c>
      <c r="H113" s="83">
        <v>0</v>
      </c>
      <c r="I113" s="83">
        <v>978445.12108700001</v>
      </c>
      <c r="J113" s="83">
        <v>1456149.1216790001</v>
      </c>
      <c r="K113" s="83">
        <v>297648.30452199996</v>
      </c>
      <c r="L113" s="83">
        <v>28289.356760999995</v>
      </c>
      <c r="M113" s="83">
        <v>1477039.1428989999</v>
      </c>
      <c r="N113" s="83">
        <v>168084.338192</v>
      </c>
      <c r="O113" s="83">
        <v>327068.46887499996</v>
      </c>
      <c r="P113" s="83">
        <v>96150.111237999954</v>
      </c>
      <c r="Q113" s="83">
        <v>21058.249906000001</v>
      </c>
      <c r="R113" s="83">
        <v>-134771.30760299973</v>
      </c>
      <c r="S113" s="83">
        <v>277637.59239300003</v>
      </c>
      <c r="T113" s="83">
        <v>35966.985868000003</v>
      </c>
      <c r="U113" s="83">
        <v>3474160.7841400001</v>
      </c>
      <c r="V113" s="83">
        <v>2461583.4731490002</v>
      </c>
      <c r="W113" s="85">
        <v>53.432429362089771</v>
      </c>
      <c r="X113" s="82">
        <v>55</v>
      </c>
      <c r="Y113" s="83">
        <v>262658.07809199998</v>
      </c>
      <c r="Z113" s="83">
        <v>310692.86822800001</v>
      </c>
      <c r="AA113" s="83">
        <v>1360002.071645</v>
      </c>
      <c r="AB113" s="83">
        <v>1231526.206156</v>
      </c>
      <c r="AC113" s="86">
        <f t="shared" si="16"/>
        <v>978445.12108700001</v>
      </c>
      <c r="AD113" s="86">
        <f t="shared" si="17"/>
        <v>1456149.1216790001</v>
      </c>
      <c r="AE113" s="86">
        <f t="shared" si="18"/>
        <v>163924.53469600028</v>
      </c>
      <c r="AF113" s="86">
        <f t="shared" si="19"/>
        <v>1492116.1075470001</v>
      </c>
      <c r="AG113" s="87">
        <v>67.19401924706807</v>
      </c>
      <c r="AH113" s="87">
        <v>32.80598075293193</v>
      </c>
      <c r="AI113" s="360">
        <v>11.379816100343769</v>
      </c>
      <c r="AJ113" s="360">
        <v>12.797078475185518</v>
      </c>
      <c r="AK113" s="360">
        <v>88.925109917940048</v>
      </c>
      <c r="AL113" s="87">
        <v>70.854045799677777</v>
      </c>
      <c r="AM113" s="87">
        <v>29.145954200322223</v>
      </c>
      <c r="AN113" s="87">
        <v>29.397548338646761</v>
      </c>
      <c r="AO113" s="87">
        <v>40</v>
      </c>
      <c r="AP113" s="360">
        <v>10.986044173565549</v>
      </c>
      <c r="AQ113" s="87">
        <v>60</v>
      </c>
      <c r="AR113" s="360">
        <v>50.175408974238835</v>
      </c>
      <c r="AS113" s="360">
        <v>40.140327179391072</v>
      </c>
      <c r="AT113" s="87">
        <v>1.5675706379102294</v>
      </c>
      <c r="AU113" s="87">
        <v>8.2320920492945238</v>
      </c>
      <c r="AV113" s="87">
        <v>19.042190351170426</v>
      </c>
      <c r="AW113" s="87">
        <v>118.28795462333927</v>
      </c>
      <c r="AX113" s="87">
        <v>100</v>
      </c>
      <c r="AY113" s="87">
        <v>90.553259574553365</v>
      </c>
      <c r="AZ113" s="87">
        <v>100</v>
      </c>
      <c r="BA113" s="87">
        <v>0</v>
      </c>
      <c r="BB113" s="87">
        <v>73.01406345039014</v>
      </c>
      <c r="BC113" s="87">
        <v>73.01406345039014</v>
      </c>
      <c r="BD113" s="87">
        <v>14.602812690078029</v>
      </c>
      <c r="BE113" s="68">
        <v>54.743139869469104</v>
      </c>
      <c r="BF113" s="68">
        <v>54.743139869469104</v>
      </c>
      <c r="BG113" s="68" t="s">
        <v>109</v>
      </c>
      <c r="BH113" s="68">
        <f t="shared" si="15"/>
        <v>16</v>
      </c>
    </row>
    <row r="114" spans="1:60" ht="14.4" customHeight="1" x14ac:dyDescent="0.35">
      <c r="A114" s="82" t="s">
        <v>96</v>
      </c>
      <c r="B114" s="81" t="s">
        <v>148</v>
      </c>
      <c r="C114" s="82">
        <v>2023</v>
      </c>
      <c r="D114" s="82" t="s">
        <v>10</v>
      </c>
      <c r="E114" s="146" t="s">
        <v>51</v>
      </c>
      <c r="F114" s="146" t="s">
        <v>178</v>
      </c>
      <c r="G114" t="s">
        <v>208</v>
      </c>
      <c r="H114" s="83">
        <v>0</v>
      </c>
      <c r="I114" s="83">
        <v>1030276.7389849999</v>
      </c>
      <c r="J114" s="83">
        <v>3890273.0365129998</v>
      </c>
      <c r="K114" s="83">
        <v>2021570.7743540001</v>
      </c>
      <c r="L114" s="83">
        <v>483032.25101999997</v>
      </c>
      <c r="M114" s="83">
        <v>3679655.6525650001</v>
      </c>
      <c r="N114" s="83">
        <v>65209.160143000001</v>
      </c>
      <c r="O114" s="83">
        <v>2506279.2171089998</v>
      </c>
      <c r="P114" s="83">
        <v>1643874.4981379998</v>
      </c>
      <c r="Q114" s="83">
        <v>151873.143553</v>
      </c>
      <c r="R114" s="83">
        <v>-537294.77478800062</v>
      </c>
      <c r="S114" s="83">
        <v>637762.48821099999</v>
      </c>
      <c r="T114" s="83">
        <v>302881.69056700001</v>
      </c>
      <c r="U114" s="83">
        <v>9858466.470005</v>
      </c>
      <c r="V114" s="83">
        <v>6064243.4129560003</v>
      </c>
      <c r="W114" s="85">
        <v>38.317461322288672</v>
      </c>
      <c r="X114" s="82">
        <v>50</v>
      </c>
      <c r="Y114" s="83">
        <v>1922463.3929999999</v>
      </c>
      <c r="Z114" s="83">
        <v>2170041.9152560001</v>
      </c>
      <c r="AA114" s="83">
        <v>3565163.0923299999</v>
      </c>
      <c r="AB114" s="83">
        <v>3441575.7587660002</v>
      </c>
      <c r="AC114" s="86">
        <f t="shared" si="16"/>
        <v>1030276.7389849999</v>
      </c>
      <c r="AD114" s="86">
        <f t="shared" si="17"/>
        <v>3890273.0365129998</v>
      </c>
      <c r="AE114" s="86">
        <f t="shared" si="18"/>
        <v>252340.85697599937</v>
      </c>
      <c r="AF114" s="86">
        <f t="shared" si="19"/>
        <v>4193154.7270799996</v>
      </c>
      <c r="AG114" s="87">
        <v>26.483404360442432</v>
      </c>
      <c r="AH114" s="87">
        <v>73.516595639557565</v>
      </c>
      <c r="AI114" s="360">
        <v>1.7721538725381614</v>
      </c>
      <c r="AJ114" s="360">
        <v>5.5720207404540814</v>
      </c>
      <c r="AK114" s="360">
        <v>31.804509622010904</v>
      </c>
      <c r="AL114" s="87">
        <v>61.513050040864258</v>
      </c>
      <c r="AM114" s="87">
        <v>38.486949959135742</v>
      </c>
      <c r="AN114" s="87">
        <v>65.590237788198777</v>
      </c>
      <c r="AO114" s="87">
        <v>100</v>
      </c>
      <c r="AP114" s="360">
        <v>6.0179238163177144</v>
      </c>
      <c r="AQ114" s="87">
        <v>80</v>
      </c>
      <c r="AR114" s="360">
        <v>64.761611044140835</v>
      </c>
      <c r="AS114" s="360">
        <v>51.809288835312671</v>
      </c>
      <c r="AT114" s="87">
        <v>11.682538677711328</v>
      </c>
      <c r="AU114" s="87">
        <v>14.329015619977676</v>
      </c>
      <c r="AV114" s="87">
        <v>81.530643747944552</v>
      </c>
      <c r="AW114" s="87">
        <v>112.87819175946204</v>
      </c>
      <c r="AX114" s="87">
        <v>100</v>
      </c>
      <c r="AY114" s="87">
        <v>96.533473213893572</v>
      </c>
      <c r="AZ114" s="87">
        <v>100</v>
      </c>
      <c r="BA114" s="87">
        <v>0</v>
      </c>
      <c r="BB114" s="87">
        <v>93.843547915981517</v>
      </c>
      <c r="BC114" s="87">
        <v>93.843547915981517</v>
      </c>
      <c r="BD114" s="87">
        <v>18.768709583196305</v>
      </c>
      <c r="BE114" s="68">
        <v>70.577998418508969</v>
      </c>
      <c r="BF114" s="68">
        <v>70.577998418508969</v>
      </c>
      <c r="BG114" s="68" t="s">
        <v>95</v>
      </c>
      <c r="BH114" s="68">
        <f t="shared" si="15"/>
        <v>3</v>
      </c>
    </row>
    <row r="115" spans="1:60" ht="13.5" customHeight="1" x14ac:dyDescent="0.35">
      <c r="A115" s="82" t="s">
        <v>119</v>
      </c>
      <c r="B115" s="81" t="s">
        <v>167</v>
      </c>
      <c r="C115" s="82">
        <v>2023</v>
      </c>
      <c r="D115" s="82" t="s">
        <v>120</v>
      </c>
      <c r="E115" s="147">
        <v>4</v>
      </c>
      <c r="F115" s="152" t="s">
        <v>178</v>
      </c>
      <c r="G115" t="s">
        <v>210</v>
      </c>
      <c r="H115" s="83">
        <v>32052.834347</v>
      </c>
      <c r="I115" s="83">
        <v>121758.90069400001</v>
      </c>
      <c r="J115" s="83">
        <v>229426.096036</v>
      </c>
      <c r="K115" s="83">
        <v>32052.448767999998</v>
      </c>
      <c r="L115" s="83">
        <v>10662.393081</v>
      </c>
      <c r="M115" s="83">
        <v>211980.30491799998</v>
      </c>
      <c r="N115" s="83">
        <v>21277.377533999999</v>
      </c>
      <c r="O115" s="83">
        <v>74767.676196</v>
      </c>
      <c r="P115" s="83">
        <v>49399.980131000004</v>
      </c>
      <c r="Q115" s="83">
        <v>0</v>
      </c>
      <c r="R115" s="83">
        <v>2327.8700890000036</v>
      </c>
      <c r="S115" s="83">
        <v>57423.3</v>
      </c>
      <c r="T115" s="83">
        <v>0</v>
      </c>
      <c r="U115" s="83">
        <v>1190668.2160080001</v>
      </c>
      <c r="V115" s="83">
        <v>210115.538382</v>
      </c>
      <c r="W115" s="85">
        <v>39.905063745860033</v>
      </c>
      <c r="X115" s="82">
        <v>70</v>
      </c>
      <c r="Y115" s="83">
        <v>25305.142346000001</v>
      </c>
      <c r="Z115" s="83">
        <v>42181.569073999999</v>
      </c>
      <c r="AA115" s="83">
        <v>201730.529882</v>
      </c>
      <c r="AB115" s="83">
        <v>169284.409526</v>
      </c>
      <c r="AC115" s="86">
        <f t="shared" si="16"/>
        <v>153811.73504100001</v>
      </c>
      <c r="AD115" s="86">
        <f t="shared" si="17"/>
        <v>229426.096036</v>
      </c>
      <c r="AE115" s="86">
        <f t="shared" si="18"/>
        <v>59751.170089000007</v>
      </c>
      <c r="AF115" s="86">
        <f t="shared" si="19"/>
        <v>229426.096036</v>
      </c>
      <c r="AG115" s="87">
        <v>67.041952811185396</v>
      </c>
      <c r="AH115" s="87">
        <v>32.958047188814604</v>
      </c>
      <c r="AI115" s="360">
        <v>10.037431327514456</v>
      </c>
      <c r="AJ115" s="360">
        <v>15.292494007283075</v>
      </c>
      <c r="AK115" s="360">
        <v>65.636326702067777</v>
      </c>
      <c r="AL115" s="87">
        <v>17.646858760239908</v>
      </c>
      <c r="AM115" s="87">
        <v>82.353141239760092</v>
      </c>
      <c r="AN115" s="87">
        <v>66.071306003279076</v>
      </c>
      <c r="AO115" s="87">
        <v>100</v>
      </c>
      <c r="AP115" s="360">
        <v>26.043754882890155</v>
      </c>
      <c r="AQ115" s="87">
        <v>20</v>
      </c>
      <c r="AR115" s="360">
        <v>60.189503026128499</v>
      </c>
      <c r="AS115" s="360">
        <v>48.151602420902805</v>
      </c>
      <c r="AT115" s="87">
        <v>30.094936254139967</v>
      </c>
      <c r="AU115" s="87">
        <v>14.259994728309753</v>
      </c>
      <c r="AV115" s="87">
        <v>100</v>
      </c>
      <c r="AW115" s="87">
        <v>166.69168857952567</v>
      </c>
      <c r="AX115" s="87">
        <v>0</v>
      </c>
      <c r="AY115" s="87">
        <v>83.916108099761104</v>
      </c>
      <c r="AZ115" s="87">
        <v>80</v>
      </c>
      <c r="BA115" s="87">
        <v>0.20580039655857318</v>
      </c>
      <c r="BB115" s="87">
        <v>60</v>
      </c>
      <c r="BC115" s="87">
        <v>60.205800396558573</v>
      </c>
      <c r="BD115" s="87">
        <v>12.041160079311716</v>
      </c>
      <c r="BE115" s="68">
        <v>60.151602420902805</v>
      </c>
      <c r="BF115" s="68">
        <v>60.192762500214521</v>
      </c>
      <c r="BG115" s="68" t="s">
        <v>98</v>
      </c>
      <c r="BH115" s="68">
        <f t="shared" si="15"/>
        <v>10</v>
      </c>
    </row>
    <row r="116" spans="1:60" ht="13.5" customHeight="1" x14ac:dyDescent="0.35">
      <c r="A116" s="82" t="s">
        <v>118</v>
      </c>
      <c r="B116" s="81" t="s">
        <v>151</v>
      </c>
      <c r="C116" s="82">
        <v>2023</v>
      </c>
      <c r="D116" s="82" t="s">
        <v>136</v>
      </c>
      <c r="E116" s="147">
        <v>4</v>
      </c>
      <c r="F116" s="152" t="s">
        <v>178</v>
      </c>
      <c r="G116" t="s">
        <v>207</v>
      </c>
      <c r="H116" s="83">
        <v>0</v>
      </c>
      <c r="I116" s="83">
        <v>432792.04677300004</v>
      </c>
      <c r="J116" s="83">
        <v>659772.82426100003</v>
      </c>
      <c r="K116" s="83">
        <v>149588.67584499999</v>
      </c>
      <c r="L116" s="83">
        <v>6202.2442130000009</v>
      </c>
      <c r="M116" s="83">
        <v>590639.87921599997</v>
      </c>
      <c r="N116" s="83">
        <v>19963.567631999998</v>
      </c>
      <c r="O116" s="83">
        <v>156183.56567099999</v>
      </c>
      <c r="P116" s="83">
        <v>97733.370874999993</v>
      </c>
      <c r="Q116" s="83">
        <v>0</v>
      </c>
      <c r="R116" s="83">
        <v>44708.357206999906</v>
      </c>
      <c r="S116" s="83">
        <v>132664.319858</v>
      </c>
      <c r="T116" s="83">
        <v>0</v>
      </c>
      <c r="U116" s="83">
        <v>1843736.4700579999</v>
      </c>
      <c r="V116" s="83">
        <v>970017.64069699997</v>
      </c>
      <c r="W116" s="85">
        <v>54.858545092602739</v>
      </c>
      <c r="X116" s="82">
        <v>70</v>
      </c>
      <c r="Y116" s="83">
        <v>169936.40880400001</v>
      </c>
      <c r="Z116" s="83">
        <v>151841.199964</v>
      </c>
      <c r="AA116" s="83">
        <v>556614.27225799998</v>
      </c>
      <c r="AB116" s="83">
        <v>506383.101104</v>
      </c>
      <c r="AC116" s="86">
        <f t="shared" si="16"/>
        <v>432792.04677300004</v>
      </c>
      <c r="AD116" s="86">
        <f t="shared" si="17"/>
        <v>659772.82426100003</v>
      </c>
      <c r="AE116" s="86">
        <f t="shared" si="18"/>
        <v>177372.67706499991</v>
      </c>
      <c r="AF116" s="86">
        <f t="shared" si="19"/>
        <v>659772.82426100003</v>
      </c>
      <c r="AG116" s="87">
        <v>65.59713144562491</v>
      </c>
      <c r="AH116" s="87">
        <v>34.40286855437509</v>
      </c>
      <c r="AI116" s="360">
        <v>3.3799897931882148</v>
      </c>
      <c r="AJ116" s="360">
        <v>15.292494007283075</v>
      </c>
      <c r="AK116" s="360">
        <v>22.102279664641287</v>
      </c>
      <c r="AL116" s="87">
        <v>52.611512352765111</v>
      </c>
      <c r="AM116" s="87">
        <v>47.388487647234889</v>
      </c>
      <c r="AN116" s="87">
        <v>62.575963389691665</v>
      </c>
      <c r="AO116" s="87">
        <v>80</v>
      </c>
      <c r="AP116" s="360">
        <v>26.883901631394401</v>
      </c>
      <c r="AQ116" s="87">
        <v>20</v>
      </c>
      <c r="AR116" s="360">
        <v>40.778727173250253</v>
      </c>
      <c r="AS116" s="360">
        <v>32.622981738600203</v>
      </c>
      <c r="AT116" s="87">
        <v>15.141454907397261</v>
      </c>
      <c r="AU116" s="87">
        <v>14.259994728309753</v>
      </c>
      <c r="AV116" s="87">
        <v>100</v>
      </c>
      <c r="AW116" s="87">
        <v>89.351776368964863</v>
      </c>
      <c r="AX116" s="87">
        <v>80</v>
      </c>
      <c r="AY116" s="87">
        <v>90.975586926611001</v>
      </c>
      <c r="AZ116" s="87">
        <v>100</v>
      </c>
      <c r="BA116" s="87">
        <v>0</v>
      </c>
      <c r="BB116" s="87">
        <v>93.333333333333329</v>
      </c>
      <c r="BC116" s="87">
        <v>93.333333333333329</v>
      </c>
      <c r="BD116" s="87">
        <v>18.666666666666668</v>
      </c>
      <c r="BE116" s="68">
        <v>51.289648405266874</v>
      </c>
      <c r="BF116" s="68">
        <v>51.289648405266874</v>
      </c>
      <c r="BG116" s="68" t="s">
        <v>109</v>
      </c>
      <c r="BH116" s="68">
        <f t="shared" si="15"/>
        <v>22</v>
      </c>
    </row>
    <row r="117" spans="1:60" ht="13.5" customHeight="1" x14ac:dyDescent="0.35">
      <c r="A117" s="82" t="s">
        <v>101</v>
      </c>
      <c r="B117" s="81" t="s">
        <v>168</v>
      </c>
      <c r="C117" s="82">
        <v>2023</v>
      </c>
      <c r="D117" s="82" t="s">
        <v>25</v>
      </c>
      <c r="E117" s="147">
        <v>4</v>
      </c>
      <c r="F117" s="152" t="s">
        <v>178</v>
      </c>
      <c r="G117" t="s">
        <v>210</v>
      </c>
      <c r="H117" s="83">
        <v>30109.057851999998</v>
      </c>
      <c r="I117" s="83">
        <v>115904.68685700002</v>
      </c>
      <c r="J117" s="83">
        <v>213747.46528800001</v>
      </c>
      <c r="K117" s="83">
        <v>39885.399039999997</v>
      </c>
      <c r="L117" s="83">
        <v>12972.119031999999</v>
      </c>
      <c r="M117" s="83">
        <v>199091.13940800002</v>
      </c>
      <c r="N117" s="83">
        <v>30446.000562999998</v>
      </c>
      <c r="O117" s="83">
        <v>83555.023097999991</v>
      </c>
      <c r="P117" s="83">
        <v>27939.247814999981</v>
      </c>
      <c r="Q117" s="83">
        <v>2023.8711129999999</v>
      </c>
      <c r="R117" s="83">
        <v>-14336.350742000039</v>
      </c>
      <c r="S117" s="83">
        <v>36566.169228999999</v>
      </c>
      <c r="T117" s="83">
        <v>10336.739</v>
      </c>
      <c r="U117" s="83">
        <v>1033793.912004</v>
      </c>
      <c r="V117" s="83">
        <v>239034.512476</v>
      </c>
      <c r="W117" s="85">
        <v>76.223272471524439</v>
      </c>
      <c r="X117" s="82">
        <v>70</v>
      </c>
      <c r="Y117" s="83">
        <v>29629.268241000002</v>
      </c>
      <c r="Z117" s="83">
        <v>51606.82518</v>
      </c>
      <c r="AA117" s="83">
        <v>173275.300621</v>
      </c>
      <c r="AB117" s="83">
        <v>151020.09189499999</v>
      </c>
      <c r="AC117" s="86">
        <f t="shared" si="16"/>
        <v>146013.74470900002</v>
      </c>
      <c r="AD117" s="86">
        <f t="shared" si="17"/>
        <v>213747.46528800001</v>
      </c>
      <c r="AE117" s="86">
        <f t="shared" si="18"/>
        <v>24253.689599999962</v>
      </c>
      <c r="AF117" s="86">
        <f t="shared" si="19"/>
        <v>224084.20428800001</v>
      </c>
      <c r="AG117" s="87">
        <v>68.311333896878438</v>
      </c>
      <c r="AH117" s="87">
        <v>31.688666103121562</v>
      </c>
      <c r="AI117" s="360">
        <v>15.292494007283075</v>
      </c>
      <c r="AJ117" s="360">
        <v>15.292494007283075</v>
      </c>
      <c r="AK117" s="360">
        <v>100</v>
      </c>
      <c r="AL117" s="87">
        <v>23.12206617783556</v>
      </c>
      <c r="AM117" s="87">
        <v>76.877933822164437</v>
      </c>
      <c r="AN117" s="87">
        <v>33.438142650299554</v>
      </c>
      <c r="AO117" s="87">
        <v>40</v>
      </c>
      <c r="AP117" s="360">
        <v>10.823471327246414</v>
      </c>
      <c r="AQ117" s="87">
        <v>60</v>
      </c>
      <c r="AR117" s="360">
        <v>61.713319985057204</v>
      </c>
      <c r="AS117" s="360">
        <v>49.370655988045769</v>
      </c>
      <c r="AT117" s="87">
        <v>0</v>
      </c>
      <c r="AU117" s="87">
        <v>14.259994728309753</v>
      </c>
      <c r="AV117" s="87">
        <v>0</v>
      </c>
      <c r="AW117" s="87">
        <v>174.17515937362296</v>
      </c>
      <c r="AX117" s="87">
        <v>0</v>
      </c>
      <c r="AY117" s="87">
        <v>87.156156332587656</v>
      </c>
      <c r="AZ117" s="87">
        <v>80</v>
      </c>
      <c r="BA117" s="87">
        <v>0</v>
      </c>
      <c r="BB117" s="87">
        <v>26.666666666666668</v>
      </c>
      <c r="BC117" s="87">
        <v>26.666666666666668</v>
      </c>
      <c r="BD117" s="87">
        <v>5.3333333333333339</v>
      </c>
      <c r="BE117" s="68">
        <v>54.703989321379105</v>
      </c>
      <c r="BF117" s="68">
        <v>54.703989321379105</v>
      </c>
      <c r="BG117" s="68" t="s">
        <v>109</v>
      </c>
      <c r="BH117" s="68">
        <f t="shared" si="15"/>
        <v>18</v>
      </c>
    </row>
    <row r="118" spans="1:60" ht="15" x14ac:dyDescent="0.35">
      <c r="A118" s="82" t="s">
        <v>100</v>
      </c>
      <c r="B118" s="81" t="s">
        <v>150</v>
      </c>
      <c r="C118" s="82">
        <v>2023</v>
      </c>
      <c r="D118" s="82" t="s">
        <v>11</v>
      </c>
      <c r="E118" s="147">
        <v>2</v>
      </c>
      <c r="F118" s="152" t="s">
        <v>178</v>
      </c>
      <c r="G118" t="s">
        <v>214</v>
      </c>
      <c r="H118" s="83">
        <v>0</v>
      </c>
      <c r="I118" s="83">
        <v>552386.17730700003</v>
      </c>
      <c r="J118" s="83">
        <v>1072217.7698230001</v>
      </c>
      <c r="K118" s="83">
        <v>242796.02807599999</v>
      </c>
      <c r="L118" s="83">
        <v>99937.971677999987</v>
      </c>
      <c r="M118" s="83">
        <v>1392260.4980540001</v>
      </c>
      <c r="N118" s="83">
        <v>137666.498433</v>
      </c>
      <c r="O118" s="83">
        <v>345242.59515000001</v>
      </c>
      <c r="P118" s="83">
        <v>152099.53471400001</v>
      </c>
      <c r="Q118" s="83">
        <v>8785</v>
      </c>
      <c r="R118" s="83">
        <v>-146184.68955200003</v>
      </c>
      <c r="S118" s="83">
        <v>159765.89663599999</v>
      </c>
      <c r="T118" s="83">
        <v>39664.536824000003</v>
      </c>
      <c r="U118" s="83">
        <v>2592812.929238</v>
      </c>
      <c r="V118" s="83">
        <v>1665205.7061040001</v>
      </c>
      <c r="W118" s="85">
        <v>43.901676421073141</v>
      </c>
      <c r="X118" s="82">
        <v>60</v>
      </c>
      <c r="Y118" s="83">
        <v>259314.56281599999</v>
      </c>
      <c r="Z118" s="83">
        <v>263296.37923600001</v>
      </c>
      <c r="AA118" s="83">
        <v>1025259.398939</v>
      </c>
      <c r="AB118" s="83">
        <v>896200.36975800002</v>
      </c>
      <c r="AC118" s="86">
        <f t="shared" si="16"/>
        <v>552386.17730700003</v>
      </c>
      <c r="AD118" s="86">
        <f t="shared" si="17"/>
        <v>1072217.7698230001</v>
      </c>
      <c r="AE118" s="86">
        <f t="shared" si="18"/>
        <v>22366.207083999965</v>
      </c>
      <c r="AF118" s="86">
        <f t="shared" si="19"/>
        <v>1111882.3066470001</v>
      </c>
      <c r="AG118" s="87">
        <v>51.518095750100002</v>
      </c>
      <c r="AH118" s="87">
        <v>48.481904249899998</v>
      </c>
      <c r="AI118" s="360">
        <v>9.8879842260424802</v>
      </c>
      <c r="AJ118" s="360">
        <v>53.313090942941258</v>
      </c>
      <c r="AK118" s="360">
        <v>18.547009845340181</v>
      </c>
      <c r="AL118" s="87">
        <v>64.223904753259092</v>
      </c>
      <c r="AM118" s="87">
        <v>35.776095246740908</v>
      </c>
      <c r="AN118" s="87">
        <v>44.055842717760896</v>
      </c>
      <c r="AO118" s="87">
        <v>50</v>
      </c>
      <c r="AP118" s="360">
        <v>2.0115624603693583</v>
      </c>
      <c r="AQ118" s="87">
        <v>100</v>
      </c>
      <c r="AR118" s="360">
        <v>50.561001868396218</v>
      </c>
      <c r="AS118" s="360">
        <v>40.448801494716975</v>
      </c>
      <c r="AT118" s="87">
        <v>16.098323578926859</v>
      </c>
      <c r="AU118" s="87">
        <v>11.000603938263692</v>
      </c>
      <c r="AV118" s="87">
        <v>100</v>
      </c>
      <c r="AW118" s="87">
        <v>101.5355159296724</v>
      </c>
      <c r="AX118" s="87">
        <v>100</v>
      </c>
      <c r="AY118" s="87">
        <v>87.412060858495138</v>
      </c>
      <c r="AZ118" s="87">
        <v>80</v>
      </c>
      <c r="BA118" s="87">
        <v>0</v>
      </c>
      <c r="BB118" s="87">
        <v>93.333333333333329</v>
      </c>
      <c r="BC118" s="87">
        <v>93.333333333333329</v>
      </c>
      <c r="BD118" s="87">
        <v>18.666666666666668</v>
      </c>
      <c r="BE118" s="68">
        <v>59.115468161383646</v>
      </c>
      <c r="BF118" s="68">
        <v>59.115468161383646</v>
      </c>
      <c r="BG118" s="68" t="s">
        <v>109</v>
      </c>
      <c r="BH118" s="68">
        <f t="shared" si="15"/>
        <v>11</v>
      </c>
    </row>
    <row r="119" spans="1:60" ht="15" x14ac:dyDescent="0.35">
      <c r="A119" s="82" t="s">
        <v>112</v>
      </c>
      <c r="B119" s="81" t="s">
        <v>152</v>
      </c>
      <c r="C119" s="82">
        <v>2023</v>
      </c>
      <c r="D119" s="82" t="s">
        <v>12</v>
      </c>
      <c r="E119" s="147">
        <v>2</v>
      </c>
      <c r="F119" s="152" t="s">
        <v>178</v>
      </c>
      <c r="G119" t="s">
        <v>207</v>
      </c>
      <c r="H119" s="83">
        <v>0</v>
      </c>
      <c r="I119" s="83">
        <v>769770.56024000002</v>
      </c>
      <c r="J119" s="83">
        <v>1403563.094885</v>
      </c>
      <c r="K119" s="83">
        <v>315338.45581700001</v>
      </c>
      <c r="L119" s="83">
        <v>191139.329726</v>
      </c>
      <c r="M119" s="83">
        <v>1290305.846896</v>
      </c>
      <c r="N119" s="83">
        <v>139782.42813699998</v>
      </c>
      <c r="O119" s="83">
        <v>508133.867264</v>
      </c>
      <c r="P119" s="83">
        <v>260088.06254700001</v>
      </c>
      <c r="Q119" s="83">
        <v>11948.434433</v>
      </c>
      <c r="R119" s="83">
        <v>-48598.716215000022</v>
      </c>
      <c r="S119" s="83">
        <v>370610.926783</v>
      </c>
      <c r="T119" s="83">
        <v>52000</v>
      </c>
      <c r="U119" s="83">
        <v>2540860.1916809999</v>
      </c>
      <c r="V119" s="83">
        <v>1148459.874636</v>
      </c>
      <c r="W119" s="85">
        <v>56.190341891655848</v>
      </c>
      <c r="X119" s="82">
        <v>60</v>
      </c>
      <c r="Y119" s="83">
        <v>467800.92988399998</v>
      </c>
      <c r="Z119" s="83">
        <v>491807.41420699999</v>
      </c>
      <c r="AA119" s="83">
        <v>1204116.0063829999</v>
      </c>
      <c r="AB119" s="83">
        <v>951819.28443999996</v>
      </c>
      <c r="AC119" s="86">
        <f t="shared" si="16"/>
        <v>769770.56024000002</v>
      </c>
      <c r="AD119" s="86">
        <f t="shared" si="17"/>
        <v>1403563.094885</v>
      </c>
      <c r="AE119" s="86">
        <f t="shared" si="18"/>
        <v>333960.64500099997</v>
      </c>
      <c r="AF119" s="86">
        <f t="shared" si="19"/>
        <v>1455563.094885</v>
      </c>
      <c r="AG119" s="87">
        <v>54.844029673142032</v>
      </c>
      <c r="AH119" s="87">
        <v>45.155970326857968</v>
      </c>
      <c r="AI119" s="360">
        <v>10.833278673677636</v>
      </c>
      <c r="AJ119" s="360">
        <v>53.313090942941258</v>
      </c>
      <c r="AK119" s="360">
        <v>20.32010990559905</v>
      </c>
      <c r="AL119" s="87">
        <v>45.199648465356681</v>
      </c>
      <c r="AM119" s="87">
        <v>54.800351534643319</v>
      </c>
      <c r="AN119" s="87">
        <v>51.184949341680422</v>
      </c>
      <c r="AO119" s="87">
        <v>70</v>
      </c>
      <c r="AP119" s="360">
        <v>22.943742265421019</v>
      </c>
      <c r="AQ119" s="87">
        <v>20</v>
      </c>
      <c r="AR119" s="360">
        <v>42.055286353420072</v>
      </c>
      <c r="AS119" s="360">
        <v>33.644229082736061</v>
      </c>
      <c r="AT119" s="87">
        <v>3.8096581083441521</v>
      </c>
      <c r="AU119" s="87">
        <v>11.000603938263692</v>
      </c>
      <c r="AV119" s="87">
        <v>34.631354148592855</v>
      </c>
      <c r="AW119" s="87">
        <v>105.13177353643843</v>
      </c>
      <c r="AX119" s="87">
        <v>100</v>
      </c>
      <c r="AY119" s="87">
        <v>79.047141587224232</v>
      </c>
      <c r="AZ119" s="87">
        <v>70</v>
      </c>
      <c r="BA119" s="87">
        <v>0</v>
      </c>
      <c r="BB119" s="87">
        <v>68.210451382864292</v>
      </c>
      <c r="BC119" s="87">
        <v>68.210451382864292</v>
      </c>
      <c r="BD119" s="87">
        <v>13.642090276572858</v>
      </c>
      <c r="BE119" s="68">
        <v>47.286319359308919</v>
      </c>
      <c r="BF119" s="68">
        <v>47.286319359308919</v>
      </c>
      <c r="BG119" s="68" t="s">
        <v>109</v>
      </c>
      <c r="BH119" s="68">
        <f t="shared" si="15"/>
        <v>30</v>
      </c>
    </row>
    <row r="120" spans="1:60" ht="13.5" customHeight="1" x14ac:dyDescent="0.35">
      <c r="A120" s="82" t="s">
        <v>99</v>
      </c>
      <c r="B120" s="81" t="s">
        <v>153</v>
      </c>
      <c r="C120" s="82">
        <v>2023</v>
      </c>
      <c r="D120" s="82" t="s">
        <v>13</v>
      </c>
      <c r="E120" s="146">
        <v>1</v>
      </c>
      <c r="F120" s="152" t="s">
        <v>178</v>
      </c>
      <c r="G120" t="s">
        <v>210</v>
      </c>
      <c r="H120" s="83">
        <v>0</v>
      </c>
      <c r="I120" s="83">
        <v>367742.22785100003</v>
      </c>
      <c r="J120" s="83">
        <v>1003491.107913</v>
      </c>
      <c r="K120" s="83">
        <v>392754.42291100003</v>
      </c>
      <c r="L120" s="83">
        <v>83630.413635999997</v>
      </c>
      <c r="M120" s="83">
        <v>1036143.394596</v>
      </c>
      <c r="N120" s="83">
        <v>1690.0210619999998</v>
      </c>
      <c r="O120" s="83">
        <v>478357.34229000006</v>
      </c>
      <c r="P120" s="83">
        <v>238175.20581000004</v>
      </c>
      <c r="Q120" s="83">
        <v>20531.735135999999</v>
      </c>
      <c r="R120" s="83">
        <v>14013.970280000125</v>
      </c>
      <c r="S120" s="83">
        <v>214831.07516099999</v>
      </c>
      <c r="T120" s="83">
        <v>9589.5893020000003</v>
      </c>
      <c r="U120" s="83">
        <v>9281976.9695849996</v>
      </c>
      <c r="V120" s="83">
        <v>1517473.794581</v>
      </c>
      <c r="W120" s="85">
        <v>47.133611605767292</v>
      </c>
      <c r="X120" s="82">
        <v>55</v>
      </c>
      <c r="Y120" s="83">
        <v>396975.78305000003</v>
      </c>
      <c r="Z120" s="83">
        <v>428118.18178099999</v>
      </c>
      <c r="AA120" s="83">
        <v>749295.00115300005</v>
      </c>
      <c r="AB120" s="83">
        <v>699508.50942400005</v>
      </c>
      <c r="AC120" s="86">
        <f t="shared" si="16"/>
        <v>367742.22785100003</v>
      </c>
      <c r="AD120" s="86">
        <f t="shared" si="17"/>
        <v>1003491.107913</v>
      </c>
      <c r="AE120" s="86">
        <f t="shared" si="18"/>
        <v>249376.78057700011</v>
      </c>
      <c r="AF120" s="86">
        <f t="shared" si="19"/>
        <v>1013080.6972150001</v>
      </c>
      <c r="AG120" s="87">
        <v>36.646286643815714</v>
      </c>
      <c r="AH120" s="87">
        <v>63.353713356184286</v>
      </c>
      <c r="AI120" s="360">
        <v>0.16310687022802972</v>
      </c>
      <c r="AJ120" s="360">
        <v>12.797078475185518</v>
      </c>
      <c r="AK120" s="360">
        <v>1.2745633352511359</v>
      </c>
      <c r="AL120" s="87">
        <v>16.3486054700785</v>
      </c>
      <c r="AM120" s="87">
        <v>83.651394529921504</v>
      </c>
      <c r="AN120" s="87">
        <v>49.790226835403807</v>
      </c>
      <c r="AO120" s="87">
        <v>70</v>
      </c>
      <c r="AP120" s="360">
        <v>24.615687700155281</v>
      </c>
      <c r="AQ120" s="87">
        <v>20</v>
      </c>
      <c r="AR120" s="360">
        <v>47.655934244271386</v>
      </c>
      <c r="AS120" s="360">
        <v>38.12474739541711</v>
      </c>
      <c r="AT120" s="87">
        <v>7.8663883942327075</v>
      </c>
      <c r="AU120" s="87">
        <v>8.2320920492945238</v>
      </c>
      <c r="AV120" s="87">
        <v>95.557585448851285</v>
      </c>
      <c r="AW120" s="87">
        <v>107.84491146833446</v>
      </c>
      <c r="AX120" s="87">
        <v>100</v>
      </c>
      <c r="AY120" s="87">
        <v>93.355555335029663</v>
      </c>
      <c r="AZ120" s="87">
        <v>100</v>
      </c>
      <c r="BA120" s="87">
        <v>0.11111005658870565</v>
      </c>
      <c r="BB120" s="87">
        <v>98.51919514961709</v>
      </c>
      <c r="BC120" s="87">
        <v>98.63030520620579</v>
      </c>
      <c r="BD120" s="87">
        <v>19.726061041241159</v>
      </c>
      <c r="BE120" s="68">
        <v>57.828586425340532</v>
      </c>
      <c r="BF120" s="68">
        <v>57.850808436658269</v>
      </c>
      <c r="BG120" s="68" t="s">
        <v>109</v>
      </c>
      <c r="BH120" s="68">
        <f t="shared" si="15"/>
        <v>13</v>
      </c>
    </row>
    <row r="121" spans="1:60" ht="15" x14ac:dyDescent="0.35">
      <c r="A121" s="82" t="s">
        <v>127</v>
      </c>
      <c r="B121" s="81" t="s">
        <v>154</v>
      </c>
      <c r="C121" s="82">
        <v>2023</v>
      </c>
      <c r="D121" s="82" t="s">
        <v>14</v>
      </c>
      <c r="E121" s="146">
        <v>1</v>
      </c>
      <c r="F121" s="152" t="s">
        <v>178</v>
      </c>
      <c r="G121" t="s">
        <v>215</v>
      </c>
      <c r="H121" s="83">
        <v>0</v>
      </c>
      <c r="I121" s="83">
        <v>838042.98374599998</v>
      </c>
      <c r="J121" s="83">
        <v>1418053.782226</v>
      </c>
      <c r="K121" s="83">
        <v>262920.875451</v>
      </c>
      <c r="L121" s="83">
        <v>112400.97011699998</v>
      </c>
      <c r="M121" s="83">
        <v>1318807.2755100003</v>
      </c>
      <c r="N121" s="83">
        <v>68129.740449000004</v>
      </c>
      <c r="O121" s="83">
        <v>380352.763034</v>
      </c>
      <c r="P121" s="83">
        <v>201675.24735200001</v>
      </c>
      <c r="Q121" s="83">
        <v>0</v>
      </c>
      <c r="R121" s="83">
        <v>-24226.290997000178</v>
      </c>
      <c r="S121" s="83">
        <v>307094.85618599999</v>
      </c>
      <c r="T121" s="83">
        <v>0</v>
      </c>
      <c r="U121" s="83">
        <v>3663680.8840509998</v>
      </c>
      <c r="V121" s="83">
        <v>1839751.5539210001</v>
      </c>
      <c r="W121" s="85">
        <v>40.974796783731129</v>
      </c>
      <c r="X121" s="82">
        <v>55</v>
      </c>
      <c r="Y121" s="83">
        <v>169458.29485100001</v>
      </c>
      <c r="Z121" s="83">
        <v>241042.38814699999</v>
      </c>
      <c r="AA121" s="83">
        <v>1263602.557541</v>
      </c>
      <c r="AB121" s="83">
        <v>1058052.3178630001</v>
      </c>
      <c r="AC121" s="86">
        <f t="shared" si="16"/>
        <v>838042.98374599998</v>
      </c>
      <c r="AD121" s="86">
        <f t="shared" si="17"/>
        <v>1418053.782226</v>
      </c>
      <c r="AE121" s="86">
        <f t="shared" si="18"/>
        <v>282868.56518899981</v>
      </c>
      <c r="AF121" s="86">
        <f t="shared" si="19"/>
        <v>1418053.782226</v>
      </c>
      <c r="AG121" s="87">
        <v>59.098109976511331</v>
      </c>
      <c r="AH121" s="87">
        <v>40.901890023488669</v>
      </c>
      <c r="AI121" s="360">
        <v>5.1660118740741199</v>
      </c>
      <c r="AJ121" s="360">
        <v>12.797078475185518</v>
      </c>
      <c r="AK121" s="360">
        <v>40.368681680677341</v>
      </c>
      <c r="AL121" s="87">
        <v>50.215933432683492</v>
      </c>
      <c r="AM121" s="87">
        <v>49.784066567316508</v>
      </c>
      <c r="AN121" s="87">
        <v>53.023210806535438</v>
      </c>
      <c r="AO121" s="87">
        <v>70</v>
      </c>
      <c r="AP121" s="360">
        <v>19.947661275933051</v>
      </c>
      <c r="AQ121" s="87">
        <v>40</v>
      </c>
      <c r="AR121" s="360">
        <v>48.210927654296498</v>
      </c>
      <c r="AS121" s="360">
        <v>38.568742123437204</v>
      </c>
      <c r="AT121" s="87">
        <v>14.025203216268871</v>
      </c>
      <c r="AU121" s="87">
        <v>8.2320920492945238</v>
      </c>
      <c r="AV121" s="87">
        <v>100</v>
      </c>
      <c r="AW121" s="87">
        <v>142.24289720307991</v>
      </c>
      <c r="AX121" s="87">
        <v>60</v>
      </c>
      <c r="AY121" s="87">
        <v>83.732999078602262</v>
      </c>
      <c r="AZ121" s="87">
        <v>80</v>
      </c>
      <c r="BA121" s="87">
        <v>0</v>
      </c>
      <c r="BB121" s="87">
        <v>80</v>
      </c>
      <c r="BC121" s="87">
        <v>80</v>
      </c>
      <c r="BD121" s="87">
        <v>16</v>
      </c>
      <c r="BE121" s="68">
        <v>54.568742123437204</v>
      </c>
      <c r="BF121" s="68">
        <v>54.568742123437204</v>
      </c>
      <c r="BG121" s="68" t="s">
        <v>109</v>
      </c>
      <c r="BH121" s="68">
        <f t="shared" si="15"/>
        <v>19</v>
      </c>
    </row>
    <row r="122" spans="1:60" ht="15" x14ac:dyDescent="0.35">
      <c r="A122" s="82" t="s">
        <v>111</v>
      </c>
      <c r="B122" s="81" t="s">
        <v>155</v>
      </c>
      <c r="C122" s="82">
        <v>2023</v>
      </c>
      <c r="D122" s="82" t="s">
        <v>15</v>
      </c>
      <c r="E122" s="147">
        <v>2</v>
      </c>
      <c r="F122" s="152" t="s">
        <v>178</v>
      </c>
      <c r="G122" t="s">
        <v>208</v>
      </c>
      <c r="H122" s="83">
        <v>0</v>
      </c>
      <c r="I122" s="83">
        <v>657569.02635299996</v>
      </c>
      <c r="J122" s="83">
        <v>1264450.177254</v>
      </c>
      <c r="K122" s="83">
        <v>359782.37497800001</v>
      </c>
      <c r="L122" s="83">
        <v>114017.61197199998</v>
      </c>
      <c r="M122" s="83">
        <v>1278002.1065479999</v>
      </c>
      <c r="N122" s="83">
        <v>19148.126222999999</v>
      </c>
      <c r="O122" s="83">
        <v>475945.67609299999</v>
      </c>
      <c r="P122" s="83">
        <v>267853.75635199994</v>
      </c>
      <c r="Q122" s="83">
        <v>28984.038911</v>
      </c>
      <c r="R122" s="83">
        <v>-220493.13948399993</v>
      </c>
      <c r="S122" s="83">
        <v>304822.466954</v>
      </c>
      <c r="T122" s="83">
        <v>35000</v>
      </c>
      <c r="U122" s="83">
        <v>2737803.3007220002</v>
      </c>
      <c r="V122" s="83">
        <v>1531063.4872610001</v>
      </c>
      <c r="W122" s="85">
        <v>47.293900337534566</v>
      </c>
      <c r="X122" s="82">
        <v>60</v>
      </c>
      <c r="Y122" s="83">
        <v>316082.59749900002</v>
      </c>
      <c r="Z122" s="83">
        <v>406252.47766799998</v>
      </c>
      <c r="AA122" s="83">
        <v>1276851.3969970001</v>
      </c>
      <c r="AB122" s="83">
        <v>1039302.6069660001</v>
      </c>
      <c r="AC122" s="86">
        <f t="shared" si="16"/>
        <v>657569.02635299996</v>
      </c>
      <c r="AD122" s="86">
        <f t="shared" si="17"/>
        <v>1264450.177254</v>
      </c>
      <c r="AE122" s="86">
        <f t="shared" si="18"/>
        <v>113313.36638100009</v>
      </c>
      <c r="AF122" s="86">
        <f t="shared" si="19"/>
        <v>1299450.177254</v>
      </c>
      <c r="AG122" s="87">
        <v>52.004344511306826</v>
      </c>
      <c r="AH122" s="87">
        <v>47.995655488693174</v>
      </c>
      <c r="AI122" s="360">
        <v>1.4982859672055495</v>
      </c>
      <c r="AJ122" s="360">
        <v>53.313090942941258</v>
      </c>
      <c r="AK122" s="360">
        <v>2.8103528433740625</v>
      </c>
      <c r="AL122" s="87">
        <v>55.923063824827565</v>
      </c>
      <c r="AM122" s="87">
        <v>44.076936175172435</v>
      </c>
      <c r="AN122" s="87">
        <v>56.278220352959188</v>
      </c>
      <c r="AO122" s="87">
        <v>80</v>
      </c>
      <c r="AP122" s="360">
        <v>8.7201008830099251</v>
      </c>
      <c r="AQ122" s="87">
        <v>80</v>
      </c>
      <c r="AR122" s="360">
        <v>50.976588901447933</v>
      </c>
      <c r="AS122" s="360">
        <v>40.781271121158348</v>
      </c>
      <c r="AT122" s="87">
        <v>12.706099662465434</v>
      </c>
      <c r="AU122" s="87">
        <v>11.000603938263692</v>
      </c>
      <c r="AV122" s="87">
        <v>100</v>
      </c>
      <c r="AW122" s="87">
        <v>128.52731560752414</v>
      </c>
      <c r="AX122" s="87">
        <v>80</v>
      </c>
      <c r="AY122" s="87">
        <v>81.395737155499376</v>
      </c>
      <c r="AZ122" s="87">
        <v>80</v>
      </c>
      <c r="BA122" s="87">
        <v>0.12032497469873672</v>
      </c>
      <c r="BB122" s="87">
        <v>86.666666666666671</v>
      </c>
      <c r="BC122" s="87">
        <v>86.786991641365404</v>
      </c>
      <c r="BD122" s="87">
        <v>17.357398328273081</v>
      </c>
      <c r="BE122" s="68">
        <v>58.114604454491683</v>
      </c>
      <c r="BF122" s="68">
        <v>58.138669449431433</v>
      </c>
      <c r="BG122" s="68" t="s">
        <v>109</v>
      </c>
      <c r="BH122" s="68">
        <f t="shared" si="15"/>
        <v>12</v>
      </c>
    </row>
    <row r="123" spans="1:60" ht="13.5" customHeight="1" x14ac:dyDescent="0.35">
      <c r="A123" s="82" t="s">
        <v>113</v>
      </c>
      <c r="B123" s="81" t="s">
        <v>164</v>
      </c>
      <c r="C123" s="82">
        <v>2023</v>
      </c>
      <c r="D123" s="82" t="s">
        <v>23</v>
      </c>
      <c r="E123" s="147">
        <v>4</v>
      </c>
      <c r="F123" s="152" t="s">
        <v>178</v>
      </c>
      <c r="G123" t="s">
        <v>214</v>
      </c>
      <c r="H123" s="83">
        <v>30109.057853999999</v>
      </c>
      <c r="I123" s="83">
        <v>361245.93584399996</v>
      </c>
      <c r="J123" s="83">
        <v>532641.1586529999</v>
      </c>
      <c r="K123" s="83">
        <v>59075.089930999995</v>
      </c>
      <c r="L123" s="83">
        <v>28024.984209999991</v>
      </c>
      <c r="M123" s="83">
        <v>496786.292197</v>
      </c>
      <c r="N123" s="83">
        <v>53313.271164999998</v>
      </c>
      <c r="O123" s="83">
        <v>117813.18519299998</v>
      </c>
      <c r="P123" s="83">
        <v>41798.974231999979</v>
      </c>
      <c r="Q123" s="83">
        <v>757.12473299999999</v>
      </c>
      <c r="R123" s="83">
        <v>-40159.344505000161</v>
      </c>
      <c r="S123" s="83">
        <v>71100.773107000001</v>
      </c>
      <c r="T123" s="83">
        <v>0</v>
      </c>
      <c r="U123" s="83">
        <v>1589336.115431</v>
      </c>
      <c r="V123" s="83">
        <v>432224.62767199997</v>
      </c>
      <c r="W123" s="85">
        <v>64.818630015215476</v>
      </c>
      <c r="X123" s="82">
        <v>70</v>
      </c>
      <c r="Y123" s="83">
        <v>52924.317827999999</v>
      </c>
      <c r="Z123" s="83">
        <v>68250.256492999993</v>
      </c>
      <c r="AA123" s="83">
        <v>496786.292197</v>
      </c>
      <c r="AB123" s="83">
        <v>437892.78838500002</v>
      </c>
      <c r="AC123" s="86">
        <f t="shared" si="16"/>
        <v>391354.99369799998</v>
      </c>
      <c r="AD123" s="86">
        <f t="shared" si="17"/>
        <v>532641.1586529999</v>
      </c>
      <c r="AE123" s="86">
        <f t="shared" si="18"/>
        <v>31698.553334999837</v>
      </c>
      <c r="AF123" s="86">
        <f t="shared" si="19"/>
        <v>532641.1586529999</v>
      </c>
      <c r="AG123" s="87">
        <v>73.474418441057111</v>
      </c>
      <c r="AH123" s="87">
        <v>26.525581558942889</v>
      </c>
      <c r="AI123" s="360">
        <v>10.731630884826968</v>
      </c>
      <c r="AJ123" s="360">
        <v>15.292494007283075</v>
      </c>
      <c r="AK123" s="360">
        <v>70.175805723487684</v>
      </c>
      <c r="AL123" s="87">
        <v>27.195293901365115</v>
      </c>
      <c r="AM123" s="87">
        <v>72.804706098634881</v>
      </c>
      <c r="AN123" s="87">
        <v>35.479029077709306</v>
      </c>
      <c r="AO123" s="87">
        <v>50</v>
      </c>
      <c r="AP123" s="360">
        <v>5.9512023845777406</v>
      </c>
      <c r="AQ123" s="87">
        <v>80</v>
      </c>
      <c r="AR123" s="360">
        <v>59.901218676213091</v>
      </c>
      <c r="AS123" s="360">
        <v>47.920974940970474</v>
      </c>
      <c r="AT123" s="87">
        <v>5.1813699847845243</v>
      </c>
      <c r="AU123" s="87">
        <v>14.259994728309753</v>
      </c>
      <c r="AV123" s="87">
        <v>36.335006313138202</v>
      </c>
      <c r="AW123" s="87">
        <v>128.95821674038035</v>
      </c>
      <c r="AX123" s="87">
        <v>80</v>
      </c>
      <c r="AY123" s="87">
        <v>88.145102886887656</v>
      </c>
      <c r="AZ123" s="87">
        <v>80</v>
      </c>
      <c r="BA123" s="87">
        <v>4.2871336854514164E-2</v>
      </c>
      <c r="BB123" s="87">
        <v>65.445002104379398</v>
      </c>
      <c r="BC123" s="87">
        <v>65.487873441233916</v>
      </c>
      <c r="BD123" s="87">
        <v>13.097574688246784</v>
      </c>
      <c r="BE123" s="68">
        <v>61.009975361846358</v>
      </c>
      <c r="BF123" s="68">
        <v>61.018549629217262</v>
      </c>
      <c r="BG123" s="68" t="s">
        <v>98</v>
      </c>
      <c r="BH123" s="68">
        <f t="shared" si="15"/>
        <v>9</v>
      </c>
    </row>
    <row r="124" spans="1:60" ht="14.4" customHeight="1" x14ac:dyDescent="0.35">
      <c r="A124" s="82" t="s">
        <v>135</v>
      </c>
      <c r="B124" s="81" t="s">
        <v>156</v>
      </c>
      <c r="C124" s="82">
        <v>2023</v>
      </c>
      <c r="D124" s="82" t="s">
        <v>16</v>
      </c>
      <c r="E124" s="126">
        <v>3</v>
      </c>
      <c r="F124" s="152" t="s">
        <v>178</v>
      </c>
      <c r="G124" t="s">
        <v>211</v>
      </c>
      <c r="H124" s="83">
        <v>0</v>
      </c>
      <c r="I124" s="83">
        <v>192184.54999000003</v>
      </c>
      <c r="J124" s="83">
        <v>476193.105568</v>
      </c>
      <c r="K124" s="83">
        <v>174488.99472399999</v>
      </c>
      <c r="L124" s="83">
        <v>63919.002297999985</v>
      </c>
      <c r="M124" s="83">
        <v>414232.60491700005</v>
      </c>
      <c r="N124" s="83">
        <v>6599.0570420000004</v>
      </c>
      <c r="O124" s="83">
        <v>245155.94325699998</v>
      </c>
      <c r="P124" s="83">
        <v>122746.74656199997</v>
      </c>
      <c r="Q124" s="83">
        <v>2864.5663129999998</v>
      </c>
      <c r="R124" s="83">
        <v>-47320.299210000027</v>
      </c>
      <c r="S124" s="83">
        <v>96895.836473000003</v>
      </c>
      <c r="T124" s="83">
        <v>14841</v>
      </c>
      <c r="U124" s="83">
        <v>1478197.7244180001</v>
      </c>
      <c r="V124" s="83">
        <v>875866.68843600003</v>
      </c>
      <c r="W124" s="85">
        <v>70.70008694576758</v>
      </c>
      <c r="X124" s="82">
        <v>70</v>
      </c>
      <c r="Y124" s="83">
        <v>157728.98678000001</v>
      </c>
      <c r="Z124" s="83">
        <v>191371.76823799999</v>
      </c>
      <c r="AA124" s="83">
        <v>399373.20808299998</v>
      </c>
      <c r="AB124" s="83">
        <v>367906.08167500002</v>
      </c>
      <c r="AC124" s="86">
        <f t="shared" si="16"/>
        <v>192184.54999000003</v>
      </c>
      <c r="AD124" s="86">
        <f t="shared" si="17"/>
        <v>476193.105568</v>
      </c>
      <c r="AE124" s="86">
        <f t="shared" si="18"/>
        <v>52440.10357599998</v>
      </c>
      <c r="AF124" s="86">
        <f t="shared" si="19"/>
        <v>491034.105568</v>
      </c>
      <c r="AG124" s="87">
        <v>40.358532650480846</v>
      </c>
      <c r="AH124" s="87">
        <v>59.641467349519154</v>
      </c>
      <c r="AI124" s="360">
        <v>1.5930800626672676</v>
      </c>
      <c r="AJ124" s="360">
        <v>22.663660119266531</v>
      </c>
      <c r="AK124" s="360">
        <v>7.0292267633901711</v>
      </c>
      <c r="AL124" s="87">
        <v>59.252336407218365</v>
      </c>
      <c r="AM124" s="87">
        <v>40.747663592781635</v>
      </c>
      <c r="AN124" s="87">
        <v>50.068843908598637</v>
      </c>
      <c r="AO124" s="87">
        <v>70</v>
      </c>
      <c r="AP124" s="360">
        <v>10.679523678979546</v>
      </c>
      <c r="AQ124" s="87">
        <v>60</v>
      </c>
      <c r="AR124" s="360">
        <v>47.483671541138193</v>
      </c>
      <c r="AS124" s="360">
        <v>37.986937232910556</v>
      </c>
      <c r="AT124" s="87">
        <v>0</v>
      </c>
      <c r="AU124" s="87">
        <v>6.1457242308292548</v>
      </c>
      <c r="AV124" s="87">
        <v>0</v>
      </c>
      <c r="AW124" s="87">
        <v>121.3294855592554</v>
      </c>
      <c r="AX124" s="87">
        <v>80</v>
      </c>
      <c r="AY124" s="87">
        <v>92.120871963584435</v>
      </c>
      <c r="AZ124" s="87">
        <v>100</v>
      </c>
      <c r="BA124" s="87">
        <v>5.3378888427658248E-2</v>
      </c>
      <c r="BB124" s="87">
        <v>60</v>
      </c>
      <c r="BC124" s="87">
        <v>60.053378888427659</v>
      </c>
      <c r="BD124" s="87">
        <v>12.010675777685533</v>
      </c>
      <c r="BE124" s="68">
        <v>49.986937232910556</v>
      </c>
      <c r="BF124" s="68">
        <v>49.997613010596091</v>
      </c>
      <c r="BG124" s="68" t="s">
        <v>109</v>
      </c>
      <c r="BH124" s="68">
        <f t="shared" si="15"/>
        <v>24</v>
      </c>
    </row>
    <row r="125" spans="1:60" ht="13.5" customHeight="1" x14ac:dyDescent="0.35">
      <c r="A125" s="82" t="s">
        <v>114</v>
      </c>
      <c r="B125" s="81" t="s">
        <v>157</v>
      </c>
      <c r="C125" s="82">
        <v>2023</v>
      </c>
      <c r="D125" s="82" t="s">
        <v>7</v>
      </c>
      <c r="E125" s="147">
        <v>2</v>
      </c>
      <c r="F125" s="152" t="s">
        <v>178</v>
      </c>
      <c r="G125" t="s">
        <v>211</v>
      </c>
      <c r="H125" s="83">
        <v>0</v>
      </c>
      <c r="I125" s="83">
        <v>225678.87617500001</v>
      </c>
      <c r="J125" s="83">
        <v>751998.12486500002</v>
      </c>
      <c r="K125" s="83">
        <v>266481.76376399997</v>
      </c>
      <c r="L125" s="83">
        <v>117822.26447500002</v>
      </c>
      <c r="M125" s="83">
        <v>657700.67057800002</v>
      </c>
      <c r="N125" s="83">
        <v>7661.1679019999992</v>
      </c>
      <c r="O125" s="83">
        <v>384683.95663000003</v>
      </c>
      <c r="P125" s="83">
        <v>243460.19305200002</v>
      </c>
      <c r="Q125" s="83">
        <v>2125.2653949999999</v>
      </c>
      <c r="R125" s="83">
        <v>-44206.707900000038</v>
      </c>
      <c r="S125" s="83">
        <v>342417.71611699997</v>
      </c>
      <c r="T125" s="83">
        <v>12540.445141</v>
      </c>
      <c r="U125" s="83">
        <v>2928379.5990399998</v>
      </c>
      <c r="V125" s="83">
        <v>1362417.347688</v>
      </c>
      <c r="W125" s="85">
        <v>59.191628274728544</v>
      </c>
      <c r="X125" s="82">
        <v>60</v>
      </c>
      <c r="Y125" s="83">
        <v>259071.10682399999</v>
      </c>
      <c r="Z125" s="83">
        <v>298277.47541200003</v>
      </c>
      <c r="AA125" s="83">
        <v>654981.06918700004</v>
      </c>
      <c r="AB125" s="83">
        <v>609097.87561800005</v>
      </c>
      <c r="AC125" s="86">
        <f t="shared" si="16"/>
        <v>225678.87617500001</v>
      </c>
      <c r="AD125" s="86">
        <f t="shared" si="17"/>
        <v>751998.12486500002</v>
      </c>
      <c r="AE125" s="86">
        <f t="shared" si="18"/>
        <v>300336.27361199993</v>
      </c>
      <c r="AF125" s="86">
        <f t="shared" si="19"/>
        <v>764538.57000599999</v>
      </c>
      <c r="AG125" s="87">
        <v>30.010563685316935</v>
      </c>
      <c r="AH125" s="87">
        <v>69.989436314683061</v>
      </c>
      <c r="AI125" s="360">
        <v>1.1648411267799403</v>
      </c>
      <c r="AJ125" s="360">
        <v>53.313090942941258</v>
      </c>
      <c r="AK125" s="360">
        <v>2.1849063826117687</v>
      </c>
      <c r="AL125" s="87">
        <v>46.524615460872504</v>
      </c>
      <c r="AM125" s="87">
        <v>53.475384539127496</v>
      </c>
      <c r="AN125" s="87">
        <v>63.288366685426126</v>
      </c>
      <c r="AO125" s="87">
        <v>80</v>
      </c>
      <c r="AP125" s="360">
        <v>39.283338394509379</v>
      </c>
      <c r="AQ125" s="87">
        <v>0</v>
      </c>
      <c r="AR125" s="360">
        <v>41.12994544728447</v>
      </c>
      <c r="AS125" s="360">
        <v>32.903956357827575</v>
      </c>
      <c r="AT125" s="87">
        <v>0.8083717252714564</v>
      </c>
      <c r="AU125" s="87">
        <v>11.000603938263692</v>
      </c>
      <c r="AV125" s="87">
        <v>7.3484304117129025</v>
      </c>
      <c r="AW125" s="87">
        <v>115.13343925868001</v>
      </c>
      <c r="AX125" s="87">
        <v>100</v>
      </c>
      <c r="AY125" s="87">
        <v>92.994729813190958</v>
      </c>
      <c r="AZ125" s="87">
        <v>100</v>
      </c>
      <c r="BA125" s="87">
        <v>0</v>
      </c>
      <c r="BB125" s="87">
        <v>69.116143470570975</v>
      </c>
      <c r="BC125" s="87">
        <v>69.116143470570975</v>
      </c>
      <c r="BD125" s="87">
        <v>13.823228694114196</v>
      </c>
      <c r="BE125" s="68">
        <v>46.727185051941774</v>
      </c>
      <c r="BF125" s="68">
        <v>46.727185051941774</v>
      </c>
      <c r="BG125" s="68" t="s">
        <v>109</v>
      </c>
      <c r="BH125" s="68">
        <f t="shared" si="15"/>
        <v>31</v>
      </c>
    </row>
    <row r="126" spans="1:60" ht="13.5" customHeight="1" x14ac:dyDescent="0.35">
      <c r="A126" s="82" t="s">
        <v>106</v>
      </c>
      <c r="B126" s="81" t="s">
        <v>165</v>
      </c>
      <c r="C126" s="82">
        <v>2023</v>
      </c>
      <c r="D126" s="82" t="s">
        <v>173</v>
      </c>
      <c r="E126" s="126">
        <v>3</v>
      </c>
      <c r="F126" s="152" t="s">
        <v>178</v>
      </c>
      <c r="G126" t="s">
        <v>207</v>
      </c>
      <c r="H126" s="83">
        <v>59527.163401999998</v>
      </c>
      <c r="I126" s="83">
        <v>63826.354435000001</v>
      </c>
      <c r="J126" s="83">
        <v>471556.57726699999</v>
      </c>
      <c r="K126" s="83">
        <v>60685.420497999999</v>
      </c>
      <c r="L126" s="83">
        <v>102286.42011799999</v>
      </c>
      <c r="M126" s="83">
        <v>272635.160172</v>
      </c>
      <c r="N126" s="83">
        <v>61789.106067000001</v>
      </c>
      <c r="O126" s="83">
        <v>222983.817882</v>
      </c>
      <c r="P126" s="83">
        <v>-18194.058334000001</v>
      </c>
      <c r="Q126" s="83">
        <v>0</v>
      </c>
      <c r="R126" s="83">
        <v>-42256.459121000022</v>
      </c>
      <c r="S126" s="83">
        <v>93363.497713999997</v>
      </c>
      <c r="T126" s="83">
        <v>0</v>
      </c>
      <c r="U126" s="83">
        <v>1885018.8876</v>
      </c>
      <c r="V126" s="83">
        <v>358866.16067999997</v>
      </c>
      <c r="W126" s="85">
        <v>83.494438600324543</v>
      </c>
      <c r="X126" s="82">
        <v>70</v>
      </c>
      <c r="Y126" s="83">
        <v>233789.5</v>
      </c>
      <c r="Z126" s="83">
        <v>162889.64419299999</v>
      </c>
      <c r="AA126" s="83">
        <v>272635.160172</v>
      </c>
      <c r="AB126" s="83">
        <v>248155.70200700001</v>
      </c>
      <c r="AC126" s="86">
        <f t="shared" si="16"/>
        <v>123353.51783699999</v>
      </c>
      <c r="AD126" s="86">
        <f t="shared" si="17"/>
        <v>471556.57726699999</v>
      </c>
      <c r="AE126" s="86">
        <f t="shared" si="18"/>
        <v>51107.038592999976</v>
      </c>
      <c r="AF126" s="86">
        <f t="shared" si="19"/>
        <v>471556.57726699999</v>
      </c>
      <c r="AG126" s="87">
        <v>26.158794889877235</v>
      </c>
      <c r="AH126" s="87">
        <v>73.841205110122758</v>
      </c>
      <c r="AI126" s="360">
        <v>22.663660119266531</v>
      </c>
      <c r="AJ126" s="360">
        <v>22.663660119266531</v>
      </c>
      <c r="AK126" s="360">
        <v>100.00000000000001</v>
      </c>
      <c r="AL126" s="87">
        <v>19.037801851253981</v>
      </c>
      <c r="AM126" s="87">
        <v>80.962198148746012</v>
      </c>
      <c r="AN126" s="87">
        <v>-8.1593626420138019</v>
      </c>
      <c r="AO126" s="87">
        <v>0</v>
      </c>
      <c r="AP126" s="360">
        <v>10.837944173995195</v>
      </c>
      <c r="AQ126" s="87">
        <v>60</v>
      </c>
      <c r="AR126" s="360">
        <v>62.960680651773757</v>
      </c>
      <c r="AS126" s="360">
        <v>50.368544521419011</v>
      </c>
      <c r="AT126" s="87">
        <v>0</v>
      </c>
      <c r="AU126" s="87">
        <v>6.1457242308292548</v>
      </c>
      <c r="AV126" s="87">
        <v>0</v>
      </c>
      <c r="AW126" s="87">
        <v>69.67363555377807</v>
      </c>
      <c r="AX126" s="87">
        <v>60</v>
      </c>
      <c r="AY126" s="87">
        <v>91.021166107278162</v>
      </c>
      <c r="AZ126" s="87">
        <v>100</v>
      </c>
      <c r="BA126" s="87">
        <v>0</v>
      </c>
      <c r="BB126" s="87">
        <v>53.333333333333336</v>
      </c>
      <c r="BC126" s="87">
        <v>53.333333333333336</v>
      </c>
      <c r="BD126" s="87">
        <v>10.666666666666668</v>
      </c>
      <c r="BE126" s="68">
        <v>61.035211188085682</v>
      </c>
      <c r="BF126" s="68">
        <v>61.035211188085682</v>
      </c>
      <c r="BG126" s="68" t="s">
        <v>98</v>
      </c>
      <c r="BH126" s="68">
        <f t="shared" si="15"/>
        <v>8</v>
      </c>
    </row>
    <row r="127" spans="1:60" ht="13.5" customHeight="1" x14ac:dyDescent="0.35">
      <c r="A127" s="82" t="s">
        <v>117</v>
      </c>
      <c r="B127" s="81" t="s">
        <v>158</v>
      </c>
      <c r="C127" s="82">
        <v>2023</v>
      </c>
      <c r="D127" s="82" t="s">
        <v>17</v>
      </c>
      <c r="E127" s="146">
        <v>1</v>
      </c>
      <c r="F127" s="152" t="s">
        <v>178</v>
      </c>
      <c r="G127" t="s">
        <v>208</v>
      </c>
      <c r="H127" s="83">
        <v>0</v>
      </c>
      <c r="I127" s="83">
        <v>760865.00191399991</v>
      </c>
      <c r="J127" s="83">
        <v>1880718.7261239998</v>
      </c>
      <c r="K127" s="83">
        <v>758862.68155999994</v>
      </c>
      <c r="L127" s="83">
        <v>89511.249306000012</v>
      </c>
      <c r="M127" s="83">
        <v>1755374.0170819999</v>
      </c>
      <c r="N127" s="83">
        <v>224636.59049900001</v>
      </c>
      <c r="O127" s="83">
        <v>851049.97987899999</v>
      </c>
      <c r="P127" s="83">
        <v>357382.97740999999</v>
      </c>
      <c r="Q127" s="83">
        <v>39885.072628000002</v>
      </c>
      <c r="R127" s="83">
        <v>-92915.5612420002</v>
      </c>
      <c r="S127" s="83">
        <v>423910.55848800001</v>
      </c>
      <c r="T127" s="83">
        <v>0</v>
      </c>
      <c r="U127" s="83">
        <v>6204947.1158199999</v>
      </c>
      <c r="V127" s="83">
        <v>5118431.6710839998</v>
      </c>
      <c r="W127" s="85">
        <v>55.327929440342459</v>
      </c>
      <c r="X127" s="82">
        <v>55</v>
      </c>
      <c r="Y127" s="83">
        <v>747914.07731199998</v>
      </c>
      <c r="Z127" s="83">
        <v>799197.89053800004</v>
      </c>
      <c r="AA127" s="83">
        <v>1479967.2848970001</v>
      </c>
      <c r="AB127" s="83">
        <v>1280178.212299</v>
      </c>
      <c r="AC127" s="86">
        <f t="shared" si="16"/>
        <v>760865.00191399991</v>
      </c>
      <c r="AD127" s="86">
        <f t="shared" si="17"/>
        <v>1880718.7261239998</v>
      </c>
      <c r="AE127" s="86">
        <f t="shared" si="18"/>
        <v>370880.0698739998</v>
      </c>
      <c r="AF127" s="86">
        <f t="shared" si="19"/>
        <v>1880718.7261239998</v>
      </c>
      <c r="AG127" s="87">
        <v>40.456076251342353</v>
      </c>
      <c r="AH127" s="87">
        <v>59.543923748657647</v>
      </c>
      <c r="AI127" s="360">
        <v>12.797078475185518</v>
      </c>
      <c r="AJ127" s="360">
        <v>12.797078475185518</v>
      </c>
      <c r="AK127" s="360">
        <v>100.00000000000001</v>
      </c>
      <c r="AL127" s="87">
        <v>82.489529331106723</v>
      </c>
      <c r="AM127" s="87">
        <v>17.510470668893277</v>
      </c>
      <c r="AN127" s="87">
        <v>41.993183227712635</v>
      </c>
      <c r="AO127" s="87">
        <v>50</v>
      </c>
      <c r="AP127" s="360">
        <v>19.720124265384005</v>
      </c>
      <c r="AQ127" s="87">
        <v>40</v>
      </c>
      <c r="AR127" s="360">
        <v>53.410878883510193</v>
      </c>
      <c r="AS127" s="360">
        <v>42.728703106808155</v>
      </c>
      <c r="AT127" s="87">
        <v>0</v>
      </c>
      <c r="AU127" s="87">
        <v>8.2320920492945238</v>
      </c>
      <c r="AV127" s="87">
        <v>0</v>
      </c>
      <c r="AW127" s="87">
        <v>106.85691241570339</v>
      </c>
      <c r="AX127" s="87">
        <v>100</v>
      </c>
      <c r="AY127" s="87">
        <v>86.500439932906716</v>
      </c>
      <c r="AZ127" s="87">
        <v>80</v>
      </c>
      <c r="BA127" s="87">
        <v>0</v>
      </c>
      <c r="BB127" s="87">
        <v>60</v>
      </c>
      <c r="BC127" s="87">
        <v>60</v>
      </c>
      <c r="BD127" s="87">
        <v>12</v>
      </c>
      <c r="BE127" s="68">
        <v>54.728703106808155</v>
      </c>
      <c r="BF127" s="68">
        <v>54.728703106808155</v>
      </c>
      <c r="BG127" s="68" t="s">
        <v>109</v>
      </c>
      <c r="BH127" s="68">
        <f t="shared" si="15"/>
        <v>17</v>
      </c>
    </row>
    <row r="128" spans="1:60" ht="15" x14ac:dyDescent="0.35">
      <c r="A128" s="82" t="s">
        <v>97</v>
      </c>
      <c r="B128" s="81" t="s">
        <v>159</v>
      </c>
      <c r="C128" s="82">
        <v>2023</v>
      </c>
      <c r="D128" s="82" t="s">
        <v>18</v>
      </c>
      <c r="E128" s="126">
        <v>3</v>
      </c>
      <c r="F128" s="152" t="s">
        <v>178</v>
      </c>
      <c r="G128" t="s">
        <v>207</v>
      </c>
      <c r="H128" s="83">
        <v>0</v>
      </c>
      <c r="I128" s="83">
        <v>622135.80472399993</v>
      </c>
      <c r="J128" s="83">
        <v>874096.66727399989</v>
      </c>
      <c r="K128" s="83">
        <v>193730.11619000003</v>
      </c>
      <c r="L128" s="83">
        <v>25296.859053</v>
      </c>
      <c r="M128" s="83">
        <v>1001046.6668789999</v>
      </c>
      <c r="N128" s="83">
        <v>171697.10267699999</v>
      </c>
      <c r="O128" s="83">
        <v>220152.42357800002</v>
      </c>
      <c r="P128" s="83">
        <v>124817.00716700002</v>
      </c>
      <c r="Q128" s="83">
        <v>4364.0891140000003</v>
      </c>
      <c r="R128" s="83">
        <v>-146021.2798919999</v>
      </c>
      <c r="S128" s="83">
        <v>148676.87523400001</v>
      </c>
      <c r="T128" s="83">
        <v>29741.495198000001</v>
      </c>
      <c r="U128" s="83">
        <v>1827951.2538069999</v>
      </c>
      <c r="V128" s="83">
        <v>643440.89253099996</v>
      </c>
      <c r="W128" s="85">
        <v>68.509472017601155</v>
      </c>
      <c r="X128" s="82">
        <v>70</v>
      </c>
      <c r="Y128" s="83">
        <v>161093.271656</v>
      </c>
      <c r="Z128" s="83">
        <v>215601.21788499999</v>
      </c>
      <c r="AA128" s="83">
        <v>924782.53075499996</v>
      </c>
      <c r="AB128" s="83">
        <v>831177.22487000003</v>
      </c>
      <c r="AC128" s="86">
        <f t="shared" si="16"/>
        <v>622135.80472399993</v>
      </c>
      <c r="AD128" s="86">
        <f t="shared" si="17"/>
        <v>874096.66727399989</v>
      </c>
      <c r="AE128" s="86">
        <f t="shared" si="18"/>
        <v>7019.6844560001045</v>
      </c>
      <c r="AF128" s="86">
        <f t="shared" si="19"/>
        <v>903838.16247199988</v>
      </c>
      <c r="AG128" s="87">
        <v>71.174714195424485</v>
      </c>
      <c r="AH128" s="87">
        <v>28.825285804575515</v>
      </c>
      <c r="AI128" s="360">
        <v>17.151758090589961</v>
      </c>
      <c r="AJ128" s="360">
        <v>22.663660119266531</v>
      </c>
      <c r="AK128" s="360">
        <v>75.679559260638285</v>
      </c>
      <c r="AL128" s="87">
        <v>35.200112212562104</v>
      </c>
      <c r="AM128" s="87">
        <v>64.799887787437896</v>
      </c>
      <c r="AN128" s="87">
        <v>56.695722508263621</v>
      </c>
      <c r="AO128" s="87">
        <v>80</v>
      </c>
      <c r="AP128" s="360">
        <v>0.77665280660436464</v>
      </c>
      <c r="AQ128" s="87">
        <v>100</v>
      </c>
      <c r="AR128" s="360">
        <v>69.860946570530331</v>
      </c>
      <c r="AS128" s="360">
        <v>55.88875725642427</v>
      </c>
      <c r="AT128" s="87">
        <v>1.4905279823988451</v>
      </c>
      <c r="AU128" s="87">
        <v>6.1457242308292548</v>
      </c>
      <c r="AV128" s="87">
        <v>24.253089244092639</v>
      </c>
      <c r="AW128" s="87">
        <v>133.83626495921987</v>
      </c>
      <c r="AX128" s="87">
        <v>70</v>
      </c>
      <c r="AY128" s="87">
        <v>89.878127800643057</v>
      </c>
      <c r="AZ128" s="87">
        <v>80</v>
      </c>
      <c r="BA128" s="87">
        <v>0</v>
      </c>
      <c r="BB128" s="87">
        <v>58.084363081364209</v>
      </c>
      <c r="BC128" s="87">
        <v>58.084363081364209</v>
      </c>
      <c r="BD128" s="87">
        <v>11.616872616272843</v>
      </c>
      <c r="BE128" s="68">
        <v>67.505629872697114</v>
      </c>
      <c r="BF128" s="68">
        <v>67.505629872697114</v>
      </c>
      <c r="BG128" s="68" t="s">
        <v>98</v>
      </c>
      <c r="BH128" s="68">
        <f t="shared" si="15"/>
        <v>6</v>
      </c>
    </row>
    <row r="129" spans="1:60" ht="13.5" customHeight="1" x14ac:dyDescent="0.35">
      <c r="A129" s="82" t="s">
        <v>108</v>
      </c>
      <c r="B129" s="81" t="s">
        <v>160</v>
      </c>
      <c r="C129" s="82">
        <v>2023</v>
      </c>
      <c r="D129" s="82" t="s">
        <v>19</v>
      </c>
      <c r="E129" s="147">
        <v>2</v>
      </c>
      <c r="F129" s="152" t="s">
        <v>178</v>
      </c>
      <c r="G129" t="s">
        <v>214</v>
      </c>
      <c r="H129" s="83">
        <v>0</v>
      </c>
      <c r="I129" s="83">
        <v>781651.69561299996</v>
      </c>
      <c r="J129" s="83">
        <v>1398515.6663210001</v>
      </c>
      <c r="K129" s="83">
        <v>323801.35674800002</v>
      </c>
      <c r="L129" s="83">
        <v>109464.46976399996</v>
      </c>
      <c r="M129" s="83">
        <v>1309026.6474750002</v>
      </c>
      <c r="N129" s="83">
        <v>38356.491267999998</v>
      </c>
      <c r="O129" s="83">
        <v>449397.64377299999</v>
      </c>
      <c r="P129" s="83">
        <v>163486.732953</v>
      </c>
      <c r="Q129" s="83">
        <v>11022.610366999999</v>
      </c>
      <c r="R129" s="83">
        <v>-108118.2007360002</v>
      </c>
      <c r="S129" s="83">
        <v>111357.31282399999</v>
      </c>
      <c r="T129" s="83">
        <v>0</v>
      </c>
      <c r="U129" s="83">
        <v>2903897.1383859999</v>
      </c>
      <c r="V129" s="83">
        <v>2409190.2070439998</v>
      </c>
      <c r="W129" s="85">
        <v>45.23033447574992</v>
      </c>
      <c r="X129" s="82">
        <v>60</v>
      </c>
      <c r="Y129" s="83">
        <v>365408.52856300003</v>
      </c>
      <c r="Z129" s="83">
        <v>368856.357862</v>
      </c>
      <c r="AA129" s="83">
        <v>1220722.9562369999</v>
      </c>
      <c r="AB129" s="83">
        <v>1089822.754153</v>
      </c>
      <c r="AC129" s="86">
        <f t="shared" si="16"/>
        <v>781651.69561299996</v>
      </c>
      <c r="AD129" s="86">
        <f t="shared" si="17"/>
        <v>1398515.6663210001</v>
      </c>
      <c r="AE129" s="86">
        <f t="shared" si="18"/>
        <v>14261.722454999792</v>
      </c>
      <c r="AF129" s="86">
        <f t="shared" si="19"/>
        <v>1398515.6663210001</v>
      </c>
      <c r="AG129" s="87">
        <v>55.89152230730808</v>
      </c>
      <c r="AH129" s="87">
        <v>44.10847769269192</v>
      </c>
      <c r="AI129" s="360">
        <v>2.9301535871700066</v>
      </c>
      <c r="AJ129" s="360">
        <v>53.313090942941258</v>
      </c>
      <c r="AK129" s="360">
        <v>5.4961240013377308</v>
      </c>
      <c r="AL129" s="87">
        <v>82.964033925218132</v>
      </c>
      <c r="AM129" s="87">
        <v>17.035966074781868</v>
      </c>
      <c r="AN129" s="87">
        <v>36.379081025084439</v>
      </c>
      <c r="AO129" s="87">
        <v>50</v>
      </c>
      <c r="AP129" s="360">
        <v>1.0197756663332445</v>
      </c>
      <c r="AQ129" s="87">
        <v>100</v>
      </c>
      <c r="AR129" s="360">
        <v>43.328113553762307</v>
      </c>
      <c r="AS129" s="360">
        <v>34.662490843009849</v>
      </c>
      <c r="AT129" s="87">
        <v>14.76966552425008</v>
      </c>
      <c r="AU129" s="87">
        <v>11.000603938263692</v>
      </c>
      <c r="AV129" s="87">
        <v>100</v>
      </c>
      <c r="AW129" s="87">
        <v>100.94355468728628</v>
      </c>
      <c r="AX129" s="87">
        <v>100</v>
      </c>
      <c r="AY129" s="87">
        <v>89.276829651216445</v>
      </c>
      <c r="AZ129" s="87">
        <v>80</v>
      </c>
      <c r="BA129" s="87">
        <v>0</v>
      </c>
      <c r="BB129" s="87">
        <v>93.333333333333329</v>
      </c>
      <c r="BC129" s="87">
        <v>93.333333333333329</v>
      </c>
      <c r="BD129" s="87">
        <v>18.666666666666668</v>
      </c>
      <c r="BE129" s="68">
        <v>53.32915750967652</v>
      </c>
      <c r="BF129" s="68">
        <v>53.32915750967652</v>
      </c>
      <c r="BG129" s="68" t="s">
        <v>109</v>
      </c>
      <c r="BH129" s="68">
        <f t="shared" si="15"/>
        <v>20</v>
      </c>
    </row>
    <row r="130" spans="1:60" ht="13.5" customHeight="1" x14ac:dyDescent="0.35">
      <c r="A130" s="82" t="s">
        <v>103</v>
      </c>
      <c r="B130" s="81" t="s">
        <v>161</v>
      </c>
      <c r="C130" s="82">
        <v>2023</v>
      </c>
      <c r="D130" s="82" t="s">
        <v>20</v>
      </c>
      <c r="E130" s="146" t="s">
        <v>51</v>
      </c>
      <c r="F130" s="146" t="s">
        <v>178</v>
      </c>
      <c r="G130" t="s">
        <v>215</v>
      </c>
      <c r="H130" s="83">
        <v>0</v>
      </c>
      <c r="I130" s="83">
        <v>666471.29688000004</v>
      </c>
      <c r="J130" s="83">
        <v>2927856.9061650001</v>
      </c>
      <c r="K130" s="83">
        <v>1255262.0270110001</v>
      </c>
      <c r="L130" s="83">
        <v>536532.74213900021</v>
      </c>
      <c r="M130" s="83">
        <v>2861466.0987970005</v>
      </c>
      <c r="N130" s="83">
        <v>131006.24646900001</v>
      </c>
      <c r="O130" s="83">
        <v>1799060.1740150002</v>
      </c>
      <c r="P130" s="83">
        <v>1145701.8042320004</v>
      </c>
      <c r="Q130" s="83">
        <v>83466.884858000005</v>
      </c>
      <c r="R130" s="83">
        <v>-456089.08877800032</v>
      </c>
      <c r="S130" s="83">
        <v>656796.71949699998</v>
      </c>
      <c r="T130" s="83">
        <v>282700</v>
      </c>
      <c r="U130" s="83">
        <v>7642654.332711</v>
      </c>
      <c r="V130" s="83">
        <v>5487223.3509569997</v>
      </c>
      <c r="W130" s="85">
        <v>41.506255663648851</v>
      </c>
      <c r="X130" s="82">
        <v>50</v>
      </c>
      <c r="Y130" s="83">
        <v>1337333.3999999999</v>
      </c>
      <c r="Z130" s="83">
        <v>1401963.2016739999</v>
      </c>
      <c r="AA130" s="83">
        <v>2735442.0966579998</v>
      </c>
      <c r="AB130" s="83">
        <v>2473164.8479860001</v>
      </c>
      <c r="AC130" s="86">
        <f t="shared" si="16"/>
        <v>666471.29688000004</v>
      </c>
      <c r="AD130" s="86">
        <f t="shared" si="17"/>
        <v>2927856.9061650001</v>
      </c>
      <c r="AE130" s="86">
        <f t="shared" si="18"/>
        <v>284174.51557699963</v>
      </c>
      <c r="AF130" s="86">
        <f t="shared" si="19"/>
        <v>3210556.9061650001</v>
      </c>
      <c r="AG130" s="87">
        <v>22.763110296703854</v>
      </c>
      <c r="AH130" s="87">
        <v>77.236889703296143</v>
      </c>
      <c r="AI130" s="360">
        <v>4.5782910559058108</v>
      </c>
      <c r="AJ130" s="360">
        <v>5.5720207404540814</v>
      </c>
      <c r="AK130" s="360">
        <v>82.165721722218706</v>
      </c>
      <c r="AL130" s="87">
        <v>71.797350921280952</v>
      </c>
      <c r="AM130" s="87">
        <v>28.202649078719048</v>
      </c>
      <c r="AN130" s="87">
        <v>63.683350939569394</v>
      </c>
      <c r="AO130" s="87">
        <v>80</v>
      </c>
      <c r="AP130" s="360">
        <v>8.8512530343667137</v>
      </c>
      <c r="AQ130" s="87">
        <v>80</v>
      </c>
      <c r="AR130" s="360">
        <v>69.521052100846788</v>
      </c>
      <c r="AS130" s="360">
        <v>55.616841680677432</v>
      </c>
      <c r="AT130" s="87">
        <v>8.4937443363511491</v>
      </c>
      <c r="AU130" s="87">
        <v>14.329015619977676</v>
      </c>
      <c r="AV130" s="87">
        <v>59.276537632557776</v>
      </c>
      <c r="AW130" s="87">
        <v>104.8327366738915</v>
      </c>
      <c r="AX130" s="87">
        <v>100</v>
      </c>
      <c r="AY130" s="87">
        <v>90.411888118837012</v>
      </c>
      <c r="AZ130" s="87">
        <v>100</v>
      </c>
      <c r="BA130" s="87">
        <v>0</v>
      </c>
      <c r="BB130" s="87">
        <v>86.425512544185935</v>
      </c>
      <c r="BC130" s="87">
        <v>86.425512544185935</v>
      </c>
      <c r="BD130" s="87">
        <v>17.285102508837188</v>
      </c>
      <c r="BE130" s="68">
        <v>72.901944189514623</v>
      </c>
      <c r="BF130" s="68">
        <v>72.901944189514623</v>
      </c>
      <c r="BG130" s="68" t="s">
        <v>95</v>
      </c>
      <c r="BH130" s="68">
        <f t="shared" si="15"/>
        <v>2</v>
      </c>
    </row>
    <row r="131" spans="1:60" ht="13.5" customHeight="1" x14ac:dyDescent="0.35">
      <c r="A131" s="82" t="s">
        <v>123</v>
      </c>
      <c r="B131" s="81" t="s">
        <v>169</v>
      </c>
      <c r="C131" s="82">
        <v>2023</v>
      </c>
      <c r="D131" s="82" t="s">
        <v>124</v>
      </c>
      <c r="E131" s="147">
        <v>4</v>
      </c>
      <c r="F131" s="152" t="s">
        <v>178</v>
      </c>
      <c r="G131" t="s">
        <v>210</v>
      </c>
      <c r="H131" s="83">
        <v>33878.025674000004</v>
      </c>
      <c r="I131" s="83">
        <v>93061.367834999997</v>
      </c>
      <c r="J131" s="83">
        <v>171401.18383600001</v>
      </c>
      <c r="K131" s="83">
        <v>16325.403121000001</v>
      </c>
      <c r="L131" s="83">
        <v>6869.1605740000005</v>
      </c>
      <c r="M131" s="83">
        <v>143151.347431</v>
      </c>
      <c r="N131" s="83">
        <v>3685.1894430000002</v>
      </c>
      <c r="O131" s="83">
        <v>57169.944511000009</v>
      </c>
      <c r="P131" s="83">
        <v>37849.19728800001</v>
      </c>
      <c r="Q131" s="83">
        <v>0</v>
      </c>
      <c r="R131" s="83">
        <v>8929.0891819999961</v>
      </c>
      <c r="S131" s="83">
        <v>71354.469631999993</v>
      </c>
      <c r="T131" s="83">
        <v>0</v>
      </c>
      <c r="U131" s="83">
        <v>795563.97648800001</v>
      </c>
      <c r="V131" s="83">
        <v>82848.783683999995</v>
      </c>
      <c r="W131" s="85">
        <v>31.699567882771845</v>
      </c>
      <c r="X131" s="82">
        <v>70</v>
      </c>
      <c r="Y131" s="83">
        <v>13923.240895000001</v>
      </c>
      <c r="Z131" s="83">
        <v>20907.741061000001</v>
      </c>
      <c r="AA131" s="83">
        <v>143151.347431</v>
      </c>
      <c r="AB131" s="83">
        <v>127383.235881</v>
      </c>
      <c r="AC131" s="86">
        <f t="shared" si="16"/>
        <v>126939.393509</v>
      </c>
      <c r="AD131" s="86">
        <f t="shared" si="17"/>
        <v>171401.18383600001</v>
      </c>
      <c r="AE131" s="86">
        <f t="shared" si="18"/>
        <v>80283.558813999989</v>
      </c>
      <c r="AF131" s="86">
        <f t="shared" si="19"/>
        <v>171401.18383600001</v>
      </c>
      <c r="AG131" s="87">
        <v>74.059811413238592</v>
      </c>
      <c r="AH131" s="87">
        <v>25.940188586761408</v>
      </c>
      <c r="AI131" s="360">
        <v>2.5743309505181489</v>
      </c>
      <c r="AJ131" s="360">
        <v>15.292494007283075</v>
      </c>
      <c r="AK131" s="360">
        <v>16.833951017356092</v>
      </c>
      <c r="AL131" s="87">
        <v>10.413843026142807</v>
      </c>
      <c r="AM131" s="87">
        <v>89.586156973857186</v>
      </c>
      <c r="AN131" s="87">
        <v>66.204712304237916</v>
      </c>
      <c r="AO131" s="87">
        <v>100</v>
      </c>
      <c r="AP131" s="360">
        <v>46.839559107606199</v>
      </c>
      <c r="AQ131" s="87">
        <v>0</v>
      </c>
      <c r="AR131" s="360">
        <v>46.472059315594933</v>
      </c>
      <c r="AS131" s="360">
        <v>37.177647452475945</v>
      </c>
      <c r="AT131" s="87">
        <v>38.300432117228155</v>
      </c>
      <c r="AU131" s="87">
        <v>14.259994728309753</v>
      </c>
      <c r="AV131" s="87">
        <v>100</v>
      </c>
      <c r="AW131" s="87">
        <v>150.16432753460595</v>
      </c>
      <c r="AX131" s="87">
        <v>0</v>
      </c>
      <c r="AY131" s="87">
        <v>88.985006545187886</v>
      </c>
      <c r="AZ131" s="87">
        <v>80</v>
      </c>
      <c r="BA131" s="87">
        <v>0.35005865319602036</v>
      </c>
      <c r="BB131" s="87">
        <v>60</v>
      </c>
      <c r="BC131" s="87">
        <v>60.350058653196022</v>
      </c>
      <c r="BD131" s="87">
        <v>12.070011730639205</v>
      </c>
      <c r="BE131" s="68">
        <v>49.177647452475945</v>
      </c>
      <c r="BF131" s="68">
        <v>49.247659183115147</v>
      </c>
      <c r="BG131" s="68" t="s">
        <v>109</v>
      </c>
      <c r="BH131" s="68">
        <f t="shared" si="15"/>
        <v>27</v>
      </c>
    </row>
    <row r="132" spans="1:60" ht="15" x14ac:dyDescent="0.35">
      <c r="A132" s="82" t="s">
        <v>134</v>
      </c>
      <c r="B132" s="81" t="s">
        <v>170</v>
      </c>
      <c r="C132" s="82">
        <v>2023</v>
      </c>
      <c r="D132" s="82" t="s">
        <v>26</v>
      </c>
      <c r="E132" s="147">
        <v>4</v>
      </c>
      <c r="F132" s="152" t="s">
        <v>178</v>
      </c>
      <c r="G132" t="s">
        <v>210</v>
      </c>
      <c r="H132" s="83">
        <v>31815.996584</v>
      </c>
      <c r="I132" s="83">
        <v>92002.330484000006</v>
      </c>
      <c r="J132" s="83">
        <v>186330.676661</v>
      </c>
      <c r="K132" s="83">
        <v>25586.605261999997</v>
      </c>
      <c r="L132" s="83">
        <v>3279.0660430000003</v>
      </c>
      <c r="M132" s="83">
        <v>336885.50049100001</v>
      </c>
      <c r="N132" s="83">
        <v>11241.129569000001</v>
      </c>
      <c r="O132" s="83">
        <v>60736.314959999996</v>
      </c>
      <c r="P132" s="83">
        <v>26145.160438999999</v>
      </c>
      <c r="Q132" s="83">
        <v>0</v>
      </c>
      <c r="R132" s="83">
        <v>-19452.488021999976</v>
      </c>
      <c r="S132" s="83">
        <v>42707.098946999999</v>
      </c>
      <c r="T132" s="83">
        <v>0</v>
      </c>
      <c r="U132" s="83">
        <v>777997.68094999995</v>
      </c>
      <c r="V132" s="83">
        <v>142866.19673</v>
      </c>
      <c r="W132" s="85">
        <v>60.751441670887942</v>
      </c>
      <c r="X132" s="82">
        <v>70</v>
      </c>
      <c r="Y132" s="83">
        <v>18779.037500999999</v>
      </c>
      <c r="Z132" s="83">
        <v>28606.393351999999</v>
      </c>
      <c r="AA132" s="83">
        <v>171192.01016199999</v>
      </c>
      <c r="AB132" s="83">
        <v>144835.52415899999</v>
      </c>
      <c r="AC132" s="86">
        <f t="shared" si="16"/>
        <v>123818.32706800001</v>
      </c>
      <c r="AD132" s="86">
        <f t="shared" si="17"/>
        <v>186330.676661</v>
      </c>
      <c r="AE132" s="86">
        <f t="shared" si="18"/>
        <v>23254.610925000023</v>
      </c>
      <c r="AF132" s="86">
        <f t="shared" si="19"/>
        <v>186330.676661</v>
      </c>
      <c r="AG132" s="87">
        <v>66.450854624044752</v>
      </c>
      <c r="AH132" s="87">
        <v>33.549145375955248</v>
      </c>
      <c r="AI132" s="360">
        <v>3.3367804647621839</v>
      </c>
      <c r="AJ132" s="360">
        <v>15.292494007283075</v>
      </c>
      <c r="AK132" s="360">
        <v>21.819727136548408</v>
      </c>
      <c r="AL132" s="87">
        <v>18.363319098271408</v>
      </c>
      <c r="AM132" s="87">
        <v>81.636680901728596</v>
      </c>
      <c r="AN132" s="87">
        <v>43.046998251735886</v>
      </c>
      <c r="AO132" s="87">
        <v>50</v>
      </c>
      <c r="AP132" s="360">
        <v>12.480291137088612</v>
      </c>
      <c r="AQ132" s="87">
        <v>60</v>
      </c>
      <c r="AR132" s="360">
        <v>49.401110682846451</v>
      </c>
      <c r="AS132" s="360">
        <v>39.520888546277163</v>
      </c>
      <c r="AT132" s="87">
        <v>9.2485583291120577</v>
      </c>
      <c r="AU132" s="87">
        <v>14.259994728309753</v>
      </c>
      <c r="AV132" s="87">
        <v>64.856674250736532</v>
      </c>
      <c r="AW132" s="87">
        <v>152.33152045453176</v>
      </c>
      <c r="AX132" s="87">
        <v>0</v>
      </c>
      <c r="AY132" s="87">
        <v>84.604137787704758</v>
      </c>
      <c r="AZ132" s="87">
        <v>80</v>
      </c>
      <c r="BA132" s="87">
        <v>0.43567456633630003</v>
      </c>
      <c r="BB132" s="87">
        <v>48.285558083578849</v>
      </c>
      <c r="BC132" s="87">
        <v>48.721232649915152</v>
      </c>
      <c r="BD132" s="87">
        <v>9.7442465299830303</v>
      </c>
      <c r="BE132" s="68">
        <v>49.17800016299293</v>
      </c>
      <c r="BF132" s="68">
        <v>49.265135076260194</v>
      </c>
      <c r="BG132" s="68" t="s">
        <v>109</v>
      </c>
      <c r="BH132" s="68">
        <f t="shared" si="15"/>
        <v>26</v>
      </c>
    </row>
    <row r="133" spans="1:60" ht="15" customHeight="1" x14ac:dyDescent="0.35">
      <c r="A133" s="82" t="s">
        <v>125</v>
      </c>
      <c r="B133" s="82" t="s">
        <v>163</v>
      </c>
      <c r="C133" s="82">
        <v>2024</v>
      </c>
      <c r="D133" s="82" t="s">
        <v>22</v>
      </c>
      <c r="E133" s="126">
        <v>3</v>
      </c>
      <c r="F133" s="126">
        <v>2</v>
      </c>
      <c r="G133" t="s">
        <v>210</v>
      </c>
      <c r="H133" s="83">
        <v>38395.44728</v>
      </c>
      <c r="I133" s="83">
        <v>308281.44166700001</v>
      </c>
      <c r="J133" s="83">
        <v>660627.00222100003</v>
      </c>
      <c r="K133" s="83">
        <v>156752.284017</v>
      </c>
      <c r="L133" s="83">
        <v>33766.266918000001</v>
      </c>
      <c r="M133" s="83">
        <v>1585364.5364659999</v>
      </c>
      <c r="N133" s="83">
        <v>763817.85988799995</v>
      </c>
      <c r="O133" s="83">
        <v>231171.32487400001</v>
      </c>
      <c r="P133" s="83">
        <v>124862.96584200002</v>
      </c>
      <c r="Q133" s="83">
        <v>0</v>
      </c>
      <c r="R133" s="83">
        <v>23172.669216000126</v>
      </c>
      <c r="S133" s="83">
        <v>77702.277233999994</v>
      </c>
      <c r="T133" s="83">
        <v>0</v>
      </c>
      <c r="U133" s="83">
        <v>3349108.0104901399</v>
      </c>
      <c r="V133" s="83">
        <v>760401.17518092005</v>
      </c>
      <c r="W133" s="85">
        <v>58.857956198107821</v>
      </c>
      <c r="X133" s="82">
        <v>70</v>
      </c>
      <c r="Y133" s="83">
        <v>132141.89499299999</v>
      </c>
      <c r="Z133" s="83">
        <v>190518.55093500001</v>
      </c>
      <c r="AA133" s="83">
        <v>531145.97397299996</v>
      </c>
      <c r="AB133" s="83">
        <v>483908.63408400002</v>
      </c>
      <c r="AC133" s="83">
        <v>346676.88894700003</v>
      </c>
      <c r="AD133" s="83">
        <v>660627.00222100003</v>
      </c>
      <c r="AE133" s="83">
        <v>100874.94645000012</v>
      </c>
      <c r="AF133" s="83">
        <v>660627.00222100003</v>
      </c>
      <c r="AG133" s="362">
        <v>52.476948078338765</v>
      </c>
      <c r="AH133" s="362">
        <v>47.523051921661235</v>
      </c>
      <c r="AI133" s="362">
        <v>48.179320422459881</v>
      </c>
      <c r="AJ133" s="362">
        <v>48.179320422459881</v>
      </c>
      <c r="AK133" s="362">
        <v>100</v>
      </c>
      <c r="AL133" s="362">
        <v>22.704587991763088</v>
      </c>
      <c r="AM133" s="362">
        <v>77.295412008236909</v>
      </c>
      <c r="AN133" s="362">
        <v>54.013172226294337</v>
      </c>
      <c r="AO133" s="362">
        <v>70</v>
      </c>
      <c r="AP133" s="362">
        <v>15.269576646256182</v>
      </c>
      <c r="AQ133" s="362">
        <v>40</v>
      </c>
      <c r="AR133" s="362">
        <v>66.963692785979632</v>
      </c>
      <c r="AS133" s="362">
        <v>53.570954228783705</v>
      </c>
      <c r="AT133" s="362">
        <v>11.142043801892179</v>
      </c>
      <c r="AU133" s="362">
        <v>8.202399315351764</v>
      </c>
      <c r="AV133" s="362">
        <v>100</v>
      </c>
      <c r="AW133" s="362">
        <v>144.17725048145587</v>
      </c>
      <c r="AX133" s="362">
        <v>60</v>
      </c>
      <c r="AY133" s="362">
        <v>91.106523968230022</v>
      </c>
      <c r="AZ133" s="362">
        <v>100</v>
      </c>
      <c r="BA133" s="362">
        <v>0</v>
      </c>
      <c r="BB133" s="362">
        <v>86.666666666666671</v>
      </c>
      <c r="BC133" s="362">
        <v>86.666666666666671</v>
      </c>
      <c r="BD133" s="362">
        <v>17.333333333333336</v>
      </c>
      <c r="BE133" s="362">
        <v>70.904287562117048</v>
      </c>
      <c r="BF133" s="362">
        <v>70.904287562117048</v>
      </c>
      <c r="BG133" s="363" t="s">
        <v>95</v>
      </c>
      <c r="BH133" s="362">
        <f t="shared" ref="BH133:BH164" si="20">COUNTIFS($C$5:$C$164,$C133,$BF$5:$BF$164,"&gt;"&amp;$BF133)+1</f>
        <v>1</v>
      </c>
    </row>
    <row r="134" spans="1:60" ht="13.5" customHeight="1" x14ac:dyDescent="0.35">
      <c r="A134" s="82" t="s">
        <v>104</v>
      </c>
      <c r="B134" s="82" t="s">
        <v>146</v>
      </c>
      <c r="C134" s="82">
        <v>2024</v>
      </c>
      <c r="D134" s="82" t="s">
        <v>9</v>
      </c>
      <c r="E134" s="147">
        <v>2</v>
      </c>
      <c r="F134" s="126">
        <v>1</v>
      </c>
      <c r="G134" t="s">
        <v>207</v>
      </c>
      <c r="H134" s="83">
        <v>0</v>
      </c>
      <c r="I134" s="83">
        <v>733540.14494499995</v>
      </c>
      <c r="J134" s="83">
        <v>1194410.662451</v>
      </c>
      <c r="K134" s="83">
        <v>197634.02874699997</v>
      </c>
      <c r="L134" s="83">
        <v>95108.676294000004</v>
      </c>
      <c r="M134" s="83">
        <v>2247293.306084</v>
      </c>
      <c r="N134" s="83">
        <v>1170419.7787840001</v>
      </c>
      <c r="O134" s="83">
        <v>293817.31616699998</v>
      </c>
      <c r="P134" s="83">
        <v>155223.90327099996</v>
      </c>
      <c r="Q134" s="83">
        <v>16430.388867999998</v>
      </c>
      <c r="R134" s="83">
        <v>-140064.48679900006</v>
      </c>
      <c r="S134" s="83">
        <v>264839.138033</v>
      </c>
      <c r="T134" s="83">
        <v>0</v>
      </c>
      <c r="U134" s="83">
        <v>4488299.4582816102</v>
      </c>
      <c r="V134" s="83">
        <v>1128571.06672379</v>
      </c>
      <c r="W134" s="83">
        <v>56.859487648151962</v>
      </c>
      <c r="X134" s="83">
        <v>60</v>
      </c>
      <c r="Y134" s="83">
        <v>252189.04891300001</v>
      </c>
      <c r="Z134" s="83">
        <v>292742.70504099998</v>
      </c>
      <c r="AA134" s="83">
        <v>1195881.7363539999</v>
      </c>
      <c r="AB134" s="83">
        <v>981801.93388599996</v>
      </c>
      <c r="AC134" s="83">
        <v>733540.14494499995</v>
      </c>
      <c r="AD134" s="83">
        <v>1194410.662451</v>
      </c>
      <c r="AE134" s="83">
        <v>141205.04010199994</v>
      </c>
      <c r="AF134" s="83">
        <v>1194410.662451</v>
      </c>
      <c r="AG134" s="362">
        <v>61.414400256586212</v>
      </c>
      <c r="AH134" s="362">
        <v>38.585599743413788</v>
      </c>
      <c r="AI134" s="362">
        <v>52.081309351804371</v>
      </c>
      <c r="AJ134" s="362">
        <v>52.081309351804371</v>
      </c>
      <c r="AK134" s="362">
        <v>100</v>
      </c>
      <c r="AL134" s="362">
        <v>25.144736379864334</v>
      </c>
      <c r="AM134" s="362">
        <v>74.855263620135673</v>
      </c>
      <c r="AN134" s="362">
        <v>52.830073222360298</v>
      </c>
      <c r="AO134" s="362">
        <v>70</v>
      </c>
      <c r="AP134" s="362">
        <v>11.822151672042093</v>
      </c>
      <c r="AQ134" s="362">
        <v>60</v>
      </c>
      <c r="AR134" s="362">
        <v>68.688172672709896</v>
      </c>
      <c r="AS134" s="362">
        <v>54.950538138167921</v>
      </c>
      <c r="AT134" s="362">
        <v>3.140512351848038</v>
      </c>
      <c r="AU134" s="362">
        <v>11.646974677375537</v>
      </c>
      <c r="AV134" s="362">
        <v>26.964189747476148</v>
      </c>
      <c r="AW134" s="362">
        <v>116.08065707166776</v>
      </c>
      <c r="AX134" s="362">
        <v>100</v>
      </c>
      <c r="AY134" s="362">
        <v>82.0985808244981</v>
      </c>
      <c r="AZ134" s="362">
        <v>80</v>
      </c>
      <c r="BA134" s="362">
        <v>0</v>
      </c>
      <c r="BB134" s="362">
        <v>68.988063249158714</v>
      </c>
      <c r="BC134" s="362">
        <v>68.988063249158714</v>
      </c>
      <c r="BD134" s="362">
        <v>13.797612649831743</v>
      </c>
      <c r="BE134" s="362">
        <v>68.748150787999663</v>
      </c>
      <c r="BF134" s="362">
        <v>68.748150787999663</v>
      </c>
      <c r="BG134" s="363" t="s">
        <v>98</v>
      </c>
      <c r="BH134" s="362">
        <f t="shared" si="20"/>
        <v>2</v>
      </c>
    </row>
    <row r="135" spans="1:60" ht="15" x14ac:dyDescent="0.35">
      <c r="A135" s="82" t="s">
        <v>94</v>
      </c>
      <c r="B135" s="82" t="s">
        <v>140</v>
      </c>
      <c r="C135" s="82">
        <v>2024</v>
      </c>
      <c r="D135" s="82" t="s">
        <v>27</v>
      </c>
      <c r="E135" s="146">
        <v>1</v>
      </c>
      <c r="F135" s="126">
        <v>1</v>
      </c>
      <c r="G135" t="s">
        <v>207</v>
      </c>
      <c r="H135" s="83">
        <v>0</v>
      </c>
      <c r="I135" s="83">
        <v>613214.49442399992</v>
      </c>
      <c r="J135" s="83">
        <v>1792448.22015</v>
      </c>
      <c r="K135" s="83">
        <v>648804.75106299995</v>
      </c>
      <c r="L135" s="83">
        <v>312951.84524999995</v>
      </c>
      <c r="M135" s="83">
        <v>1508455.6662699997</v>
      </c>
      <c r="N135" s="83">
        <v>80998.806712999998</v>
      </c>
      <c r="O135" s="83">
        <v>963048.00407799997</v>
      </c>
      <c r="P135" s="83">
        <v>700025.650884</v>
      </c>
      <c r="Q135" s="83">
        <v>249.866985</v>
      </c>
      <c r="R135" s="83">
        <v>107792.87727400032</v>
      </c>
      <c r="S135" s="83">
        <v>156154.243514</v>
      </c>
      <c r="T135" s="83">
        <v>146588.59011799999</v>
      </c>
      <c r="U135" s="83">
        <v>5939780.0461517097</v>
      </c>
      <c r="V135" s="83">
        <v>3685234.1660671402</v>
      </c>
      <c r="W135" s="83">
        <v>36.7992801202994</v>
      </c>
      <c r="X135" s="83">
        <v>55</v>
      </c>
      <c r="Y135" s="83">
        <v>1033190.3746569999</v>
      </c>
      <c r="Z135" s="83">
        <v>961756.59631299996</v>
      </c>
      <c r="AA135" s="83">
        <v>1421632.9896819997</v>
      </c>
      <c r="AB135" s="83">
        <v>1108603.8555920001</v>
      </c>
      <c r="AC135" s="83">
        <v>613214.49442399992</v>
      </c>
      <c r="AD135" s="83">
        <v>1792448.22015</v>
      </c>
      <c r="AE135" s="83">
        <v>264196.98777300026</v>
      </c>
      <c r="AF135" s="83">
        <v>1939036.810268</v>
      </c>
      <c r="AG135" s="362">
        <v>34.211001887278144</v>
      </c>
      <c r="AH135" s="362">
        <v>65.788998112721856</v>
      </c>
      <c r="AI135" s="362">
        <v>5.3696511289117304</v>
      </c>
      <c r="AJ135" s="362">
        <v>52.081309351804371</v>
      </c>
      <c r="AK135" s="362">
        <v>10.310130823786015</v>
      </c>
      <c r="AL135" s="362">
        <v>62.043276643800063</v>
      </c>
      <c r="AM135" s="362">
        <v>37.956723356199937</v>
      </c>
      <c r="AN135" s="362">
        <v>72.688552171829528</v>
      </c>
      <c r="AO135" s="362">
        <v>100</v>
      </c>
      <c r="AP135" s="362">
        <v>13.625166184260571</v>
      </c>
      <c r="AQ135" s="362">
        <v>60</v>
      </c>
      <c r="AR135" s="362">
        <v>54.811170458541561</v>
      </c>
      <c r="AS135" s="362">
        <v>43.84893636683325</v>
      </c>
      <c r="AT135" s="362">
        <v>18.2007198797006</v>
      </c>
      <c r="AU135" s="362">
        <v>6.7939175511987591</v>
      </c>
      <c r="AV135" s="362">
        <v>100</v>
      </c>
      <c r="AW135" s="362">
        <v>93.086097190199368</v>
      </c>
      <c r="AX135" s="362">
        <v>100</v>
      </c>
      <c r="AY135" s="362">
        <v>77.981016453478617</v>
      </c>
      <c r="AZ135" s="362">
        <v>70</v>
      </c>
      <c r="BA135" s="362">
        <v>0</v>
      </c>
      <c r="BB135" s="362">
        <v>90</v>
      </c>
      <c r="BC135" s="362">
        <v>90</v>
      </c>
      <c r="BD135" s="362">
        <v>18</v>
      </c>
      <c r="BE135" s="362">
        <v>61.84893636683325</v>
      </c>
      <c r="BF135" s="362">
        <v>61.84893636683325</v>
      </c>
      <c r="BG135" s="363" t="s">
        <v>98</v>
      </c>
      <c r="BH135" s="362">
        <f t="shared" si="20"/>
        <v>3</v>
      </c>
    </row>
    <row r="136" spans="1:60" ht="13.5" customHeight="1" x14ac:dyDescent="0.35">
      <c r="A136" s="82" t="s">
        <v>100</v>
      </c>
      <c r="B136" s="82" t="s">
        <v>150</v>
      </c>
      <c r="C136" s="82">
        <v>2024</v>
      </c>
      <c r="D136" s="82" t="s">
        <v>11</v>
      </c>
      <c r="E136" s="147">
        <v>2</v>
      </c>
      <c r="F136" s="126">
        <v>1</v>
      </c>
      <c r="G136" t="s">
        <v>214</v>
      </c>
      <c r="H136" s="83">
        <v>0</v>
      </c>
      <c r="I136" s="83">
        <v>726090.31134199991</v>
      </c>
      <c r="J136" s="83">
        <v>1261111.410192</v>
      </c>
      <c r="K136" s="83">
        <v>249601.39709400001</v>
      </c>
      <c r="L136" s="83">
        <v>104320.959225</v>
      </c>
      <c r="M136" s="83">
        <v>1501813.0259969998</v>
      </c>
      <c r="N136" s="83">
        <v>333724.66065000003</v>
      </c>
      <c r="O136" s="83">
        <v>380551.81654100004</v>
      </c>
      <c r="P136" s="83">
        <v>230279.28714900001</v>
      </c>
      <c r="Q136" s="83">
        <v>10892.071433999999</v>
      </c>
      <c r="R136" s="83">
        <v>57069.969900999917</v>
      </c>
      <c r="S136" s="83">
        <v>70168.469190999996</v>
      </c>
      <c r="T136" s="83">
        <v>24006</v>
      </c>
      <c r="U136" s="83">
        <v>2828675.3000359903</v>
      </c>
      <c r="V136" s="83">
        <v>1992773.9845161699</v>
      </c>
      <c r="W136" s="83">
        <v>42.378078734352705</v>
      </c>
      <c r="X136" s="83">
        <v>60</v>
      </c>
      <c r="Y136" s="83">
        <v>346220.58923799999</v>
      </c>
      <c r="Z136" s="83">
        <v>353922.35631900001</v>
      </c>
      <c r="AA136" s="83">
        <v>1053768.910899</v>
      </c>
      <c r="AB136" s="83">
        <v>967476.52415800001</v>
      </c>
      <c r="AC136" s="83">
        <v>726090.31134199991</v>
      </c>
      <c r="AD136" s="83">
        <v>1261111.410192</v>
      </c>
      <c r="AE136" s="83">
        <v>138130.51052599991</v>
      </c>
      <c r="AF136" s="83">
        <v>1285117.410192</v>
      </c>
      <c r="AG136" s="362">
        <v>57.575429535718428</v>
      </c>
      <c r="AH136" s="362">
        <v>42.424570464281572</v>
      </c>
      <c r="AI136" s="362">
        <v>22.221451996559438</v>
      </c>
      <c r="AJ136" s="362">
        <v>52.081309351804371</v>
      </c>
      <c r="AK136" s="362">
        <v>42.666845886027183</v>
      </c>
      <c r="AL136" s="362">
        <v>70.449018467790026</v>
      </c>
      <c r="AM136" s="362">
        <v>29.550981532209974</v>
      </c>
      <c r="AN136" s="362">
        <v>60.511940066955404</v>
      </c>
      <c r="AO136" s="362">
        <v>80</v>
      </c>
      <c r="AP136" s="362">
        <v>10.748473986152195</v>
      </c>
      <c r="AQ136" s="362">
        <v>60</v>
      </c>
      <c r="AR136" s="362">
        <v>50.92847957650374</v>
      </c>
      <c r="AS136" s="362">
        <v>40.742783661202992</v>
      </c>
      <c r="AT136" s="362">
        <v>17.621921265647295</v>
      </c>
      <c r="AU136" s="362">
        <v>11.646974677375537</v>
      </c>
      <c r="AV136" s="362">
        <v>100</v>
      </c>
      <c r="AW136" s="362">
        <v>102.22452601618838</v>
      </c>
      <c r="AX136" s="362">
        <v>100</v>
      </c>
      <c r="AY136" s="362">
        <v>91.811071113553595</v>
      </c>
      <c r="AZ136" s="362">
        <v>100</v>
      </c>
      <c r="BA136" s="362">
        <v>0</v>
      </c>
      <c r="BB136" s="362">
        <v>100</v>
      </c>
      <c r="BC136" s="362">
        <v>100</v>
      </c>
      <c r="BD136" s="362">
        <v>20</v>
      </c>
      <c r="BE136" s="362">
        <v>60.742783661202992</v>
      </c>
      <c r="BF136" s="362">
        <v>60.742783661202992</v>
      </c>
      <c r="BG136" s="363" t="s">
        <v>98</v>
      </c>
      <c r="BH136" s="362">
        <f t="shared" si="20"/>
        <v>4</v>
      </c>
    </row>
    <row r="137" spans="1:60" ht="13.5" customHeight="1" x14ac:dyDescent="0.35">
      <c r="A137" s="82" t="s">
        <v>97</v>
      </c>
      <c r="B137" s="82" t="s">
        <v>159</v>
      </c>
      <c r="C137" s="82">
        <v>2024</v>
      </c>
      <c r="D137" s="82" t="s">
        <v>18</v>
      </c>
      <c r="E137" s="126">
        <v>3</v>
      </c>
      <c r="F137" s="126">
        <v>1</v>
      </c>
      <c r="G137" t="s">
        <v>207</v>
      </c>
      <c r="H137" s="83">
        <v>0</v>
      </c>
      <c r="I137" s="83">
        <v>794600.99794000003</v>
      </c>
      <c r="J137" s="83">
        <v>1121664.691475</v>
      </c>
      <c r="K137" s="83">
        <v>189688.68285000004</v>
      </c>
      <c r="L137" s="83">
        <v>23895.687479</v>
      </c>
      <c r="M137" s="83">
        <v>1323859.7135429999</v>
      </c>
      <c r="N137" s="83">
        <v>294338.07861099998</v>
      </c>
      <c r="O137" s="83">
        <v>214811.89594000005</v>
      </c>
      <c r="P137" s="83">
        <v>106073.52391500006</v>
      </c>
      <c r="Q137" s="83">
        <v>8134.6273789999996</v>
      </c>
      <c r="R137" s="83">
        <v>-134788.34735699976</v>
      </c>
      <c r="S137" s="83">
        <v>72577.641629999998</v>
      </c>
      <c r="T137" s="83">
        <v>19696.618559999999</v>
      </c>
      <c r="U137" s="83">
        <v>1914616.78390003</v>
      </c>
      <c r="V137" s="83">
        <v>658527.88325849001</v>
      </c>
      <c r="W137" s="83">
        <v>73.022087157755863</v>
      </c>
      <c r="X137" s="83">
        <v>70</v>
      </c>
      <c r="Y137" s="83">
        <v>225915.89512299999</v>
      </c>
      <c r="Z137" s="83">
        <v>213584.37032900006</v>
      </c>
      <c r="AA137" s="83">
        <v>1147714.6668069998</v>
      </c>
      <c r="AB137" s="83">
        <v>912722.37294499995</v>
      </c>
      <c r="AC137" s="83">
        <v>794600.99794000003</v>
      </c>
      <c r="AD137" s="83">
        <v>1121664.691475</v>
      </c>
      <c r="AE137" s="83">
        <v>-54076.078347999763</v>
      </c>
      <c r="AF137" s="83">
        <v>1141361.3100350001</v>
      </c>
      <c r="AG137" s="362">
        <v>70.841224117975216</v>
      </c>
      <c r="AH137" s="362">
        <v>29.158775882024784</v>
      </c>
      <c r="AI137" s="362">
        <v>22.233328471282896</v>
      </c>
      <c r="AJ137" s="362">
        <v>52.081309351804371</v>
      </c>
      <c r="AK137" s="362">
        <v>42.68964960365885</v>
      </c>
      <c r="AL137" s="362">
        <v>34.394761855011211</v>
      </c>
      <c r="AM137" s="362">
        <v>65.605238144988789</v>
      </c>
      <c r="AN137" s="362">
        <v>49.379725201358433</v>
      </c>
      <c r="AO137" s="362">
        <v>70</v>
      </c>
      <c r="AP137" s="362">
        <v>-4.7378580185394146</v>
      </c>
      <c r="AQ137" s="362">
        <v>100</v>
      </c>
      <c r="AR137" s="362">
        <v>61.490732726134482</v>
      </c>
      <c r="AS137" s="362">
        <v>49.19258618090759</v>
      </c>
      <c r="AT137" s="362">
        <v>0</v>
      </c>
      <c r="AU137" s="362">
        <v>8.202399315351764</v>
      </c>
      <c r="AV137" s="362">
        <v>0</v>
      </c>
      <c r="AW137" s="362">
        <v>94.541541759473787</v>
      </c>
      <c r="AX137" s="362">
        <v>100</v>
      </c>
      <c r="AY137" s="362">
        <v>79.525199018693357</v>
      </c>
      <c r="AZ137" s="362">
        <v>70</v>
      </c>
      <c r="BA137" s="362">
        <v>0</v>
      </c>
      <c r="BB137" s="362">
        <v>56.666666666666664</v>
      </c>
      <c r="BC137" s="362">
        <v>56.666666666666664</v>
      </c>
      <c r="BD137" s="362">
        <v>11.333333333333334</v>
      </c>
      <c r="BE137" s="362">
        <v>60.525919514240925</v>
      </c>
      <c r="BF137" s="362">
        <v>60.525919514240925</v>
      </c>
      <c r="BG137" s="363" t="s">
        <v>98</v>
      </c>
      <c r="BH137" s="362">
        <f t="shared" si="20"/>
        <v>5</v>
      </c>
    </row>
    <row r="138" spans="1:60" ht="13.5" customHeight="1" x14ac:dyDescent="0.35">
      <c r="A138" s="82" t="s">
        <v>110</v>
      </c>
      <c r="B138" s="82" t="s">
        <v>162</v>
      </c>
      <c r="C138" s="82">
        <v>2024</v>
      </c>
      <c r="D138" s="82" t="s">
        <v>21</v>
      </c>
      <c r="E138" s="147">
        <v>4</v>
      </c>
      <c r="F138" s="126">
        <v>3</v>
      </c>
      <c r="G138" t="s">
        <v>210</v>
      </c>
      <c r="H138" s="83">
        <v>38395.447283000001</v>
      </c>
      <c r="I138" s="83">
        <v>334519.54699199996</v>
      </c>
      <c r="J138" s="83">
        <v>470889.45357200003</v>
      </c>
      <c r="K138" s="83">
        <v>46530.751636000001</v>
      </c>
      <c r="L138" s="83">
        <v>7338.7985479999998</v>
      </c>
      <c r="M138" s="83">
        <v>461033.86440700002</v>
      </c>
      <c r="N138" s="83">
        <v>68984.892301999993</v>
      </c>
      <c r="O138" s="83">
        <v>93143.385584000003</v>
      </c>
      <c r="P138" s="83">
        <v>38973.168938000003</v>
      </c>
      <c r="Q138" s="83">
        <v>0</v>
      </c>
      <c r="R138" s="83">
        <v>-28161.367277999932</v>
      </c>
      <c r="S138" s="83">
        <v>49606.297112</v>
      </c>
      <c r="T138" s="83">
        <v>0</v>
      </c>
      <c r="U138" s="83">
        <v>1395880.8783835301</v>
      </c>
      <c r="V138" s="83">
        <v>746298.07535215002</v>
      </c>
      <c r="W138" s="83">
        <v>62.20677166019005</v>
      </c>
      <c r="X138" s="83">
        <v>70</v>
      </c>
      <c r="Y138" s="83">
        <v>43614.66</v>
      </c>
      <c r="Z138" s="83">
        <v>53869.550184</v>
      </c>
      <c r="AA138" s="83">
        <v>444880.60420399997</v>
      </c>
      <c r="AB138" s="83">
        <v>396261.58978400001</v>
      </c>
      <c r="AC138" s="83">
        <v>372914.99427499995</v>
      </c>
      <c r="AD138" s="83">
        <v>470889.45357200003</v>
      </c>
      <c r="AE138" s="83">
        <v>21444.929834000068</v>
      </c>
      <c r="AF138" s="83">
        <v>470889.45357200003</v>
      </c>
      <c r="AG138" s="362">
        <v>79.193745250865007</v>
      </c>
      <c r="AH138" s="362">
        <v>20.806254749134993</v>
      </c>
      <c r="AI138" s="362">
        <v>14.963085714046425</v>
      </c>
      <c r="AJ138" s="362">
        <v>22.669713359560507</v>
      </c>
      <c r="AK138" s="362">
        <v>66.004741554158358</v>
      </c>
      <c r="AL138" s="362">
        <v>53.464309663471035</v>
      </c>
      <c r="AM138" s="362">
        <v>46.535690336528965</v>
      </c>
      <c r="AN138" s="362">
        <v>41.842121900167157</v>
      </c>
      <c r="AO138" s="362">
        <v>50</v>
      </c>
      <c r="AP138" s="362">
        <v>4.5541325403078048</v>
      </c>
      <c r="AQ138" s="362">
        <v>100</v>
      </c>
      <c r="AR138" s="362">
        <v>56.66933732796447</v>
      </c>
      <c r="AS138" s="362">
        <v>45.335469862371582</v>
      </c>
      <c r="AT138" s="362">
        <v>7.79322833980995</v>
      </c>
      <c r="AU138" s="362">
        <v>16.295333042630457</v>
      </c>
      <c r="AV138" s="362">
        <v>47.824909864818181</v>
      </c>
      <c r="AW138" s="362">
        <v>123.51248452699161</v>
      </c>
      <c r="AX138" s="362">
        <v>80</v>
      </c>
      <c r="AY138" s="362">
        <v>89.071446594757433</v>
      </c>
      <c r="AZ138" s="362">
        <v>80</v>
      </c>
      <c r="BA138" s="362">
        <v>0</v>
      </c>
      <c r="BB138" s="362">
        <v>69.274969954939394</v>
      </c>
      <c r="BC138" s="362">
        <v>69.274969954939394</v>
      </c>
      <c r="BD138" s="362">
        <v>13.854993990987879</v>
      </c>
      <c r="BE138" s="362">
        <v>59.190463853359461</v>
      </c>
      <c r="BF138" s="362">
        <v>59.190463853359461</v>
      </c>
      <c r="BG138" s="363" t="s">
        <v>109</v>
      </c>
      <c r="BH138" s="362">
        <f t="shared" si="20"/>
        <v>6</v>
      </c>
    </row>
    <row r="139" spans="1:60" ht="15" customHeight="1" x14ac:dyDescent="0.35">
      <c r="A139" s="82" t="s">
        <v>101</v>
      </c>
      <c r="B139" s="81" t="s">
        <v>168</v>
      </c>
      <c r="C139" s="82">
        <v>2024</v>
      </c>
      <c r="D139" s="82" t="s">
        <v>25</v>
      </c>
      <c r="E139" s="147">
        <v>4</v>
      </c>
      <c r="F139" s="146">
        <v>3</v>
      </c>
      <c r="G139" t="s">
        <v>210</v>
      </c>
      <c r="H139" s="83">
        <v>38395.447281000001</v>
      </c>
      <c r="I139" s="83">
        <v>153598.708724</v>
      </c>
      <c r="J139" s="83">
        <v>264537.82666999998</v>
      </c>
      <c r="K139" s="83">
        <v>39890.196195000004</v>
      </c>
      <c r="L139" s="83">
        <v>13253.501839999999</v>
      </c>
      <c r="M139" s="83">
        <v>258662.48024799998</v>
      </c>
      <c r="N139" s="83">
        <v>55051.211652999998</v>
      </c>
      <c r="O139" s="83">
        <v>92109.642462999996</v>
      </c>
      <c r="P139" s="83">
        <v>33377.357230000001</v>
      </c>
      <c r="Q139" s="83">
        <v>2713.6376319999999</v>
      </c>
      <c r="R139" s="83">
        <v>9875.7509719999798</v>
      </c>
      <c r="S139" s="83">
        <v>26459.691760000002</v>
      </c>
      <c r="T139" s="83">
        <v>0</v>
      </c>
      <c r="U139" s="83">
        <v>1055273.8893259999</v>
      </c>
      <c r="V139" s="83">
        <v>229925.19654400001</v>
      </c>
      <c r="W139" s="83">
        <v>64.189240597773178</v>
      </c>
      <c r="X139" s="83">
        <v>70</v>
      </c>
      <c r="Y139" s="83">
        <v>31205.725396999998</v>
      </c>
      <c r="Z139" s="83">
        <v>53143.698035000001</v>
      </c>
      <c r="AA139" s="83">
        <v>195929.790465</v>
      </c>
      <c r="AB139" s="83">
        <v>183377.96952899999</v>
      </c>
      <c r="AC139" s="83">
        <v>191994.156005</v>
      </c>
      <c r="AD139" s="83">
        <v>264537.82666999998</v>
      </c>
      <c r="AE139" s="83">
        <v>39049.080363999979</v>
      </c>
      <c r="AF139" s="83">
        <v>264537.82666999998</v>
      </c>
      <c r="AG139" s="362">
        <v>72.577203200699444</v>
      </c>
      <c r="AH139" s="362">
        <v>27.422796799300556</v>
      </c>
      <c r="AI139" s="362">
        <v>21.283029374889658</v>
      </c>
      <c r="AJ139" s="362">
        <v>22.669713359560507</v>
      </c>
      <c r="AK139" s="364">
        <v>93.88309872878898</v>
      </c>
      <c r="AL139" s="362">
        <v>21.788201041423712</v>
      </c>
      <c r="AM139" s="362">
        <v>78.211798958576281</v>
      </c>
      <c r="AN139" s="362">
        <v>36.236550634107097</v>
      </c>
      <c r="AO139" s="362">
        <v>50</v>
      </c>
      <c r="AP139" s="364">
        <v>14.761246380356823</v>
      </c>
      <c r="AQ139" s="362">
        <v>60</v>
      </c>
      <c r="AR139" s="364">
        <v>61.903538897333171</v>
      </c>
      <c r="AS139" s="364">
        <v>49.522831117866538</v>
      </c>
      <c r="AT139" s="362">
        <v>5.8107594022268216</v>
      </c>
      <c r="AU139" s="362">
        <v>16.295333042630457</v>
      </c>
      <c r="AV139" s="362">
        <v>35.659040456707515</v>
      </c>
      <c r="AW139" s="362">
        <v>170.30111416704653</v>
      </c>
      <c r="AX139" s="362">
        <v>0</v>
      </c>
      <c r="AY139" s="362">
        <v>93.59371491889479</v>
      </c>
      <c r="AZ139" s="362">
        <v>100</v>
      </c>
      <c r="BA139" s="362">
        <v>0</v>
      </c>
      <c r="BB139" s="362">
        <v>45.219680152235838</v>
      </c>
      <c r="BC139" s="362">
        <v>45.219680152235838</v>
      </c>
      <c r="BD139" s="362">
        <v>9.0439360304471688</v>
      </c>
      <c r="BE139" s="365">
        <v>58.566767148313708</v>
      </c>
      <c r="BF139" s="365">
        <v>58.566767148313708</v>
      </c>
      <c r="BG139" s="366" t="s">
        <v>109</v>
      </c>
      <c r="BH139" s="365">
        <f t="shared" si="20"/>
        <v>7</v>
      </c>
    </row>
    <row r="140" spans="1:60" ht="15" customHeight="1" x14ac:dyDescent="0.35">
      <c r="A140" s="82" t="s">
        <v>134</v>
      </c>
      <c r="B140" s="81" t="s">
        <v>170</v>
      </c>
      <c r="C140" s="82">
        <v>2024</v>
      </c>
      <c r="D140" s="82" t="s">
        <v>26</v>
      </c>
      <c r="E140" s="147">
        <v>4</v>
      </c>
      <c r="F140" s="146">
        <v>3</v>
      </c>
      <c r="G140" t="s">
        <v>210</v>
      </c>
      <c r="H140" s="83">
        <v>43789.647294000002</v>
      </c>
      <c r="I140" s="83">
        <v>150808.18316300001</v>
      </c>
      <c r="J140" s="83">
        <v>284467.94299100002</v>
      </c>
      <c r="K140" s="83">
        <v>31602.745857000002</v>
      </c>
      <c r="L140" s="83">
        <v>3565.9492529999998</v>
      </c>
      <c r="M140" s="83">
        <v>381023.93484200002</v>
      </c>
      <c r="N140" s="83">
        <v>86377.033859999996</v>
      </c>
      <c r="O140" s="83">
        <v>79040.400446</v>
      </c>
      <c r="P140" s="83">
        <v>44314.967016000002</v>
      </c>
      <c r="Q140" s="83">
        <v>0</v>
      </c>
      <c r="R140" s="83">
        <v>63099.85115100001</v>
      </c>
      <c r="S140" s="83">
        <v>58662.266529</v>
      </c>
      <c r="T140" s="83">
        <v>0</v>
      </c>
      <c r="U140" s="83">
        <v>799695.57270899997</v>
      </c>
      <c r="V140" s="83">
        <v>183941.604567</v>
      </c>
      <c r="W140" s="85">
        <v>49.148880312651386</v>
      </c>
      <c r="X140" s="82">
        <v>70</v>
      </c>
      <c r="Y140" s="83">
        <v>22699.514874</v>
      </c>
      <c r="Z140" s="83">
        <v>35168.695110000001</v>
      </c>
      <c r="AA140" s="83">
        <v>186642.65841</v>
      </c>
      <c r="AB140" s="83">
        <v>162628.676385</v>
      </c>
      <c r="AC140" s="86">
        <v>194597.830457</v>
      </c>
      <c r="AD140" s="86">
        <v>284467.94299100002</v>
      </c>
      <c r="AE140" s="86">
        <v>121762.11768000001</v>
      </c>
      <c r="AF140" s="86">
        <v>284467.94299100002</v>
      </c>
      <c r="AG140" s="362">
        <v>68.407648472065858</v>
      </c>
      <c r="AH140" s="362">
        <v>31.592351527934142</v>
      </c>
      <c r="AI140" s="362">
        <v>22.669713359560507</v>
      </c>
      <c r="AJ140" s="362">
        <v>22.669713359560507</v>
      </c>
      <c r="AK140" s="364">
        <v>99.999999999999986</v>
      </c>
      <c r="AL140" s="362">
        <v>23.001453408562792</v>
      </c>
      <c r="AM140" s="362">
        <v>76.998546591437204</v>
      </c>
      <c r="AN140" s="362">
        <v>56.066222799915799</v>
      </c>
      <c r="AO140" s="362">
        <v>80</v>
      </c>
      <c r="AP140" s="364">
        <v>42.803458414241184</v>
      </c>
      <c r="AQ140" s="362">
        <v>0</v>
      </c>
      <c r="AR140" s="364">
        <v>57.718179623874263</v>
      </c>
      <c r="AS140" s="364">
        <v>46.174543699099416</v>
      </c>
      <c r="AT140" s="362">
        <v>20.851119687348614</v>
      </c>
      <c r="AU140" s="362">
        <v>16.295333042630457</v>
      </c>
      <c r="AV140" s="362">
        <v>100</v>
      </c>
      <c r="AW140" s="362">
        <v>154.93148336082805</v>
      </c>
      <c r="AX140" s="362">
        <v>0</v>
      </c>
      <c r="AY140" s="362">
        <v>87.133711966185018</v>
      </c>
      <c r="AZ140" s="362">
        <v>80</v>
      </c>
      <c r="BA140" s="362">
        <v>0.24541159818759983</v>
      </c>
      <c r="BB140" s="362">
        <v>60</v>
      </c>
      <c r="BC140" s="362">
        <v>60.245411598187601</v>
      </c>
      <c r="BD140" s="362">
        <v>12.04908231963752</v>
      </c>
      <c r="BE140" s="365">
        <v>58.174543699099416</v>
      </c>
      <c r="BF140" s="365">
        <v>58.223626018736937</v>
      </c>
      <c r="BG140" s="366" t="s">
        <v>109</v>
      </c>
      <c r="BH140" s="365">
        <f t="shared" si="20"/>
        <v>8</v>
      </c>
    </row>
    <row r="141" spans="1:60" ht="15" x14ac:dyDescent="0.35">
      <c r="A141" s="82" t="s">
        <v>105</v>
      </c>
      <c r="B141" s="81" t="s">
        <v>143</v>
      </c>
      <c r="C141" s="82">
        <v>2024</v>
      </c>
      <c r="D141" s="82" t="s">
        <v>6</v>
      </c>
      <c r="E141" s="147">
        <v>2</v>
      </c>
      <c r="F141" s="146">
        <v>1</v>
      </c>
      <c r="G141" t="s">
        <v>211</v>
      </c>
      <c r="H141" s="83">
        <v>0</v>
      </c>
      <c r="I141" s="83">
        <v>547697.65824500006</v>
      </c>
      <c r="J141" s="83">
        <v>1108493.1248659999</v>
      </c>
      <c r="K141" s="83">
        <v>255588.44728999998</v>
      </c>
      <c r="L141" s="83">
        <v>131031.36120099999</v>
      </c>
      <c r="M141" s="83">
        <v>991249.02254700009</v>
      </c>
      <c r="N141" s="83">
        <v>199314.610128</v>
      </c>
      <c r="O141" s="83">
        <v>390864.523254</v>
      </c>
      <c r="P141" s="83">
        <v>179574.52416699997</v>
      </c>
      <c r="Q141" s="83">
        <v>23153.576560000001</v>
      </c>
      <c r="R141" s="83">
        <v>-28744.894046000205</v>
      </c>
      <c r="S141" s="83">
        <v>182715.21759799999</v>
      </c>
      <c r="T141" s="83">
        <v>0</v>
      </c>
      <c r="U141" s="83">
        <v>3763171.8214059998</v>
      </c>
      <c r="V141" s="83">
        <v>2348179.566596</v>
      </c>
      <c r="W141" s="85">
        <v>43.33356962532077</v>
      </c>
      <c r="X141" s="82">
        <v>60</v>
      </c>
      <c r="Y141" s="83">
        <v>342822.15150400001</v>
      </c>
      <c r="Z141" s="83">
        <v>386619.80849099997</v>
      </c>
      <c r="AA141" s="83">
        <v>925948.01982500008</v>
      </c>
      <c r="AB141" s="83">
        <v>848491.87223600002</v>
      </c>
      <c r="AC141" s="86">
        <v>547697.65824500006</v>
      </c>
      <c r="AD141" s="86">
        <v>1108493.1248659999</v>
      </c>
      <c r="AE141" s="86">
        <v>177123.90011199977</v>
      </c>
      <c r="AF141" s="86">
        <v>1108493.1248659999</v>
      </c>
      <c r="AG141" s="362">
        <v>49.409206602991652</v>
      </c>
      <c r="AH141" s="362">
        <v>50.590793397008348</v>
      </c>
      <c r="AI141" s="362">
        <v>20.10742059708306</v>
      </c>
      <c r="AJ141" s="362">
        <v>52.081309351804371</v>
      </c>
      <c r="AK141" s="364">
        <v>38.607747860675538</v>
      </c>
      <c r="AL141" s="362">
        <v>62.398946368562861</v>
      </c>
      <c r="AM141" s="362">
        <v>37.601053631437139</v>
      </c>
      <c r="AN141" s="362">
        <v>45.942906936658709</v>
      </c>
      <c r="AO141" s="362">
        <v>70</v>
      </c>
      <c r="AP141" s="364">
        <v>15.978800060975693</v>
      </c>
      <c r="AQ141" s="362">
        <v>40</v>
      </c>
      <c r="AR141" s="364">
        <v>47.359918977824201</v>
      </c>
      <c r="AS141" s="364">
        <v>37.887935182259362</v>
      </c>
      <c r="AT141" s="362">
        <v>16.66643037467923</v>
      </c>
      <c r="AU141" s="362">
        <v>11.646974677375537</v>
      </c>
      <c r="AV141" s="362">
        <v>100</v>
      </c>
      <c r="AW141" s="362">
        <v>112.77562047693085</v>
      </c>
      <c r="AX141" s="362">
        <v>100</v>
      </c>
      <c r="AY141" s="362">
        <v>91.634935662626191</v>
      </c>
      <c r="AZ141" s="362">
        <v>100</v>
      </c>
      <c r="BA141" s="362">
        <v>0</v>
      </c>
      <c r="BB141" s="362">
        <v>100</v>
      </c>
      <c r="BC141" s="362">
        <v>100</v>
      </c>
      <c r="BD141" s="362">
        <v>20</v>
      </c>
      <c r="BE141" s="365">
        <v>57.887935182259362</v>
      </c>
      <c r="BF141" s="365">
        <v>57.887935182259362</v>
      </c>
      <c r="BG141" s="366" t="s">
        <v>109</v>
      </c>
      <c r="BH141" s="365">
        <f t="shared" si="20"/>
        <v>9</v>
      </c>
    </row>
    <row r="142" spans="1:60" ht="13.5" customHeight="1" x14ac:dyDescent="0.35">
      <c r="A142" s="82" t="s">
        <v>118</v>
      </c>
      <c r="B142" s="81" t="s">
        <v>151</v>
      </c>
      <c r="C142" s="82">
        <v>2024</v>
      </c>
      <c r="D142" s="82" t="s">
        <v>136</v>
      </c>
      <c r="E142" s="147">
        <v>4</v>
      </c>
      <c r="F142" s="146">
        <v>2</v>
      </c>
      <c r="G142" t="s">
        <v>207</v>
      </c>
      <c r="H142" s="83">
        <v>0</v>
      </c>
      <c r="I142" s="83">
        <v>529266.39564200002</v>
      </c>
      <c r="J142" s="83">
        <v>787928.97170700005</v>
      </c>
      <c r="K142" s="83">
        <v>178577.22758599999</v>
      </c>
      <c r="L142" s="83">
        <v>11270.064468</v>
      </c>
      <c r="M142" s="83">
        <v>923482.92813000013</v>
      </c>
      <c r="N142" s="83">
        <v>71587.703214000008</v>
      </c>
      <c r="O142" s="83">
        <v>190214.12937399998</v>
      </c>
      <c r="P142" s="83">
        <v>120400.45204799998</v>
      </c>
      <c r="Q142" s="83">
        <v>0</v>
      </c>
      <c r="R142" s="83">
        <v>-8242.9542510000756</v>
      </c>
      <c r="S142" s="83">
        <v>97771.430519999994</v>
      </c>
      <c r="T142" s="83">
        <v>0</v>
      </c>
      <c r="U142" s="83">
        <v>1882358.3930086598</v>
      </c>
      <c r="V142" s="83">
        <v>919864.11451718991</v>
      </c>
      <c r="W142" s="85">
        <v>56.121867755665754</v>
      </c>
      <c r="X142" s="82">
        <v>70</v>
      </c>
      <c r="Y142" s="83">
        <v>163725.741197</v>
      </c>
      <c r="Z142" s="83">
        <v>189847.29205399999</v>
      </c>
      <c r="AA142" s="83">
        <v>726358.24863200018</v>
      </c>
      <c r="AB142" s="83">
        <v>663560.28995600005</v>
      </c>
      <c r="AC142" s="86">
        <v>529266.39564200002</v>
      </c>
      <c r="AD142" s="86">
        <v>787928.97170700005</v>
      </c>
      <c r="AE142" s="86">
        <v>89528.476268999919</v>
      </c>
      <c r="AF142" s="86">
        <v>787928.97170700005</v>
      </c>
      <c r="AG142" s="362">
        <v>67.171840945939152</v>
      </c>
      <c r="AH142" s="362">
        <v>32.828159054060848</v>
      </c>
      <c r="AI142" s="362">
        <v>7.7519249174384841</v>
      </c>
      <c r="AJ142" s="362">
        <v>48.179320422459881</v>
      </c>
      <c r="AK142" s="364">
        <v>16.089734868540713</v>
      </c>
      <c r="AL142" s="362">
        <v>48.867639549072742</v>
      </c>
      <c r="AM142" s="362">
        <v>51.132360450927258</v>
      </c>
      <c r="AN142" s="362">
        <v>63.297323098048096</v>
      </c>
      <c r="AO142" s="362">
        <v>80</v>
      </c>
      <c r="AP142" s="364">
        <v>11.362505947083267</v>
      </c>
      <c r="AQ142" s="362">
        <v>60</v>
      </c>
      <c r="AR142" s="364">
        <v>48.010050874705762</v>
      </c>
      <c r="AS142" s="364">
        <v>38.408040699764612</v>
      </c>
      <c r="AT142" s="362">
        <v>13.878132244334246</v>
      </c>
      <c r="AU142" s="362">
        <v>16.295333042630457</v>
      </c>
      <c r="AV142" s="362">
        <v>85.166300118122564</v>
      </c>
      <c r="AW142" s="362">
        <v>115.95445570502545</v>
      </c>
      <c r="AX142" s="362">
        <v>100</v>
      </c>
      <c r="AY142" s="362">
        <v>91.354409646442136</v>
      </c>
      <c r="AZ142" s="362">
        <v>100</v>
      </c>
      <c r="BA142" s="362">
        <v>0</v>
      </c>
      <c r="BB142" s="362">
        <v>95.055433372707512</v>
      </c>
      <c r="BC142" s="362">
        <v>95.055433372707512</v>
      </c>
      <c r="BD142" s="362">
        <v>19.011086674541502</v>
      </c>
      <c r="BE142" s="365">
        <v>57.419127374306115</v>
      </c>
      <c r="BF142" s="365">
        <v>57.419127374306115</v>
      </c>
      <c r="BG142" s="366" t="s">
        <v>109</v>
      </c>
      <c r="BH142" s="365">
        <f t="shared" si="20"/>
        <v>10</v>
      </c>
    </row>
    <row r="143" spans="1:60" ht="15" x14ac:dyDescent="0.35">
      <c r="A143" s="82" t="s">
        <v>113</v>
      </c>
      <c r="B143" s="81" t="s">
        <v>164</v>
      </c>
      <c r="C143" s="82">
        <v>2024</v>
      </c>
      <c r="D143" s="82" t="s">
        <v>23</v>
      </c>
      <c r="E143" s="147">
        <v>4</v>
      </c>
      <c r="F143" s="146">
        <v>3</v>
      </c>
      <c r="G143" t="s">
        <v>214</v>
      </c>
      <c r="H143" s="83">
        <v>38395.447281000001</v>
      </c>
      <c r="I143" s="83">
        <v>475545.15639999998</v>
      </c>
      <c r="J143" s="83">
        <v>670136.59288899996</v>
      </c>
      <c r="K143" s="83">
        <v>56749.077140999994</v>
      </c>
      <c r="L143" s="83">
        <v>33669.962288000002</v>
      </c>
      <c r="M143" s="83">
        <v>580983.7935400001</v>
      </c>
      <c r="N143" s="83">
        <v>34895.123702000004</v>
      </c>
      <c r="O143" s="83">
        <v>129625.05613099999</v>
      </c>
      <c r="P143" s="83">
        <v>42785.293429999991</v>
      </c>
      <c r="Q143" s="83">
        <v>705.011619</v>
      </c>
      <c r="R143" s="83">
        <v>2313.036647999892</v>
      </c>
      <c r="S143" s="83">
        <v>42288.558229000002</v>
      </c>
      <c r="T143" s="83">
        <v>0</v>
      </c>
      <c r="U143" s="83">
        <v>1608240.8868507301</v>
      </c>
      <c r="V143" s="83">
        <v>438661.56260007003</v>
      </c>
      <c r="W143" s="85">
        <v>59.63003613516539</v>
      </c>
      <c r="X143" s="82">
        <v>70</v>
      </c>
      <c r="Y143" s="83">
        <v>76452.411703000005</v>
      </c>
      <c r="Z143" s="83">
        <v>90419.039428999997</v>
      </c>
      <c r="AA143" s="83">
        <v>580983.7935400001</v>
      </c>
      <c r="AB143" s="83">
        <v>546872.92164700001</v>
      </c>
      <c r="AC143" s="86">
        <v>513940.60368099995</v>
      </c>
      <c r="AD143" s="86">
        <v>670136.59288899996</v>
      </c>
      <c r="AE143" s="86">
        <v>45306.606495999891</v>
      </c>
      <c r="AF143" s="86">
        <v>670136.59288899996</v>
      </c>
      <c r="AG143" s="362">
        <v>76.691917608225282</v>
      </c>
      <c r="AH143" s="362">
        <v>23.308082391774718</v>
      </c>
      <c r="AI143" s="362">
        <v>6.006212925386448</v>
      </c>
      <c r="AJ143" s="362">
        <v>22.669713359560507</v>
      </c>
      <c r="AK143" s="364">
        <v>26.494437005545308</v>
      </c>
      <c r="AL143" s="362">
        <v>27.275861855437622</v>
      </c>
      <c r="AM143" s="362">
        <v>72.724138144562374</v>
      </c>
      <c r="AN143" s="362">
        <v>33.006962316576264</v>
      </c>
      <c r="AO143" s="362">
        <v>40</v>
      </c>
      <c r="AP143" s="364">
        <v>6.7608017494881647</v>
      </c>
      <c r="AQ143" s="362">
        <v>80</v>
      </c>
      <c r="AR143" s="364">
        <v>48.505331508376479</v>
      </c>
      <c r="AS143" s="364">
        <v>38.804265206701189</v>
      </c>
      <c r="AT143" s="362">
        <v>10.36996386483461</v>
      </c>
      <c r="AU143" s="362">
        <v>16.295333042630457</v>
      </c>
      <c r="AV143" s="362">
        <v>63.637630711232461</v>
      </c>
      <c r="AW143" s="362">
        <v>118.26839391314054</v>
      </c>
      <c r="AX143" s="362">
        <v>100</v>
      </c>
      <c r="AY143" s="362">
        <v>94.128773939603605</v>
      </c>
      <c r="AZ143" s="362">
        <v>100</v>
      </c>
      <c r="BA143" s="362">
        <v>0</v>
      </c>
      <c r="BB143" s="362">
        <v>87.879210237077487</v>
      </c>
      <c r="BC143" s="362">
        <v>87.879210237077487</v>
      </c>
      <c r="BD143" s="362">
        <v>17.575842047415499</v>
      </c>
      <c r="BE143" s="365">
        <v>56.380107254116687</v>
      </c>
      <c r="BF143" s="365">
        <v>56.380107254116687</v>
      </c>
      <c r="BG143" s="366" t="s">
        <v>109</v>
      </c>
      <c r="BH143" s="365">
        <f t="shared" si="20"/>
        <v>11</v>
      </c>
    </row>
    <row r="144" spans="1:60" ht="15" customHeight="1" x14ac:dyDescent="0.35">
      <c r="A144" s="82" t="s">
        <v>119</v>
      </c>
      <c r="B144" s="81" t="s">
        <v>167</v>
      </c>
      <c r="C144" s="82">
        <v>2024</v>
      </c>
      <c r="D144" s="82" t="s">
        <v>120</v>
      </c>
      <c r="E144" s="147">
        <v>4</v>
      </c>
      <c r="F144" s="146">
        <v>3</v>
      </c>
      <c r="G144" t="s">
        <v>210</v>
      </c>
      <c r="H144" s="83">
        <v>47578.505463000001</v>
      </c>
      <c r="I144" s="83">
        <v>130245.510431</v>
      </c>
      <c r="J144" s="83">
        <v>279469.08718999999</v>
      </c>
      <c r="K144" s="83">
        <v>37811.921450000002</v>
      </c>
      <c r="L144" s="83">
        <v>4357.0553110000001</v>
      </c>
      <c r="M144" s="83">
        <v>261857.78476099996</v>
      </c>
      <c r="N144" s="83">
        <v>7577.3214749999997</v>
      </c>
      <c r="O144" s="83">
        <v>89747.482224000007</v>
      </c>
      <c r="P144" s="83">
        <v>61049.601786000007</v>
      </c>
      <c r="Q144" s="83">
        <v>0</v>
      </c>
      <c r="R144" s="83">
        <v>16597.179263000027</v>
      </c>
      <c r="S144" s="83">
        <v>76474.107325000004</v>
      </c>
      <c r="T144" s="83">
        <v>0</v>
      </c>
      <c r="U144" s="83">
        <v>1344687.6497638898</v>
      </c>
      <c r="V144" s="83">
        <v>202090.99397945998</v>
      </c>
      <c r="W144" s="85">
        <v>40.579655239987225</v>
      </c>
      <c r="X144" s="82">
        <v>70</v>
      </c>
      <c r="Y144" s="83">
        <v>36985.625482000003</v>
      </c>
      <c r="Z144" s="83">
        <v>42168.976760999998</v>
      </c>
      <c r="AA144" s="83">
        <v>234174.02748899997</v>
      </c>
      <c r="AB144" s="83">
        <v>179960.41031000001</v>
      </c>
      <c r="AC144" s="86">
        <v>177824.01589400001</v>
      </c>
      <c r="AD144" s="86">
        <v>279469.08718999999</v>
      </c>
      <c r="AE144" s="86">
        <v>93071.286588000032</v>
      </c>
      <c r="AF144" s="86">
        <v>279469.08718999999</v>
      </c>
      <c r="AG144" s="362">
        <v>63.629225572667536</v>
      </c>
      <c r="AH144" s="362">
        <v>36.370774427332464</v>
      </c>
      <c r="AI144" s="362">
        <v>2.8936781398024474</v>
      </c>
      <c r="AJ144" s="362">
        <v>22.669713359560507</v>
      </c>
      <c r="AK144" s="364">
        <v>12.764511372095031</v>
      </c>
      <c r="AL144" s="362">
        <v>15.028842870308551</v>
      </c>
      <c r="AM144" s="362">
        <v>84.971157129691449</v>
      </c>
      <c r="AN144" s="362">
        <v>68.023748714896314</v>
      </c>
      <c r="AO144" s="362">
        <v>100</v>
      </c>
      <c r="AP144" s="364">
        <v>33.302891394469164</v>
      </c>
      <c r="AQ144" s="362">
        <v>0</v>
      </c>
      <c r="AR144" s="364">
        <v>46.821288585823787</v>
      </c>
      <c r="AS144" s="364">
        <v>37.457030868659032</v>
      </c>
      <c r="AT144" s="362">
        <v>29.420344760012775</v>
      </c>
      <c r="AU144" s="362">
        <v>16.295333042630457</v>
      </c>
      <c r="AV144" s="362">
        <v>100</v>
      </c>
      <c r="AW144" s="362">
        <v>114.01450215171461</v>
      </c>
      <c r="AX144" s="362">
        <v>100</v>
      </c>
      <c r="AY144" s="362">
        <v>76.849005092357402</v>
      </c>
      <c r="AZ144" s="362">
        <v>70</v>
      </c>
      <c r="BA144" s="362">
        <v>0</v>
      </c>
      <c r="BB144" s="362">
        <v>90</v>
      </c>
      <c r="BC144" s="362">
        <v>90</v>
      </c>
      <c r="BD144" s="362">
        <v>18</v>
      </c>
      <c r="BE144" s="365">
        <v>55.457030868659032</v>
      </c>
      <c r="BF144" s="365">
        <v>55.457030868659032</v>
      </c>
      <c r="BG144" s="366" t="s">
        <v>109</v>
      </c>
      <c r="BH144" s="365">
        <f t="shared" si="20"/>
        <v>12</v>
      </c>
    </row>
    <row r="145" spans="1:60" ht="15" x14ac:dyDescent="0.35">
      <c r="A145" s="82" t="s">
        <v>114</v>
      </c>
      <c r="B145" s="81" t="s">
        <v>157</v>
      </c>
      <c r="C145" s="82">
        <v>2024</v>
      </c>
      <c r="D145" s="82" t="s">
        <v>7</v>
      </c>
      <c r="E145" s="147">
        <v>2</v>
      </c>
      <c r="F145" s="146">
        <v>1</v>
      </c>
      <c r="G145" t="s">
        <v>211</v>
      </c>
      <c r="H145" s="83">
        <v>0</v>
      </c>
      <c r="I145" s="83">
        <v>284735.83281400002</v>
      </c>
      <c r="J145" s="83">
        <v>778410.57756100013</v>
      </c>
      <c r="K145" s="83">
        <v>284209.30659400002</v>
      </c>
      <c r="L145" s="83">
        <v>131837.036081</v>
      </c>
      <c r="M145" s="83">
        <v>737223.13341199991</v>
      </c>
      <c r="N145" s="83">
        <v>24542.074837</v>
      </c>
      <c r="O145" s="83">
        <v>416624.24691000005</v>
      </c>
      <c r="P145" s="83">
        <v>282832.13774800004</v>
      </c>
      <c r="Q145" s="83">
        <v>6730.276347</v>
      </c>
      <c r="R145" s="83">
        <v>-63123.581061999896</v>
      </c>
      <c r="S145" s="83">
        <v>302952.38820300001</v>
      </c>
      <c r="T145" s="83">
        <v>0</v>
      </c>
      <c r="U145" s="83">
        <v>2827515.7054590001</v>
      </c>
      <c r="V145" s="83">
        <v>1489406.265048</v>
      </c>
      <c r="W145" s="85">
        <v>38.100670362076649</v>
      </c>
      <c r="X145" s="82">
        <v>60</v>
      </c>
      <c r="Y145" s="83">
        <v>366587.07485700003</v>
      </c>
      <c r="Z145" s="83">
        <v>416046.34267500002</v>
      </c>
      <c r="AA145" s="83">
        <v>707742.04946100002</v>
      </c>
      <c r="AB145" s="83">
        <v>646992.22171800002</v>
      </c>
      <c r="AC145" s="86">
        <v>284735.83281400002</v>
      </c>
      <c r="AD145" s="86">
        <v>778410.57756100013</v>
      </c>
      <c r="AE145" s="86">
        <v>246559.08348800012</v>
      </c>
      <c r="AF145" s="86">
        <v>778410.57756100013</v>
      </c>
      <c r="AG145" s="362">
        <v>36.579132018756091</v>
      </c>
      <c r="AH145" s="362">
        <v>63.420867981243909</v>
      </c>
      <c r="AI145" s="362">
        <v>3.3289887043309276</v>
      </c>
      <c r="AJ145" s="362">
        <v>52.081309351804371</v>
      </c>
      <c r="AK145" s="364">
        <v>6.3919067046565985</v>
      </c>
      <c r="AL145" s="362">
        <v>52.675437387401523</v>
      </c>
      <c r="AM145" s="362">
        <v>47.324562612598477</v>
      </c>
      <c r="AN145" s="362">
        <v>67.886624421333295</v>
      </c>
      <c r="AO145" s="362">
        <v>100</v>
      </c>
      <c r="AP145" s="364">
        <v>31.674683077990228</v>
      </c>
      <c r="AQ145" s="362">
        <v>0</v>
      </c>
      <c r="AR145" s="364">
        <v>43.427467459699798</v>
      </c>
      <c r="AS145" s="364">
        <v>34.74197396775984</v>
      </c>
      <c r="AT145" s="362">
        <v>21.899329637923351</v>
      </c>
      <c r="AU145" s="362">
        <v>11.646974677375537</v>
      </c>
      <c r="AV145" s="362">
        <v>100</v>
      </c>
      <c r="AW145" s="362">
        <v>113.49181987316202</v>
      </c>
      <c r="AX145" s="362">
        <v>100</v>
      </c>
      <c r="AY145" s="362">
        <v>91.416388528946996</v>
      </c>
      <c r="AZ145" s="362">
        <v>100</v>
      </c>
      <c r="BA145" s="362">
        <v>0</v>
      </c>
      <c r="BB145" s="362">
        <v>100</v>
      </c>
      <c r="BC145" s="362">
        <v>100</v>
      </c>
      <c r="BD145" s="362">
        <v>20</v>
      </c>
      <c r="BE145" s="365">
        <v>54.74197396775984</v>
      </c>
      <c r="BF145" s="365">
        <v>54.74197396775984</v>
      </c>
      <c r="BG145" s="366" t="s">
        <v>109</v>
      </c>
      <c r="BH145" s="365">
        <f t="shared" si="20"/>
        <v>13</v>
      </c>
    </row>
    <row r="146" spans="1:60" ht="13.5" customHeight="1" x14ac:dyDescent="0.35">
      <c r="A146" s="82" t="s">
        <v>123</v>
      </c>
      <c r="B146" s="81" t="s">
        <v>169</v>
      </c>
      <c r="C146" s="82">
        <v>2024</v>
      </c>
      <c r="D146" s="82" t="s">
        <v>124</v>
      </c>
      <c r="E146" s="147">
        <v>4</v>
      </c>
      <c r="F146" s="146">
        <v>3</v>
      </c>
      <c r="G146" t="s">
        <v>210</v>
      </c>
      <c r="H146" s="83">
        <v>39243.516512000002</v>
      </c>
      <c r="I146" s="83">
        <v>114381.297871</v>
      </c>
      <c r="J146" s="83">
        <v>219720.16740199999</v>
      </c>
      <c r="K146" s="83">
        <v>14204.409812999998</v>
      </c>
      <c r="L146" s="83">
        <v>2468.894659</v>
      </c>
      <c r="M146" s="83">
        <v>215313.48372300004</v>
      </c>
      <c r="N146" s="83">
        <v>9940.8798700000007</v>
      </c>
      <c r="O146" s="83">
        <v>56050.031894</v>
      </c>
      <c r="P146" s="83">
        <v>33164.851843999997</v>
      </c>
      <c r="Q146" s="83">
        <v>0</v>
      </c>
      <c r="R146" s="83">
        <v>-18478.496371000045</v>
      </c>
      <c r="S146" s="83">
        <v>94494.120458000005</v>
      </c>
      <c r="T146" s="83">
        <v>0</v>
      </c>
      <c r="U146" s="83">
        <v>904982.18007643009</v>
      </c>
      <c r="V146" s="83">
        <v>155716.04743124</v>
      </c>
      <c r="W146" s="85">
        <v>35.673340508708584</v>
      </c>
      <c r="X146" s="82">
        <v>70</v>
      </c>
      <c r="Y146" s="83">
        <v>15324.035715</v>
      </c>
      <c r="Z146" s="83">
        <v>16673.304472</v>
      </c>
      <c r="AA146" s="83">
        <v>215313.48372300004</v>
      </c>
      <c r="AB146" s="83">
        <v>172557.74295399999</v>
      </c>
      <c r="AC146" s="86">
        <v>153624.81438300002</v>
      </c>
      <c r="AD146" s="86">
        <v>219720.16740199999</v>
      </c>
      <c r="AE146" s="86">
        <v>76015.62408699996</v>
      </c>
      <c r="AF146" s="86">
        <v>219720.16740199999</v>
      </c>
      <c r="AG146" s="362">
        <v>69.918394929095456</v>
      </c>
      <c r="AH146" s="362">
        <v>30.081605070904544</v>
      </c>
      <c r="AI146" s="362">
        <v>4.6169332724135863</v>
      </c>
      <c r="AJ146" s="362">
        <v>22.669713359560507</v>
      </c>
      <c r="AK146" s="364">
        <v>20.366085795551029</v>
      </c>
      <c r="AL146" s="362">
        <v>17.20653189194168</v>
      </c>
      <c r="AM146" s="362">
        <v>82.79346810805832</v>
      </c>
      <c r="AN146" s="362">
        <v>59.170085588390542</v>
      </c>
      <c r="AO146" s="362">
        <v>80</v>
      </c>
      <c r="AP146" s="364">
        <v>34.596562066112838</v>
      </c>
      <c r="AQ146" s="362">
        <v>0</v>
      </c>
      <c r="AR146" s="364">
        <v>42.648231794902777</v>
      </c>
      <c r="AS146" s="364">
        <v>34.11858543592222</v>
      </c>
      <c r="AT146" s="362">
        <v>34.326659491291416</v>
      </c>
      <c r="AU146" s="362">
        <v>16.295333042630457</v>
      </c>
      <c r="AV146" s="362">
        <v>100</v>
      </c>
      <c r="AW146" s="362">
        <v>108.80491785645776</v>
      </c>
      <c r="AX146" s="362">
        <v>100</v>
      </c>
      <c r="AY146" s="362">
        <v>80.142562356194489</v>
      </c>
      <c r="AZ146" s="362">
        <v>80</v>
      </c>
      <c r="BA146" s="362">
        <v>0</v>
      </c>
      <c r="BB146" s="362">
        <v>93.333333333333329</v>
      </c>
      <c r="BC146" s="362">
        <v>93.333333333333329</v>
      </c>
      <c r="BD146" s="362">
        <v>18.666666666666668</v>
      </c>
      <c r="BE146" s="365">
        <v>52.785252102588885</v>
      </c>
      <c r="BF146" s="365">
        <v>52.785252102588885</v>
      </c>
      <c r="BG146" s="366" t="s">
        <v>109</v>
      </c>
      <c r="BH146" s="365">
        <f t="shared" si="20"/>
        <v>14</v>
      </c>
    </row>
    <row r="147" spans="1:60" ht="13.5" customHeight="1" x14ac:dyDescent="0.35">
      <c r="A147" s="82" t="s">
        <v>115</v>
      </c>
      <c r="B147" s="81" t="s">
        <v>149</v>
      </c>
      <c r="C147" s="82">
        <v>2024</v>
      </c>
      <c r="D147" s="82" t="s">
        <v>116</v>
      </c>
      <c r="E147" s="126">
        <v>3</v>
      </c>
      <c r="F147" s="146">
        <v>3</v>
      </c>
      <c r="G147" t="s">
        <v>215</v>
      </c>
      <c r="H147" s="83">
        <v>0</v>
      </c>
      <c r="I147" s="83">
        <v>697181.19780099997</v>
      </c>
      <c r="J147" s="83">
        <v>884464.58065999998</v>
      </c>
      <c r="K147" s="83">
        <v>108414.43075599999</v>
      </c>
      <c r="L147" s="83">
        <v>14041.734782</v>
      </c>
      <c r="M147" s="83">
        <v>795101.06739600003</v>
      </c>
      <c r="N147" s="83">
        <v>14099.388326999999</v>
      </c>
      <c r="O147" s="83">
        <v>122585.24121999998</v>
      </c>
      <c r="P147" s="83">
        <v>43437.606785999975</v>
      </c>
      <c r="Q147" s="83">
        <v>0</v>
      </c>
      <c r="R147" s="83">
        <v>10215.878829999943</v>
      </c>
      <c r="S147" s="83">
        <v>56804.907994000001</v>
      </c>
      <c r="T147" s="83">
        <v>0</v>
      </c>
      <c r="U147" s="83">
        <v>2415160.61956756</v>
      </c>
      <c r="V147" s="83">
        <v>587798.06815544993</v>
      </c>
      <c r="W147" s="85">
        <v>65.607177278687956</v>
      </c>
      <c r="X147" s="82">
        <v>70</v>
      </c>
      <c r="Y147" s="83">
        <v>106739.682441</v>
      </c>
      <c r="Z147" s="83">
        <v>122456.16553799999</v>
      </c>
      <c r="AA147" s="83">
        <v>795101.06739600003</v>
      </c>
      <c r="AB147" s="83">
        <v>635898.94187400001</v>
      </c>
      <c r="AC147" s="86">
        <v>697181.19780099997</v>
      </c>
      <c r="AD147" s="86">
        <v>884464.58065999998</v>
      </c>
      <c r="AE147" s="86">
        <v>67020.786823999952</v>
      </c>
      <c r="AF147" s="86">
        <v>884464.58065999998</v>
      </c>
      <c r="AG147" s="362">
        <v>78.825225231829364</v>
      </c>
      <c r="AH147" s="362">
        <v>21.174774768170636</v>
      </c>
      <c r="AI147" s="362">
        <v>1.7732825303802289</v>
      </c>
      <c r="AJ147" s="362">
        <v>22.669713359560507</v>
      </c>
      <c r="AK147" s="364">
        <v>7.8222538690917407</v>
      </c>
      <c r="AL147" s="362">
        <v>24.337845830754581</v>
      </c>
      <c r="AM147" s="362">
        <v>75.662154169245412</v>
      </c>
      <c r="AN147" s="362">
        <v>35.43461378686186</v>
      </c>
      <c r="AO147" s="362">
        <v>50</v>
      </c>
      <c r="AP147" s="364">
        <v>7.5775546346907525</v>
      </c>
      <c r="AQ147" s="362">
        <v>80</v>
      </c>
      <c r="AR147" s="364">
        <v>46.931836561301552</v>
      </c>
      <c r="AS147" s="364">
        <v>37.54546924904124</v>
      </c>
      <c r="AT147" s="362">
        <v>4.3928227213120437</v>
      </c>
      <c r="AU147" s="362">
        <v>8.202399315351764</v>
      </c>
      <c r="AV147" s="362">
        <v>53.555338534791332</v>
      </c>
      <c r="AW147" s="362">
        <v>114.72412390367305</v>
      </c>
      <c r="AX147" s="362">
        <v>100</v>
      </c>
      <c r="AY147" s="362">
        <v>79.977120890631454</v>
      </c>
      <c r="AZ147" s="362">
        <v>70</v>
      </c>
      <c r="BA147" s="362">
        <v>0</v>
      </c>
      <c r="BB147" s="362">
        <v>74.518446178263773</v>
      </c>
      <c r="BC147" s="362">
        <v>74.518446178263773</v>
      </c>
      <c r="BD147" s="362">
        <v>14.903689235652756</v>
      </c>
      <c r="BE147" s="365">
        <v>52.449158484693996</v>
      </c>
      <c r="BF147" s="365">
        <v>52.449158484693996</v>
      </c>
      <c r="BG147" s="366" t="s">
        <v>109</v>
      </c>
      <c r="BH147" s="365">
        <f t="shared" si="20"/>
        <v>15</v>
      </c>
    </row>
    <row r="148" spans="1:60" ht="13.5" customHeight="1" x14ac:dyDescent="0.35">
      <c r="A148" s="82" t="s">
        <v>126</v>
      </c>
      <c r="B148" s="81" t="s">
        <v>145</v>
      </c>
      <c r="C148" s="82">
        <v>2024</v>
      </c>
      <c r="D148" s="82" t="s">
        <v>8</v>
      </c>
      <c r="E148" s="126">
        <v>3</v>
      </c>
      <c r="F148" s="146">
        <v>2</v>
      </c>
      <c r="G148" t="s">
        <v>215</v>
      </c>
      <c r="H148" s="83">
        <v>0</v>
      </c>
      <c r="I148" s="83">
        <v>1427772.6895050001</v>
      </c>
      <c r="J148" s="83">
        <v>1853197.0564049999</v>
      </c>
      <c r="K148" s="83">
        <v>164768.36675799999</v>
      </c>
      <c r="L148" s="83">
        <v>120786.640801</v>
      </c>
      <c r="M148" s="83">
        <v>1748202.1074060001</v>
      </c>
      <c r="N148" s="83">
        <v>20032.813782999998</v>
      </c>
      <c r="O148" s="83">
        <v>286731.92538099998</v>
      </c>
      <c r="P148" s="83">
        <v>143500.05002099997</v>
      </c>
      <c r="Q148" s="83">
        <v>3336.9935070000001</v>
      </c>
      <c r="R148" s="83">
        <v>46995.985376999946</v>
      </c>
      <c r="S148" s="83">
        <v>283471.02739200002</v>
      </c>
      <c r="T148" s="83">
        <v>0</v>
      </c>
      <c r="U148" s="83">
        <v>3600160.6356799998</v>
      </c>
      <c r="V148" s="83">
        <v>1217557.4699810001</v>
      </c>
      <c r="W148" s="85">
        <v>40.362800755076059</v>
      </c>
      <c r="X148" s="82">
        <v>70</v>
      </c>
      <c r="Y148" s="83">
        <v>296348.40035700001</v>
      </c>
      <c r="Z148" s="83">
        <v>285555.00755899999</v>
      </c>
      <c r="AA148" s="83">
        <v>1662969.195668</v>
      </c>
      <c r="AB148" s="83">
        <v>1627602.724533</v>
      </c>
      <c r="AC148" s="86">
        <v>1427772.6895050001</v>
      </c>
      <c r="AD148" s="86">
        <v>1853197.0564049999</v>
      </c>
      <c r="AE148" s="86">
        <v>333804.00627599994</v>
      </c>
      <c r="AF148" s="86">
        <v>1853197.0564049999</v>
      </c>
      <c r="AG148" s="362">
        <v>77.043759840344407</v>
      </c>
      <c r="AH148" s="362">
        <v>22.956240159655593</v>
      </c>
      <c r="AI148" s="362">
        <v>1.145909485987572</v>
      </c>
      <c r="AJ148" s="362">
        <v>48.179320422459881</v>
      </c>
      <c r="AK148" s="364">
        <v>2.3784260050571002</v>
      </c>
      <c r="AL148" s="362">
        <v>33.819531770726876</v>
      </c>
      <c r="AM148" s="362">
        <v>66.180468229273117</v>
      </c>
      <c r="AN148" s="362">
        <v>50.046764004504141</v>
      </c>
      <c r="AO148" s="362">
        <v>70</v>
      </c>
      <c r="AP148" s="364">
        <v>18.012331992559027</v>
      </c>
      <c r="AQ148" s="362">
        <v>40</v>
      </c>
      <c r="AR148" s="364">
        <v>40.303026878797162</v>
      </c>
      <c r="AS148" s="364">
        <v>32.242421503037733</v>
      </c>
      <c r="AT148" s="362">
        <v>29.637199244923941</v>
      </c>
      <c r="AU148" s="362">
        <v>8.202399315351764</v>
      </c>
      <c r="AV148" s="362">
        <v>100</v>
      </c>
      <c r="AW148" s="362">
        <v>96.357870403552838</v>
      </c>
      <c r="AX148" s="362">
        <v>100</v>
      </c>
      <c r="AY148" s="362">
        <v>97.873293670915317</v>
      </c>
      <c r="AZ148" s="362">
        <v>100</v>
      </c>
      <c r="BA148" s="362">
        <v>0</v>
      </c>
      <c r="BB148" s="362">
        <v>100</v>
      </c>
      <c r="BC148" s="362">
        <v>100</v>
      </c>
      <c r="BD148" s="362">
        <v>20</v>
      </c>
      <c r="BE148" s="365">
        <v>52.242421503037733</v>
      </c>
      <c r="BF148" s="365">
        <v>52.242421503037733</v>
      </c>
      <c r="BG148" s="366" t="s">
        <v>109</v>
      </c>
      <c r="BH148" s="365">
        <f t="shared" si="20"/>
        <v>16</v>
      </c>
    </row>
    <row r="149" spans="1:60" ht="15" x14ac:dyDescent="0.35">
      <c r="A149" s="82" t="s">
        <v>102</v>
      </c>
      <c r="B149" s="81" t="s">
        <v>139</v>
      </c>
      <c r="C149" s="82">
        <v>2024</v>
      </c>
      <c r="D149" s="82" t="s">
        <v>2</v>
      </c>
      <c r="E149" s="146" t="s">
        <v>51</v>
      </c>
      <c r="F149" s="146">
        <v>1</v>
      </c>
      <c r="G149" t="s">
        <v>211</v>
      </c>
      <c r="H149" s="83">
        <v>0</v>
      </c>
      <c r="I149" s="83">
        <v>2185756.971653</v>
      </c>
      <c r="J149" s="83">
        <v>6362170.0811090004</v>
      </c>
      <c r="K149" s="83">
        <v>2105396.8552489998</v>
      </c>
      <c r="L149" s="83">
        <v>1262248.3300910001</v>
      </c>
      <c r="M149" s="83">
        <v>5557896.2575310012</v>
      </c>
      <c r="N149" s="83">
        <v>235150.95785900002</v>
      </c>
      <c r="O149" s="83">
        <v>3392717.2894199998</v>
      </c>
      <c r="P149" s="83">
        <v>2174780.558923</v>
      </c>
      <c r="Q149" s="83">
        <v>267602.986661</v>
      </c>
      <c r="R149" s="83">
        <v>-176685.35771200061</v>
      </c>
      <c r="S149" s="83">
        <v>1110806.930898</v>
      </c>
      <c r="T149" s="83">
        <v>295876.12081400002</v>
      </c>
      <c r="U149" s="83">
        <v>16095790.780893</v>
      </c>
      <c r="V149" s="83">
        <v>13366808.623283001</v>
      </c>
      <c r="W149" s="85">
        <v>22.328067188505255</v>
      </c>
      <c r="X149" s="82">
        <v>50</v>
      </c>
      <c r="Y149" s="83">
        <v>3062505.434471</v>
      </c>
      <c r="Z149" s="83">
        <v>3367645.1853399999</v>
      </c>
      <c r="AA149" s="83">
        <v>5320918.7083240012</v>
      </c>
      <c r="AB149" s="83">
        <v>4228125.5784480004</v>
      </c>
      <c r="AC149" s="86">
        <v>2185756.971653</v>
      </c>
      <c r="AD149" s="86">
        <v>6362170.0811090004</v>
      </c>
      <c r="AE149" s="86">
        <f>+R149+Q149+S149</f>
        <v>1201724.5598469994</v>
      </c>
      <c r="AF149" s="86">
        <v>6658046.2019230006</v>
      </c>
      <c r="AG149" s="362">
        <v>34.355525611349222</v>
      </c>
      <c r="AH149" s="362">
        <v>65.644474388650778</v>
      </c>
      <c r="AI149" s="362">
        <v>4.2309346371906154</v>
      </c>
      <c r="AJ149" s="362">
        <v>52.081309351804371</v>
      </c>
      <c r="AK149" s="364">
        <v>8.1237101944020793</v>
      </c>
      <c r="AL149" s="362">
        <v>83.045367607228599</v>
      </c>
      <c r="AM149" s="362">
        <v>16.954632392771401</v>
      </c>
      <c r="AN149" s="362">
        <v>64.101437679612516</v>
      </c>
      <c r="AO149" s="362">
        <v>80</v>
      </c>
      <c r="AP149" s="364">
        <v>18.049207280957482</v>
      </c>
      <c r="AQ149" s="362">
        <v>40</v>
      </c>
      <c r="AR149" s="364">
        <v>42.144563395164852</v>
      </c>
      <c r="AS149" s="364">
        <v>33.715650716131883</v>
      </c>
      <c r="AT149" s="362">
        <v>27.671932811494745</v>
      </c>
      <c r="AU149" s="362">
        <v>16.680123763999369</v>
      </c>
      <c r="AV149" s="362">
        <v>100</v>
      </c>
      <c r="AW149" s="362">
        <v>109.96372928630274</v>
      </c>
      <c r="AX149" s="362">
        <v>100</v>
      </c>
      <c r="AY149" s="362">
        <v>79.462322396197408</v>
      </c>
      <c r="AZ149" s="362">
        <v>70</v>
      </c>
      <c r="BA149" s="362">
        <v>0</v>
      </c>
      <c r="BB149" s="362">
        <v>90</v>
      </c>
      <c r="BC149" s="362">
        <v>90</v>
      </c>
      <c r="BD149" s="362">
        <v>18</v>
      </c>
      <c r="BE149" s="365">
        <v>51.715650716131883</v>
      </c>
      <c r="BF149" s="365">
        <v>51.715650716131883</v>
      </c>
      <c r="BG149" s="366" t="s">
        <v>109</v>
      </c>
      <c r="BH149" s="365">
        <f t="shared" si="20"/>
        <v>17</v>
      </c>
    </row>
    <row r="150" spans="1:60" ht="13.5" customHeight="1" x14ac:dyDescent="0.35">
      <c r="A150" s="82" t="s">
        <v>103</v>
      </c>
      <c r="B150" s="81" t="s">
        <v>161</v>
      </c>
      <c r="C150" s="82">
        <v>2024</v>
      </c>
      <c r="D150" s="82" t="s">
        <v>20</v>
      </c>
      <c r="E150" s="146" t="s">
        <v>51</v>
      </c>
      <c r="F150" s="146">
        <v>1</v>
      </c>
      <c r="G150" t="s">
        <v>215</v>
      </c>
      <c r="H150" s="83">
        <v>0</v>
      </c>
      <c r="I150" s="83">
        <v>844229.16659100004</v>
      </c>
      <c r="J150" s="83">
        <v>3135605.3948600003</v>
      </c>
      <c r="K150" s="83">
        <v>1352480.6639190002</v>
      </c>
      <c r="L150" s="83">
        <v>536270.10542299994</v>
      </c>
      <c r="M150" s="83">
        <v>2610293.7489539995</v>
      </c>
      <c r="N150" s="83">
        <v>139266.69566999999</v>
      </c>
      <c r="O150" s="83">
        <v>1898684.7041500001</v>
      </c>
      <c r="P150" s="83">
        <v>1164245.1855330002</v>
      </c>
      <c r="Q150" s="83">
        <v>104937.465207</v>
      </c>
      <c r="R150" s="83">
        <v>-137093.01294099959</v>
      </c>
      <c r="S150" s="83">
        <v>536851.578645</v>
      </c>
      <c r="T150" s="83">
        <v>99026.817550000007</v>
      </c>
      <c r="U150" s="83">
        <v>7801580.7395869996</v>
      </c>
      <c r="V150" s="83">
        <v>7030761.6766950004</v>
      </c>
      <c r="W150" s="85">
        <v>36.923552388861985</v>
      </c>
      <c r="X150" s="82">
        <v>50</v>
      </c>
      <c r="Y150" s="83">
        <v>2079941.328216</v>
      </c>
      <c r="Z150" s="83">
        <v>1888750.7693420001</v>
      </c>
      <c r="AA150" s="83">
        <v>2538258.889184</v>
      </c>
      <c r="AB150" s="83">
        <v>2072622.598911</v>
      </c>
      <c r="AC150" s="86">
        <v>844229.16659100004</v>
      </c>
      <c r="AD150" s="86">
        <v>3135605.3948600003</v>
      </c>
      <c r="AE150" s="86">
        <f>+R150+Q150+S150</f>
        <v>504696.03091100045</v>
      </c>
      <c r="AF150" s="86">
        <v>3234632.2124100002</v>
      </c>
      <c r="AG150" s="362">
        <v>26.923960775641337</v>
      </c>
      <c r="AH150" s="362">
        <v>73.076039224358667</v>
      </c>
      <c r="AI150" s="362">
        <v>5.335288249677153</v>
      </c>
      <c r="AJ150" s="362">
        <v>52.081309351804371</v>
      </c>
      <c r="AK150" s="364">
        <v>10.244151531670949</v>
      </c>
      <c r="AL150" s="362">
        <v>90.119706651490674</v>
      </c>
      <c r="AM150" s="362">
        <v>9.8802933485093263</v>
      </c>
      <c r="AN150" s="362">
        <v>61.318510808470826</v>
      </c>
      <c r="AO150" s="362">
        <v>80</v>
      </c>
      <c r="AP150" s="364">
        <v>15.602887678379076</v>
      </c>
      <c r="AQ150" s="362">
        <v>40</v>
      </c>
      <c r="AR150" s="364">
        <v>42.640096820907786</v>
      </c>
      <c r="AS150" s="364">
        <v>34.112077456726233</v>
      </c>
      <c r="AT150" s="362">
        <v>13.076447611138015</v>
      </c>
      <c r="AU150" s="362">
        <v>16.680123763999369</v>
      </c>
      <c r="AV150" s="362">
        <v>78.395387205464559</v>
      </c>
      <c r="AW150" s="362">
        <v>90.807886920637941</v>
      </c>
      <c r="AX150" s="362">
        <v>100</v>
      </c>
      <c r="AY150" s="362">
        <v>81.655287714851937</v>
      </c>
      <c r="AZ150" s="362">
        <v>80</v>
      </c>
      <c r="BA150" s="362">
        <v>0</v>
      </c>
      <c r="BB150" s="362">
        <v>86.131795735154853</v>
      </c>
      <c r="BC150" s="362">
        <v>86.131795735154853</v>
      </c>
      <c r="BD150" s="362">
        <v>17.226359147030973</v>
      </c>
      <c r="BE150" s="365">
        <v>51.338436603757202</v>
      </c>
      <c r="BF150" s="365">
        <v>51.338436603757202</v>
      </c>
      <c r="BG150" s="366" t="s">
        <v>109</v>
      </c>
      <c r="BH150" s="365">
        <f t="shared" si="20"/>
        <v>18</v>
      </c>
    </row>
    <row r="151" spans="1:60" ht="13.5" customHeight="1" x14ac:dyDescent="0.35">
      <c r="A151" s="82" t="s">
        <v>135</v>
      </c>
      <c r="B151" s="81" t="s">
        <v>156</v>
      </c>
      <c r="C151" s="82">
        <v>2024</v>
      </c>
      <c r="D151" s="82" t="s">
        <v>16</v>
      </c>
      <c r="E151" s="126">
        <v>3</v>
      </c>
      <c r="F151" s="146">
        <v>1</v>
      </c>
      <c r="G151" t="s">
        <v>211</v>
      </c>
      <c r="H151" s="83">
        <v>0</v>
      </c>
      <c r="I151" s="83">
        <v>247915.077942</v>
      </c>
      <c r="J151" s="83">
        <v>570595.63944100006</v>
      </c>
      <c r="K151" s="83">
        <v>182889.382514</v>
      </c>
      <c r="L151" s="83">
        <v>70655.147545</v>
      </c>
      <c r="M151" s="83">
        <v>467817.60280400002</v>
      </c>
      <c r="N151" s="83">
        <v>19002.664891</v>
      </c>
      <c r="O151" s="83">
        <v>262696.91963700001</v>
      </c>
      <c r="P151" s="83">
        <v>125312.79227000001</v>
      </c>
      <c r="Q151" s="83">
        <v>4780.9623449999999</v>
      </c>
      <c r="R151" s="83">
        <v>-21218.394548999961</v>
      </c>
      <c r="S151" s="83">
        <v>86608.220205999998</v>
      </c>
      <c r="T151" s="83">
        <v>9992</v>
      </c>
      <c r="U151" s="83">
        <v>1486724.1470891498</v>
      </c>
      <c r="V151" s="83">
        <v>1033831.26306513</v>
      </c>
      <c r="W151" s="85">
        <v>65.957669876017576</v>
      </c>
      <c r="X151" s="82">
        <v>70</v>
      </c>
      <c r="Y151" s="83">
        <v>247840.51360000001</v>
      </c>
      <c r="Z151" s="83">
        <v>253544.53005900001</v>
      </c>
      <c r="AA151" s="83">
        <v>454429.90662299999</v>
      </c>
      <c r="AB151" s="83">
        <v>406866.05854300002</v>
      </c>
      <c r="AC151" s="86">
        <v>247915.077942</v>
      </c>
      <c r="AD151" s="86">
        <v>570595.63944100006</v>
      </c>
      <c r="AE151" s="86">
        <v>70170.788002000045</v>
      </c>
      <c r="AF151" s="86">
        <v>580587.63944100006</v>
      </c>
      <c r="AG151" s="362">
        <v>43.448470476373934</v>
      </c>
      <c r="AH151" s="362">
        <v>56.551529523626066</v>
      </c>
      <c r="AI151" s="362">
        <v>4.0619815879312871</v>
      </c>
      <c r="AJ151" s="362">
        <v>52.081309351804371</v>
      </c>
      <c r="AK151" s="364">
        <v>7.7993077334000596</v>
      </c>
      <c r="AL151" s="362">
        <v>69.537530892281751</v>
      </c>
      <c r="AM151" s="362">
        <v>30.462469107718249</v>
      </c>
      <c r="AN151" s="362">
        <v>47.702421651216845</v>
      </c>
      <c r="AO151" s="362">
        <v>70</v>
      </c>
      <c r="AP151" s="364">
        <v>12.086166365781004</v>
      </c>
      <c r="AQ151" s="362">
        <v>60</v>
      </c>
      <c r="AR151" s="364">
        <v>44.962661272948878</v>
      </c>
      <c r="AS151" s="364">
        <v>35.970129018359103</v>
      </c>
      <c r="AT151" s="362">
        <v>4.0423301239824241</v>
      </c>
      <c r="AU151" s="362">
        <v>8.202399315351764</v>
      </c>
      <c r="AV151" s="362">
        <v>49.282288859269791</v>
      </c>
      <c r="AW151" s="362">
        <v>102.30148670051821</v>
      </c>
      <c r="AX151" s="362">
        <v>100</v>
      </c>
      <c r="AY151" s="362">
        <v>89.53329272858366</v>
      </c>
      <c r="AZ151" s="362">
        <v>80</v>
      </c>
      <c r="BA151" s="362">
        <v>5.410353585830862E-2</v>
      </c>
      <c r="BB151" s="362">
        <v>76.427429619756595</v>
      </c>
      <c r="BC151" s="362">
        <v>76.481533155614898</v>
      </c>
      <c r="BD151" s="362">
        <v>15.296306631122981</v>
      </c>
      <c r="BE151" s="365">
        <v>51.255614942310423</v>
      </c>
      <c r="BF151" s="365">
        <v>51.266435649482084</v>
      </c>
      <c r="BG151" s="366" t="s">
        <v>109</v>
      </c>
      <c r="BH151" s="365">
        <f t="shared" si="20"/>
        <v>19</v>
      </c>
    </row>
    <row r="152" spans="1:60" ht="13.5" customHeight="1" x14ac:dyDescent="0.35">
      <c r="A152" s="82" t="s">
        <v>108</v>
      </c>
      <c r="B152" s="81" t="s">
        <v>160</v>
      </c>
      <c r="C152" s="82">
        <v>2024</v>
      </c>
      <c r="D152" s="82" t="s">
        <v>19</v>
      </c>
      <c r="E152" s="147">
        <v>2</v>
      </c>
      <c r="F152" s="146">
        <v>1</v>
      </c>
      <c r="G152" t="s">
        <v>214</v>
      </c>
      <c r="H152" s="83">
        <v>0</v>
      </c>
      <c r="I152" s="83">
        <v>922607.49961099995</v>
      </c>
      <c r="J152" s="83">
        <v>1533876.1647489998</v>
      </c>
      <c r="K152" s="83">
        <v>339427.799467</v>
      </c>
      <c r="L152" s="83">
        <v>120173.889303</v>
      </c>
      <c r="M152" s="83">
        <v>1425343.4202559998</v>
      </c>
      <c r="N152" s="83">
        <v>139679.12536199999</v>
      </c>
      <c r="O152" s="83">
        <v>467996.62284900004</v>
      </c>
      <c r="P152" s="83">
        <v>178381.20920400007</v>
      </c>
      <c r="Q152" s="83">
        <v>16515.602675999999</v>
      </c>
      <c r="R152" s="83">
        <v>-35388.975594000192</v>
      </c>
      <c r="S152" s="83">
        <v>75028.139406000002</v>
      </c>
      <c r="T152" s="83">
        <v>25478.654648</v>
      </c>
      <c r="U152" s="83">
        <v>2954459.2630480002</v>
      </c>
      <c r="V152" s="83">
        <v>2546607.419522</v>
      </c>
      <c r="W152" s="85">
        <v>54.018930330181824</v>
      </c>
      <c r="X152" s="82">
        <v>60</v>
      </c>
      <c r="Y152" s="83">
        <v>438338.94099999999</v>
      </c>
      <c r="Z152" s="83">
        <v>459601.68877000001</v>
      </c>
      <c r="AA152" s="83">
        <v>1279649.726698</v>
      </c>
      <c r="AB152" s="83">
        <v>1107732.043514</v>
      </c>
      <c r="AC152" s="86">
        <v>922607.49961099995</v>
      </c>
      <c r="AD152" s="86">
        <v>1533876.1647489998</v>
      </c>
      <c r="AE152" s="86">
        <v>56154.766487999805</v>
      </c>
      <c r="AF152" s="86">
        <v>1559354.8193969997</v>
      </c>
      <c r="AG152" s="362">
        <v>60.148760428908126</v>
      </c>
      <c r="AH152" s="362">
        <v>39.851239571091874</v>
      </c>
      <c r="AI152" s="362">
        <v>9.7996821942681596</v>
      </c>
      <c r="AJ152" s="362">
        <v>52.081309351804371</v>
      </c>
      <c r="AK152" s="364">
        <v>18.816121015837414</v>
      </c>
      <c r="AL152" s="362">
        <v>86.195381042240697</v>
      </c>
      <c r="AM152" s="362">
        <v>13.804618957759303</v>
      </c>
      <c r="AN152" s="362">
        <v>38.115918041903285</v>
      </c>
      <c r="AO152" s="362">
        <v>50</v>
      </c>
      <c r="AP152" s="364">
        <v>3.6011538739922431</v>
      </c>
      <c r="AQ152" s="362">
        <v>100</v>
      </c>
      <c r="AR152" s="364">
        <v>44.494395908937719</v>
      </c>
      <c r="AS152" s="364">
        <v>35.595516727150176</v>
      </c>
      <c r="AT152" s="362">
        <v>5.9810696698181758</v>
      </c>
      <c r="AU152" s="362">
        <v>11.646974677375537</v>
      </c>
      <c r="AV152" s="362">
        <v>51.352989385617136</v>
      </c>
      <c r="AW152" s="362">
        <v>104.8507549252851</v>
      </c>
      <c r="AX152" s="362">
        <v>100</v>
      </c>
      <c r="AY152" s="362">
        <v>86.565254569497284</v>
      </c>
      <c r="AZ152" s="362">
        <v>80</v>
      </c>
      <c r="BA152" s="362">
        <v>0</v>
      </c>
      <c r="BB152" s="362">
        <v>77.11766312853905</v>
      </c>
      <c r="BC152" s="362">
        <v>77.11766312853905</v>
      </c>
      <c r="BD152" s="362">
        <v>15.423532625707811</v>
      </c>
      <c r="BE152" s="365">
        <v>51.019049352857991</v>
      </c>
      <c r="BF152" s="365">
        <v>51.019049352857991</v>
      </c>
      <c r="BG152" s="366" t="s">
        <v>109</v>
      </c>
      <c r="BH152" s="365">
        <f t="shared" si="20"/>
        <v>20</v>
      </c>
    </row>
    <row r="153" spans="1:60" ht="15" x14ac:dyDescent="0.35">
      <c r="A153" s="82" t="s">
        <v>128</v>
      </c>
      <c r="B153" s="81" t="s">
        <v>142</v>
      </c>
      <c r="C153" s="82">
        <v>2024</v>
      </c>
      <c r="D153" s="82" t="s">
        <v>176</v>
      </c>
      <c r="E153" s="146">
        <v>1</v>
      </c>
      <c r="F153" s="146">
        <v>1</v>
      </c>
      <c r="G153" t="s">
        <v>208</v>
      </c>
      <c r="H153" s="83">
        <v>0</v>
      </c>
      <c r="I153" s="83">
        <v>1037404.513596</v>
      </c>
      <c r="J153" s="83">
        <v>1718143.27141</v>
      </c>
      <c r="K153" s="83">
        <v>414084.73140799999</v>
      </c>
      <c r="L153" s="83">
        <v>49767.182120000005</v>
      </c>
      <c r="M153" s="83">
        <v>1808245.4589729998</v>
      </c>
      <c r="N153" s="83">
        <v>82140.49567199999</v>
      </c>
      <c r="O153" s="83">
        <v>466883.425468</v>
      </c>
      <c r="P153" s="83">
        <v>193972.74046100001</v>
      </c>
      <c r="Q153" s="83">
        <v>15531.916338000001</v>
      </c>
      <c r="R153" s="83">
        <v>-52567.197331999894</v>
      </c>
      <c r="S153" s="83">
        <v>228876.6557</v>
      </c>
      <c r="T153" s="83">
        <v>12988</v>
      </c>
      <c r="U153" s="83">
        <v>4790164.257278</v>
      </c>
      <c r="V153" s="83">
        <v>3144837.2145699998</v>
      </c>
      <c r="W153" s="85">
        <v>47.421976111362262</v>
      </c>
      <c r="X153" s="82">
        <v>55</v>
      </c>
      <c r="Y153" s="83">
        <v>474729.390266</v>
      </c>
      <c r="Z153" s="83">
        <v>463851.913528</v>
      </c>
      <c r="AA153" s="83">
        <v>1497799.7837349998</v>
      </c>
      <c r="AB153" s="83">
        <v>1358590.5652989999</v>
      </c>
      <c r="AC153" s="86">
        <v>1037404.513596</v>
      </c>
      <c r="AD153" s="86">
        <v>1718143.27141</v>
      </c>
      <c r="AE153" s="86">
        <v>191841.37470600012</v>
      </c>
      <c r="AF153" s="86">
        <v>1731131.27141</v>
      </c>
      <c r="AG153" s="362">
        <v>60.379395063174826</v>
      </c>
      <c r="AH153" s="362">
        <v>39.620604936825174</v>
      </c>
      <c r="AI153" s="362">
        <v>4.5425522992134049</v>
      </c>
      <c r="AJ153" s="362">
        <v>52.081309351804371</v>
      </c>
      <c r="AK153" s="364">
        <v>8.7220393568235579</v>
      </c>
      <c r="AL153" s="362">
        <v>65.651970280389634</v>
      </c>
      <c r="AM153" s="362">
        <v>34.348029719610366</v>
      </c>
      <c r="AN153" s="362">
        <v>41.546289690314744</v>
      </c>
      <c r="AO153" s="362">
        <v>50</v>
      </c>
      <c r="AP153" s="364">
        <v>11.081850225589537</v>
      </c>
      <c r="AQ153" s="362">
        <v>60</v>
      </c>
      <c r="AR153" s="364">
        <v>38.538134802651818</v>
      </c>
      <c r="AS153" s="364">
        <v>30.830507842121456</v>
      </c>
      <c r="AT153" s="362">
        <v>7.5780238886377376</v>
      </c>
      <c r="AU153" s="362">
        <v>6.7939175511987591</v>
      </c>
      <c r="AV153" s="362">
        <v>100</v>
      </c>
      <c r="AW153" s="362">
        <v>97.708699532610524</v>
      </c>
      <c r="AX153" s="362">
        <v>100</v>
      </c>
      <c r="AY153" s="362">
        <v>90.705752534637185</v>
      </c>
      <c r="AZ153" s="362">
        <v>100</v>
      </c>
      <c r="BA153" s="362">
        <v>0</v>
      </c>
      <c r="BB153" s="362">
        <v>100</v>
      </c>
      <c r="BC153" s="362">
        <v>100</v>
      </c>
      <c r="BD153" s="362">
        <v>20</v>
      </c>
      <c r="BE153" s="365">
        <v>50.830507842121456</v>
      </c>
      <c r="BF153" s="365">
        <v>50.830507842121456</v>
      </c>
      <c r="BG153" s="366" t="s">
        <v>109</v>
      </c>
      <c r="BH153" s="365">
        <f t="shared" si="20"/>
        <v>21</v>
      </c>
    </row>
    <row r="154" spans="1:60" ht="15" x14ac:dyDescent="0.35">
      <c r="A154" s="82" t="s">
        <v>112</v>
      </c>
      <c r="B154" s="81" t="s">
        <v>152</v>
      </c>
      <c r="C154" s="82">
        <v>2024</v>
      </c>
      <c r="D154" s="82" t="s">
        <v>12</v>
      </c>
      <c r="E154" s="147">
        <v>2</v>
      </c>
      <c r="F154" s="146">
        <v>2</v>
      </c>
      <c r="G154" t="s">
        <v>207</v>
      </c>
      <c r="H154" s="83">
        <v>0</v>
      </c>
      <c r="I154" s="83">
        <v>978405.80939200008</v>
      </c>
      <c r="J154" s="83">
        <v>1728010.500585</v>
      </c>
      <c r="K154" s="83">
        <v>361342.20928299997</v>
      </c>
      <c r="L154" s="83">
        <v>217174.20707800001</v>
      </c>
      <c r="M154" s="83">
        <v>1372639.4936800001</v>
      </c>
      <c r="N154" s="83">
        <v>73689.641975999999</v>
      </c>
      <c r="O154" s="83">
        <v>579953.18987899995</v>
      </c>
      <c r="P154" s="83">
        <v>340315.85727799998</v>
      </c>
      <c r="Q154" s="83">
        <v>14624.313248</v>
      </c>
      <c r="R154" s="83">
        <v>119629.54046599986</v>
      </c>
      <c r="S154" s="83">
        <v>365813.96740099997</v>
      </c>
      <c r="T154" s="83">
        <v>0</v>
      </c>
      <c r="U154" s="83">
        <v>2384504.73148567</v>
      </c>
      <c r="V154" s="83">
        <v>1061797.99948857</v>
      </c>
      <c r="W154" s="85">
        <v>53.84333155105454</v>
      </c>
      <c r="X154" s="82">
        <v>60</v>
      </c>
      <c r="Y154" s="83">
        <v>524388.88300100004</v>
      </c>
      <c r="Z154" s="83">
        <v>578516.41636099992</v>
      </c>
      <c r="AA154" s="83">
        <v>1368743.6275180001</v>
      </c>
      <c r="AB154" s="83">
        <v>1239754.137197</v>
      </c>
      <c r="AC154" s="86">
        <v>978405.80939200008</v>
      </c>
      <c r="AD154" s="86">
        <v>1728010.500585</v>
      </c>
      <c r="AE154" s="86">
        <v>500067.82111499982</v>
      </c>
      <c r="AF154" s="86">
        <v>1728010.500585</v>
      </c>
      <c r="AG154" s="362">
        <v>56.620362495527139</v>
      </c>
      <c r="AH154" s="362">
        <v>43.379637504472861</v>
      </c>
      <c r="AI154" s="362">
        <v>5.3684629005129789</v>
      </c>
      <c r="AJ154" s="362">
        <v>48.179320422459881</v>
      </c>
      <c r="AK154" s="364">
        <v>11.142670451637063</v>
      </c>
      <c r="AL154" s="362">
        <v>44.529079161315607</v>
      </c>
      <c r="AM154" s="362">
        <v>55.470920838684393</v>
      </c>
      <c r="AN154" s="362">
        <v>58.679883690096204</v>
      </c>
      <c r="AO154" s="362">
        <v>80</v>
      </c>
      <c r="AP154" s="364">
        <v>28.938934164214107</v>
      </c>
      <c r="AQ154" s="362">
        <v>20</v>
      </c>
      <c r="AR154" s="364">
        <v>41.998645758958865</v>
      </c>
      <c r="AS154" s="364">
        <v>33.598916607167091</v>
      </c>
      <c r="AT154" s="362">
        <v>6.1566684489454602</v>
      </c>
      <c r="AU154" s="362">
        <v>11.646974677375537</v>
      </c>
      <c r="AV154" s="362">
        <v>52.860666563523161</v>
      </c>
      <c r="AW154" s="362">
        <v>110.32202152155401</v>
      </c>
      <c r="AX154" s="362">
        <v>100</v>
      </c>
      <c r="AY154" s="362">
        <v>90.576066421225846</v>
      </c>
      <c r="AZ154" s="362">
        <v>100</v>
      </c>
      <c r="BA154" s="362">
        <v>0</v>
      </c>
      <c r="BB154" s="362">
        <v>84.286888854507723</v>
      </c>
      <c r="BC154" s="362">
        <v>84.286888854507723</v>
      </c>
      <c r="BD154" s="362">
        <v>16.857377770901547</v>
      </c>
      <c r="BE154" s="365">
        <v>50.456294378068634</v>
      </c>
      <c r="BF154" s="365">
        <v>50.456294378068634</v>
      </c>
      <c r="BG154" s="366" t="s">
        <v>109</v>
      </c>
      <c r="BH154" s="365">
        <f t="shared" si="20"/>
        <v>22</v>
      </c>
    </row>
    <row r="155" spans="1:60" ht="13.5" customHeight="1" x14ac:dyDescent="0.35">
      <c r="A155" s="82" t="s">
        <v>96</v>
      </c>
      <c r="B155" s="81" t="s">
        <v>148</v>
      </c>
      <c r="C155" s="82">
        <v>2024</v>
      </c>
      <c r="D155" s="82" t="s">
        <v>10</v>
      </c>
      <c r="E155" s="146" t="s">
        <v>51</v>
      </c>
      <c r="F155" s="146">
        <v>1</v>
      </c>
      <c r="G155" t="s">
        <v>208</v>
      </c>
      <c r="H155" s="83">
        <v>0</v>
      </c>
      <c r="I155" s="83">
        <v>1372393.2780589999</v>
      </c>
      <c r="J155" s="83">
        <v>4381426.5535510005</v>
      </c>
      <c r="K155" s="83">
        <v>2125447.5530950003</v>
      </c>
      <c r="L155" s="83">
        <v>488665.80982800003</v>
      </c>
      <c r="M155" s="83">
        <v>3494692.3127859989</v>
      </c>
      <c r="N155" s="83">
        <v>52161.21211800001</v>
      </c>
      <c r="O155" s="83">
        <v>2616224.3748760005</v>
      </c>
      <c r="P155" s="83">
        <v>1694866.3834730005</v>
      </c>
      <c r="Q155" s="83">
        <v>155747.80640199999</v>
      </c>
      <c r="R155" s="83">
        <v>230843.84234100161</v>
      </c>
      <c r="S155" s="83">
        <v>322741.12662599998</v>
      </c>
      <c r="T155" s="83">
        <v>50000</v>
      </c>
      <c r="U155" s="83">
        <v>11329020.975275001</v>
      </c>
      <c r="V155" s="83">
        <v>8129267.4261490004</v>
      </c>
      <c r="W155" s="85">
        <v>40.708009130634657</v>
      </c>
      <c r="X155" s="82">
        <v>50</v>
      </c>
      <c r="Y155" s="83">
        <v>2513830.5830000001</v>
      </c>
      <c r="Z155" s="83">
        <v>2614113.3629230005</v>
      </c>
      <c r="AA155" s="83">
        <v>3229224.719806999</v>
      </c>
      <c r="AB155" s="83">
        <v>2376036.9288110002</v>
      </c>
      <c r="AC155" s="86">
        <v>1372393.2780589999</v>
      </c>
      <c r="AD155" s="86">
        <v>4381426.5535510005</v>
      </c>
      <c r="AE155" s="86">
        <f>+R155+Q155+S155</f>
        <v>709332.77536900155</v>
      </c>
      <c r="AF155" s="86">
        <v>4431426.5535510005</v>
      </c>
      <c r="AG155" s="362">
        <v>31.322978059434107</v>
      </c>
      <c r="AH155" s="362">
        <v>68.677021940565893</v>
      </c>
      <c r="AI155" s="362">
        <v>1.4925838228206316</v>
      </c>
      <c r="AJ155" s="362">
        <v>52.081309351804371</v>
      </c>
      <c r="AK155" s="364">
        <v>2.8658723088898701</v>
      </c>
      <c r="AL155" s="362">
        <v>71.756133596104235</v>
      </c>
      <c r="AM155" s="362">
        <v>28.243866403895765</v>
      </c>
      <c r="AN155" s="362">
        <v>64.782913871954534</v>
      </c>
      <c r="AO155" s="362">
        <v>80</v>
      </c>
      <c r="AP155" s="364">
        <v>16.006871981226848</v>
      </c>
      <c r="AQ155" s="362">
        <v>40</v>
      </c>
      <c r="AR155" s="364">
        <v>43.957352130670309</v>
      </c>
      <c r="AS155" s="364">
        <v>35.165881704536247</v>
      </c>
      <c r="AT155" s="362">
        <v>9.2919908693653426</v>
      </c>
      <c r="AU155" s="362">
        <v>16.680123763999369</v>
      </c>
      <c r="AV155" s="362">
        <v>55.706965972400049</v>
      </c>
      <c r="AW155" s="362">
        <v>103.98924178109581</v>
      </c>
      <c r="AX155" s="362">
        <v>100</v>
      </c>
      <c r="AY155" s="362">
        <v>73.579175652817653</v>
      </c>
      <c r="AZ155" s="362">
        <v>70</v>
      </c>
      <c r="BA155" s="362">
        <v>0</v>
      </c>
      <c r="BB155" s="362">
        <v>75.235655324133347</v>
      </c>
      <c r="BC155" s="362">
        <v>75.235655324133347</v>
      </c>
      <c r="BD155" s="362">
        <v>15.047131064826671</v>
      </c>
      <c r="BE155" s="365">
        <v>50.213012769362919</v>
      </c>
      <c r="BF155" s="365">
        <v>50.213012769362919</v>
      </c>
      <c r="BG155" s="366" t="s">
        <v>109</v>
      </c>
      <c r="BH155" s="365">
        <f t="shared" si="20"/>
        <v>23</v>
      </c>
    </row>
    <row r="156" spans="1:60" ht="15" customHeight="1" x14ac:dyDescent="0.35">
      <c r="A156" s="82" t="s">
        <v>99</v>
      </c>
      <c r="B156" s="81" t="s">
        <v>153</v>
      </c>
      <c r="C156" s="82">
        <v>2024</v>
      </c>
      <c r="D156" s="82" t="s">
        <v>13</v>
      </c>
      <c r="E156" s="146">
        <v>1</v>
      </c>
      <c r="F156" s="146">
        <v>2</v>
      </c>
      <c r="G156" t="s">
        <v>210</v>
      </c>
      <c r="H156" s="83">
        <v>0</v>
      </c>
      <c r="I156" s="83">
        <v>477741.64059000002</v>
      </c>
      <c r="J156" s="83">
        <v>1168811.3508339999</v>
      </c>
      <c r="K156" s="83">
        <v>440063.11970799998</v>
      </c>
      <c r="L156" s="83">
        <v>101478.55342</v>
      </c>
      <c r="M156" s="83">
        <v>2097596.0306840003</v>
      </c>
      <c r="N156" s="83">
        <v>108820.29268299999</v>
      </c>
      <c r="O156" s="83">
        <v>543919.80503599998</v>
      </c>
      <c r="P156" s="83">
        <v>276614.34844799998</v>
      </c>
      <c r="Q156" s="83">
        <v>16503.389425000001</v>
      </c>
      <c r="R156" s="83">
        <v>108323.59092899971</v>
      </c>
      <c r="S156" s="83">
        <v>229792.64669699999</v>
      </c>
      <c r="T156" s="83">
        <v>1055.3461460000001</v>
      </c>
      <c r="U156" s="83">
        <v>9793544.5702299997</v>
      </c>
      <c r="V156" s="83">
        <v>1684628.5061890001</v>
      </c>
      <c r="W156" s="85">
        <v>54.086360895312524</v>
      </c>
      <c r="X156" s="82">
        <v>55</v>
      </c>
      <c r="Y156" s="83">
        <v>507315.76708199998</v>
      </c>
      <c r="Z156" s="83">
        <v>541541.67312799999</v>
      </c>
      <c r="AA156" s="83">
        <v>793182.30331700016</v>
      </c>
      <c r="AB156" s="83">
        <v>750403.41817700001</v>
      </c>
      <c r="AC156" s="86">
        <v>477741.64059000002</v>
      </c>
      <c r="AD156" s="86">
        <v>1168811.3508339999</v>
      </c>
      <c r="AE156" s="86">
        <v>354619.62705099973</v>
      </c>
      <c r="AF156" s="86">
        <v>1169866.69698</v>
      </c>
      <c r="AG156" s="362">
        <v>40.874144510070821</v>
      </c>
      <c r="AH156" s="362">
        <v>59.125855489929179</v>
      </c>
      <c r="AI156" s="362">
        <v>5.1878574850046331</v>
      </c>
      <c r="AJ156" s="362">
        <v>48.179320422459881</v>
      </c>
      <c r="AK156" s="364">
        <v>10.767809590328294</v>
      </c>
      <c r="AL156" s="362">
        <v>17.201417669654173</v>
      </c>
      <c r="AM156" s="362">
        <v>82.798582330345823</v>
      </c>
      <c r="AN156" s="362">
        <v>50.855722826583218</v>
      </c>
      <c r="AO156" s="362">
        <v>70</v>
      </c>
      <c r="AP156" s="364">
        <v>30.312823500869541</v>
      </c>
      <c r="AQ156" s="362">
        <v>0</v>
      </c>
      <c r="AR156" s="364">
        <v>44.538449482120662</v>
      </c>
      <c r="AS156" s="364">
        <v>35.630759585696531</v>
      </c>
      <c r="AT156" s="362">
        <v>0.91363910468747633</v>
      </c>
      <c r="AU156" s="362">
        <v>6.7939175511987591</v>
      </c>
      <c r="AV156" s="362">
        <v>13.447898032354962</v>
      </c>
      <c r="AW156" s="362">
        <v>106.74647000286666</v>
      </c>
      <c r="AX156" s="362">
        <v>100</v>
      </c>
      <c r="AY156" s="362">
        <v>94.606676805432542</v>
      </c>
      <c r="AZ156" s="362">
        <v>100</v>
      </c>
      <c r="BA156" s="362">
        <v>4.4852405589005266E-2</v>
      </c>
      <c r="BB156" s="362">
        <v>71.149299344118319</v>
      </c>
      <c r="BC156" s="362">
        <v>71.194151749707331</v>
      </c>
      <c r="BD156" s="362">
        <v>14.238830349941466</v>
      </c>
      <c r="BE156" s="365">
        <v>49.860619454520197</v>
      </c>
      <c r="BF156" s="365">
        <v>49.869589935637997</v>
      </c>
      <c r="BG156" s="366" t="s">
        <v>109</v>
      </c>
      <c r="BH156" s="365">
        <f t="shared" si="20"/>
        <v>24</v>
      </c>
    </row>
    <row r="157" spans="1:60" ht="15" x14ac:dyDescent="0.35">
      <c r="A157" s="82" t="s">
        <v>111</v>
      </c>
      <c r="B157" s="81" t="s">
        <v>155</v>
      </c>
      <c r="C157" s="82">
        <v>2024</v>
      </c>
      <c r="D157" s="82" t="s">
        <v>15</v>
      </c>
      <c r="E157" s="147">
        <v>2</v>
      </c>
      <c r="F157" s="146">
        <v>1</v>
      </c>
      <c r="G157" t="s">
        <v>208</v>
      </c>
      <c r="H157" s="83">
        <v>0</v>
      </c>
      <c r="I157" s="83">
        <v>821121.2143179999</v>
      </c>
      <c r="J157" s="83">
        <v>1494513.9546359999</v>
      </c>
      <c r="K157" s="83">
        <v>411675.92043200007</v>
      </c>
      <c r="L157" s="83">
        <v>94670.163279</v>
      </c>
      <c r="M157" s="83">
        <v>1333218.9906040002</v>
      </c>
      <c r="N157" s="83">
        <v>2456.1210999999998</v>
      </c>
      <c r="O157" s="83">
        <v>508857.88486100006</v>
      </c>
      <c r="P157" s="83">
        <v>273233.00115500006</v>
      </c>
      <c r="Q157" s="83">
        <v>27607.295819999999</v>
      </c>
      <c r="R157" s="83">
        <v>-74329.919674000237</v>
      </c>
      <c r="S157" s="83">
        <v>240354.87521100001</v>
      </c>
      <c r="T157" s="83">
        <v>0</v>
      </c>
      <c r="U157" s="83">
        <v>2875029.5734281098</v>
      </c>
      <c r="V157" s="83">
        <v>1813946.13598935</v>
      </c>
      <c r="W157" s="85">
        <v>49.937109007232792</v>
      </c>
      <c r="X157" s="82">
        <v>60</v>
      </c>
      <c r="Y157" s="83">
        <v>419962.4</v>
      </c>
      <c r="Z157" s="83">
        <v>506346.08371100004</v>
      </c>
      <c r="AA157" s="83">
        <v>1333218.9906040002</v>
      </c>
      <c r="AB157" s="83">
        <v>1061863.448911</v>
      </c>
      <c r="AC157" s="86">
        <v>821121.2143179999</v>
      </c>
      <c r="AD157" s="86">
        <v>1494513.9546359999</v>
      </c>
      <c r="AE157" s="86">
        <v>193632.25135699977</v>
      </c>
      <c r="AF157" s="86">
        <v>1494513.9546359999</v>
      </c>
      <c r="AG157" s="362">
        <v>54.942358468508928</v>
      </c>
      <c r="AH157" s="362">
        <v>45.057641531491072</v>
      </c>
      <c r="AI157" s="362">
        <v>0.18422488108178545</v>
      </c>
      <c r="AJ157" s="362">
        <v>52.081309351804371</v>
      </c>
      <c r="AK157" s="364">
        <v>0.35372551760817611</v>
      </c>
      <c r="AL157" s="362">
        <v>63.0931296413222</v>
      </c>
      <c r="AM157" s="362">
        <v>36.9068703586778</v>
      </c>
      <c r="AN157" s="362">
        <v>53.695345848799526</v>
      </c>
      <c r="AO157" s="362">
        <v>70</v>
      </c>
      <c r="AP157" s="364">
        <v>12.956202299506822</v>
      </c>
      <c r="AQ157" s="362">
        <v>60</v>
      </c>
      <c r="AR157" s="364">
        <v>42.463647481555412</v>
      </c>
      <c r="AS157" s="364">
        <v>33.970917985244334</v>
      </c>
      <c r="AT157" s="362">
        <v>10.062890992767208</v>
      </c>
      <c r="AU157" s="362">
        <v>11.646974677375537</v>
      </c>
      <c r="AV157" s="362">
        <v>86.399183234377247</v>
      </c>
      <c r="AW157" s="362">
        <v>120.56938519043609</v>
      </c>
      <c r="AX157" s="362">
        <v>80</v>
      </c>
      <c r="AY157" s="362">
        <v>79.646588924594795</v>
      </c>
      <c r="AZ157" s="362">
        <v>70</v>
      </c>
      <c r="BA157" s="362">
        <v>9.8365918181800738E-2</v>
      </c>
      <c r="BB157" s="362">
        <v>78.799727744792406</v>
      </c>
      <c r="BC157" s="362">
        <v>78.898093662974205</v>
      </c>
      <c r="BD157" s="362">
        <v>15.779618732594841</v>
      </c>
      <c r="BE157" s="365">
        <v>49.730863534202818</v>
      </c>
      <c r="BF157" s="365">
        <v>49.750536717839175</v>
      </c>
      <c r="BG157" s="366" t="s">
        <v>109</v>
      </c>
      <c r="BH157" s="365">
        <f t="shared" si="20"/>
        <v>25</v>
      </c>
    </row>
    <row r="158" spans="1:60" ht="15" x14ac:dyDescent="0.35">
      <c r="A158" s="82" t="s">
        <v>127</v>
      </c>
      <c r="B158" s="81" t="s">
        <v>154</v>
      </c>
      <c r="C158" s="82">
        <v>2024</v>
      </c>
      <c r="D158" s="82" t="s">
        <v>14</v>
      </c>
      <c r="E158" s="146">
        <v>1</v>
      </c>
      <c r="F158" s="146">
        <v>2</v>
      </c>
      <c r="G158" t="s">
        <v>215</v>
      </c>
      <c r="H158" s="83">
        <v>0</v>
      </c>
      <c r="I158" s="83">
        <v>1074895.592919</v>
      </c>
      <c r="J158" s="83">
        <v>1735087.2208159999</v>
      </c>
      <c r="K158" s="83">
        <v>278240.79785899998</v>
      </c>
      <c r="L158" s="83">
        <v>122600.39119900001</v>
      </c>
      <c r="M158" s="83">
        <v>1437365.58791</v>
      </c>
      <c r="N158" s="83">
        <v>52120.322970000001</v>
      </c>
      <c r="O158" s="83">
        <v>402969.31321499997</v>
      </c>
      <c r="P158" s="83">
        <v>192102.62461199996</v>
      </c>
      <c r="Q158" s="83">
        <v>0</v>
      </c>
      <c r="R158" s="83">
        <v>156443.9962259999</v>
      </c>
      <c r="S158" s="83">
        <v>243325.765235</v>
      </c>
      <c r="T158" s="83">
        <v>0</v>
      </c>
      <c r="U158" s="83">
        <v>3883445.1724989</v>
      </c>
      <c r="V158" s="83">
        <v>2025692.5013949398</v>
      </c>
      <c r="W158" s="85">
        <v>48.596816439583918</v>
      </c>
      <c r="X158" s="82">
        <v>55</v>
      </c>
      <c r="Y158" s="83">
        <v>356107.267146</v>
      </c>
      <c r="Z158" s="83">
        <v>400841.18905799999</v>
      </c>
      <c r="AA158" s="83">
        <v>1367776.535987</v>
      </c>
      <c r="AB158" s="83">
        <v>1260477.7350910001</v>
      </c>
      <c r="AC158" s="86">
        <v>1074895.592919</v>
      </c>
      <c r="AD158" s="86">
        <v>1735087.2208159999</v>
      </c>
      <c r="AE158" s="86">
        <v>399769.7614609999</v>
      </c>
      <c r="AF158" s="86">
        <v>1735087.2208159999</v>
      </c>
      <c r="AG158" s="362">
        <v>61.950522142251948</v>
      </c>
      <c r="AH158" s="362">
        <v>38.049477857748052</v>
      </c>
      <c r="AI158" s="362">
        <v>3.626100653055532</v>
      </c>
      <c r="AJ158" s="362">
        <v>48.179320422459881</v>
      </c>
      <c r="AK158" s="364">
        <v>7.5262594433879624</v>
      </c>
      <c r="AL158" s="362">
        <v>52.162253139046058</v>
      </c>
      <c r="AM158" s="362">
        <v>47.837746860953942</v>
      </c>
      <c r="AN158" s="362">
        <v>47.671775073727673</v>
      </c>
      <c r="AO158" s="362">
        <v>70</v>
      </c>
      <c r="AP158" s="364">
        <v>23.040326541797182</v>
      </c>
      <c r="AQ158" s="362">
        <v>20</v>
      </c>
      <c r="AR158" s="364">
        <v>36.682696832417989</v>
      </c>
      <c r="AS158" s="364">
        <v>29.346157465934393</v>
      </c>
      <c r="AT158" s="362">
        <v>6.4031835604160818</v>
      </c>
      <c r="AU158" s="362">
        <v>6.7939175511987591</v>
      </c>
      <c r="AV158" s="362">
        <v>94.248767550708152</v>
      </c>
      <c r="AW158" s="362">
        <v>112.56192334139017</v>
      </c>
      <c r="AX158" s="362">
        <v>100</v>
      </c>
      <c r="AY158" s="362">
        <v>92.155238953666355</v>
      </c>
      <c r="AZ158" s="362">
        <v>100</v>
      </c>
      <c r="BA158" s="362">
        <v>0</v>
      </c>
      <c r="BB158" s="362">
        <v>98.082922516902727</v>
      </c>
      <c r="BC158" s="362">
        <v>98.082922516902727</v>
      </c>
      <c r="BD158" s="362">
        <v>19.616584503380547</v>
      </c>
      <c r="BE158" s="365">
        <v>48.962741969314941</v>
      </c>
      <c r="BF158" s="365">
        <v>48.962741969314941</v>
      </c>
      <c r="BG158" s="366" t="s">
        <v>109</v>
      </c>
      <c r="BH158" s="365">
        <f t="shared" si="20"/>
        <v>26</v>
      </c>
    </row>
    <row r="159" spans="1:60" ht="15" x14ac:dyDescent="0.35">
      <c r="A159" s="82" t="s">
        <v>131</v>
      </c>
      <c r="B159" s="81" t="s">
        <v>166</v>
      </c>
      <c r="C159" s="82">
        <v>2024</v>
      </c>
      <c r="D159" s="82" t="s">
        <v>24</v>
      </c>
      <c r="E159" s="147">
        <v>4</v>
      </c>
      <c r="F159" s="146">
        <v>3</v>
      </c>
      <c r="G159" t="s">
        <v>214</v>
      </c>
      <c r="H159" s="83">
        <v>43197.547280999999</v>
      </c>
      <c r="I159" s="83">
        <v>219355.65895299998</v>
      </c>
      <c r="J159" s="83">
        <v>443840.16529599996</v>
      </c>
      <c r="K159" s="83">
        <v>21279.93273</v>
      </c>
      <c r="L159" s="83">
        <v>6135.4171969999998</v>
      </c>
      <c r="M159" s="83">
        <v>289427.98662800004</v>
      </c>
      <c r="N159" s="83">
        <v>0</v>
      </c>
      <c r="O159" s="83">
        <v>70685.802807999993</v>
      </c>
      <c r="P159" s="83">
        <v>35151.312221999986</v>
      </c>
      <c r="Q159" s="83">
        <v>656.08729100000005</v>
      </c>
      <c r="R159" s="83">
        <v>118877.68808199989</v>
      </c>
      <c r="S159" s="83">
        <v>46262.843449</v>
      </c>
      <c r="T159" s="83">
        <v>0</v>
      </c>
      <c r="U159" s="83">
        <v>1244982.1268081001</v>
      </c>
      <c r="V159" s="83">
        <v>382819.50730571995</v>
      </c>
      <c r="W159" s="85">
        <v>45.961654547627532</v>
      </c>
      <c r="X159" s="82">
        <v>70</v>
      </c>
      <c r="Y159" s="83">
        <v>24515.865849000002</v>
      </c>
      <c r="Z159" s="83">
        <v>27415.349926999999</v>
      </c>
      <c r="AA159" s="83">
        <v>289427.98662800004</v>
      </c>
      <c r="AB159" s="83">
        <v>239689.44572399999</v>
      </c>
      <c r="AC159" s="86">
        <v>262553.20623399998</v>
      </c>
      <c r="AD159" s="86">
        <v>443840.16529599996</v>
      </c>
      <c r="AE159" s="86">
        <v>165796.6188219999</v>
      </c>
      <c r="AF159" s="86">
        <v>443840.16529599996</v>
      </c>
      <c r="AG159" s="362">
        <v>59.154900066086064</v>
      </c>
      <c r="AH159" s="362">
        <v>40.845099933913936</v>
      </c>
      <c r="AI159" s="362">
        <v>0</v>
      </c>
      <c r="AJ159" s="362">
        <v>22.669713359560507</v>
      </c>
      <c r="AK159" s="364">
        <v>0</v>
      </c>
      <c r="AL159" s="362">
        <v>30.748996235568228</v>
      </c>
      <c r="AM159" s="362">
        <v>69.251003764431772</v>
      </c>
      <c r="AN159" s="362">
        <v>49.728956630059912</v>
      </c>
      <c r="AO159" s="362">
        <v>70</v>
      </c>
      <c r="AP159" s="364">
        <v>37.355028180342586</v>
      </c>
      <c r="AQ159" s="362">
        <v>0</v>
      </c>
      <c r="AR159" s="364">
        <v>36.019220739669137</v>
      </c>
      <c r="AS159" s="364">
        <v>28.815376591735312</v>
      </c>
      <c r="AT159" s="362">
        <v>24.038345452372468</v>
      </c>
      <c r="AU159" s="362">
        <v>16.295333042630457</v>
      </c>
      <c r="AV159" s="362">
        <v>100</v>
      </c>
      <c r="AW159" s="362">
        <v>111.82696991351935</v>
      </c>
      <c r="AX159" s="362">
        <v>100</v>
      </c>
      <c r="AY159" s="362">
        <v>82.814882042513503</v>
      </c>
      <c r="AZ159" s="362">
        <v>80</v>
      </c>
      <c r="BA159" s="362">
        <v>0</v>
      </c>
      <c r="BB159" s="362">
        <v>93.333333333333329</v>
      </c>
      <c r="BC159" s="362">
        <v>93.333333333333329</v>
      </c>
      <c r="BD159" s="362">
        <v>18.666666666666668</v>
      </c>
      <c r="BE159" s="365">
        <v>47.48204325840198</v>
      </c>
      <c r="BF159" s="365">
        <v>47.48204325840198</v>
      </c>
      <c r="BG159" s="366" t="s">
        <v>109</v>
      </c>
      <c r="BH159" s="365">
        <f t="shared" si="20"/>
        <v>27</v>
      </c>
    </row>
    <row r="160" spans="1:60" ht="15" x14ac:dyDescent="0.35">
      <c r="A160" s="82" t="s">
        <v>121</v>
      </c>
      <c r="B160" s="81" t="s">
        <v>144</v>
      </c>
      <c r="C160" s="82">
        <v>2024</v>
      </c>
      <c r="D160" s="82" t="s">
        <v>122</v>
      </c>
      <c r="E160" s="147">
        <v>4</v>
      </c>
      <c r="F160" s="146">
        <v>3</v>
      </c>
      <c r="G160" t="s">
        <v>214</v>
      </c>
      <c r="H160" s="83">
        <v>0</v>
      </c>
      <c r="I160" s="83">
        <v>346295.09583499999</v>
      </c>
      <c r="J160" s="83">
        <v>512439.10241000005</v>
      </c>
      <c r="K160" s="83">
        <v>76704.725252000004</v>
      </c>
      <c r="L160" s="83">
        <v>31243.289968000001</v>
      </c>
      <c r="M160" s="83">
        <v>464746.88172500004</v>
      </c>
      <c r="N160" s="83">
        <v>11276.177185999999</v>
      </c>
      <c r="O160" s="83">
        <v>109070.695653</v>
      </c>
      <c r="P160" s="83">
        <v>37149.191204000002</v>
      </c>
      <c r="Q160" s="83">
        <v>741.59935900000005</v>
      </c>
      <c r="R160" s="83">
        <v>-9881.6285200000275</v>
      </c>
      <c r="S160" s="83">
        <v>44838.909568000003</v>
      </c>
      <c r="T160" s="83">
        <v>0</v>
      </c>
      <c r="U160" s="83">
        <v>1130115.7486920001</v>
      </c>
      <c r="V160" s="83">
        <v>573079.88855100004</v>
      </c>
      <c r="W160" s="85">
        <v>69.830555858556821</v>
      </c>
      <c r="X160" s="82">
        <v>70</v>
      </c>
      <c r="Y160" s="83">
        <v>90116.532999999996</v>
      </c>
      <c r="Z160" s="83">
        <v>107948.01522</v>
      </c>
      <c r="AA160" s="83">
        <v>450399.22648100008</v>
      </c>
      <c r="AB160" s="83">
        <v>414674.78165800002</v>
      </c>
      <c r="AC160" s="86">
        <v>346295.09583499999</v>
      </c>
      <c r="AD160" s="86">
        <v>512439.10241000005</v>
      </c>
      <c r="AE160" s="86">
        <v>35698.880406999975</v>
      </c>
      <c r="AF160" s="86">
        <v>512439.10241000005</v>
      </c>
      <c r="AG160" s="362">
        <v>67.577804700378024</v>
      </c>
      <c r="AH160" s="362">
        <v>32.422195299621976</v>
      </c>
      <c r="AI160" s="362">
        <v>2.4263050768939505</v>
      </c>
      <c r="AJ160" s="362">
        <v>22.669713359560507</v>
      </c>
      <c r="AK160" s="364">
        <v>10.702848502805193</v>
      </c>
      <c r="AL160" s="362">
        <v>50.709840050834153</v>
      </c>
      <c r="AM160" s="362">
        <v>49.290159949165847</v>
      </c>
      <c r="AN160" s="362">
        <v>34.059736193658544</v>
      </c>
      <c r="AO160" s="362">
        <v>40</v>
      </c>
      <c r="AP160" s="364">
        <v>6.9664629883059694</v>
      </c>
      <c r="AQ160" s="362">
        <v>80</v>
      </c>
      <c r="AR160" s="364">
        <v>42.483040750318608</v>
      </c>
      <c r="AS160" s="364">
        <v>33.986432600254886</v>
      </c>
      <c r="AT160" s="362">
        <v>0.16944414144317932</v>
      </c>
      <c r="AU160" s="362">
        <v>16.295333042630457</v>
      </c>
      <c r="AV160" s="362">
        <v>1.039832331133669</v>
      </c>
      <c r="AW160" s="362">
        <v>119.78713741683782</v>
      </c>
      <c r="AX160" s="362">
        <v>100</v>
      </c>
      <c r="AY160" s="362">
        <v>92.06827127521565</v>
      </c>
      <c r="AZ160" s="362">
        <v>100</v>
      </c>
      <c r="BA160" s="362">
        <v>0</v>
      </c>
      <c r="BB160" s="362">
        <v>67.013277443711218</v>
      </c>
      <c r="BC160" s="362">
        <v>67.013277443711218</v>
      </c>
      <c r="BD160" s="362">
        <v>13.402655488742244</v>
      </c>
      <c r="BE160" s="365">
        <v>47.389088088997127</v>
      </c>
      <c r="BF160" s="365">
        <v>47.389088088997127</v>
      </c>
      <c r="BG160" s="366" t="s">
        <v>109</v>
      </c>
      <c r="BH160" s="365">
        <f t="shared" si="20"/>
        <v>28</v>
      </c>
    </row>
    <row r="161" spans="1:60" ht="15" x14ac:dyDescent="0.35">
      <c r="A161" s="82" t="s">
        <v>117</v>
      </c>
      <c r="B161" s="81" t="s">
        <v>158</v>
      </c>
      <c r="C161" s="82">
        <v>2024</v>
      </c>
      <c r="D161" s="82" t="s">
        <v>17</v>
      </c>
      <c r="E161" s="146">
        <v>1</v>
      </c>
      <c r="F161" s="146">
        <v>1</v>
      </c>
      <c r="G161" t="s">
        <v>208</v>
      </c>
      <c r="H161" s="83">
        <v>0</v>
      </c>
      <c r="I161" s="83">
        <v>981141.04008299997</v>
      </c>
      <c r="J161" s="83">
        <v>2168607.0863290001</v>
      </c>
      <c r="K161" s="83">
        <v>790653.72198299994</v>
      </c>
      <c r="L161" s="83">
        <v>99969.87268</v>
      </c>
      <c r="M161" s="83">
        <v>2107393.4342459999</v>
      </c>
      <c r="N161" s="83">
        <v>280205.03399199998</v>
      </c>
      <c r="O161" s="83">
        <v>894550.53268299997</v>
      </c>
      <c r="P161" s="83">
        <v>367827.11225100001</v>
      </c>
      <c r="Q161" s="83">
        <v>38694.384578999998</v>
      </c>
      <c r="R161" s="83">
        <v>67402.894890000112</v>
      </c>
      <c r="S161" s="83">
        <v>342455.01967499999</v>
      </c>
      <c r="T161" s="83">
        <v>0</v>
      </c>
      <c r="U161" s="83">
        <v>5660699.5281680599</v>
      </c>
      <c r="V161" s="83">
        <v>4303516.3952991096</v>
      </c>
      <c r="W161" s="85">
        <v>46.246537109720173</v>
      </c>
      <c r="X161" s="82">
        <v>55</v>
      </c>
      <c r="Y161" s="83">
        <v>851059.53658900002</v>
      </c>
      <c r="Z161" s="83">
        <v>890623.59466299997</v>
      </c>
      <c r="AA161" s="83">
        <v>1574480.771007</v>
      </c>
      <c r="AB161" s="83">
        <v>1347817.5299120001</v>
      </c>
      <c r="AC161" s="86">
        <v>981141.04008299997</v>
      </c>
      <c r="AD161" s="86">
        <v>2168607.0863290001</v>
      </c>
      <c r="AE161" s="86">
        <v>448552.29914400011</v>
      </c>
      <c r="AF161" s="86">
        <v>2168607.0863290001</v>
      </c>
      <c r="AG161" s="362">
        <v>45.242914046908666</v>
      </c>
      <c r="AH161" s="362">
        <v>54.757085953091334</v>
      </c>
      <c r="AI161" s="362">
        <v>13.296284853058488</v>
      </c>
      <c r="AJ161" s="362">
        <v>52.081309351804371</v>
      </c>
      <c r="AK161" s="364">
        <v>25.529859019563673</v>
      </c>
      <c r="AL161" s="362">
        <v>76.024462593085772</v>
      </c>
      <c r="AM161" s="362">
        <v>23.975537406914228</v>
      </c>
      <c r="AN161" s="362">
        <v>41.118651078076788</v>
      </c>
      <c r="AO161" s="362">
        <v>50</v>
      </c>
      <c r="AP161" s="364">
        <v>20.68388976369646</v>
      </c>
      <c r="AQ161" s="362">
        <v>20</v>
      </c>
      <c r="AR161" s="364">
        <v>34.852496475913846</v>
      </c>
      <c r="AS161" s="364">
        <v>27.881997180731076</v>
      </c>
      <c r="AT161" s="362">
        <v>8.7534628902798275</v>
      </c>
      <c r="AU161" s="362">
        <v>6.7939175511987591</v>
      </c>
      <c r="AV161" s="362">
        <v>100</v>
      </c>
      <c r="AW161" s="362">
        <v>104.64880027460482</v>
      </c>
      <c r="AX161" s="362">
        <v>100</v>
      </c>
      <c r="AY161" s="362">
        <v>85.603937166534479</v>
      </c>
      <c r="AZ161" s="362">
        <v>80</v>
      </c>
      <c r="BA161" s="362">
        <v>0</v>
      </c>
      <c r="BB161" s="362">
        <v>93.333333333333329</v>
      </c>
      <c r="BC161" s="362">
        <v>93.333333333333329</v>
      </c>
      <c r="BD161" s="362">
        <v>18.666666666666668</v>
      </c>
      <c r="BE161" s="365">
        <v>46.548663847397748</v>
      </c>
      <c r="BF161" s="365">
        <v>46.548663847397748</v>
      </c>
      <c r="BG161" s="366" t="s">
        <v>109</v>
      </c>
      <c r="BH161" s="365">
        <f t="shared" si="20"/>
        <v>29</v>
      </c>
    </row>
    <row r="162" spans="1:60" ht="15" x14ac:dyDescent="0.35">
      <c r="A162" s="82" t="s">
        <v>132</v>
      </c>
      <c r="B162" s="81" t="s">
        <v>141</v>
      </c>
      <c r="C162" s="82">
        <v>2024</v>
      </c>
      <c r="D162" s="82" t="s">
        <v>133</v>
      </c>
      <c r="E162" s="146">
        <v>1</v>
      </c>
      <c r="F162" s="146">
        <v>2</v>
      </c>
      <c r="G162" t="s">
        <v>207</v>
      </c>
      <c r="H162" s="83">
        <v>0</v>
      </c>
      <c r="I162" s="83">
        <v>1159246.36628</v>
      </c>
      <c r="J162" s="83">
        <v>2022516.7571640001</v>
      </c>
      <c r="K162" s="83">
        <v>436822.22398699995</v>
      </c>
      <c r="L162" s="83">
        <v>157991.862765</v>
      </c>
      <c r="M162" s="83">
        <v>1635626.4830200002</v>
      </c>
      <c r="N162" s="83">
        <v>106741.799318</v>
      </c>
      <c r="O162" s="83">
        <v>595630.81067699997</v>
      </c>
      <c r="P162" s="83">
        <v>230903.57934900001</v>
      </c>
      <c r="Q162" s="83">
        <v>34365.753580999997</v>
      </c>
      <c r="R162" s="83">
        <v>22163.042816000059</v>
      </c>
      <c r="S162" s="83">
        <v>50187.822085</v>
      </c>
      <c r="T162" s="83">
        <v>30895.036613</v>
      </c>
      <c r="U162" s="83">
        <v>3759587.7510910803</v>
      </c>
      <c r="V162" s="83">
        <v>2951064.84132643</v>
      </c>
      <c r="W162" s="85">
        <v>54.590696890531589</v>
      </c>
      <c r="X162" s="82">
        <v>55</v>
      </c>
      <c r="Y162" s="83">
        <v>641950.70112600003</v>
      </c>
      <c r="Z162" s="83">
        <v>594814.08675199992</v>
      </c>
      <c r="AA162" s="83">
        <v>1635626.4830200002</v>
      </c>
      <c r="AB162" s="83">
        <v>1390535.3890539999</v>
      </c>
      <c r="AC162" s="86">
        <v>1159246.36628</v>
      </c>
      <c r="AD162" s="86">
        <v>2022516.7571640001</v>
      </c>
      <c r="AE162" s="86">
        <v>106716.61848200005</v>
      </c>
      <c r="AF162" s="86">
        <v>2053411.7937770002</v>
      </c>
      <c r="AG162" s="362">
        <v>57.317021585794457</v>
      </c>
      <c r="AH162" s="362">
        <v>42.682978414205543</v>
      </c>
      <c r="AI162" s="362">
        <v>6.5260498302102139</v>
      </c>
      <c r="AJ162" s="362">
        <v>48.179320422459881</v>
      </c>
      <c r="AK162" s="364">
        <v>13.545333917096823</v>
      </c>
      <c r="AL162" s="362">
        <v>78.494373232011753</v>
      </c>
      <c r="AM162" s="362">
        <v>21.505626767988247</v>
      </c>
      <c r="AN162" s="362">
        <v>38.766224851020162</v>
      </c>
      <c r="AO162" s="362">
        <v>50</v>
      </c>
      <c r="AP162" s="364">
        <v>5.1970393276892537</v>
      </c>
      <c r="AQ162" s="362">
        <v>80</v>
      </c>
      <c r="AR162" s="364">
        <v>41.546787819858125</v>
      </c>
      <c r="AS162" s="364">
        <v>33.237430255886501</v>
      </c>
      <c r="AT162" s="362">
        <v>0.40930310946841075</v>
      </c>
      <c r="AU162" s="362">
        <v>6.7939175511987591</v>
      </c>
      <c r="AV162" s="362">
        <v>6.0245522025240197</v>
      </c>
      <c r="AW162" s="362">
        <v>92.65728438471659</v>
      </c>
      <c r="AX162" s="362">
        <v>100</v>
      </c>
      <c r="AY162" s="362">
        <v>85.015460650070466</v>
      </c>
      <c r="AZ162" s="362">
        <v>80</v>
      </c>
      <c r="BA162" s="362">
        <v>0</v>
      </c>
      <c r="BB162" s="362">
        <v>62.008184067508012</v>
      </c>
      <c r="BC162" s="362">
        <v>62.008184067508012</v>
      </c>
      <c r="BD162" s="362">
        <v>12.401636813501604</v>
      </c>
      <c r="BE162" s="365">
        <v>45.639067069388105</v>
      </c>
      <c r="BF162" s="365">
        <v>45.639067069388105</v>
      </c>
      <c r="BG162" s="366" t="s">
        <v>109</v>
      </c>
      <c r="BH162" s="365">
        <f t="shared" si="20"/>
        <v>30</v>
      </c>
    </row>
    <row r="163" spans="1:60" ht="15" x14ac:dyDescent="0.35">
      <c r="A163" s="82" t="s">
        <v>129</v>
      </c>
      <c r="B163" s="81" t="s">
        <v>147</v>
      </c>
      <c r="C163" s="82">
        <v>2024</v>
      </c>
      <c r="D163" s="82" t="s">
        <v>130</v>
      </c>
      <c r="E163" s="146">
        <v>1</v>
      </c>
      <c r="F163" s="146">
        <v>2</v>
      </c>
      <c r="G163" t="s">
        <v>207</v>
      </c>
      <c r="H163" s="83">
        <v>0</v>
      </c>
      <c r="I163" s="83">
        <v>1267892.8720769999</v>
      </c>
      <c r="J163" s="83">
        <v>1688939.070971</v>
      </c>
      <c r="K163" s="83">
        <v>306864.25913199998</v>
      </c>
      <c r="L163" s="83">
        <v>27991.742260999999</v>
      </c>
      <c r="M163" s="83">
        <v>1620861.9288910001</v>
      </c>
      <c r="N163" s="83">
        <v>98004.888548000003</v>
      </c>
      <c r="O163" s="83">
        <v>336201.20583599998</v>
      </c>
      <c r="P163" s="83">
        <v>111814.69951299997</v>
      </c>
      <c r="Q163" s="83">
        <v>22769.443092000001</v>
      </c>
      <c r="R163" s="83">
        <v>7887.4140069999266</v>
      </c>
      <c r="S163" s="83">
        <v>292520.80486999999</v>
      </c>
      <c r="T163" s="83">
        <v>0</v>
      </c>
      <c r="U163" s="83">
        <v>3728887.3772898503</v>
      </c>
      <c r="V163" s="83">
        <v>2624252.7756138998</v>
      </c>
      <c r="W163" s="85">
        <v>49.700909574798821</v>
      </c>
      <c r="X163" s="82">
        <v>55</v>
      </c>
      <c r="Y163" s="83">
        <v>315399.38257999998</v>
      </c>
      <c r="Z163" s="83">
        <v>334856.00139299995</v>
      </c>
      <c r="AA163" s="83">
        <v>1456665.1506410001</v>
      </c>
      <c r="AB163" s="83">
        <v>1319302.391914</v>
      </c>
      <c r="AC163" s="86">
        <v>1267892.8720769999</v>
      </c>
      <c r="AD163" s="86">
        <v>1688939.070971</v>
      </c>
      <c r="AE163" s="86">
        <v>323177.66196899989</v>
      </c>
      <c r="AF163" s="86">
        <v>1688939.070971</v>
      </c>
      <c r="AG163" s="362">
        <v>75.070373696078121</v>
      </c>
      <c r="AH163" s="362">
        <v>24.929626303921879</v>
      </c>
      <c r="AI163" s="362">
        <v>6.0464674258254263</v>
      </c>
      <c r="AJ163" s="362">
        <v>48.179320422459881</v>
      </c>
      <c r="AK163" s="364">
        <v>12.549922607473576</v>
      </c>
      <c r="AL163" s="362">
        <v>70.376294859331551</v>
      </c>
      <c r="AM163" s="362">
        <v>29.623705140668449</v>
      </c>
      <c r="AN163" s="362">
        <v>33.258268433321305</v>
      </c>
      <c r="AO163" s="362">
        <v>40</v>
      </c>
      <c r="AP163" s="364">
        <v>19.134950900460815</v>
      </c>
      <c r="AQ163" s="362">
        <v>40</v>
      </c>
      <c r="AR163" s="364">
        <v>29.420650810412781</v>
      </c>
      <c r="AS163" s="364">
        <v>23.536520648330225</v>
      </c>
      <c r="AT163" s="362">
        <v>5.2990904252011788</v>
      </c>
      <c r="AU163" s="362">
        <v>6.7939175511987591</v>
      </c>
      <c r="AV163" s="362">
        <v>77.997567460414288</v>
      </c>
      <c r="AW163" s="362">
        <v>106.16888297429209</v>
      </c>
      <c r="AX163" s="362">
        <v>100</v>
      </c>
      <c r="AY163" s="362">
        <v>90.570052515737459</v>
      </c>
      <c r="AZ163" s="362">
        <v>100</v>
      </c>
      <c r="BA163" s="362">
        <v>0</v>
      </c>
      <c r="BB163" s="362">
        <v>92.665855820138106</v>
      </c>
      <c r="BC163" s="362">
        <v>92.665855820138106</v>
      </c>
      <c r="BD163" s="362">
        <v>18.533171164027621</v>
      </c>
      <c r="BE163" s="365">
        <v>42.069691812357846</v>
      </c>
      <c r="BF163" s="365">
        <v>42.069691812357846</v>
      </c>
      <c r="BG163" s="366" t="s">
        <v>109</v>
      </c>
      <c r="BH163" s="365">
        <f t="shared" si="20"/>
        <v>31</v>
      </c>
    </row>
    <row r="164" spans="1:60" ht="15" x14ac:dyDescent="0.35">
      <c r="A164" s="82" t="s">
        <v>106</v>
      </c>
      <c r="B164" s="81" t="s">
        <v>165</v>
      </c>
      <c r="C164" s="82">
        <v>2024</v>
      </c>
      <c r="D164" s="82" t="s">
        <v>173</v>
      </c>
      <c r="E164" s="126">
        <v>3</v>
      </c>
      <c r="F164" s="146">
        <v>2</v>
      </c>
      <c r="G164" t="s">
        <v>207</v>
      </c>
      <c r="H164" s="83">
        <v>64182.671283000003</v>
      </c>
      <c r="I164" s="83">
        <v>76521.985648000002</v>
      </c>
      <c r="J164" s="83">
        <v>553561.25647799997</v>
      </c>
      <c r="K164" s="83">
        <v>64177.966451</v>
      </c>
      <c r="L164" s="83">
        <v>140908.93278499998</v>
      </c>
      <c r="M164" s="83">
        <v>296146.51876000001</v>
      </c>
      <c r="N164" s="83">
        <v>44269.375993000001</v>
      </c>
      <c r="O164" s="83">
        <v>269913.48247199995</v>
      </c>
      <c r="P164" s="83">
        <v>28755.074349999952</v>
      </c>
      <c r="Q164" s="83">
        <v>0</v>
      </c>
      <c r="R164" s="83">
        <v>17613.17959399987</v>
      </c>
      <c r="S164" s="83">
        <v>232673.12981899999</v>
      </c>
      <c r="T164" s="83">
        <v>0</v>
      </c>
      <c r="U164" s="83">
        <v>2134466.0723258201</v>
      </c>
      <c r="V164" s="83">
        <v>351789.45838272996</v>
      </c>
      <c r="W164" s="85">
        <v>75.262770292805868</v>
      </c>
      <c r="X164" s="82">
        <v>70</v>
      </c>
      <c r="Y164" s="83">
        <v>16528.202331</v>
      </c>
      <c r="Z164" s="83">
        <v>205086.89923599997</v>
      </c>
      <c r="AA164" s="83">
        <v>294789.66876200004</v>
      </c>
      <c r="AB164" s="83">
        <v>210024.891764</v>
      </c>
      <c r="AC164" s="86">
        <v>140704.656931</v>
      </c>
      <c r="AD164" s="86">
        <v>553561.25647799997</v>
      </c>
      <c r="AE164" s="86">
        <v>250286.30941299986</v>
      </c>
      <c r="AF164" s="86">
        <v>553561.25647799997</v>
      </c>
      <c r="AG164" s="362">
        <v>25.418082512895658</v>
      </c>
      <c r="AH164" s="362">
        <v>74.581917487104334</v>
      </c>
      <c r="AI164" s="362">
        <v>14.948470837462835</v>
      </c>
      <c r="AJ164" s="362">
        <v>48.179320422459881</v>
      </c>
      <c r="AK164" s="364">
        <v>31.026736588202823</v>
      </c>
      <c r="AL164" s="362">
        <v>16.48137972038144</v>
      </c>
      <c r="AM164" s="362">
        <v>83.51862027961856</v>
      </c>
      <c r="AN164" s="362">
        <v>10.653441275569818</v>
      </c>
      <c r="AO164" s="362">
        <v>20</v>
      </c>
      <c r="AP164" s="364">
        <v>45.213841554850021</v>
      </c>
      <c r="AQ164" s="362">
        <v>0</v>
      </c>
      <c r="AR164" s="364">
        <v>41.825454870985141</v>
      </c>
      <c r="AS164" s="364">
        <v>33.460363896788117</v>
      </c>
      <c r="AT164" s="362">
        <v>0</v>
      </c>
      <c r="AU164" s="362">
        <v>8.202399315351764</v>
      </c>
      <c r="AV164" s="362">
        <v>0</v>
      </c>
      <c r="AW164" s="362">
        <v>1240.8300378277838</v>
      </c>
      <c r="AX164" s="362">
        <v>0</v>
      </c>
      <c r="AY164" s="362">
        <v>71.245675822365627</v>
      </c>
      <c r="AZ164" s="362">
        <v>70</v>
      </c>
      <c r="BA164" s="362">
        <v>0</v>
      </c>
      <c r="BB164" s="362">
        <v>23.333333333333332</v>
      </c>
      <c r="BC164" s="362">
        <v>23.333333333333332</v>
      </c>
      <c r="BD164" s="362">
        <v>4.666666666666667</v>
      </c>
      <c r="BE164" s="365">
        <v>38.127030563454781</v>
      </c>
      <c r="BF164" s="365">
        <v>38.127030563454781</v>
      </c>
      <c r="BG164" s="366" t="s">
        <v>177</v>
      </c>
      <c r="BH164" s="365">
        <f t="shared" si="20"/>
        <v>32</v>
      </c>
    </row>
    <row r="165" spans="1:60" ht="13.5" customHeight="1" x14ac:dyDescent="0.35">
      <c r="A165" s="49"/>
      <c r="B165" s="49"/>
      <c r="C165" s="39"/>
      <c r="D165" s="1"/>
      <c r="E165" s="149"/>
      <c r="F165" s="153"/>
      <c r="G165" s="10"/>
      <c r="H165" s="17"/>
      <c r="I165" s="17"/>
      <c r="J165" s="17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29"/>
      <c r="X165" s="15"/>
      <c r="Y165" s="30"/>
      <c r="Z165" s="30"/>
      <c r="AA165" s="30"/>
      <c r="AB165" s="30"/>
      <c r="AC165" s="17"/>
      <c r="AD165" s="17"/>
      <c r="AE165" s="17"/>
      <c r="AF165" s="17"/>
      <c r="AG165" s="21"/>
      <c r="AH165" s="21"/>
      <c r="AI165" s="21"/>
      <c r="AJ165" s="21"/>
      <c r="AK165" s="21"/>
      <c r="AL165" s="21"/>
      <c r="AM165" s="21"/>
      <c r="AN165" s="21"/>
      <c r="AO165" s="22"/>
      <c r="AP165" s="21"/>
      <c r="AQ165" s="22"/>
      <c r="AR165" s="21"/>
      <c r="AS165" s="21"/>
      <c r="AT165" s="21"/>
      <c r="AU165" s="21"/>
      <c r="AV165" s="21"/>
      <c r="AW165" s="21"/>
      <c r="AX165" s="22"/>
      <c r="AY165" s="21"/>
      <c r="AZ165" s="22"/>
      <c r="BA165" s="21"/>
      <c r="BB165" s="21"/>
      <c r="BC165" s="21"/>
      <c r="BD165" s="21"/>
      <c r="BE165" s="26"/>
      <c r="BF165" s="26"/>
      <c r="BG165" s="62"/>
    </row>
    <row r="166" spans="1:60" x14ac:dyDescent="0.3">
      <c r="A166" s="6"/>
      <c r="B166" s="6"/>
      <c r="C166" s="39"/>
      <c r="D166" s="6"/>
      <c r="E166" s="149"/>
      <c r="F166" s="153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5"/>
      <c r="V166" s="5"/>
      <c r="W166" s="13"/>
      <c r="X166" s="4"/>
      <c r="Y166" s="4"/>
      <c r="Z166" s="4"/>
      <c r="AA166" s="6"/>
      <c r="AB166" s="5"/>
      <c r="AC166" s="9"/>
      <c r="AD166" s="9"/>
      <c r="AE166" s="9"/>
      <c r="AF166" s="9"/>
      <c r="AG166" s="2"/>
      <c r="AH166" s="3"/>
      <c r="AI166" s="2"/>
      <c r="AJ166" s="2"/>
      <c r="AK166" s="2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60" x14ac:dyDescent="0.3">
      <c r="A167" s="63"/>
      <c r="B167" s="63"/>
      <c r="C167" s="39"/>
      <c r="D167" s="6"/>
      <c r="E167" s="149"/>
      <c r="F167" s="153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5"/>
      <c r="V167" s="5"/>
      <c r="W167" s="13"/>
      <c r="X167" s="4"/>
      <c r="Y167" s="4"/>
      <c r="Z167" s="4"/>
      <c r="AA167" s="6"/>
      <c r="AB167" s="5"/>
      <c r="AC167" s="9"/>
      <c r="AD167" s="9"/>
      <c r="AE167" s="9"/>
      <c r="AF167" s="9"/>
      <c r="AG167" s="64"/>
      <c r="AH167" s="3"/>
      <c r="AI167" s="2"/>
      <c r="AJ167" s="2"/>
      <c r="AK167" s="2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60" x14ac:dyDescent="0.3">
      <c r="A168" s="63"/>
      <c r="B168" s="63"/>
      <c r="C168" s="39"/>
      <c r="D168" s="6"/>
      <c r="E168" s="149"/>
      <c r="F168" s="153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5"/>
      <c r="V168" s="5"/>
      <c r="W168" s="13"/>
      <c r="X168" s="4"/>
      <c r="Y168" s="4"/>
      <c r="Z168" s="4"/>
      <c r="AA168" s="6"/>
      <c r="AB168" s="5"/>
      <c r="AC168" s="9"/>
      <c r="AD168" s="9"/>
      <c r="AE168" s="9"/>
      <c r="AF168" s="9"/>
      <c r="AG168" s="64"/>
      <c r="AH168" s="3"/>
      <c r="AI168" s="2"/>
      <c r="AJ168" s="2"/>
      <c r="AK168" s="2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60" x14ac:dyDescent="0.3">
      <c r="A169" s="6"/>
      <c r="B169" s="6"/>
      <c r="C169" s="39"/>
      <c r="D169" s="6"/>
      <c r="E169" s="149"/>
      <c r="F169" s="153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5"/>
      <c r="V169" s="5"/>
      <c r="W169" s="13"/>
      <c r="X169" s="4"/>
      <c r="Y169" s="4"/>
      <c r="Z169" s="4"/>
      <c r="AA169" s="6"/>
      <c r="AB169" s="5"/>
      <c r="AC169" s="9"/>
      <c r="AD169" s="9"/>
      <c r="AE169" s="9"/>
      <c r="AF169" s="9"/>
      <c r="AG169" s="2"/>
      <c r="AH169" s="3"/>
      <c r="AI169" s="2"/>
      <c r="AJ169" s="2"/>
      <c r="AK169" s="2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60" x14ac:dyDescent="0.3">
      <c r="A170" s="6"/>
      <c r="B170" s="6"/>
      <c r="C170" s="39"/>
      <c r="D170" s="6"/>
      <c r="E170" s="149"/>
      <c r="F170" s="153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12"/>
      <c r="Y170" s="6"/>
      <c r="Z170" s="6"/>
      <c r="AA170" s="6"/>
      <c r="AB170" s="6"/>
      <c r="AC170" s="9"/>
      <c r="AD170" s="9"/>
      <c r="AE170" s="9"/>
      <c r="AF170" s="9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21"/>
      <c r="AS170" s="21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60" ht="13.5" customHeight="1" x14ac:dyDescent="0.35">
      <c r="A171" s="49"/>
      <c r="B171" s="49"/>
      <c r="C171" s="14"/>
      <c r="D171" s="1"/>
      <c r="E171" s="149"/>
      <c r="F171" s="153"/>
      <c r="G171" s="10"/>
      <c r="H171" s="17"/>
      <c r="I171" s="17"/>
      <c r="J171" s="17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29"/>
      <c r="X171" s="15"/>
      <c r="Y171" s="30"/>
      <c r="Z171" s="30"/>
      <c r="AA171" s="30"/>
      <c r="AB171" s="30"/>
      <c r="AC171" s="17"/>
      <c r="AD171" s="17"/>
      <c r="AE171" s="17"/>
      <c r="AF171" s="17"/>
      <c r="AG171" s="21"/>
      <c r="AH171" s="21"/>
      <c r="AI171" s="21"/>
      <c r="AJ171" s="21"/>
      <c r="AK171" s="21"/>
      <c r="AL171" s="21"/>
      <c r="AM171" s="21"/>
      <c r="AN171" s="21"/>
      <c r="AO171" s="22"/>
      <c r="AP171" s="21"/>
      <c r="AQ171" s="22"/>
      <c r="AR171" s="21"/>
      <c r="AS171" s="21"/>
      <c r="AT171" s="21"/>
      <c r="AU171" s="21"/>
      <c r="AV171" s="21"/>
      <c r="AW171" s="21"/>
      <c r="AX171" s="22"/>
      <c r="AY171" s="21"/>
      <c r="AZ171" s="22"/>
      <c r="BA171" s="21"/>
      <c r="BB171" s="21"/>
      <c r="BC171" s="21"/>
      <c r="BD171" s="21"/>
      <c r="BE171" s="26"/>
      <c r="BF171" s="26"/>
      <c r="BG171" s="62"/>
    </row>
    <row r="172" spans="1:60" x14ac:dyDescent="0.3">
      <c r="A172" s="6"/>
      <c r="B172" s="6"/>
      <c r="C172" s="39"/>
      <c r="D172" s="6"/>
      <c r="E172" s="149"/>
      <c r="F172" s="153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12"/>
      <c r="Y172" s="6"/>
      <c r="Z172" s="6"/>
      <c r="AA172" s="6"/>
      <c r="AB172" s="6"/>
      <c r="AC172" s="9"/>
      <c r="AD172" s="9"/>
      <c r="AE172" s="9"/>
      <c r="AF172" s="9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21"/>
      <c r="AS172" s="21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60" ht="13.5" customHeight="1" x14ac:dyDescent="0.35">
      <c r="A173" s="49"/>
      <c r="B173" s="49"/>
      <c r="C173" s="14"/>
      <c r="D173" s="1"/>
      <c r="E173" s="149"/>
      <c r="F173" s="153"/>
      <c r="G173" s="10"/>
      <c r="H173" s="17"/>
      <c r="I173" s="17"/>
      <c r="J173" s="17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29"/>
      <c r="X173" s="15"/>
      <c r="Y173" s="30"/>
      <c r="Z173" s="30"/>
      <c r="AA173" s="30"/>
      <c r="AB173" s="30"/>
      <c r="AC173" s="17"/>
      <c r="AD173" s="17"/>
      <c r="AE173" s="17"/>
      <c r="AF173" s="17"/>
      <c r="AG173" s="21"/>
      <c r="AH173" s="21"/>
      <c r="AI173" s="21"/>
      <c r="AJ173" s="21"/>
      <c r="AK173" s="21"/>
      <c r="AL173" s="21"/>
      <c r="AM173" s="21"/>
      <c r="AN173" s="21"/>
      <c r="AO173" s="22"/>
      <c r="AP173" s="21"/>
      <c r="AQ173" s="22"/>
      <c r="AR173" s="21"/>
      <c r="AS173" s="21"/>
      <c r="AT173" s="21"/>
      <c r="AU173" s="21"/>
      <c r="AV173" s="21"/>
      <c r="AW173" s="21"/>
      <c r="AX173" s="22"/>
      <c r="AY173" s="21"/>
      <c r="AZ173" s="22"/>
      <c r="BA173" s="21"/>
      <c r="BB173" s="21"/>
      <c r="BC173" s="21"/>
      <c r="BD173" s="21"/>
      <c r="BE173" s="26"/>
      <c r="BF173" s="26"/>
      <c r="BG173" s="62"/>
    </row>
    <row r="174" spans="1:60" ht="13.5" customHeight="1" x14ac:dyDescent="0.35">
      <c r="A174" s="49"/>
      <c r="B174" s="49"/>
      <c r="C174" s="39"/>
      <c r="D174" s="1"/>
      <c r="E174" s="149"/>
      <c r="F174" s="153"/>
      <c r="G174" s="10"/>
      <c r="H174" s="17"/>
      <c r="I174" s="17"/>
      <c r="J174" s="17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29"/>
      <c r="X174" s="15"/>
      <c r="Y174" s="30"/>
      <c r="Z174" s="30"/>
      <c r="AA174" s="30"/>
      <c r="AB174" s="30"/>
      <c r="AC174" s="17"/>
      <c r="AD174" s="17"/>
      <c r="AE174" s="17"/>
      <c r="AF174" s="17"/>
      <c r="AG174" s="21"/>
      <c r="AH174" s="21"/>
      <c r="AI174" s="21"/>
      <c r="AJ174" s="21"/>
      <c r="AK174" s="21"/>
      <c r="AL174" s="21"/>
      <c r="AM174" s="21"/>
      <c r="AN174" s="21"/>
      <c r="AO174" s="22"/>
      <c r="AP174" s="21"/>
      <c r="AQ174" s="22"/>
      <c r="AR174" s="21"/>
      <c r="AS174" s="21"/>
      <c r="AT174" s="21"/>
      <c r="AU174" s="21"/>
      <c r="AV174" s="21"/>
      <c r="AW174" s="21"/>
      <c r="AX174" s="22"/>
      <c r="AY174" s="21"/>
      <c r="AZ174" s="22"/>
      <c r="BA174" s="21"/>
      <c r="BB174" s="21"/>
      <c r="BC174" s="21"/>
      <c r="BD174" s="21"/>
      <c r="BE174" s="26"/>
      <c r="BF174" s="26"/>
      <c r="BG174" s="62"/>
    </row>
    <row r="175" spans="1:60" ht="13.5" customHeight="1" x14ac:dyDescent="0.35">
      <c r="A175" s="49"/>
      <c r="B175" s="49"/>
      <c r="C175" s="39"/>
      <c r="D175" s="1"/>
      <c r="E175" s="149"/>
      <c r="F175" s="153"/>
      <c r="G175" s="10"/>
      <c r="H175" s="17"/>
      <c r="I175" s="17"/>
      <c r="J175" s="17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29"/>
      <c r="X175" s="15"/>
      <c r="Y175" s="30"/>
      <c r="Z175" s="30"/>
      <c r="AA175" s="30"/>
      <c r="AB175" s="30"/>
      <c r="AC175" s="17"/>
      <c r="AD175" s="17"/>
      <c r="AE175" s="17"/>
      <c r="AF175" s="17"/>
      <c r="AG175" s="21"/>
      <c r="AH175" s="21"/>
      <c r="AI175" s="21"/>
      <c r="AJ175" s="21"/>
      <c r="AK175" s="21"/>
      <c r="AL175" s="21"/>
      <c r="AM175" s="21"/>
      <c r="AN175" s="21"/>
      <c r="AO175" s="22"/>
      <c r="AP175" s="21"/>
      <c r="AQ175" s="22"/>
      <c r="AR175" s="21"/>
      <c r="AS175" s="21"/>
      <c r="AT175" s="21"/>
      <c r="AU175" s="21"/>
      <c r="AV175" s="21"/>
      <c r="AW175" s="21"/>
      <c r="AX175" s="22"/>
      <c r="AY175" s="21"/>
      <c r="AZ175" s="22"/>
      <c r="BA175" s="21"/>
      <c r="BB175" s="21"/>
      <c r="BC175" s="21"/>
      <c r="BD175" s="21"/>
      <c r="BE175" s="26"/>
      <c r="BF175" s="26"/>
      <c r="BG175" s="62"/>
    </row>
    <row r="176" spans="1:60" ht="13.5" customHeight="1" x14ac:dyDescent="0.35">
      <c r="A176" s="49"/>
      <c r="B176" s="49"/>
      <c r="C176" s="14"/>
      <c r="D176" s="1"/>
      <c r="E176" s="149"/>
      <c r="F176" s="153"/>
      <c r="G176" s="10"/>
      <c r="H176" s="17"/>
      <c r="I176" s="17"/>
      <c r="J176" s="17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29"/>
      <c r="X176" s="15"/>
      <c r="Y176" s="30"/>
      <c r="Z176" s="30"/>
      <c r="AA176" s="30"/>
      <c r="AB176" s="30"/>
      <c r="AC176" s="17"/>
      <c r="AD176" s="17"/>
      <c r="AE176" s="17"/>
      <c r="AF176" s="17"/>
      <c r="AG176" s="21"/>
      <c r="AH176" s="21"/>
      <c r="AI176" s="21"/>
      <c r="AJ176" s="21"/>
      <c r="AK176" s="21"/>
      <c r="AL176" s="21"/>
      <c r="AM176" s="21"/>
      <c r="AN176" s="21"/>
      <c r="AO176" s="22"/>
      <c r="AP176" s="21"/>
      <c r="AQ176" s="22"/>
      <c r="AR176" s="21"/>
      <c r="AS176" s="21"/>
      <c r="AT176" s="21"/>
      <c r="AU176" s="21"/>
      <c r="AV176" s="21"/>
      <c r="AW176" s="21"/>
      <c r="AX176" s="22"/>
      <c r="AY176" s="21"/>
      <c r="AZ176" s="22"/>
      <c r="BA176" s="21"/>
      <c r="BB176" s="21"/>
      <c r="BC176" s="21"/>
      <c r="BD176" s="21"/>
      <c r="BE176" s="26"/>
      <c r="BF176" s="26"/>
      <c r="BG176" s="62"/>
    </row>
    <row r="177" spans="1:59" ht="13.5" customHeight="1" x14ac:dyDescent="0.3">
      <c r="A177" s="49"/>
      <c r="B177" s="49"/>
      <c r="C177" s="14"/>
      <c r="D177" s="6"/>
      <c r="E177" s="149"/>
      <c r="F177" s="153"/>
      <c r="G177" s="10"/>
      <c r="H177" s="17"/>
      <c r="I177" s="17"/>
      <c r="J177" s="17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29"/>
      <c r="X177" s="15"/>
      <c r="Y177" s="30"/>
      <c r="Z177" s="30"/>
      <c r="AA177" s="30"/>
      <c r="AB177" s="30"/>
      <c r="AC177" s="17"/>
      <c r="AD177" s="17"/>
      <c r="AE177" s="17"/>
      <c r="AF177" s="17"/>
      <c r="AG177" s="21"/>
      <c r="AH177" s="21"/>
      <c r="AI177" s="21"/>
      <c r="AJ177" s="21"/>
      <c r="AK177" s="21"/>
      <c r="AL177" s="21"/>
      <c r="AM177" s="21"/>
      <c r="AN177" s="21"/>
      <c r="AO177" s="22"/>
      <c r="AP177" s="21"/>
      <c r="AQ177" s="22"/>
      <c r="AR177" s="21"/>
      <c r="AS177" s="21"/>
      <c r="AT177" s="21"/>
      <c r="AU177" s="21"/>
      <c r="AV177" s="21"/>
      <c r="AW177" s="21"/>
      <c r="AX177" s="22"/>
      <c r="AY177" s="21"/>
      <c r="AZ177" s="22"/>
      <c r="BA177" s="21"/>
      <c r="BB177" s="21"/>
      <c r="BC177" s="21"/>
      <c r="BD177" s="21"/>
      <c r="BE177" s="26"/>
      <c r="BF177" s="26"/>
      <c r="BG177" s="62"/>
    </row>
    <row r="178" spans="1:59" x14ac:dyDescent="0.3">
      <c r="A178" s="6"/>
      <c r="B178" s="6"/>
      <c r="C178" s="39"/>
      <c r="D178" s="6"/>
      <c r="E178" s="149"/>
      <c r="F178" s="153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12"/>
      <c r="Y178" s="6"/>
      <c r="Z178" s="6"/>
      <c r="AA178" s="6"/>
      <c r="AB178" s="6"/>
      <c r="AC178" s="9"/>
      <c r="AD178" s="9"/>
      <c r="AE178" s="9"/>
      <c r="AF178" s="9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21"/>
      <c r="AS178" s="21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x14ac:dyDescent="0.3">
      <c r="A179" s="63"/>
      <c r="B179" s="63"/>
      <c r="C179" s="39"/>
      <c r="D179" s="6"/>
      <c r="E179" s="149"/>
      <c r="F179" s="153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5"/>
      <c r="V179" s="5"/>
      <c r="W179" s="13"/>
      <c r="X179" s="4"/>
      <c r="Y179" s="4"/>
      <c r="Z179" s="4"/>
      <c r="AA179" s="6"/>
      <c r="AB179" s="5"/>
      <c r="AC179" s="9"/>
      <c r="AD179" s="9"/>
      <c r="AE179" s="9"/>
      <c r="AF179" s="9"/>
      <c r="AG179" s="64"/>
      <c r="AH179" s="3"/>
      <c r="AI179" s="2"/>
      <c r="AJ179" s="2"/>
      <c r="AK179" s="2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3.5" customHeight="1" x14ac:dyDescent="0.35">
      <c r="A180" s="49"/>
      <c r="B180" s="49"/>
      <c r="C180" s="39"/>
      <c r="D180" s="1"/>
      <c r="E180" s="149"/>
      <c r="F180" s="153"/>
      <c r="G180" s="10"/>
      <c r="H180" s="17"/>
      <c r="I180" s="17"/>
      <c r="J180" s="17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29"/>
      <c r="X180" s="15"/>
      <c r="Y180" s="30"/>
      <c r="Z180" s="30"/>
      <c r="AA180" s="30"/>
      <c r="AB180" s="30"/>
      <c r="AC180" s="17"/>
      <c r="AD180" s="17"/>
      <c r="AE180" s="17"/>
      <c r="AF180" s="17"/>
      <c r="AG180" s="21"/>
      <c r="AH180" s="21"/>
      <c r="AI180" s="21"/>
      <c r="AJ180" s="21"/>
      <c r="AK180" s="21"/>
      <c r="AL180" s="21"/>
      <c r="AM180" s="21"/>
      <c r="AN180" s="21"/>
      <c r="AO180" s="22"/>
      <c r="AP180" s="21"/>
      <c r="AQ180" s="22"/>
      <c r="AR180" s="21"/>
      <c r="AS180" s="21"/>
      <c r="AT180" s="21"/>
      <c r="AU180" s="21"/>
      <c r="AV180" s="21"/>
      <c r="AW180" s="21"/>
      <c r="AX180" s="22"/>
      <c r="AY180" s="21"/>
      <c r="AZ180" s="22"/>
      <c r="BA180" s="21"/>
      <c r="BB180" s="21"/>
      <c r="BC180" s="21"/>
      <c r="BD180" s="21"/>
      <c r="BE180" s="26"/>
      <c r="BF180" s="26"/>
      <c r="BG180" s="62"/>
    </row>
    <row r="181" spans="1:59" x14ac:dyDescent="0.3">
      <c r="A181" s="63"/>
      <c r="B181" s="63"/>
      <c r="C181" s="39"/>
      <c r="D181" s="6"/>
      <c r="E181" s="149"/>
      <c r="F181" s="153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5"/>
      <c r="V181" s="5"/>
      <c r="W181" s="13"/>
      <c r="X181" s="4"/>
      <c r="Y181" s="4"/>
      <c r="Z181" s="4"/>
      <c r="AA181" s="6"/>
      <c r="AB181" s="5"/>
      <c r="AC181" s="9"/>
      <c r="AD181" s="9"/>
      <c r="AE181" s="9"/>
      <c r="AF181" s="9"/>
      <c r="AG181" s="64"/>
      <c r="AH181" s="3"/>
      <c r="AI181" s="2"/>
      <c r="AJ181" s="2"/>
      <c r="AK181" s="2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3.5" customHeight="1" x14ac:dyDescent="0.35">
      <c r="A182" s="49"/>
      <c r="B182" s="49"/>
      <c r="C182" s="14"/>
      <c r="D182" s="1"/>
      <c r="E182" s="149"/>
      <c r="F182" s="153"/>
      <c r="G182" s="10"/>
      <c r="H182" s="17"/>
      <c r="I182" s="17"/>
      <c r="J182" s="17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29"/>
      <c r="X182" s="15"/>
      <c r="Y182" s="30"/>
      <c r="Z182" s="30"/>
      <c r="AA182" s="30"/>
      <c r="AB182" s="30"/>
      <c r="AC182" s="17"/>
      <c r="AD182" s="17"/>
      <c r="AE182" s="17"/>
      <c r="AF182" s="17"/>
      <c r="AG182" s="21"/>
      <c r="AH182" s="21"/>
      <c r="AI182" s="21"/>
      <c r="AJ182" s="21"/>
      <c r="AK182" s="21"/>
      <c r="AL182" s="21"/>
      <c r="AM182" s="21"/>
      <c r="AN182" s="21"/>
      <c r="AO182" s="22"/>
      <c r="AP182" s="21"/>
      <c r="AQ182" s="22"/>
      <c r="AR182" s="21"/>
      <c r="AS182" s="21"/>
      <c r="AT182" s="21"/>
      <c r="AU182" s="21"/>
      <c r="AV182" s="21"/>
      <c r="AW182" s="21"/>
      <c r="AX182" s="22"/>
      <c r="AY182" s="21"/>
      <c r="AZ182" s="22"/>
      <c r="BA182" s="21"/>
      <c r="BB182" s="21"/>
      <c r="BC182" s="21"/>
      <c r="BD182" s="21"/>
      <c r="BE182" s="26"/>
      <c r="BF182" s="26"/>
      <c r="BG182" s="62"/>
    </row>
    <row r="183" spans="1:59" x14ac:dyDescent="0.3">
      <c r="A183" s="6"/>
      <c r="B183" s="6"/>
      <c r="C183" s="39"/>
      <c r="D183" s="6"/>
      <c r="E183" s="149"/>
      <c r="F183" s="153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12"/>
      <c r="Y183" s="6"/>
      <c r="Z183" s="6"/>
      <c r="AA183" s="6"/>
      <c r="AB183" s="6"/>
      <c r="AC183" s="9"/>
      <c r="AD183" s="9"/>
      <c r="AE183" s="9"/>
      <c r="AF183" s="9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21"/>
      <c r="AS183" s="21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3.5" customHeight="1" x14ac:dyDescent="0.35">
      <c r="A184" s="49"/>
      <c r="B184" s="49"/>
      <c r="C184" s="39"/>
      <c r="D184" s="1"/>
      <c r="E184" s="149"/>
      <c r="F184" s="153"/>
      <c r="G184" s="10"/>
      <c r="H184" s="17"/>
      <c r="I184" s="17"/>
      <c r="J184" s="17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29"/>
      <c r="X184" s="15"/>
      <c r="Y184" s="30"/>
      <c r="Z184" s="30"/>
      <c r="AA184" s="30"/>
      <c r="AB184" s="30"/>
      <c r="AC184" s="17"/>
      <c r="AD184" s="17"/>
      <c r="AE184" s="17"/>
      <c r="AF184" s="17"/>
      <c r="AG184" s="21"/>
      <c r="AH184" s="21"/>
      <c r="AI184" s="21"/>
      <c r="AJ184" s="21"/>
      <c r="AK184" s="21"/>
      <c r="AL184" s="21"/>
      <c r="AM184" s="21"/>
      <c r="AN184" s="21"/>
      <c r="AO184" s="22"/>
      <c r="AP184" s="21"/>
      <c r="AQ184" s="22"/>
      <c r="AR184" s="21"/>
      <c r="AS184" s="21"/>
      <c r="AT184" s="21"/>
      <c r="AU184" s="21"/>
      <c r="AV184" s="21"/>
      <c r="AW184" s="21"/>
      <c r="AX184" s="22"/>
      <c r="AY184" s="21"/>
      <c r="AZ184" s="22"/>
      <c r="BA184" s="21"/>
      <c r="BB184" s="21"/>
      <c r="BC184" s="21"/>
      <c r="BD184" s="21"/>
      <c r="BE184" s="26"/>
      <c r="BF184" s="26"/>
      <c r="BG184" s="62"/>
    </row>
    <row r="185" spans="1:59" ht="13.5" customHeight="1" x14ac:dyDescent="0.35">
      <c r="A185" s="49"/>
      <c r="B185" s="49"/>
      <c r="C185" s="39"/>
      <c r="D185" s="1"/>
      <c r="E185" s="149"/>
      <c r="F185" s="153"/>
      <c r="G185" s="10"/>
      <c r="H185" s="17"/>
      <c r="I185" s="17"/>
      <c r="J185" s="17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29"/>
      <c r="X185" s="15"/>
      <c r="Y185" s="30"/>
      <c r="Z185" s="30"/>
      <c r="AA185" s="30"/>
      <c r="AB185" s="30"/>
      <c r="AC185" s="17"/>
      <c r="AD185" s="17"/>
      <c r="AE185" s="17"/>
      <c r="AF185" s="17"/>
      <c r="AG185" s="21"/>
      <c r="AH185" s="21"/>
      <c r="AI185" s="21"/>
      <c r="AJ185" s="21"/>
      <c r="AK185" s="21"/>
      <c r="AL185" s="21"/>
      <c r="AM185" s="21"/>
      <c r="AN185" s="21"/>
      <c r="AO185" s="22"/>
      <c r="AP185" s="21"/>
      <c r="AQ185" s="22"/>
      <c r="AR185" s="21"/>
      <c r="AS185" s="21"/>
      <c r="AT185" s="21"/>
      <c r="AU185" s="21"/>
      <c r="AV185" s="21"/>
      <c r="AW185" s="21"/>
      <c r="AX185" s="22"/>
      <c r="AY185" s="21"/>
      <c r="AZ185" s="22"/>
      <c r="BA185" s="21"/>
      <c r="BB185" s="21"/>
      <c r="BC185" s="21"/>
      <c r="BD185" s="21"/>
      <c r="BE185" s="26"/>
      <c r="BF185" s="26"/>
      <c r="BG185" s="62"/>
    </row>
    <row r="186" spans="1:59" ht="13.5" customHeight="1" x14ac:dyDescent="0.35">
      <c r="A186" s="49"/>
      <c r="B186" s="49"/>
      <c r="C186" s="14"/>
      <c r="D186" s="1"/>
      <c r="E186" s="149"/>
      <c r="F186" s="153"/>
      <c r="G186" s="10"/>
      <c r="H186" s="17"/>
      <c r="I186" s="17"/>
      <c r="J186" s="17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29"/>
      <c r="X186" s="15"/>
      <c r="Y186" s="30"/>
      <c r="Z186" s="30"/>
      <c r="AA186" s="30"/>
      <c r="AB186" s="30"/>
      <c r="AC186" s="17"/>
      <c r="AD186" s="17"/>
      <c r="AE186" s="17"/>
      <c r="AF186" s="17"/>
      <c r="AG186" s="21"/>
      <c r="AH186" s="21"/>
      <c r="AI186" s="21"/>
      <c r="AJ186" s="21"/>
      <c r="AK186" s="21"/>
      <c r="AL186" s="21"/>
      <c r="AM186" s="21"/>
      <c r="AN186" s="21"/>
      <c r="AO186" s="22"/>
      <c r="AP186" s="21"/>
      <c r="AQ186" s="22"/>
      <c r="AR186" s="21"/>
      <c r="AS186" s="21"/>
      <c r="AT186" s="21"/>
      <c r="AU186" s="21"/>
      <c r="AV186" s="21"/>
      <c r="AW186" s="21"/>
      <c r="AX186" s="22"/>
      <c r="AY186" s="21"/>
      <c r="AZ186" s="22"/>
      <c r="BA186" s="21"/>
      <c r="BB186" s="21"/>
      <c r="BC186" s="21"/>
      <c r="BD186" s="21"/>
      <c r="BE186" s="26"/>
      <c r="BF186" s="26"/>
      <c r="BG186" s="62"/>
    </row>
    <row r="187" spans="1:59" x14ac:dyDescent="0.3">
      <c r="A187" s="6"/>
      <c r="B187" s="6"/>
      <c r="C187" s="39"/>
      <c r="D187" s="6"/>
      <c r="E187" s="149"/>
      <c r="F187" s="153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12"/>
      <c r="Y187" s="6"/>
      <c r="Z187" s="6"/>
      <c r="AA187" s="6"/>
      <c r="AB187" s="6"/>
      <c r="AC187" s="9"/>
      <c r="AD187" s="9"/>
      <c r="AE187" s="9"/>
      <c r="AF187" s="9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21"/>
      <c r="AS187" s="21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x14ac:dyDescent="0.3">
      <c r="A188" s="6"/>
      <c r="B188" s="6"/>
      <c r="C188" s="39"/>
      <c r="D188" s="6"/>
      <c r="E188" s="149"/>
      <c r="F188" s="153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5"/>
      <c r="V188" s="5"/>
      <c r="W188" s="13"/>
      <c r="X188" s="4"/>
      <c r="Y188" s="4"/>
      <c r="Z188" s="4"/>
      <c r="AA188" s="6"/>
      <c r="AB188" s="5"/>
      <c r="AC188" s="9"/>
      <c r="AD188" s="9"/>
      <c r="AE188" s="9"/>
      <c r="AF188" s="9"/>
      <c r="AG188" s="2"/>
      <c r="AH188" s="3"/>
      <c r="AI188" s="2"/>
      <c r="AJ188" s="2"/>
      <c r="AK188" s="2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x14ac:dyDescent="0.3">
      <c r="A189" s="63"/>
      <c r="B189" s="63"/>
      <c r="C189" s="39"/>
      <c r="D189" s="6"/>
      <c r="E189" s="149"/>
      <c r="F189" s="153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5"/>
      <c r="V189" s="5"/>
      <c r="W189" s="13"/>
      <c r="X189" s="4"/>
      <c r="Y189" s="4"/>
      <c r="Z189" s="4"/>
      <c r="AA189" s="6"/>
      <c r="AB189" s="5"/>
      <c r="AC189" s="9"/>
      <c r="AD189" s="9"/>
      <c r="AE189" s="9"/>
      <c r="AF189" s="9"/>
      <c r="AG189" s="64"/>
      <c r="AH189" s="3"/>
      <c r="AI189" s="2"/>
      <c r="AJ189" s="2"/>
      <c r="AK189" s="2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x14ac:dyDescent="0.3">
      <c r="A190" s="63"/>
      <c r="B190" s="63"/>
      <c r="C190" s="39"/>
      <c r="D190" s="6"/>
      <c r="E190" s="149"/>
      <c r="F190" s="153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5"/>
      <c r="V190" s="5"/>
      <c r="W190" s="13"/>
      <c r="X190" s="4"/>
      <c r="Y190" s="4"/>
      <c r="Z190" s="4"/>
      <c r="AA190" s="6"/>
      <c r="AB190" s="5"/>
      <c r="AC190" s="9"/>
      <c r="AD190" s="9"/>
      <c r="AE190" s="9"/>
      <c r="AF190" s="9"/>
      <c r="AG190" s="64"/>
      <c r="AH190" s="3"/>
      <c r="AI190" s="2"/>
      <c r="AJ190" s="2"/>
      <c r="AK190" s="2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x14ac:dyDescent="0.3">
      <c r="A191" s="63"/>
      <c r="B191" s="63"/>
      <c r="C191" s="39"/>
      <c r="D191" s="6"/>
      <c r="E191" s="149"/>
      <c r="F191" s="153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5"/>
      <c r="V191" s="5"/>
      <c r="W191" s="13"/>
      <c r="X191" s="4"/>
      <c r="Y191" s="4"/>
      <c r="Z191" s="4"/>
      <c r="AA191" s="6"/>
      <c r="AB191" s="5"/>
      <c r="AC191" s="9"/>
      <c r="AD191" s="9"/>
      <c r="AE191" s="9"/>
      <c r="AF191" s="9"/>
      <c r="AG191" s="64"/>
      <c r="AH191" s="3"/>
      <c r="AI191" s="2"/>
      <c r="AJ191" s="2"/>
      <c r="AK191" s="2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3.5" customHeight="1" x14ac:dyDescent="0.35">
      <c r="A192" s="49"/>
      <c r="B192" s="49"/>
      <c r="C192" s="14"/>
      <c r="D192" s="1"/>
      <c r="E192" s="149"/>
      <c r="F192" s="153"/>
      <c r="G192" s="10"/>
      <c r="H192" s="17"/>
      <c r="I192" s="17"/>
      <c r="J192" s="17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29"/>
      <c r="X192" s="15"/>
      <c r="Y192" s="30"/>
      <c r="Z192" s="30"/>
      <c r="AA192" s="30"/>
      <c r="AB192" s="30"/>
      <c r="AC192" s="17"/>
      <c r="AD192" s="17"/>
      <c r="AE192" s="17"/>
      <c r="AF192" s="17"/>
      <c r="AG192" s="21"/>
      <c r="AH192" s="21"/>
      <c r="AI192" s="21"/>
      <c r="AJ192" s="21"/>
      <c r="AK192" s="21"/>
      <c r="AL192" s="21"/>
      <c r="AM192" s="21"/>
      <c r="AN192" s="21"/>
      <c r="AO192" s="22"/>
      <c r="AP192" s="21"/>
      <c r="AQ192" s="22"/>
      <c r="AR192" s="21"/>
      <c r="AS192" s="21"/>
      <c r="AT192" s="21"/>
      <c r="AU192" s="21"/>
      <c r="AV192" s="21"/>
      <c r="AW192" s="21"/>
      <c r="AX192" s="22"/>
      <c r="AY192" s="21"/>
      <c r="AZ192" s="22"/>
      <c r="BA192" s="21"/>
      <c r="BB192" s="21"/>
      <c r="BC192" s="21"/>
      <c r="BD192" s="21"/>
      <c r="BE192" s="26"/>
      <c r="BF192" s="26"/>
      <c r="BG192" s="62"/>
    </row>
    <row r="193" spans="1:59" x14ac:dyDescent="0.3">
      <c r="A193" s="63"/>
      <c r="B193" s="63"/>
      <c r="C193" s="39"/>
      <c r="D193" s="6"/>
      <c r="E193" s="149"/>
      <c r="F193" s="153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5"/>
      <c r="V193" s="5"/>
      <c r="W193" s="13"/>
      <c r="X193" s="4"/>
      <c r="Y193" s="4"/>
      <c r="Z193" s="4"/>
      <c r="AA193" s="6"/>
      <c r="AB193" s="5"/>
      <c r="AC193" s="9"/>
      <c r="AD193" s="9"/>
      <c r="AE193" s="9"/>
      <c r="AF193" s="9"/>
      <c r="AG193" s="64"/>
      <c r="AH193" s="3"/>
      <c r="AI193" s="2"/>
      <c r="AJ193" s="2"/>
      <c r="AK193" s="2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x14ac:dyDescent="0.3">
      <c r="A194" s="63"/>
      <c r="B194" s="63"/>
      <c r="C194" s="39"/>
      <c r="D194" s="6"/>
      <c r="E194" s="149"/>
      <c r="F194" s="153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5"/>
      <c r="V194" s="5"/>
      <c r="W194" s="13"/>
      <c r="X194" s="4"/>
      <c r="Y194" s="4"/>
      <c r="Z194" s="4"/>
      <c r="AA194" s="6"/>
      <c r="AB194" s="5"/>
      <c r="AC194" s="9"/>
      <c r="AD194" s="9"/>
      <c r="AE194" s="9"/>
      <c r="AF194" s="9"/>
      <c r="AG194" s="64"/>
      <c r="AH194" s="3"/>
      <c r="AI194" s="2"/>
      <c r="AJ194" s="2"/>
      <c r="AK194" s="2"/>
      <c r="AL194" s="3"/>
      <c r="AM194" s="3"/>
      <c r="AN194" s="3"/>
      <c r="AO194" s="3"/>
      <c r="AP194" s="3"/>
      <c r="AQ194" s="3"/>
      <c r="AR194" s="21"/>
      <c r="AS194" s="21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x14ac:dyDescent="0.3">
      <c r="A195" s="63"/>
      <c r="B195" s="63"/>
      <c r="C195" s="39"/>
      <c r="D195" s="6"/>
      <c r="E195" s="149"/>
      <c r="F195" s="153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5"/>
      <c r="V195" s="5"/>
      <c r="W195" s="13"/>
      <c r="X195" s="4"/>
      <c r="Y195" s="4"/>
      <c r="Z195" s="4"/>
      <c r="AA195" s="6"/>
      <c r="AB195" s="5"/>
      <c r="AC195" s="9"/>
      <c r="AD195" s="9"/>
      <c r="AE195" s="9"/>
      <c r="AF195" s="9"/>
      <c r="AG195" s="64"/>
      <c r="AH195" s="3"/>
      <c r="AI195" s="2"/>
      <c r="AJ195" s="2"/>
      <c r="AK195" s="2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3.5" customHeight="1" x14ac:dyDescent="0.35">
      <c r="A196" s="49"/>
      <c r="B196" s="49"/>
      <c r="C196" s="14"/>
      <c r="D196" s="1"/>
      <c r="E196" s="149"/>
      <c r="F196" s="153"/>
      <c r="G196" s="10"/>
      <c r="H196" s="17"/>
      <c r="I196" s="17"/>
      <c r="J196" s="17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29"/>
      <c r="X196" s="15"/>
      <c r="Y196" s="30"/>
      <c r="Z196" s="30"/>
      <c r="AA196" s="30"/>
      <c r="AB196" s="30"/>
      <c r="AC196" s="17"/>
      <c r="AD196" s="17"/>
      <c r="AE196" s="17"/>
      <c r="AF196" s="17"/>
      <c r="AG196" s="21"/>
      <c r="AH196" s="21"/>
      <c r="AI196" s="21"/>
      <c r="AJ196" s="21"/>
      <c r="AK196" s="21"/>
      <c r="AL196" s="21"/>
      <c r="AM196" s="21"/>
      <c r="AN196" s="21"/>
      <c r="AO196" s="22"/>
      <c r="AP196" s="21"/>
      <c r="AQ196" s="22"/>
      <c r="AR196" s="21"/>
      <c r="AS196" s="21"/>
      <c r="AT196" s="21"/>
      <c r="AU196" s="21"/>
      <c r="AV196" s="21"/>
      <c r="AW196" s="21"/>
      <c r="AX196" s="22"/>
      <c r="AY196" s="21"/>
      <c r="AZ196" s="22"/>
      <c r="BA196" s="21"/>
      <c r="BB196" s="21"/>
      <c r="BC196" s="21"/>
      <c r="BD196" s="21"/>
      <c r="BE196" s="26"/>
      <c r="BF196" s="26"/>
      <c r="BG196" s="62"/>
    </row>
    <row r="197" spans="1:59" x14ac:dyDescent="0.3">
      <c r="A197" s="6"/>
      <c r="B197" s="6"/>
      <c r="C197" s="39"/>
      <c r="D197" s="6"/>
      <c r="E197" s="149"/>
      <c r="F197" s="153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2"/>
      <c r="Y197" s="6"/>
      <c r="Z197" s="6"/>
      <c r="AA197" s="6"/>
      <c r="AB197" s="6"/>
      <c r="AC197" s="9"/>
      <c r="AD197" s="9"/>
      <c r="AE197" s="9"/>
      <c r="AF197" s="9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21"/>
      <c r="AS197" s="21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x14ac:dyDescent="0.3">
      <c r="A198" s="6"/>
      <c r="B198" s="6"/>
      <c r="C198" s="39"/>
      <c r="D198" s="6"/>
      <c r="E198" s="149"/>
      <c r="F198" s="153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12"/>
      <c r="Y198" s="6"/>
      <c r="Z198" s="6"/>
      <c r="AA198" s="6"/>
      <c r="AB198" s="6"/>
      <c r="AC198" s="9"/>
      <c r="AD198" s="9"/>
      <c r="AE198" s="9"/>
      <c r="AF198" s="9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21"/>
      <c r="AS198" s="21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3.5" customHeight="1" x14ac:dyDescent="0.35">
      <c r="A199" s="49"/>
      <c r="B199" s="49"/>
      <c r="C199" s="14"/>
      <c r="D199" s="1"/>
      <c r="E199" s="149"/>
      <c r="F199" s="153"/>
      <c r="G199" s="10"/>
      <c r="H199" s="17"/>
      <c r="I199" s="17"/>
      <c r="J199" s="17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29"/>
      <c r="X199" s="15"/>
      <c r="Y199" s="30"/>
      <c r="Z199" s="30"/>
      <c r="AA199" s="30"/>
      <c r="AB199" s="30"/>
      <c r="AC199" s="17"/>
      <c r="AD199" s="17"/>
      <c r="AE199" s="17"/>
      <c r="AF199" s="17"/>
      <c r="AG199" s="21"/>
      <c r="AH199" s="21"/>
      <c r="AI199" s="21"/>
      <c r="AJ199" s="21"/>
      <c r="AK199" s="21"/>
      <c r="AL199" s="21"/>
      <c r="AM199" s="21"/>
      <c r="AN199" s="21"/>
      <c r="AO199" s="22"/>
      <c r="AP199" s="21"/>
      <c r="AQ199" s="22"/>
      <c r="AR199" s="21"/>
      <c r="AS199" s="21"/>
      <c r="AT199" s="21"/>
      <c r="AU199" s="21"/>
      <c r="AV199" s="21"/>
      <c r="AW199" s="21"/>
      <c r="AX199" s="22"/>
      <c r="AY199" s="21"/>
      <c r="AZ199" s="22"/>
      <c r="BA199" s="21"/>
      <c r="BB199" s="21"/>
      <c r="BC199" s="21"/>
      <c r="BD199" s="21"/>
      <c r="BE199" s="26"/>
      <c r="BF199" s="26"/>
      <c r="BG199" s="62"/>
    </row>
    <row r="200" spans="1:59" ht="13.5" customHeight="1" x14ac:dyDescent="0.35">
      <c r="A200" s="49"/>
      <c r="B200" s="49"/>
      <c r="C200" s="14"/>
      <c r="D200" s="1"/>
      <c r="E200" s="149"/>
      <c r="F200" s="153"/>
      <c r="G200" s="10"/>
      <c r="H200" s="17"/>
      <c r="I200" s="17"/>
      <c r="J200" s="17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29"/>
      <c r="X200" s="15"/>
      <c r="Y200" s="30"/>
      <c r="Z200" s="30"/>
      <c r="AA200" s="30"/>
      <c r="AB200" s="30"/>
      <c r="AC200" s="17"/>
      <c r="AD200" s="17"/>
      <c r="AE200" s="17"/>
      <c r="AF200" s="17"/>
      <c r="AG200" s="21"/>
      <c r="AH200" s="21"/>
      <c r="AI200" s="21"/>
      <c r="AJ200" s="21"/>
      <c r="AK200" s="21"/>
      <c r="AL200" s="21"/>
      <c r="AM200" s="21"/>
      <c r="AN200" s="21"/>
      <c r="AO200" s="22"/>
      <c r="AP200" s="21"/>
      <c r="AQ200" s="22"/>
      <c r="AR200" s="21"/>
      <c r="AS200" s="21"/>
      <c r="AT200" s="21"/>
      <c r="AU200" s="21"/>
      <c r="AV200" s="21"/>
      <c r="AW200" s="21"/>
      <c r="AX200" s="22"/>
      <c r="AY200" s="21"/>
      <c r="AZ200" s="22"/>
      <c r="BA200" s="21"/>
      <c r="BB200" s="21"/>
      <c r="BC200" s="21"/>
      <c r="BD200" s="21"/>
      <c r="BE200" s="26"/>
      <c r="BF200" s="26"/>
      <c r="BG200" s="62"/>
    </row>
    <row r="201" spans="1:59" x14ac:dyDescent="0.3">
      <c r="A201" s="6"/>
      <c r="B201" s="6"/>
      <c r="C201" s="39"/>
      <c r="D201" s="6"/>
      <c r="E201" s="149"/>
      <c r="F201" s="153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5"/>
      <c r="V201" s="5"/>
      <c r="W201" s="13"/>
      <c r="X201" s="4"/>
      <c r="Y201" s="4"/>
      <c r="Z201" s="4"/>
      <c r="AA201" s="6"/>
      <c r="AB201" s="5"/>
      <c r="AC201" s="9"/>
      <c r="AD201" s="9"/>
      <c r="AE201" s="9"/>
      <c r="AF201" s="9"/>
      <c r="AG201" s="2"/>
      <c r="AH201" s="3"/>
      <c r="AI201" s="2"/>
      <c r="AJ201" s="2"/>
      <c r="AK201" s="2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x14ac:dyDescent="0.3">
      <c r="A202" s="63"/>
      <c r="B202" s="63"/>
      <c r="C202" s="39"/>
      <c r="D202" s="6"/>
      <c r="E202" s="149"/>
      <c r="F202" s="153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5"/>
      <c r="V202" s="5"/>
      <c r="W202" s="13"/>
      <c r="X202" s="4"/>
      <c r="Y202" s="4"/>
      <c r="Z202" s="4"/>
      <c r="AA202" s="6"/>
      <c r="AB202" s="5"/>
      <c r="AC202" s="9"/>
      <c r="AD202" s="9"/>
      <c r="AE202" s="9"/>
      <c r="AF202" s="9"/>
      <c r="AG202" s="64"/>
      <c r="AH202" s="3"/>
      <c r="AI202" s="2"/>
      <c r="AJ202" s="2"/>
      <c r="AK202" s="2"/>
      <c r="AL202" s="3"/>
      <c r="AM202" s="3"/>
      <c r="AN202" s="3"/>
      <c r="AO202" s="3"/>
      <c r="AP202" s="3"/>
      <c r="AQ202" s="3"/>
      <c r="AR202" s="21"/>
      <c r="AS202" s="21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x14ac:dyDescent="0.3">
      <c r="A203" s="63"/>
      <c r="B203" s="63"/>
      <c r="C203" s="39"/>
      <c r="D203" s="6"/>
      <c r="E203" s="149"/>
      <c r="F203" s="153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5"/>
      <c r="V203" s="5"/>
      <c r="W203" s="13"/>
      <c r="X203" s="4"/>
      <c r="Y203" s="4"/>
      <c r="Z203" s="4"/>
      <c r="AA203" s="6"/>
      <c r="AB203" s="5"/>
      <c r="AC203" s="9"/>
      <c r="AD203" s="9"/>
      <c r="AE203" s="9"/>
      <c r="AF203" s="9"/>
      <c r="AG203" s="64"/>
      <c r="AH203" s="3"/>
      <c r="AI203" s="2"/>
      <c r="AJ203" s="2"/>
      <c r="AK203" s="2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x14ac:dyDescent="0.3">
      <c r="A204" s="6"/>
      <c r="B204" s="6"/>
      <c r="C204" s="39"/>
      <c r="D204" s="6"/>
      <c r="E204" s="149"/>
      <c r="F204" s="153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12"/>
      <c r="Y204" s="6"/>
      <c r="Z204" s="6"/>
      <c r="AA204" s="6"/>
      <c r="AB204" s="6"/>
      <c r="AC204" s="9"/>
      <c r="AD204" s="9"/>
      <c r="AE204" s="9"/>
      <c r="AF204" s="9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21"/>
      <c r="AS204" s="21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x14ac:dyDescent="0.3">
      <c r="A205" s="6"/>
      <c r="B205" s="6"/>
      <c r="C205" s="39"/>
      <c r="D205" s="6"/>
      <c r="E205" s="149"/>
      <c r="F205" s="153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5"/>
      <c r="V205" s="5"/>
      <c r="W205" s="13"/>
      <c r="X205" s="4"/>
      <c r="Y205" s="4"/>
      <c r="Z205" s="4"/>
      <c r="AA205" s="6"/>
      <c r="AB205" s="5"/>
      <c r="AC205" s="9"/>
      <c r="AD205" s="9"/>
      <c r="AE205" s="9"/>
      <c r="AF205" s="9"/>
      <c r="AG205" s="2"/>
      <c r="AH205" s="3"/>
      <c r="AI205" s="2"/>
      <c r="AJ205" s="2"/>
      <c r="AK205" s="2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3.5" customHeight="1" x14ac:dyDescent="0.35">
      <c r="A206" s="49"/>
      <c r="B206" s="49"/>
      <c r="C206" s="14"/>
      <c r="D206" s="1"/>
      <c r="E206" s="149"/>
      <c r="F206" s="153"/>
      <c r="G206" s="10"/>
      <c r="H206" s="17"/>
      <c r="I206" s="17"/>
      <c r="J206" s="17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29"/>
      <c r="X206" s="15"/>
      <c r="Y206" s="30"/>
      <c r="Z206" s="30"/>
      <c r="AA206" s="30"/>
      <c r="AB206" s="30"/>
      <c r="AC206" s="17"/>
      <c r="AD206" s="17"/>
      <c r="AE206" s="17"/>
      <c r="AF206" s="17"/>
      <c r="AG206" s="21"/>
      <c r="AH206" s="21"/>
      <c r="AI206" s="21"/>
      <c r="AJ206" s="21"/>
      <c r="AK206" s="21"/>
      <c r="AL206" s="21"/>
      <c r="AM206" s="21"/>
      <c r="AN206" s="21"/>
      <c r="AO206" s="22"/>
      <c r="AP206" s="21"/>
      <c r="AQ206" s="22"/>
      <c r="AR206" s="21"/>
      <c r="AS206" s="21"/>
      <c r="AT206" s="21"/>
      <c r="AU206" s="21"/>
      <c r="AV206" s="21"/>
      <c r="AW206" s="21"/>
      <c r="AX206" s="22"/>
      <c r="AY206" s="21"/>
      <c r="AZ206" s="22"/>
      <c r="BA206" s="21"/>
      <c r="BB206" s="21"/>
      <c r="BC206" s="21"/>
      <c r="BD206" s="21"/>
      <c r="BE206" s="26"/>
      <c r="BF206" s="26"/>
      <c r="BG206" s="62"/>
    </row>
    <row r="207" spans="1:59" x14ac:dyDescent="0.3">
      <c r="A207" s="6"/>
      <c r="B207" s="6"/>
      <c r="C207" s="39"/>
      <c r="D207" s="6"/>
      <c r="E207" s="149"/>
      <c r="F207" s="153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2"/>
      <c r="Y207" s="6"/>
      <c r="Z207" s="6"/>
      <c r="AA207" s="6"/>
      <c r="AB207" s="6"/>
      <c r="AC207" s="9"/>
      <c r="AD207" s="9"/>
      <c r="AE207" s="9"/>
      <c r="AF207" s="9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21"/>
      <c r="AS207" s="21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x14ac:dyDescent="0.3">
      <c r="A208" s="6"/>
      <c r="B208" s="6"/>
      <c r="C208" s="39"/>
      <c r="D208" s="6"/>
      <c r="E208" s="149"/>
      <c r="F208" s="153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5"/>
      <c r="V208" s="5"/>
      <c r="W208" s="13"/>
      <c r="X208" s="4"/>
      <c r="Y208" s="4"/>
      <c r="Z208" s="4"/>
      <c r="AA208" s="6"/>
      <c r="AB208" s="5"/>
      <c r="AC208" s="9"/>
      <c r="AD208" s="9"/>
      <c r="AE208" s="9"/>
      <c r="AF208" s="9"/>
      <c r="AG208" s="2"/>
      <c r="AH208" s="3"/>
      <c r="AI208" s="2"/>
      <c r="AJ208" s="2"/>
      <c r="AK208" s="2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x14ac:dyDescent="0.3">
      <c r="A209" s="6"/>
      <c r="B209" s="6"/>
      <c r="C209" s="39"/>
      <c r="D209" s="6"/>
      <c r="E209" s="149"/>
      <c r="F209" s="153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5"/>
      <c r="V209" s="5"/>
      <c r="W209" s="13"/>
      <c r="X209" s="4"/>
      <c r="Y209" s="4"/>
      <c r="Z209" s="4"/>
      <c r="AA209" s="6"/>
      <c r="AB209" s="5"/>
      <c r="AC209" s="9"/>
      <c r="AD209" s="9"/>
      <c r="AE209" s="9"/>
      <c r="AF209" s="9"/>
      <c r="AG209" s="2"/>
      <c r="AH209" s="3"/>
      <c r="AI209" s="2"/>
      <c r="AJ209" s="2"/>
      <c r="AK209" s="2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x14ac:dyDescent="0.3">
      <c r="A210" s="63"/>
      <c r="B210" s="63"/>
      <c r="C210" s="39"/>
      <c r="D210" s="6"/>
      <c r="E210" s="149"/>
      <c r="F210" s="153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5"/>
      <c r="V210" s="5"/>
      <c r="W210" s="13"/>
      <c r="X210" s="4"/>
      <c r="Y210" s="4"/>
      <c r="Z210" s="4"/>
      <c r="AA210" s="6"/>
      <c r="AB210" s="5"/>
      <c r="AC210" s="9"/>
      <c r="AD210" s="9"/>
      <c r="AE210" s="9"/>
      <c r="AF210" s="9"/>
      <c r="AG210" s="64"/>
      <c r="AH210" s="3"/>
      <c r="AI210" s="2"/>
      <c r="AJ210" s="2"/>
      <c r="AK210" s="2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3.5" customHeight="1" x14ac:dyDescent="0.35">
      <c r="A211" s="49"/>
      <c r="B211" s="49"/>
      <c r="C211" s="14"/>
      <c r="D211" s="1"/>
      <c r="E211" s="149"/>
      <c r="F211" s="153"/>
      <c r="G211" s="10"/>
      <c r="H211" s="17"/>
      <c r="I211" s="17"/>
      <c r="J211" s="17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29"/>
      <c r="X211" s="15"/>
      <c r="Y211" s="30"/>
      <c r="Z211" s="30"/>
      <c r="AA211" s="30"/>
      <c r="AB211" s="30"/>
      <c r="AC211" s="17"/>
      <c r="AD211" s="17"/>
      <c r="AE211" s="17"/>
      <c r="AF211" s="17"/>
      <c r="AG211" s="21"/>
      <c r="AH211" s="21"/>
      <c r="AI211" s="21"/>
      <c r="AJ211" s="21"/>
      <c r="AK211" s="21"/>
      <c r="AL211" s="21"/>
      <c r="AM211" s="21"/>
      <c r="AN211" s="21"/>
      <c r="AO211" s="22"/>
      <c r="AP211" s="21"/>
      <c r="AQ211" s="22"/>
      <c r="AR211" s="21"/>
      <c r="AS211" s="21"/>
      <c r="AT211" s="21"/>
      <c r="AU211" s="21"/>
      <c r="AV211" s="21"/>
      <c r="AW211" s="21"/>
      <c r="AX211" s="22"/>
      <c r="AY211" s="21"/>
      <c r="AZ211" s="22"/>
      <c r="BA211" s="21"/>
      <c r="BB211" s="21"/>
      <c r="BC211" s="21"/>
      <c r="BD211" s="21"/>
      <c r="BE211" s="26"/>
      <c r="BF211" s="26"/>
      <c r="BG211" s="62"/>
    </row>
    <row r="212" spans="1:59" x14ac:dyDescent="0.3">
      <c r="A212" s="63"/>
      <c r="B212" s="63"/>
      <c r="C212" s="39"/>
      <c r="D212" s="6"/>
      <c r="E212" s="149"/>
      <c r="F212" s="153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5"/>
      <c r="V212" s="5"/>
      <c r="W212" s="13"/>
      <c r="X212" s="4"/>
      <c r="Y212" s="4"/>
      <c r="Z212" s="4"/>
      <c r="AA212" s="6"/>
      <c r="AB212" s="5"/>
      <c r="AC212" s="9"/>
      <c r="AD212" s="9"/>
      <c r="AE212" s="9"/>
      <c r="AF212" s="9"/>
      <c r="AG212" s="64"/>
      <c r="AH212" s="3"/>
      <c r="AI212" s="2"/>
      <c r="AJ212" s="2"/>
      <c r="AK212" s="2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x14ac:dyDescent="0.3">
      <c r="A213" s="63"/>
      <c r="B213" s="63"/>
      <c r="C213" s="39"/>
      <c r="D213" s="6"/>
      <c r="E213" s="149"/>
      <c r="F213" s="153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5"/>
      <c r="V213" s="5"/>
      <c r="W213" s="13"/>
      <c r="X213" s="4"/>
      <c r="Y213" s="4"/>
      <c r="Z213" s="4"/>
      <c r="AA213" s="6"/>
      <c r="AB213" s="5"/>
      <c r="AC213" s="9"/>
      <c r="AD213" s="9"/>
      <c r="AE213" s="9"/>
      <c r="AF213" s="9"/>
      <c r="AG213" s="64"/>
      <c r="AH213" s="3"/>
      <c r="AI213" s="2"/>
      <c r="AJ213" s="2"/>
      <c r="AK213" s="2"/>
      <c r="AL213" s="3"/>
      <c r="AM213" s="3"/>
      <c r="AN213" s="3"/>
      <c r="AO213" s="3"/>
      <c r="AP213" s="3"/>
      <c r="AQ213" s="3"/>
      <c r="AR213" s="21"/>
      <c r="AS213" s="21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3.5" customHeight="1" x14ac:dyDescent="0.35">
      <c r="A214" s="49"/>
      <c r="B214" s="49"/>
      <c r="C214" s="14"/>
      <c r="D214" s="1"/>
      <c r="E214" s="149"/>
      <c r="F214" s="153"/>
      <c r="G214" s="10"/>
      <c r="H214" s="17"/>
      <c r="I214" s="17"/>
      <c r="J214" s="17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29"/>
      <c r="X214" s="15"/>
      <c r="Y214" s="30"/>
      <c r="Z214" s="30"/>
      <c r="AA214" s="30"/>
      <c r="AB214" s="30"/>
      <c r="AC214" s="17"/>
      <c r="AD214" s="17"/>
      <c r="AE214" s="17"/>
      <c r="AF214" s="17"/>
      <c r="AG214" s="21"/>
      <c r="AH214" s="21"/>
      <c r="AI214" s="21"/>
      <c r="AJ214" s="21"/>
      <c r="AK214" s="21"/>
      <c r="AL214" s="21"/>
      <c r="AM214" s="21"/>
      <c r="AN214" s="21"/>
      <c r="AO214" s="22"/>
      <c r="AP214" s="21"/>
      <c r="AQ214" s="22"/>
      <c r="AR214" s="21"/>
      <c r="AS214" s="21"/>
      <c r="AT214" s="21"/>
      <c r="AU214" s="21"/>
      <c r="AV214" s="21"/>
      <c r="AW214" s="21"/>
      <c r="AX214" s="22"/>
      <c r="AY214" s="21"/>
      <c r="AZ214" s="22"/>
      <c r="BA214" s="21"/>
      <c r="BB214" s="21"/>
      <c r="BC214" s="21"/>
      <c r="BD214" s="21"/>
      <c r="BE214" s="26"/>
      <c r="BF214" s="26"/>
      <c r="BG214" s="62"/>
    </row>
    <row r="215" spans="1:59" x14ac:dyDescent="0.3">
      <c r="A215" s="63"/>
      <c r="B215" s="63"/>
      <c r="C215" s="39"/>
      <c r="D215" s="6"/>
      <c r="E215" s="149"/>
      <c r="F215" s="153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5"/>
      <c r="V215" s="5"/>
      <c r="W215" s="13"/>
      <c r="X215" s="4"/>
      <c r="Y215" s="4"/>
      <c r="Z215" s="4"/>
      <c r="AA215" s="6"/>
      <c r="AB215" s="5"/>
      <c r="AC215" s="9"/>
      <c r="AD215" s="9"/>
      <c r="AE215" s="9"/>
      <c r="AF215" s="9"/>
      <c r="AG215" s="64"/>
      <c r="AH215" s="3"/>
      <c r="AI215" s="2"/>
      <c r="AJ215" s="2"/>
      <c r="AK215" s="2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x14ac:dyDescent="0.3">
      <c r="A216" s="6"/>
      <c r="B216" s="6"/>
      <c r="C216" s="39"/>
      <c r="D216" s="6"/>
      <c r="E216" s="149"/>
      <c r="F216" s="153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12"/>
      <c r="Y216" s="6"/>
      <c r="Z216" s="6"/>
      <c r="AA216" s="6"/>
      <c r="AB216" s="6"/>
      <c r="AC216" s="9"/>
      <c r="AD216" s="9"/>
      <c r="AE216" s="9"/>
      <c r="AF216" s="9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21"/>
      <c r="AS216" s="21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3.5" customHeight="1" x14ac:dyDescent="0.35">
      <c r="A217" s="49"/>
      <c r="B217" s="49"/>
      <c r="C217" s="14"/>
      <c r="D217" s="1"/>
      <c r="E217" s="149"/>
      <c r="F217" s="153"/>
      <c r="G217" s="10"/>
      <c r="H217" s="17"/>
      <c r="I217" s="17"/>
      <c r="J217" s="17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29"/>
      <c r="X217" s="15"/>
      <c r="Y217" s="30"/>
      <c r="Z217" s="30"/>
      <c r="AA217" s="30"/>
      <c r="AB217" s="30"/>
      <c r="AC217" s="17"/>
      <c r="AD217" s="17"/>
      <c r="AE217" s="17"/>
      <c r="AF217" s="17"/>
      <c r="AG217" s="21"/>
      <c r="AH217" s="21"/>
      <c r="AI217" s="21"/>
      <c r="AJ217" s="21"/>
      <c r="AK217" s="21"/>
      <c r="AL217" s="21"/>
      <c r="AM217" s="21"/>
      <c r="AN217" s="21"/>
      <c r="AO217" s="22"/>
      <c r="AP217" s="21"/>
      <c r="AQ217" s="22"/>
      <c r="AR217" s="21"/>
      <c r="AS217" s="21"/>
      <c r="AT217" s="21"/>
      <c r="AU217" s="21"/>
      <c r="AV217" s="21"/>
      <c r="AW217" s="21"/>
      <c r="AX217" s="22"/>
      <c r="AY217" s="21"/>
      <c r="AZ217" s="22"/>
      <c r="BA217" s="21"/>
      <c r="BB217" s="21"/>
      <c r="BC217" s="21"/>
      <c r="BD217" s="21"/>
      <c r="BE217" s="26"/>
      <c r="BF217" s="26"/>
      <c r="BG217" s="62"/>
    </row>
    <row r="218" spans="1:59" ht="13.5" customHeight="1" x14ac:dyDescent="0.35">
      <c r="A218" s="49"/>
      <c r="B218" s="49"/>
      <c r="C218" s="14"/>
      <c r="D218" s="1"/>
      <c r="E218" s="149"/>
      <c r="F218" s="153"/>
      <c r="G218" s="10"/>
      <c r="H218" s="17"/>
      <c r="I218" s="17"/>
      <c r="J218" s="17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29"/>
      <c r="X218" s="15"/>
      <c r="Y218" s="30"/>
      <c r="Z218" s="30"/>
      <c r="AA218" s="30"/>
      <c r="AB218" s="30"/>
      <c r="AC218" s="17"/>
      <c r="AD218" s="17"/>
      <c r="AE218" s="17"/>
      <c r="AF218" s="17"/>
      <c r="AG218" s="21"/>
      <c r="AH218" s="21"/>
      <c r="AI218" s="21"/>
      <c r="AJ218" s="21"/>
      <c r="AK218" s="21"/>
      <c r="AL218" s="21"/>
      <c r="AM218" s="21"/>
      <c r="AN218" s="21"/>
      <c r="AO218" s="22"/>
      <c r="AP218" s="21"/>
      <c r="AQ218" s="22"/>
      <c r="AR218" s="21"/>
      <c r="AS218" s="21"/>
      <c r="AT218" s="21"/>
      <c r="AU218" s="21"/>
      <c r="AV218" s="21"/>
      <c r="AW218" s="21"/>
      <c r="AX218" s="22"/>
      <c r="AY218" s="21"/>
      <c r="AZ218" s="22"/>
      <c r="BA218" s="21"/>
      <c r="BB218" s="21"/>
      <c r="BC218" s="21"/>
      <c r="BD218" s="21"/>
      <c r="BE218" s="26"/>
      <c r="BF218" s="26"/>
      <c r="BG218" s="62"/>
    </row>
    <row r="219" spans="1:59" x14ac:dyDescent="0.3">
      <c r="A219" s="6"/>
      <c r="B219" s="6"/>
      <c r="C219" s="39"/>
      <c r="D219" s="6"/>
      <c r="E219" s="149"/>
      <c r="F219" s="153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5"/>
      <c r="V219" s="5"/>
      <c r="W219" s="13"/>
      <c r="X219" s="4"/>
      <c r="Y219" s="4"/>
      <c r="Z219" s="4"/>
      <c r="AA219" s="6"/>
      <c r="AB219" s="5"/>
      <c r="AC219" s="9"/>
      <c r="AD219" s="9"/>
      <c r="AE219" s="9"/>
      <c r="AF219" s="9"/>
      <c r="AG219" s="2"/>
      <c r="AH219" s="3"/>
      <c r="AI219" s="2"/>
      <c r="AJ219" s="2"/>
      <c r="AK219" s="2"/>
      <c r="AL219" s="3"/>
      <c r="AM219" s="3"/>
      <c r="AN219" s="3"/>
      <c r="AO219" s="3"/>
      <c r="AP219" s="3"/>
      <c r="AQ219" s="3"/>
      <c r="AR219" s="21"/>
      <c r="AS219" s="21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x14ac:dyDescent="0.3">
      <c r="A220" s="63"/>
      <c r="B220" s="63"/>
      <c r="C220" s="39"/>
      <c r="D220" s="6"/>
      <c r="E220" s="149"/>
      <c r="F220" s="153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5"/>
      <c r="V220" s="5"/>
      <c r="W220" s="13"/>
      <c r="X220" s="4"/>
      <c r="Y220" s="4"/>
      <c r="Z220" s="4"/>
      <c r="AA220" s="6"/>
      <c r="AB220" s="5"/>
      <c r="AC220" s="9"/>
      <c r="AD220" s="9"/>
      <c r="AE220" s="9"/>
      <c r="AF220" s="9"/>
      <c r="AG220" s="64"/>
      <c r="AH220" s="3"/>
      <c r="AI220" s="2"/>
      <c r="AJ220" s="2"/>
      <c r="AK220" s="2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x14ac:dyDescent="0.3">
      <c r="A221" s="6"/>
      <c r="B221" s="6"/>
      <c r="C221" s="39"/>
      <c r="D221" s="6"/>
      <c r="E221" s="149"/>
      <c r="F221" s="153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5"/>
      <c r="V221" s="5"/>
      <c r="W221" s="13"/>
      <c r="X221" s="4"/>
      <c r="Y221" s="4"/>
      <c r="Z221" s="4"/>
      <c r="AA221" s="6"/>
      <c r="AB221" s="5"/>
      <c r="AC221" s="9"/>
      <c r="AD221" s="9"/>
      <c r="AE221" s="9"/>
      <c r="AF221" s="9"/>
      <c r="AG221" s="2"/>
      <c r="AH221" s="3"/>
      <c r="AI221" s="2"/>
      <c r="AJ221" s="2"/>
      <c r="AK221" s="2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x14ac:dyDescent="0.3">
      <c r="A222" s="6"/>
      <c r="B222" s="6"/>
      <c r="C222" s="39"/>
      <c r="D222" s="6"/>
      <c r="E222" s="149"/>
      <c r="F222" s="153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12"/>
      <c r="Y222" s="6"/>
      <c r="Z222" s="6"/>
      <c r="AA222" s="6"/>
      <c r="AB222" s="6"/>
      <c r="AC222" s="9"/>
      <c r="AD222" s="9"/>
      <c r="AE222" s="9"/>
      <c r="AF222" s="9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21"/>
      <c r="AS222" s="21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3.5" customHeight="1" x14ac:dyDescent="0.35">
      <c r="A223" s="49"/>
      <c r="B223" s="49"/>
      <c r="C223" s="14"/>
      <c r="D223" s="1"/>
      <c r="E223" s="149"/>
      <c r="F223" s="153"/>
      <c r="G223" s="10"/>
      <c r="H223" s="17"/>
      <c r="I223" s="17"/>
      <c r="J223" s="17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29"/>
      <c r="X223" s="15"/>
      <c r="Y223" s="30"/>
      <c r="Z223" s="30"/>
      <c r="AA223" s="30"/>
      <c r="AB223" s="30"/>
      <c r="AC223" s="17"/>
      <c r="AD223" s="17"/>
      <c r="AE223" s="17"/>
      <c r="AF223" s="17"/>
      <c r="AG223" s="21"/>
      <c r="AH223" s="21"/>
      <c r="AI223" s="21"/>
      <c r="AJ223" s="21"/>
      <c r="AK223" s="21"/>
      <c r="AL223" s="21"/>
      <c r="AM223" s="21"/>
      <c r="AN223" s="21"/>
      <c r="AO223" s="22"/>
      <c r="AP223" s="21"/>
      <c r="AQ223" s="22"/>
      <c r="AR223" s="21"/>
      <c r="AS223" s="21"/>
      <c r="AT223" s="21"/>
      <c r="AU223" s="21"/>
      <c r="AV223" s="21"/>
      <c r="AW223" s="21"/>
      <c r="AX223" s="22"/>
      <c r="AY223" s="21"/>
      <c r="AZ223" s="22"/>
      <c r="BA223" s="21"/>
      <c r="BB223" s="21"/>
      <c r="BC223" s="21"/>
      <c r="BD223" s="21"/>
      <c r="BE223" s="26"/>
      <c r="BF223" s="26"/>
      <c r="BG223" s="62"/>
    </row>
    <row r="224" spans="1:59" x14ac:dyDescent="0.3">
      <c r="A224" s="63"/>
      <c r="B224" s="63"/>
      <c r="C224" s="39"/>
      <c r="D224" s="6"/>
      <c r="E224" s="149"/>
      <c r="F224" s="153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5"/>
      <c r="V224" s="5"/>
      <c r="W224" s="13"/>
      <c r="X224" s="4"/>
      <c r="Y224" s="4"/>
      <c r="Z224" s="4"/>
      <c r="AA224" s="6"/>
      <c r="AB224" s="5"/>
      <c r="AC224" s="9"/>
      <c r="AD224" s="9"/>
      <c r="AE224" s="9"/>
      <c r="AF224" s="9"/>
      <c r="AG224" s="64"/>
      <c r="AH224" s="3"/>
      <c r="AI224" s="2"/>
      <c r="AJ224" s="2"/>
      <c r="AK224" s="2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x14ac:dyDescent="0.3">
      <c r="A225" s="6"/>
      <c r="B225" s="6"/>
      <c r="C225" s="39"/>
      <c r="D225" s="6"/>
      <c r="E225" s="149"/>
      <c r="F225" s="153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5"/>
      <c r="V225" s="5"/>
      <c r="W225" s="13"/>
      <c r="X225" s="4"/>
      <c r="Y225" s="4"/>
      <c r="Z225" s="4"/>
      <c r="AA225" s="6"/>
      <c r="AB225" s="5"/>
      <c r="AC225" s="9"/>
      <c r="AD225" s="9"/>
      <c r="AE225" s="9"/>
      <c r="AF225" s="9"/>
      <c r="AG225" s="2"/>
      <c r="AH225" s="3"/>
      <c r="AI225" s="2"/>
      <c r="AJ225" s="2"/>
      <c r="AK225" s="2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x14ac:dyDescent="0.3">
      <c r="A226" s="63"/>
      <c r="B226" s="63"/>
      <c r="C226" s="39"/>
      <c r="D226" s="6"/>
      <c r="E226" s="149"/>
      <c r="F226" s="153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5"/>
      <c r="V226" s="5"/>
      <c r="W226" s="13"/>
      <c r="X226" s="4"/>
      <c r="Y226" s="4"/>
      <c r="Z226" s="4"/>
      <c r="AA226" s="6"/>
      <c r="AB226" s="5"/>
      <c r="AC226" s="9"/>
      <c r="AD226" s="9"/>
      <c r="AE226" s="9"/>
      <c r="AF226" s="9"/>
      <c r="AG226" s="64"/>
      <c r="AH226" s="3"/>
      <c r="AI226" s="2"/>
      <c r="AJ226" s="2"/>
      <c r="AK226" s="2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x14ac:dyDescent="0.3">
      <c r="A227" s="6"/>
      <c r="B227" s="6"/>
      <c r="C227" s="39"/>
      <c r="D227" s="6"/>
      <c r="E227" s="149"/>
      <c r="F227" s="153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2"/>
      <c r="Y227" s="6"/>
      <c r="Z227" s="6"/>
      <c r="AA227" s="6"/>
      <c r="AB227" s="6"/>
      <c r="AC227" s="9"/>
      <c r="AD227" s="9"/>
      <c r="AE227" s="9"/>
      <c r="AF227" s="9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21"/>
      <c r="AS227" s="21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3.5" customHeight="1" x14ac:dyDescent="0.35">
      <c r="A228" s="49"/>
      <c r="B228" s="49"/>
      <c r="C228" s="14"/>
      <c r="D228" s="1"/>
      <c r="E228" s="149"/>
      <c r="F228" s="153"/>
      <c r="G228" s="10"/>
      <c r="H228" s="17"/>
      <c r="I228" s="17"/>
      <c r="J228" s="17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29"/>
      <c r="X228" s="15"/>
      <c r="Y228" s="30"/>
      <c r="Z228" s="30"/>
      <c r="AA228" s="30"/>
      <c r="AB228" s="30"/>
      <c r="AC228" s="17"/>
      <c r="AD228" s="17"/>
      <c r="AE228" s="17"/>
      <c r="AF228" s="17"/>
      <c r="AG228" s="21"/>
      <c r="AH228" s="21"/>
      <c r="AI228" s="21"/>
      <c r="AJ228" s="21"/>
      <c r="AK228" s="21"/>
      <c r="AL228" s="21"/>
      <c r="AM228" s="21"/>
      <c r="AN228" s="21"/>
      <c r="AO228" s="22"/>
      <c r="AP228" s="21"/>
      <c r="AQ228" s="22"/>
      <c r="AR228" s="21"/>
      <c r="AS228" s="21"/>
      <c r="AT228" s="21"/>
      <c r="AU228" s="21"/>
      <c r="AV228" s="21"/>
      <c r="AW228" s="21"/>
      <c r="AX228" s="22"/>
      <c r="AY228" s="21"/>
      <c r="AZ228" s="22"/>
      <c r="BA228" s="21"/>
      <c r="BB228" s="21"/>
      <c r="BC228" s="21"/>
      <c r="BD228" s="21"/>
      <c r="BE228" s="26"/>
      <c r="BF228" s="26"/>
      <c r="BG228" s="62"/>
    </row>
    <row r="229" spans="1:59" x14ac:dyDescent="0.3">
      <c r="A229" s="63"/>
      <c r="B229" s="63"/>
      <c r="C229" s="39"/>
      <c r="D229" s="6"/>
      <c r="E229" s="149"/>
      <c r="F229" s="153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5"/>
      <c r="V229" s="5"/>
      <c r="W229" s="13"/>
      <c r="X229" s="4"/>
      <c r="Y229" s="4"/>
      <c r="Z229" s="4"/>
      <c r="AA229" s="6"/>
      <c r="AB229" s="5"/>
      <c r="AC229" s="9"/>
      <c r="AD229" s="9"/>
      <c r="AE229" s="9"/>
      <c r="AF229" s="9"/>
      <c r="AG229" s="64"/>
      <c r="AH229" s="3"/>
      <c r="AI229" s="2"/>
      <c r="AJ229" s="2"/>
      <c r="AK229" s="2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x14ac:dyDescent="0.3">
      <c r="A230" s="6"/>
      <c r="B230" s="6"/>
      <c r="C230" s="39"/>
      <c r="D230" s="6"/>
      <c r="E230" s="149"/>
      <c r="F230" s="153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12"/>
      <c r="Y230" s="6"/>
      <c r="Z230" s="6"/>
      <c r="AA230" s="6"/>
      <c r="AB230" s="6"/>
      <c r="AC230" s="9"/>
      <c r="AD230" s="9"/>
      <c r="AE230" s="9"/>
      <c r="AF230" s="9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21"/>
      <c r="AS230" s="21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3.5" customHeight="1" x14ac:dyDescent="0.35">
      <c r="A231" s="49"/>
      <c r="B231" s="49"/>
      <c r="C231" s="14"/>
      <c r="D231" s="1"/>
      <c r="E231" s="149"/>
      <c r="F231" s="153"/>
      <c r="G231" s="10"/>
      <c r="H231" s="17"/>
      <c r="I231" s="17"/>
      <c r="J231" s="17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29"/>
      <c r="X231" s="15"/>
      <c r="Y231" s="30"/>
      <c r="Z231" s="30"/>
      <c r="AA231" s="30"/>
      <c r="AB231" s="30"/>
      <c r="AC231" s="17"/>
      <c r="AD231" s="17"/>
      <c r="AE231" s="17"/>
      <c r="AF231" s="17"/>
      <c r="AG231" s="21"/>
      <c r="AH231" s="21"/>
      <c r="AI231" s="21"/>
      <c r="AJ231" s="21"/>
      <c r="AK231" s="21"/>
      <c r="AL231" s="21"/>
      <c r="AM231" s="21"/>
      <c r="AN231" s="21"/>
      <c r="AO231" s="22"/>
      <c r="AP231" s="21"/>
      <c r="AQ231" s="22"/>
      <c r="AR231" s="21"/>
      <c r="AS231" s="21"/>
      <c r="AT231" s="21"/>
      <c r="AU231" s="21"/>
      <c r="AV231" s="21"/>
      <c r="AW231" s="21"/>
      <c r="AX231" s="22"/>
      <c r="AY231" s="21"/>
      <c r="AZ231" s="22"/>
      <c r="BA231" s="21"/>
      <c r="BB231" s="21"/>
      <c r="BC231" s="21"/>
      <c r="BD231" s="21"/>
      <c r="BE231" s="26"/>
      <c r="BF231" s="26"/>
      <c r="BG231" s="62"/>
    </row>
    <row r="232" spans="1:59" x14ac:dyDescent="0.3">
      <c r="A232" s="6"/>
      <c r="B232" s="6"/>
      <c r="C232" s="39"/>
      <c r="D232" s="6"/>
      <c r="E232" s="149"/>
      <c r="F232" s="153"/>
      <c r="G232" s="1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12"/>
      <c r="Y232" s="6"/>
      <c r="Z232" s="6"/>
      <c r="AA232" s="6"/>
      <c r="AB232" s="6"/>
      <c r="AC232" s="9"/>
      <c r="AD232" s="9"/>
      <c r="AE232" s="9"/>
      <c r="AF232" s="9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21"/>
      <c r="AS232" s="21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x14ac:dyDescent="0.3">
      <c r="A233" s="63"/>
      <c r="B233" s="63"/>
      <c r="C233" s="39"/>
      <c r="D233" s="6"/>
      <c r="E233" s="149"/>
      <c r="F233" s="153"/>
      <c r="G233" s="1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5"/>
      <c r="V233" s="5"/>
      <c r="W233" s="13"/>
      <c r="X233" s="4"/>
      <c r="Y233" s="4"/>
      <c r="Z233" s="4"/>
      <c r="AA233" s="6"/>
      <c r="AB233" s="5"/>
      <c r="AC233" s="9"/>
      <c r="AD233" s="9"/>
      <c r="AE233" s="9"/>
      <c r="AF233" s="9"/>
      <c r="AG233" s="64"/>
      <c r="AH233" s="3"/>
      <c r="AI233" s="2"/>
      <c r="AJ233" s="2"/>
      <c r="AK233" s="2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x14ac:dyDescent="0.3">
      <c r="A234" s="6"/>
      <c r="B234" s="6"/>
      <c r="C234" s="39"/>
      <c r="D234" s="6"/>
      <c r="E234" s="149"/>
      <c r="F234" s="153"/>
      <c r="G234" s="1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12"/>
      <c r="Y234" s="6"/>
      <c r="Z234" s="6"/>
      <c r="AA234" s="6"/>
      <c r="AB234" s="6"/>
      <c r="AC234" s="9"/>
      <c r="AD234" s="9"/>
      <c r="AE234" s="9"/>
      <c r="AF234" s="9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x14ac:dyDescent="0.3">
      <c r="A235" s="6"/>
      <c r="B235" s="6"/>
      <c r="C235" s="39"/>
      <c r="D235" s="6"/>
      <c r="E235" s="149"/>
      <c r="F235" s="153"/>
      <c r="G235" s="1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2"/>
      <c r="Y235" s="6"/>
      <c r="Z235" s="6"/>
      <c r="AA235" s="6"/>
      <c r="AB235" s="6"/>
      <c r="AC235" s="9"/>
      <c r="AD235" s="9"/>
      <c r="AE235" s="9"/>
      <c r="AF235" s="9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21"/>
      <c r="AS235" s="21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3.5" customHeight="1" x14ac:dyDescent="0.35">
      <c r="A236" s="49"/>
      <c r="B236" s="49"/>
      <c r="C236" s="14"/>
      <c r="D236" s="1"/>
      <c r="E236" s="149"/>
      <c r="F236" s="153"/>
      <c r="G236" s="10"/>
      <c r="H236" s="17"/>
      <c r="I236" s="17"/>
      <c r="J236" s="17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29"/>
      <c r="X236" s="15"/>
      <c r="Y236" s="30"/>
      <c r="Z236" s="30"/>
      <c r="AA236" s="30"/>
      <c r="AB236" s="30"/>
      <c r="AC236" s="17"/>
      <c r="AD236" s="17"/>
      <c r="AE236" s="17"/>
      <c r="AF236" s="17"/>
      <c r="AG236" s="21"/>
      <c r="AH236" s="21"/>
      <c r="AI236" s="21"/>
      <c r="AJ236" s="21"/>
      <c r="AK236" s="21"/>
      <c r="AL236" s="21"/>
      <c r="AM236" s="21"/>
      <c r="AN236" s="21"/>
      <c r="AO236" s="22"/>
      <c r="AP236" s="21"/>
      <c r="AQ236" s="22"/>
      <c r="AR236" s="21"/>
      <c r="AS236" s="21"/>
      <c r="AT236" s="21"/>
      <c r="AU236" s="21"/>
      <c r="AV236" s="21"/>
      <c r="AW236" s="21"/>
      <c r="AX236" s="22"/>
      <c r="AY236" s="21"/>
      <c r="AZ236" s="22"/>
      <c r="BA236" s="21"/>
      <c r="BB236" s="21"/>
      <c r="BC236" s="21"/>
      <c r="BD236" s="21"/>
      <c r="BE236" s="26"/>
      <c r="BF236" s="26"/>
      <c r="BG236" s="62"/>
    </row>
    <row r="237" spans="1:59" x14ac:dyDescent="0.3">
      <c r="A237" s="6"/>
      <c r="B237" s="6"/>
      <c r="C237" s="39"/>
      <c r="D237" s="6"/>
      <c r="E237" s="149"/>
      <c r="F237" s="153"/>
      <c r="G237" s="1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2"/>
      <c r="Y237" s="6"/>
      <c r="Z237" s="6"/>
      <c r="AA237" s="6"/>
      <c r="AB237" s="6"/>
      <c r="AC237" s="9"/>
      <c r="AD237" s="9"/>
      <c r="AE237" s="9"/>
      <c r="AF237" s="9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3.5" customHeight="1" x14ac:dyDescent="0.35">
      <c r="A238" s="49"/>
      <c r="B238" s="49"/>
      <c r="C238" s="14"/>
      <c r="D238" s="1"/>
      <c r="E238" s="149"/>
      <c r="F238" s="153"/>
      <c r="G238" s="10"/>
      <c r="H238" s="17"/>
      <c r="I238" s="17"/>
      <c r="J238" s="17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29"/>
      <c r="X238" s="15"/>
      <c r="Y238" s="30"/>
      <c r="Z238" s="30"/>
      <c r="AA238" s="30"/>
      <c r="AB238" s="30"/>
      <c r="AC238" s="17"/>
      <c r="AD238" s="17"/>
      <c r="AE238" s="17"/>
      <c r="AF238" s="17"/>
      <c r="AG238" s="21"/>
      <c r="AH238" s="21"/>
      <c r="AI238" s="21"/>
      <c r="AJ238" s="21"/>
      <c r="AK238" s="21"/>
      <c r="AL238" s="21"/>
      <c r="AM238" s="21"/>
      <c r="AN238" s="21"/>
      <c r="AO238" s="22"/>
      <c r="AP238" s="21"/>
      <c r="AQ238" s="22"/>
      <c r="AR238" s="21"/>
      <c r="AS238" s="21"/>
      <c r="AT238" s="21"/>
      <c r="AU238" s="21"/>
      <c r="AV238" s="21"/>
      <c r="AW238" s="21"/>
      <c r="AX238" s="22"/>
      <c r="AY238" s="21"/>
      <c r="AZ238" s="22"/>
      <c r="BA238" s="21"/>
      <c r="BB238" s="21"/>
      <c r="BC238" s="21"/>
      <c r="BD238" s="21"/>
      <c r="BE238" s="26"/>
      <c r="BF238" s="26"/>
      <c r="BG238" s="62"/>
    </row>
    <row r="239" spans="1:59" x14ac:dyDescent="0.3">
      <c r="A239" s="63"/>
      <c r="B239" s="63"/>
      <c r="C239" s="39"/>
      <c r="D239" s="6"/>
      <c r="E239" s="149"/>
      <c r="F239" s="153"/>
      <c r="G239" s="1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5"/>
      <c r="V239" s="5"/>
      <c r="W239" s="13"/>
      <c r="X239" s="4"/>
      <c r="Y239" s="4"/>
      <c r="Z239" s="4"/>
      <c r="AA239" s="6"/>
      <c r="AB239" s="5"/>
      <c r="AC239" s="9"/>
      <c r="AD239" s="9"/>
      <c r="AE239" s="9"/>
      <c r="AF239" s="9"/>
      <c r="AG239" s="64"/>
      <c r="AH239" s="3"/>
      <c r="AI239" s="2"/>
      <c r="AJ239" s="2"/>
      <c r="AK239" s="2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x14ac:dyDescent="0.3">
      <c r="A240" s="6"/>
      <c r="B240" s="6"/>
      <c r="C240" s="39"/>
      <c r="D240" s="6"/>
      <c r="E240" s="149"/>
      <c r="F240" s="153"/>
      <c r="G240" s="1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5"/>
      <c r="V240" s="5"/>
      <c r="W240" s="13"/>
      <c r="X240" s="4"/>
      <c r="Y240" s="4"/>
      <c r="Z240" s="4"/>
      <c r="AA240" s="6"/>
      <c r="AB240" s="5"/>
      <c r="AC240" s="9"/>
      <c r="AD240" s="9"/>
      <c r="AE240" s="9"/>
      <c r="AF240" s="9"/>
      <c r="AG240" s="2"/>
      <c r="AH240" s="3"/>
      <c r="AI240" s="2"/>
      <c r="AJ240" s="2"/>
      <c r="AK240" s="2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x14ac:dyDescent="0.3">
      <c r="A241" s="63"/>
      <c r="B241" s="63"/>
      <c r="C241" s="39"/>
      <c r="D241" s="6"/>
      <c r="E241" s="149"/>
      <c r="F241" s="153"/>
      <c r="G241" s="1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5"/>
      <c r="V241" s="5"/>
      <c r="W241" s="13"/>
      <c r="X241" s="4"/>
      <c r="Y241" s="4"/>
      <c r="Z241" s="4"/>
      <c r="AA241" s="6"/>
      <c r="AB241" s="5"/>
      <c r="AC241" s="9"/>
      <c r="AD241" s="9"/>
      <c r="AE241" s="9"/>
      <c r="AF241" s="9"/>
      <c r="AG241" s="64"/>
      <c r="AH241" s="3"/>
      <c r="AI241" s="2"/>
      <c r="AJ241" s="2"/>
      <c r="AK241" s="2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x14ac:dyDescent="0.3">
      <c r="A242" s="63"/>
      <c r="B242" s="63"/>
      <c r="C242" s="39"/>
      <c r="D242" s="6"/>
      <c r="E242" s="149"/>
      <c r="F242" s="153"/>
      <c r="G242" s="1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5"/>
      <c r="V242" s="5"/>
      <c r="W242" s="13"/>
      <c r="X242" s="4"/>
      <c r="Y242" s="4"/>
      <c r="Z242" s="4"/>
      <c r="AA242" s="6"/>
      <c r="AB242" s="5"/>
      <c r="AC242" s="9"/>
      <c r="AD242" s="9"/>
      <c r="AE242" s="9"/>
      <c r="AF242" s="9"/>
      <c r="AG242" s="64"/>
      <c r="AH242" s="3"/>
      <c r="AI242" s="2"/>
      <c r="AJ242" s="2"/>
      <c r="AK242" s="2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x14ac:dyDescent="0.3">
      <c r="A243" s="6"/>
      <c r="B243" s="6"/>
      <c r="C243" s="39"/>
      <c r="D243" s="6"/>
      <c r="E243" s="149"/>
      <c r="F243" s="153"/>
      <c r="G243" s="1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5"/>
      <c r="V243" s="5"/>
      <c r="W243" s="13"/>
      <c r="X243" s="4"/>
      <c r="Y243" s="4"/>
      <c r="Z243" s="4"/>
      <c r="AA243" s="6"/>
      <c r="AB243" s="5"/>
      <c r="AC243" s="9"/>
      <c r="AD243" s="9"/>
      <c r="AE243" s="9"/>
      <c r="AF243" s="9"/>
      <c r="AG243" s="2"/>
      <c r="AH243" s="3"/>
      <c r="AI243" s="2"/>
      <c r="AJ243" s="2"/>
      <c r="AK243" s="2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x14ac:dyDescent="0.3">
      <c r="A244" s="6"/>
      <c r="B244" s="6"/>
      <c r="C244" s="39"/>
      <c r="D244" s="6"/>
      <c r="E244" s="149"/>
      <c r="F244" s="153"/>
      <c r="G244" s="1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12"/>
      <c r="Y244" s="6"/>
      <c r="Z244" s="6"/>
      <c r="AA244" s="6"/>
      <c r="AB244" s="6"/>
      <c r="AC244" s="9"/>
      <c r="AD244" s="9"/>
      <c r="AE244" s="9"/>
      <c r="AF244" s="9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21"/>
      <c r="AS244" s="21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x14ac:dyDescent="0.3">
      <c r="A245" s="6"/>
      <c r="B245" s="6"/>
      <c r="C245" s="39"/>
      <c r="D245" s="6"/>
      <c r="E245" s="149"/>
      <c r="F245" s="153"/>
      <c r="G245" s="1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2"/>
      <c r="Y245" s="6"/>
      <c r="Z245" s="6"/>
      <c r="AA245" s="6"/>
      <c r="AB245" s="6"/>
      <c r="AC245" s="9"/>
      <c r="AD245" s="9"/>
      <c r="AE245" s="9"/>
      <c r="AF245" s="9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21"/>
      <c r="AS245" s="21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x14ac:dyDescent="0.3">
      <c r="A246" s="63"/>
      <c r="B246" s="63"/>
      <c r="C246" s="39"/>
      <c r="D246" s="6"/>
      <c r="E246" s="149"/>
      <c r="F246" s="153"/>
      <c r="G246" s="1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5"/>
      <c r="V246" s="5"/>
      <c r="W246" s="13"/>
      <c r="X246" s="4"/>
      <c r="Y246" s="4"/>
      <c r="Z246" s="4"/>
      <c r="AA246" s="6"/>
      <c r="AB246" s="5"/>
      <c r="AC246" s="9"/>
      <c r="AD246" s="9"/>
      <c r="AE246" s="9"/>
      <c r="AF246" s="9"/>
      <c r="AG246" s="64"/>
      <c r="AH246" s="3"/>
      <c r="AI246" s="2"/>
      <c r="AJ246" s="2"/>
      <c r="AK246" s="2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x14ac:dyDescent="0.3">
      <c r="A247" s="63"/>
      <c r="B247" s="63"/>
      <c r="C247" s="39"/>
      <c r="D247" s="6"/>
      <c r="E247" s="149"/>
      <c r="F247" s="153"/>
      <c r="G247" s="1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5"/>
      <c r="V247" s="5"/>
      <c r="W247" s="13"/>
      <c r="X247" s="4"/>
      <c r="Y247" s="4"/>
      <c r="Z247" s="4"/>
      <c r="AA247" s="6"/>
      <c r="AB247" s="5"/>
      <c r="AC247" s="9"/>
      <c r="AD247" s="9"/>
      <c r="AE247" s="9"/>
      <c r="AF247" s="9"/>
      <c r="AG247" s="64"/>
      <c r="AH247" s="3"/>
      <c r="AI247" s="2"/>
      <c r="AJ247" s="2"/>
      <c r="AK247" s="2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x14ac:dyDescent="0.3">
      <c r="A248" s="6"/>
      <c r="B248" s="6"/>
      <c r="C248" s="39"/>
      <c r="D248" s="6"/>
      <c r="E248" s="149"/>
      <c r="F248" s="153"/>
      <c r="G248" s="1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5"/>
      <c r="V248" s="5"/>
      <c r="W248" s="13"/>
      <c r="X248" s="4"/>
      <c r="Y248" s="4"/>
      <c r="Z248" s="4"/>
      <c r="AA248" s="6"/>
      <c r="AB248" s="5"/>
      <c r="AC248" s="9"/>
      <c r="AD248" s="9"/>
      <c r="AE248" s="9"/>
      <c r="AF248" s="9"/>
      <c r="AG248" s="2"/>
      <c r="AH248" s="3"/>
      <c r="AI248" s="2"/>
      <c r="AJ248" s="2"/>
      <c r="AK248" s="2"/>
      <c r="AL248" s="3"/>
      <c r="AM248" s="3"/>
      <c r="AN248" s="3"/>
      <c r="AO248" s="3"/>
      <c r="AP248" s="3"/>
      <c r="AQ248" s="3"/>
      <c r="AR248" s="21"/>
      <c r="AS248" s="21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x14ac:dyDescent="0.3">
      <c r="A249" s="63"/>
      <c r="B249" s="63"/>
      <c r="C249" s="39"/>
      <c r="D249" s="6"/>
      <c r="E249" s="149"/>
      <c r="F249" s="153"/>
      <c r="G249" s="1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5"/>
      <c r="V249" s="5"/>
      <c r="W249" s="13"/>
      <c r="X249" s="4"/>
      <c r="Y249" s="4"/>
      <c r="Z249" s="4"/>
      <c r="AA249" s="6"/>
      <c r="AB249" s="5"/>
      <c r="AC249" s="9"/>
      <c r="AD249" s="9"/>
      <c r="AE249" s="9"/>
      <c r="AF249" s="9"/>
      <c r="AG249" s="64"/>
      <c r="AH249" s="3"/>
      <c r="AI249" s="2"/>
      <c r="AJ249" s="2"/>
      <c r="AK249" s="2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x14ac:dyDescent="0.3">
      <c r="A250" s="6"/>
      <c r="B250" s="6"/>
      <c r="C250" s="39"/>
      <c r="D250" s="6"/>
      <c r="E250" s="149"/>
      <c r="F250" s="153"/>
      <c r="G250" s="1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12"/>
      <c r="Y250" s="6"/>
      <c r="Z250" s="6"/>
      <c r="AA250" s="6"/>
      <c r="AB250" s="6"/>
      <c r="AC250" s="9"/>
      <c r="AD250" s="9"/>
      <c r="AE250" s="9"/>
      <c r="AF250" s="9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21"/>
      <c r="AS250" s="21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x14ac:dyDescent="0.3">
      <c r="A251" s="6"/>
      <c r="B251" s="6"/>
      <c r="C251" s="39"/>
      <c r="D251" s="6"/>
      <c r="E251" s="149"/>
      <c r="F251" s="153"/>
      <c r="G251" s="1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5"/>
      <c r="V251" s="5"/>
      <c r="W251" s="13"/>
      <c r="X251" s="4"/>
      <c r="Y251" s="4"/>
      <c r="Z251" s="4"/>
      <c r="AA251" s="6"/>
      <c r="AB251" s="5"/>
      <c r="AC251" s="9"/>
      <c r="AD251" s="9"/>
      <c r="AE251" s="9"/>
      <c r="AF251" s="9"/>
      <c r="AG251" s="2"/>
      <c r="AH251" s="3"/>
      <c r="AI251" s="2"/>
      <c r="AJ251" s="2"/>
      <c r="AK251" s="2"/>
      <c r="AL251" s="3"/>
      <c r="AM251" s="3"/>
      <c r="AN251" s="3"/>
      <c r="AO251" s="3"/>
      <c r="AP251" s="3"/>
      <c r="AQ251" s="3"/>
      <c r="AR251" s="21"/>
      <c r="AS251" s="21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x14ac:dyDescent="0.3">
      <c r="A252" s="6"/>
      <c r="B252" s="6"/>
      <c r="C252" s="39"/>
      <c r="D252" s="6"/>
      <c r="E252" s="149"/>
      <c r="F252" s="153"/>
      <c r="G252" s="1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12"/>
      <c r="Y252" s="6"/>
      <c r="Z252" s="6"/>
      <c r="AA252" s="6"/>
      <c r="AB252" s="6"/>
      <c r="AC252" s="9"/>
      <c r="AD252" s="9"/>
      <c r="AE252" s="9"/>
      <c r="AF252" s="9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21"/>
      <c r="AS252" s="21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x14ac:dyDescent="0.3">
      <c r="A253" s="6"/>
      <c r="B253" s="6"/>
      <c r="C253" s="39"/>
      <c r="D253" s="6"/>
      <c r="E253" s="149"/>
      <c r="F253" s="153"/>
      <c r="G253" s="1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2"/>
      <c r="Y253" s="6"/>
      <c r="Z253" s="6"/>
      <c r="AA253" s="6"/>
      <c r="AB253" s="6"/>
      <c r="AC253" s="9"/>
      <c r="AD253" s="9"/>
      <c r="AE253" s="9"/>
      <c r="AF253" s="9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21"/>
      <c r="AS253" s="21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x14ac:dyDescent="0.3">
      <c r="A254" s="6"/>
      <c r="B254" s="6"/>
      <c r="C254" s="39"/>
      <c r="D254" s="6"/>
      <c r="E254" s="149"/>
      <c r="F254" s="153"/>
      <c r="G254" s="1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12"/>
      <c r="Y254" s="6"/>
      <c r="Z254" s="6"/>
      <c r="AA254" s="6"/>
      <c r="AB254" s="6"/>
      <c r="AC254" s="9"/>
      <c r="AD254" s="9"/>
      <c r="AE254" s="9"/>
      <c r="AF254" s="9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21"/>
      <c r="AS254" s="21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x14ac:dyDescent="0.3">
      <c r="A255" s="6"/>
      <c r="B255" s="6"/>
      <c r="C255" s="39"/>
      <c r="D255" s="6"/>
      <c r="E255" s="149"/>
      <c r="F255" s="153"/>
      <c r="G255" s="1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2"/>
      <c r="Y255" s="6"/>
      <c r="Z255" s="6"/>
      <c r="AA255" s="6"/>
      <c r="AB255" s="6"/>
      <c r="AC255" s="9"/>
      <c r="AD255" s="9"/>
      <c r="AE255" s="9"/>
      <c r="AF255" s="9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21"/>
      <c r="AS255" s="21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x14ac:dyDescent="0.3">
      <c r="A256" s="6"/>
      <c r="B256" s="6"/>
      <c r="C256" s="39"/>
      <c r="D256" s="6"/>
      <c r="E256" s="149"/>
      <c r="F256" s="153"/>
      <c r="G256" s="1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5"/>
      <c r="V256" s="5"/>
      <c r="W256" s="13"/>
      <c r="X256" s="4"/>
      <c r="Y256" s="4"/>
      <c r="Z256" s="4"/>
      <c r="AA256" s="6"/>
      <c r="AB256" s="5"/>
      <c r="AC256" s="9"/>
      <c r="AD256" s="9"/>
      <c r="AE256" s="9"/>
      <c r="AF256" s="9"/>
      <c r="AG256" s="2"/>
      <c r="AH256" s="3"/>
      <c r="AI256" s="2"/>
      <c r="AJ256" s="2"/>
      <c r="AK256" s="2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3.5" customHeight="1" x14ac:dyDescent="0.35">
      <c r="A257" s="49"/>
      <c r="B257" s="49"/>
      <c r="C257" s="14"/>
      <c r="D257" s="1"/>
      <c r="E257" s="149"/>
      <c r="F257" s="153"/>
      <c r="G257" s="10"/>
      <c r="H257" s="17"/>
      <c r="I257" s="17"/>
      <c r="J257" s="17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29"/>
      <c r="X257" s="15"/>
      <c r="Y257" s="30"/>
      <c r="Z257" s="30"/>
      <c r="AA257" s="30"/>
      <c r="AB257" s="30"/>
      <c r="AC257" s="17"/>
      <c r="AD257" s="17"/>
      <c r="AE257" s="17"/>
      <c r="AF257" s="17"/>
      <c r="AG257" s="21"/>
      <c r="AH257" s="21"/>
      <c r="AI257" s="21"/>
      <c r="AJ257" s="21"/>
      <c r="AK257" s="21"/>
      <c r="AL257" s="21"/>
      <c r="AM257" s="21"/>
      <c r="AN257" s="21"/>
      <c r="AO257" s="22"/>
      <c r="AP257" s="21"/>
      <c r="AQ257" s="22"/>
      <c r="AR257" s="21"/>
      <c r="AS257" s="21"/>
      <c r="AT257" s="21"/>
      <c r="AU257" s="21"/>
      <c r="AV257" s="21"/>
      <c r="AW257" s="21"/>
      <c r="AX257" s="22"/>
      <c r="AY257" s="21"/>
      <c r="AZ257" s="22"/>
      <c r="BA257" s="21"/>
      <c r="BB257" s="21"/>
      <c r="BC257" s="21"/>
      <c r="BD257" s="21"/>
      <c r="BE257" s="26"/>
      <c r="BF257" s="26"/>
      <c r="BG257" s="62"/>
    </row>
    <row r="258" spans="1:59" x14ac:dyDescent="0.3">
      <c r="A258" s="6"/>
      <c r="B258" s="6"/>
      <c r="C258" s="39"/>
      <c r="D258" s="6"/>
      <c r="E258" s="149"/>
      <c r="F258" s="153"/>
      <c r="G258" s="1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12"/>
      <c r="Y258" s="6"/>
      <c r="Z258" s="6"/>
      <c r="AA258" s="6"/>
      <c r="AB258" s="6"/>
      <c r="AC258" s="9"/>
      <c r="AD258" s="9"/>
      <c r="AE258" s="9"/>
      <c r="AF258" s="9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21"/>
      <c r="AS258" s="21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x14ac:dyDescent="0.3">
      <c r="A259" s="6"/>
      <c r="B259" s="6"/>
      <c r="C259" s="39"/>
      <c r="D259" s="6"/>
      <c r="E259" s="149"/>
      <c r="F259" s="153"/>
      <c r="G259" s="1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5"/>
      <c r="V259" s="5"/>
      <c r="W259" s="13"/>
      <c r="X259" s="4"/>
      <c r="Y259" s="4"/>
      <c r="Z259" s="4"/>
      <c r="AA259" s="6"/>
      <c r="AB259" s="5"/>
      <c r="AC259" s="9"/>
      <c r="AD259" s="9"/>
      <c r="AE259" s="9"/>
      <c r="AF259" s="9"/>
      <c r="AG259" s="2"/>
      <c r="AH259" s="3"/>
      <c r="AI259" s="2"/>
      <c r="AJ259" s="2"/>
      <c r="AK259" s="2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3.5" customHeight="1" x14ac:dyDescent="0.35">
      <c r="A260" s="49"/>
      <c r="B260" s="49"/>
      <c r="C260" s="39"/>
      <c r="D260" s="1"/>
      <c r="E260" s="149"/>
      <c r="F260" s="153"/>
      <c r="G260" s="10"/>
      <c r="H260" s="17"/>
      <c r="I260" s="17"/>
      <c r="J260" s="17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29"/>
      <c r="X260" s="15"/>
      <c r="Y260" s="30"/>
      <c r="Z260" s="30"/>
      <c r="AA260" s="30"/>
      <c r="AB260" s="30"/>
      <c r="AC260" s="17"/>
      <c r="AD260" s="17"/>
      <c r="AE260" s="17"/>
      <c r="AF260" s="17"/>
      <c r="AG260" s="21"/>
      <c r="AH260" s="21"/>
      <c r="AI260" s="21"/>
      <c r="AJ260" s="21"/>
      <c r="AK260" s="21"/>
      <c r="AL260" s="21"/>
      <c r="AM260" s="21"/>
      <c r="AN260" s="21"/>
      <c r="AO260" s="22"/>
      <c r="AP260" s="21"/>
      <c r="AQ260" s="22"/>
      <c r="AR260" s="21"/>
      <c r="AS260" s="21"/>
      <c r="AT260" s="21"/>
      <c r="AU260" s="21"/>
      <c r="AV260" s="21"/>
      <c r="AW260" s="21"/>
      <c r="AX260" s="22"/>
      <c r="AY260" s="21"/>
      <c r="AZ260" s="22"/>
      <c r="BA260" s="21"/>
      <c r="BB260" s="21"/>
      <c r="BC260" s="21"/>
      <c r="BD260" s="21"/>
      <c r="BE260" s="26"/>
      <c r="BF260" s="26"/>
      <c r="BG260" s="62"/>
    </row>
    <row r="261" spans="1:59" ht="13.5" customHeight="1" x14ac:dyDescent="0.35">
      <c r="A261" s="49"/>
      <c r="B261" s="49"/>
      <c r="C261" s="14"/>
      <c r="D261" s="1"/>
      <c r="E261" s="149"/>
      <c r="F261" s="153"/>
      <c r="G261" s="10"/>
      <c r="H261" s="17"/>
      <c r="I261" s="17"/>
      <c r="J261" s="17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29"/>
      <c r="X261" s="15"/>
      <c r="Y261" s="30"/>
      <c r="Z261" s="30"/>
      <c r="AA261" s="30"/>
      <c r="AB261" s="30"/>
      <c r="AC261" s="17"/>
      <c r="AD261" s="17"/>
      <c r="AE261" s="17"/>
      <c r="AF261" s="17"/>
      <c r="AG261" s="21"/>
      <c r="AH261" s="21"/>
      <c r="AI261" s="21"/>
      <c r="AJ261" s="21"/>
      <c r="AK261" s="21"/>
      <c r="AL261" s="21"/>
      <c r="AM261" s="21"/>
      <c r="AN261" s="21"/>
      <c r="AO261" s="22"/>
      <c r="AP261" s="21"/>
      <c r="AQ261" s="22"/>
      <c r="AR261" s="21"/>
      <c r="AS261" s="21"/>
      <c r="AT261" s="21"/>
      <c r="AU261" s="21"/>
      <c r="AV261" s="21"/>
      <c r="AW261" s="21"/>
      <c r="AX261" s="22"/>
      <c r="AY261" s="21"/>
      <c r="AZ261" s="22"/>
      <c r="BA261" s="21"/>
      <c r="BB261" s="21"/>
      <c r="BC261" s="21"/>
      <c r="BD261" s="21"/>
      <c r="BE261" s="26"/>
      <c r="BF261" s="26"/>
      <c r="BG261" s="62"/>
    </row>
    <row r="262" spans="1:59" x14ac:dyDescent="0.3">
      <c r="A262" s="42"/>
      <c r="B262" s="42"/>
      <c r="C262" s="43"/>
      <c r="D262" s="42"/>
      <c r="E262" s="150"/>
      <c r="F262" s="154"/>
      <c r="G262" s="15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30"/>
      <c r="V262" s="30"/>
      <c r="W262" s="45"/>
      <c r="X262" s="44"/>
      <c r="Y262" s="44"/>
      <c r="Z262" s="44"/>
      <c r="AA262" s="42"/>
      <c r="AB262" s="30"/>
      <c r="AC262" s="46"/>
      <c r="AD262" s="46"/>
      <c r="AE262" s="46"/>
      <c r="AF262" s="46"/>
      <c r="AG262" s="29"/>
      <c r="AH262" s="47"/>
      <c r="AI262" s="29"/>
      <c r="AJ262" s="29"/>
      <c r="AK262" s="29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</row>
    <row r="263" spans="1:59" x14ac:dyDescent="0.3">
      <c r="A263" s="63"/>
      <c r="B263" s="63"/>
      <c r="C263" s="39"/>
      <c r="D263" s="6"/>
      <c r="E263" s="149"/>
      <c r="F263" s="153"/>
      <c r="G263" s="1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5"/>
      <c r="V263" s="5"/>
      <c r="W263" s="13"/>
      <c r="X263" s="4"/>
      <c r="Y263" s="4"/>
      <c r="Z263" s="4"/>
      <c r="AA263" s="6"/>
      <c r="AB263" s="5"/>
      <c r="AC263" s="9"/>
      <c r="AD263" s="9"/>
      <c r="AE263" s="9"/>
      <c r="AF263" s="9"/>
      <c r="AG263" s="64"/>
      <c r="AH263" s="3"/>
      <c r="AI263" s="2"/>
      <c r="AJ263" s="2"/>
      <c r="AK263" s="2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x14ac:dyDescent="0.3">
      <c r="A264" s="6"/>
      <c r="B264" s="6"/>
      <c r="C264" s="39"/>
      <c r="D264" s="6"/>
      <c r="E264" s="149"/>
      <c r="F264" s="153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12"/>
      <c r="Y264" s="6"/>
      <c r="Z264" s="6"/>
      <c r="AA264" s="6"/>
      <c r="AB264" s="6"/>
      <c r="AC264" s="9"/>
      <c r="AD264" s="9"/>
      <c r="AE264" s="9"/>
      <c r="AF264" s="9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21"/>
      <c r="AS264" s="21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x14ac:dyDescent="0.3">
      <c r="A265" s="63"/>
      <c r="B265" s="63"/>
      <c r="C265" s="39"/>
      <c r="D265" s="6"/>
      <c r="E265" s="149"/>
      <c r="F265" s="153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5"/>
      <c r="V265" s="5"/>
      <c r="W265" s="13"/>
      <c r="X265" s="4"/>
      <c r="Y265" s="4"/>
      <c r="Z265" s="4"/>
      <c r="AA265" s="6"/>
      <c r="AB265" s="5"/>
      <c r="AC265" s="9"/>
      <c r="AD265" s="9"/>
      <c r="AE265" s="9"/>
      <c r="AF265" s="9"/>
      <c r="AG265" s="64"/>
      <c r="AH265" s="3"/>
      <c r="AI265" s="2"/>
      <c r="AJ265" s="2"/>
      <c r="AK265" s="2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x14ac:dyDescent="0.3">
      <c r="A266" s="6"/>
      <c r="B266" s="6"/>
      <c r="C266" s="39"/>
      <c r="D266" s="6"/>
      <c r="E266" s="149"/>
      <c r="F266" s="153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5"/>
      <c r="V266" s="5"/>
      <c r="W266" s="13"/>
      <c r="X266" s="4"/>
      <c r="Y266" s="4"/>
      <c r="Z266" s="4"/>
      <c r="AA266" s="6"/>
      <c r="AB266" s="5"/>
      <c r="AC266" s="9"/>
      <c r="AD266" s="9"/>
      <c r="AE266" s="9"/>
      <c r="AF266" s="9"/>
      <c r="AG266" s="2"/>
      <c r="AH266" s="3"/>
      <c r="AI266" s="2"/>
      <c r="AJ266" s="2"/>
      <c r="AK266" s="2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x14ac:dyDescent="0.3">
      <c r="A267" s="6"/>
      <c r="B267" s="6"/>
      <c r="C267" s="39"/>
      <c r="D267" s="6"/>
      <c r="E267" s="149"/>
      <c r="F267" s="153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12"/>
      <c r="Y267" s="6"/>
      <c r="Z267" s="6"/>
      <c r="AA267" s="6"/>
      <c r="AB267" s="6"/>
      <c r="AC267" s="9"/>
      <c r="AD267" s="9"/>
      <c r="AE267" s="9"/>
      <c r="AF267" s="9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21"/>
      <c r="AS267" s="21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x14ac:dyDescent="0.3">
      <c r="A268" s="6"/>
      <c r="B268" s="6"/>
      <c r="C268" s="39"/>
      <c r="D268" s="6"/>
      <c r="E268" s="149"/>
      <c r="F268" s="153"/>
      <c r="G268" s="1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5"/>
      <c r="V268" s="5"/>
      <c r="W268" s="13"/>
      <c r="X268" s="4"/>
      <c r="Y268" s="4"/>
      <c r="Z268" s="4"/>
      <c r="AA268" s="6"/>
      <c r="AB268" s="5"/>
      <c r="AC268" s="9"/>
      <c r="AD268" s="9"/>
      <c r="AE268" s="9"/>
      <c r="AF268" s="9"/>
      <c r="AG268" s="2"/>
      <c r="AH268" s="3"/>
      <c r="AI268" s="2"/>
      <c r="AJ268" s="2"/>
      <c r="AK268" s="2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x14ac:dyDescent="0.3">
      <c r="A269" s="6"/>
      <c r="B269" s="6"/>
      <c r="C269" s="39"/>
      <c r="D269" s="6"/>
      <c r="E269" s="149"/>
      <c r="F269" s="153"/>
      <c r="G269" s="1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12"/>
      <c r="Y269" s="6"/>
      <c r="Z269" s="6"/>
      <c r="AA269" s="6"/>
      <c r="AB269" s="6"/>
      <c r="AC269" s="9"/>
      <c r="AD269" s="9"/>
      <c r="AE269" s="9"/>
      <c r="AF269" s="9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21"/>
      <c r="AS269" s="21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x14ac:dyDescent="0.3">
      <c r="A270" s="6"/>
      <c r="B270" s="6"/>
      <c r="C270" s="39"/>
      <c r="D270" s="6"/>
      <c r="E270" s="149"/>
      <c r="F270" s="153"/>
      <c r="G270" s="1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5"/>
      <c r="V270" s="5"/>
      <c r="W270" s="13"/>
      <c r="X270" s="4"/>
      <c r="Y270" s="4"/>
      <c r="Z270" s="4"/>
      <c r="AA270" s="6"/>
      <c r="AB270" s="5"/>
      <c r="AC270" s="9"/>
      <c r="AD270" s="9"/>
      <c r="AE270" s="9"/>
      <c r="AF270" s="9"/>
      <c r="AG270" s="2"/>
      <c r="AH270" s="3"/>
      <c r="AI270" s="2"/>
      <c r="AJ270" s="2"/>
      <c r="AK270" s="2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x14ac:dyDescent="0.3">
      <c r="A271" s="6"/>
      <c r="B271" s="6"/>
      <c r="C271" s="39"/>
      <c r="D271" s="6"/>
      <c r="E271" s="149"/>
      <c r="F271" s="153"/>
      <c r="G271" s="1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12"/>
      <c r="Y271" s="6"/>
      <c r="Z271" s="6"/>
      <c r="AA271" s="6"/>
      <c r="AB271" s="6"/>
      <c r="AC271" s="9"/>
      <c r="AD271" s="9"/>
      <c r="AE271" s="9"/>
      <c r="AF271" s="9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21"/>
      <c r="AS271" s="21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x14ac:dyDescent="0.3">
      <c r="A272" s="6"/>
      <c r="B272" s="6"/>
      <c r="C272" s="39"/>
      <c r="D272" s="6"/>
      <c r="E272" s="149"/>
      <c r="F272" s="153"/>
      <c r="G272" s="1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5"/>
      <c r="V272" s="5"/>
      <c r="W272" s="13"/>
      <c r="X272" s="4"/>
      <c r="Y272" s="4"/>
      <c r="Z272" s="4"/>
      <c r="AA272" s="6"/>
      <c r="AB272" s="5"/>
      <c r="AC272" s="9"/>
      <c r="AD272" s="9"/>
      <c r="AE272" s="9"/>
      <c r="AF272" s="9"/>
      <c r="AG272" s="2"/>
      <c r="AH272" s="3"/>
      <c r="AI272" s="2"/>
      <c r="AJ272" s="2"/>
      <c r="AK272" s="2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3.5" customHeight="1" x14ac:dyDescent="0.35">
      <c r="A273" s="49"/>
      <c r="B273" s="49"/>
      <c r="C273" s="14"/>
      <c r="D273" s="1"/>
      <c r="E273" s="149"/>
      <c r="F273" s="153"/>
      <c r="G273" s="10"/>
      <c r="H273" s="17"/>
      <c r="I273" s="17"/>
      <c r="J273" s="17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29"/>
      <c r="X273" s="15"/>
      <c r="Y273" s="30"/>
      <c r="Z273" s="30"/>
      <c r="AA273" s="30"/>
      <c r="AB273" s="30"/>
      <c r="AC273" s="17"/>
      <c r="AD273" s="17"/>
      <c r="AE273" s="17"/>
      <c r="AF273" s="17"/>
      <c r="AG273" s="21"/>
      <c r="AH273" s="21"/>
      <c r="AI273" s="21"/>
      <c r="AJ273" s="21"/>
      <c r="AK273" s="21"/>
      <c r="AL273" s="21"/>
      <c r="AM273" s="21"/>
      <c r="AN273" s="21"/>
      <c r="AO273" s="22"/>
      <c r="AP273" s="21"/>
      <c r="AQ273" s="22"/>
      <c r="AR273" s="21"/>
      <c r="AS273" s="21"/>
      <c r="AT273" s="21"/>
      <c r="AU273" s="21"/>
      <c r="AV273" s="21"/>
      <c r="AW273" s="21"/>
      <c r="AX273" s="22"/>
      <c r="AY273" s="21"/>
      <c r="AZ273" s="22"/>
      <c r="BA273" s="21"/>
      <c r="BB273" s="21"/>
      <c r="BC273" s="21"/>
      <c r="BD273" s="21"/>
      <c r="BE273" s="26"/>
      <c r="BF273" s="26"/>
      <c r="BG273" s="62"/>
    </row>
    <row r="274" spans="1:59" ht="13.5" customHeight="1" x14ac:dyDescent="0.35">
      <c r="A274" s="49"/>
      <c r="B274" s="49"/>
      <c r="C274" s="14"/>
      <c r="D274" s="1"/>
      <c r="E274" s="149"/>
      <c r="F274" s="153"/>
      <c r="G274" s="10"/>
      <c r="H274" s="17"/>
      <c r="I274" s="17"/>
      <c r="J274" s="17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29"/>
      <c r="X274" s="15"/>
      <c r="Y274" s="30"/>
      <c r="Z274" s="30"/>
      <c r="AA274" s="30"/>
      <c r="AB274" s="30"/>
      <c r="AC274" s="17"/>
      <c r="AD274" s="17"/>
      <c r="AE274" s="17"/>
      <c r="AF274" s="17"/>
      <c r="AG274" s="21"/>
      <c r="AH274" s="21"/>
      <c r="AI274" s="21"/>
      <c r="AJ274" s="21"/>
      <c r="AK274" s="21"/>
      <c r="AL274" s="21"/>
      <c r="AM274" s="21"/>
      <c r="AN274" s="21"/>
      <c r="AO274" s="22"/>
      <c r="AP274" s="21"/>
      <c r="AQ274" s="22"/>
      <c r="AR274" s="21"/>
      <c r="AS274" s="21"/>
      <c r="AT274" s="21"/>
      <c r="AU274" s="21"/>
      <c r="AV274" s="21"/>
      <c r="AW274" s="21"/>
      <c r="AX274" s="22"/>
      <c r="AY274" s="21"/>
      <c r="AZ274" s="22"/>
      <c r="BA274" s="21"/>
      <c r="BB274" s="21"/>
      <c r="BC274" s="21"/>
      <c r="BD274" s="21"/>
      <c r="BE274" s="26"/>
      <c r="BF274" s="26"/>
      <c r="BG274" s="62"/>
    </row>
    <row r="275" spans="1:59" x14ac:dyDescent="0.3">
      <c r="A275" s="6"/>
      <c r="B275" s="6"/>
      <c r="C275" s="39"/>
      <c r="D275" s="6"/>
      <c r="E275" s="149"/>
      <c r="F275" s="153"/>
      <c r="G275" s="1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12"/>
      <c r="Y275" s="6"/>
      <c r="Z275" s="6"/>
      <c r="AA275" s="6"/>
      <c r="AB275" s="6"/>
      <c r="AC275" s="9"/>
      <c r="AD275" s="9"/>
      <c r="AE275" s="9"/>
      <c r="AF275" s="9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21"/>
      <c r="AS275" s="21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x14ac:dyDescent="0.3">
      <c r="A276" s="6"/>
      <c r="B276" s="6"/>
      <c r="C276" s="39"/>
      <c r="D276" s="6"/>
      <c r="E276" s="149"/>
      <c r="F276" s="153"/>
      <c r="G276" s="1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12"/>
      <c r="Y276" s="6"/>
      <c r="Z276" s="6"/>
      <c r="AA276" s="6"/>
      <c r="AB276" s="6"/>
      <c r="AC276" s="9"/>
      <c r="AD276" s="9"/>
      <c r="AE276" s="9"/>
      <c r="AF276" s="9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21"/>
      <c r="AS276" s="21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x14ac:dyDescent="0.3">
      <c r="A277" s="6"/>
      <c r="B277" s="6"/>
      <c r="C277" s="39"/>
      <c r="D277" s="6"/>
      <c r="E277" s="149"/>
      <c r="F277" s="153"/>
      <c r="G277" s="1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12"/>
      <c r="Y277" s="6"/>
      <c r="Z277" s="6"/>
      <c r="AA277" s="6"/>
      <c r="AB277" s="6"/>
      <c r="AC277" s="9"/>
      <c r="AD277" s="9"/>
      <c r="AE277" s="9"/>
      <c r="AF277" s="9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21"/>
      <c r="AS277" s="21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3.5" customHeight="1" x14ac:dyDescent="0.35">
      <c r="A278" s="49"/>
      <c r="B278" s="49"/>
      <c r="C278" s="14"/>
      <c r="D278" s="1"/>
      <c r="E278" s="149"/>
      <c r="F278" s="153"/>
      <c r="G278" s="10"/>
      <c r="H278" s="17"/>
      <c r="I278" s="17"/>
      <c r="J278" s="17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29"/>
      <c r="X278" s="15"/>
      <c r="Y278" s="30"/>
      <c r="Z278" s="30"/>
      <c r="AA278" s="30"/>
      <c r="AB278" s="30"/>
      <c r="AC278" s="17"/>
      <c r="AD278" s="17"/>
      <c r="AE278" s="17"/>
      <c r="AF278" s="17"/>
      <c r="AG278" s="21"/>
      <c r="AH278" s="21"/>
      <c r="AI278" s="21"/>
      <c r="AJ278" s="21"/>
      <c r="AK278" s="21"/>
      <c r="AL278" s="21"/>
      <c r="AM278" s="21"/>
      <c r="AN278" s="21"/>
      <c r="AO278" s="22"/>
      <c r="AP278" s="21"/>
      <c r="AQ278" s="22"/>
      <c r="AR278" s="21"/>
      <c r="AS278" s="21"/>
      <c r="AT278" s="21"/>
      <c r="AU278" s="21"/>
      <c r="AV278" s="21"/>
      <c r="AW278" s="21"/>
      <c r="AX278" s="22"/>
      <c r="AY278" s="21"/>
      <c r="AZ278" s="22"/>
      <c r="BA278" s="21"/>
      <c r="BB278" s="21"/>
      <c r="BC278" s="21"/>
      <c r="BD278" s="21"/>
      <c r="BE278" s="26"/>
      <c r="BF278" s="26"/>
      <c r="BG278" s="62"/>
    </row>
    <row r="279" spans="1:59" x14ac:dyDescent="0.3">
      <c r="A279" s="6"/>
      <c r="B279" s="6"/>
      <c r="C279" s="39"/>
      <c r="D279" s="6"/>
      <c r="E279" s="149"/>
      <c r="F279" s="153"/>
      <c r="G279" s="1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12"/>
      <c r="Y279" s="6"/>
      <c r="Z279" s="6"/>
      <c r="AA279" s="6"/>
      <c r="AB279" s="6"/>
      <c r="AC279" s="9"/>
      <c r="AD279" s="9"/>
      <c r="AE279" s="9"/>
      <c r="AF279" s="9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21"/>
      <c r="AS279" s="21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x14ac:dyDescent="0.3">
      <c r="A280" s="63"/>
      <c r="B280" s="63"/>
      <c r="C280" s="39"/>
      <c r="D280" s="6"/>
      <c r="E280" s="149"/>
      <c r="F280" s="153"/>
      <c r="G280" s="1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5"/>
      <c r="V280" s="5"/>
      <c r="W280" s="13"/>
      <c r="X280" s="4"/>
      <c r="Y280" s="4"/>
      <c r="Z280" s="4"/>
      <c r="AA280" s="6"/>
      <c r="AB280" s="5"/>
      <c r="AC280" s="9"/>
      <c r="AD280" s="9"/>
      <c r="AE280" s="9"/>
      <c r="AF280" s="9"/>
      <c r="AG280" s="64"/>
      <c r="AH280" s="3"/>
      <c r="AI280" s="2"/>
      <c r="AJ280" s="2"/>
      <c r="AK280" s="2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x14ac:dyDescent="0.3">
      <c r="A281" s="6"/>
      <c r="B281" s="6"/>
      <c r="C281" s="39"/>
      <c r="D281" s="6"/>
      <c r="E281" s="149"/>
      <c r="F281" s="153"/>
      <c r="G281" s="1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12"/>
      <c r="Y281" s="6"/>
      <c r="Z281" s="6"/>
      <c r="AA281" s="6"/>
      <c r="AB281" s="6"/>
      <c r="AC281" s="9"/>
      <c r="AD281" s="9"/>
      <c r="AE281" s="9"/>
      <c r="AF281" s="9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21"/>
      <c r="AS281" s="21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3.5" customHeight="1" x14ac:dyDescent="0.35">
      <c r="A282" s="49"/>
      <c r="B282" s="49"/>
      <c r="C282" s="39"/>
      <c r="D282" s="1"/>
      <c r="E282" s="149"/>
      <c r="F282" s="153"/>
      <c r="G282" s="10"/>
      <c r="H282" s="17"/>
      <c r="I282" s="17"/>
      <c r="J282" s="17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29"/>
      <c r="X282" s="15"/>
      <c r="Y282" s="30"/>
      <c r="Z282" s="30"/>
      <c r="AA282" s="30"/>
      <c r="AB282" s="30"/>
      <c r="AC282" s="17"/>
      <c r="AD282" s="17"/>
      <c r="AE282" s="17"/>
      <c r="AF282" s="17"/>
      <c r="AG282" s="21"/>
      <c r="AH282" s="21"/>
      <c r="AI282" s="21"/>
      <c r="AJ282" s="21"/>
      <c r="AK282" s="21"/>
      <c r="AL282" s="21"/>
      <c r="AM282" s="21"/>
      <c r="AN282" s="21"/>
      <c r="AO282" s="22"/>
      <c r="AP282" s="21"/>
      <c r="AQ282" s="22"/>
      <c r="AR282" s="21"/>
      <c r="AS282" s="21"/>
      <c r="AT282" s="21"/>
      <c r="AU282" s="21"/>
      <c r="AV282" s="21"/>
      <c r="AW282" s="21"/>
      <c r="AX282" s="22"/>
      <c r="AY282" s="21"/>
      <c r="AZ282" s="22"/>
      <c r="BA282" s="21"/>
      <c r="BB282" s="21"/>
      <c r="BC282" s="21"/>
      <c r="BD282" s="21"/>
      <c r="BE282" s="26"/>
      <c r="BF282" s="26"/>
      <c r="BG282" s="62"/>
    </row>
    <row r="283" spans="1:59" x14ac:dyDescent="0.3">
      <c r="A283" s="6"/>
      <c r="B283" s="6"/>
      <c r="C283" s="39"/>
      <c r="D283" s="6"/>
      <c r="E283" s="149"/>
      <c r="F283" s="153"/>
      <c r="G283" s="1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12"/>
      <c r="Y283" s="6"/>
      <c r="Z283" s="6"/>
      <c r="AA283" s="6"/>
      <c r="AB283" s="6"/>
      <c r="AC283" s="9"/>
      <c r="AD283" s="9"/>
      <c r="AE283" s="9"/>
      <c r="AF283" s="9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21"/>
      <c r="AS283" s="21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x14ac:dyDescent="0.3">
      <c r="A284" s="63"/>
      <c r="B284" s="63"/>
      <c r="C284" s="39"/>
      <c r="D284" s="6"/>
      <c r="E284" s="149"/>
      <c r="F284" s="153"/>
      <c r="G284" s="1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5"/>
      <c r="V284" s="5"/>
      <c r="W284" s="13"/>
      <c r="X284" s="4"/>
      <c r="Y284" s="4"/>
      <c r="Z284" s="4"/>
      <c r="AA284" s="6"/>
      <c r="AB284" s="5"/>
      <c r="AC284" s="9"/>
      <c r="AD284" s="9"/>
      <c r="AE284" s="9"/>
      <c r="AF284" s="9"/>
      <c r="AG284" s="64"/>
      <c r="AH284" s="3"/>
      <c r="AI284" s="2"/>
      <c r="AJ284" s="2"/>
      <c r="AK284" s="2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x14ac:dyDescent="0.3">
      <c r="A285" s="63"/>
      <c r="B285" s="63"/>
      <c r="C285" s="39"/>
      <c r="D285" s="6"/>
      <c r="E285" s="149"/>
      <c r="F285" s="153"/>
      <c r="G285" s="1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5"/>
      <c r="V285" s="5"/>
      <c r="W285" s="13"/>
      <c r="X285" s="4"/>
      <c r="Y285" s="4"/>
      <c r="Z285" s="4"/>
      <c r="AA285" s="6"/>
      <c r="AB285" s="5"/>
      <c r="AC285" s="9"/>
      <c r="AD285" s="9"/>
      <c r="AE285" s="9"/>
      <c r="AF285" s="9"/>
      <c r="AG285" s="64"/>
      <c r="AH285" s="3"/>
      <c r="AI285" s="2"/>
      <c r="AJ285" s="2"/>
      <c r="AK285" s="2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x14ac:dyDescent="0.3">
      <c r="A286" s="6"/>
      <c r="B286" s="6"/>
      <c r="C286" s="39"/>
      <c r="D286" s="6"/>
      <c r="E286" s="149"/>
      <c r="F286" s="153"/>
      <c r="G286" s="1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12"/>
      <c r="Y286" s="6"/>
      <c r="Z286" s="6"/>
      <c r="AA286" s="6"/>
      <c r="AB286" s="6"/>
      <c r="AC286" s="9"/>
      <c r="AD286" s="9"/>
      <c r="AE286" s="9"/>
      <c r="AF286" s="9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21"/>
      <c r="AS286" s="21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x14ac:dyDescent="0.3">
      <c r="A287" s="6"/>
      <c r="B287" s="6"/>
      <c r="C287" s="39"/>
      <c r="D287" s="6"/>
      <c r="E287" s="149"/>
      <c r="F287" s="153"/>
      <c r="G287" s="1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12"/>
      <c r="Y287" s="6"/>
      <c r="Z287" s="6"/>
      <c r="AA287" s="6"/>
      <c r="AB287" s="6"/>
      <c r="AC287" s="9"/>
      <c r="AD287" s="9"/>
      <c r="AE287" s="9"/>
      <c r="AF287" s="9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21"/>
      <c r="AS287" s="21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x14ac:dyDescent="0.3">
      <c r="A288" s="6"/>
      <c r="B288" s="6"/>
      <c r="C288" s="39"/>
      <c r="D288" s="6"/>
      <c r="E288" s="149"/>
      <c r="F288" s="153"/>
      <c r="G288" s="1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5"/>
      <c r="V288" s="5"/>
      <c r="W288" s="13"/>
      <c r="X288" s="4"/>
      <c r="Y288" s="4"/>
      <c r="Z288" s="4"/>
      <c r="AA288" s="6"/>
      <c r="AB288" s="5"/>
      <c r="AC288" s="9"/>
      <c r="AD288" s="9"/>
      <c r="AE288" s="9"/>
      <c r="AF288" s="9"/>
      <c r="AG288" s="2"/>
      <c r="AH288" s="3"/>
      <c r="AI288" s="2"/>
      <c r="AJ288" s="2"/>
      <c r="AK288" s="2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x14ac:dyDescent="0.3">
      <c r="A289" s="63"/>
      <c r="B289" s="63"/>
      <c r="C289" s="39"/>
      <c r="D289" s="6"/>
      <c r="E289" s="149"/>
      <c r="F289" s="153"/>
      <c r="G289" s="1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5"/>
      <c r="V289" s="5"/>
      <c r="W289" s="13"/>
      <c r="X289" s="4"/>
      <c r="Y289" s="4"/>
      <c r="Z289" s="4"/>
      <c r="AA289" s="6"/>
      <c r="AB289" s="5"/>
      <c r="AC289" s="9"/>
      <c r="AD289" s="9"/>
      <c r="AE289" s="9"/>
      <c r="AF289" s="9"/>
      <c r="AG289" s="64"/>
      <c r="AH289" s="3"/>
      <c r="AI289" s="2"/>
      <c r="AJ289" s="2"/>
      <c r="AK289" s="2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x14ac:dyDescent="0.3">
      <c r="A290" s="6"/>
      <c r="B290" s="6"/>
      <c r="C290" s="39"/>
      <c r="D290" s="6"/>
      <c r="E290" s="149"/>
      <c r="F290" s="153"/>
      <c r="G290" s="1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12"/>
      <c r="Y290" s="6"/>
      <c r="Z290" s="6"/>
      <c r="AA290" s="6"/>
      <c r="AB290" s="6"/>
      <c r="AC290" s="9"/>
      <c r="AD290" s="9"/>
      <c r="AE290" s="9"/>
      <c r="AF290" s="9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21"/>
      <c r="AS290" s="21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x14ac:dyDescent="0.3">
      <c r="A291" s="6"/>
      <c r="B291" s="6"/>
      <c r="C291" s="39"/>
      <c r="D291" s="6"/>
      <c r="E291" s="149"/>
      <c r="F291" s="153"/>
      <c r="G291" s="1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12"/>
      <c r="Y291" s="6"/>
      <c r="Z291" s="6"/>
      <c r="AA291" s="6"/>
      <c r="AB291" s="6"/>
      <c r="AC291" s="9"/>
      <c r="AD291" s="9"/>
      <c r="AE291" s="9"/>
      <c r="AF291" s="9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21"/>
      <c r="AS291" s="21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x14ac:dyDescent="0.3">
      <c r="A292" s="6"/>
      <c r="B292" s="6"/>
      <c r="C292" s="39"/>
      <c r="D292" s="6"/>
      <c r="E292" s="149"/>
      <c r="F292" s="153"/>
      <c r="G292" s="1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12"/>
      <c r="Y292" s="6"/>
      <c r="Z292" s="6"/>
      <c r="AA292" s="6"/>
      <c r="AB292" s="6"/>
      <c r="AC292" s="9"/>
      <c r="AD292" s="9"/>
      <c r="AE292" s="9"/>
      <c r="AF292" s="9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21"/>
      <c r="AS292" s="21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x14ac:dyDescent="0.3">
      <c r="A293" s="6"/>
      <c r="B293" s="6"/>
      <c r="C293" s="39"/>
      <c r="D293" s="6"/>
      <c r="E293" s="149"/>
      <c r="F293" s="153"/>
      <c r="G293" s="1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12"/>
      <c r="Y293" s="6"/>
      <c r="Z293" s="6"/>
      <c r="AA293" s="6"/>
      <c r="AB293" s="6"/>
      <c r="AC293" s="9"/>
      <c r="AD293" s="9"/>
      <c r="AE293" s="9"/>
      <c r="AF293" s="9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21"/>
      <c r="AS293" s="21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x14ac:dyDescent="0.3">
      <c r="A294" s="63"/>
      <c r="B294" s="63"/>
      <c r="C294" s="39"/>
      <c r="D294" s="6"/>
      <c r="E294" s="149"/>
      <c r="F294" s="153"/>
      <c r="G294" s="1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5"/>
      <c r="V294" s="5"/>
      <c r="W294" s="13"/>
      <c r="X294" s="4"/>
      <c r="Y294" s="4"/>
      <c r="Z294" s="4"/>
      <c r="AA294" s="6"/>
      <c r="AB294" s="5"/>
      <c r="AC294" s="9"/>
      <c r="AD294" s="9"/>
      <c r="AE294" s="9"/>
      <c r="AF294" s="9"/>
      <c r="AG294" s="64"/>
      <c r="AH294" s="3"/>
      <c r="AI294" s="2"/>
      <c r="AJ294" s="2"/>
      <c r="AK294" s="2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x14ac:dyDescent="0.3">
      <c r="A295" s="63"/>
      <c r="B295" s="63"/>
      <c r="C295" s="39"/>
      <c r="D295" s="6"/>
      <c r="E295" s="149"/>
      <c r="F295" s="153"/>
      <c r="G295" s="1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5"/>
      <c r="V295" s="5"/>
      <c r="W295" s="13"/>
      <c r="X295" s="4"/>
      <c r="Y295" s="4"/>
      <c r="Z295" s="4"/>
      <c r="AA295" s="6"/>
      <c r="AB295" s="5"/>
      <c r="AC295" s="9"/>
      <c r="AD295" s="9"/>
      <c r="AE295" s="9"/>
      <c r="AF295" s="9"/>
      <c r="AG295" s="64"/>
      <c r="AH295" s="3"/>
      <c r="AI295" s="2"/>
      <c r="AJ295" s="2"/>
      <c r="AK295" s="2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3.5" customHeight="1" x14ac:dyDescent="0.35">
      <c r="A296" s="49"/>
      <c r="B296" s="49"/>
      <c r="C296" s="14"/>
      <c r="D296" s="1"/>
      <c r="E296" s="149"/>
      <c r="F296" s="153"/>
      <c r="G296" s="10"/>
      <c r="H296" s="17"/>
      <c r="I296" s="17"/>
      <c r="J296" s="17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29"/>
      <c r="X296" s="15"/>
      <c r="Y296" s="30"/>
      <c r="Z296" s="30"/>
      <c r="AA296" s="30"/>
      <c r="AB296" s="30"/>
      <c r="AC296" s="17"/>
      <c r="AD296" s="17"/>
      <c r="AE296" s="17"/>
      <c r="AF296" s="17"/>
      <c r="AG296" s="21"/>
      <c r="AH296" s="21"/>
      <c r="AI296" s="21"/>
      <c r="AJ296" s="21"/>
      <c r="AK296" s="21"/>
      <c r="AL296" s="21"/>
      <c r="AM296" s="21"/>
      <c r="AN296" s="21"/>
      <c r="AO296" s="22"/>
      <c r="AP296" s="21"/>
      <c r="AQ296" s="22"/>
      <c r="AR296" s="21"/>
      <c r="AS296" s="21"/>
      <c r="AT296" s="21"/>
      <c r="AU296" s="21"/>
      <c r="AV296" s="21"/>
      <c r="AW296" s="21"/>
      <c r="AX296" s="22"/>
      <c r="AY296" s="21"/>
      <c r="AZ296" s="22"/>
      <c r="BA296" s="21"/>
      <c r="BB296" s="21"/>
      <c r="BC296" s="21"/>
      <c r="BD296" s="21"/>
      <c r="BE296" s="26"/>
      <c r="BF296" s="26"/>
      <c r="BG296" s="62"/>
    </row>
    <row r="297" spans="1:59" x14ac:dyDescent="0.3">
      <c r="A297" s="6"/>
      <c r="B297" s="6"/>
      <c r="C297" s="39"/>
      <c r="D297" s="6"/>
      <c r="E297" s="149"/>
      <c r="F297" s="153"/>
      <c r="G297" s="1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12"/>
      <c r="Y297" s="6"/>
      <c r="Z297" s="6"/>
      <c r="AA297" s="6"/>
      <c r="AB297" s="6"/>
      <c r="AC297" s="9"/>
      <c r="AD297" s="9"/>
      <c r="AE297" s="9"/>
      <c r="AF297" s="9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21"/>
      <c r="AS297" s="21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x14ac:dyDescent="0.3">
      <c r="A298" s="6"/>
      <c r="B298" s="6"/>
      <c r="C298" s="39"/>
      <c r="D298" s="6"/>
      <c r="E298" s="149"/>
      <c r="F298" s="153"/>
      <c r="G298" s="1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12"/>
      <c r="Y298" s="6"/>
      <c r="Z298" s="6"/>
      <c r="AA298" s="6"/>
      <c r="AB298" s="6"/>
      <c r="AC298" s="9"/>
      <c r="AD298" s="9"/>
      <c r="AE298" s="9"/>
      <c r="AF298" s="9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21"/>
      <c r="AS298" s="21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3.5" customHeight="1" x14ac:dyDescent="0.35">
      <c r="A299" s="49"/>
      <c r="B299" s="49"/>
      <c r="C299" s="14"/>
      <c r="D299" s="1"/>
      <c r="E299" s="149"/>
      <c r="F299" s="153"/>
      <c r="G299" s="10"/>
      <c r="H299" s="17"/>
      <c r="I299" s="17"/>
      <c r="J299" s="17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29"/>
      <c r="X299" s="15"/>
      <c r="Y299" s="30"/>
      <c r="Z299" s="30"/>
      <c r="AA299" s="30"/>
      <c r="AB299" s="30"/>
      <c r="AC299" s="17"/>
      <c r="AD299" s="17"/>
      <c r="AE299" s="17"/>
      <c r="AF299" s="17"/>
      <c r="AG299" s="21"/>
      <c r="AH299" s="21"/>
      <c r="AI299" s="21"/>
      <c r="AJ299" s="21"/>
      <c r="AK299" s="21"/>
      <c r="AL299" s="21"/>
      <c r="AM299" s="21"/>
      <c r="AN299" s="21"/>
      <c r="AO299" s="22"/>
      <c r="AP299" s="21"/>
      <c r="AQ299" s="22"/>
      <c r="AR299" s="21"/>
      <c r="AS299" s="21"/>
      <c r="AT299" s="21"/>
      <c r="AU299" s="21"/>
      <c r="AV299" s="21"/>
      <c r="AW299" s="21"/>
      <c r="AX299" s="22"/>
      <c r="AY299" s="21"/>
      <c r="AZ299" s="22"/>
      <c r="BA299" s="21"/>
      <c r="BB299" s="21"/>
      <c r="BC299" s="21"/>
      <c r="BD299" s="21"/>
      <c r="BE299" s="26"/>
      <c r="BF299" s="26"/>
      <c r="BG299" s="62"/>
    </row>
    <row r="300" spans="1:59" x14ac:dyDescent="0.3">
      <c r="A300" s="6"/>
      <c r="B300" s="6"/>
      <c r="C300" s="39"/>
      <c r="D300" s="6"/>
      <c r="E300" s="149"/>
      <c r="F300" s="153"/>
      <c r="G300" s="1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12"/>
      <c r="Y300" s="6"/>
      <c r="Z300" s="6"/>
      <c r="AA300" s="6"/>
      <c r="AB300" s="6"/>
      <c r="AC300" s="9"/>
      <c r="AD300" s="9"/>
      <c r="AE300" s="9"/>
      <c r="AF300" s="9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3.5" customHeight="1" x14ac:dyDescent="0.35">
      <c r="A301" s="49"/>
      <c r="B301" s="49"/>
      <c r="C301" s="14"/>
      <c r="D301" s="1"/>
      <c r="E301" s="149"/>
      <c r="F301" s="153"/>
      <c r="G301" s="10"/>
      <c r="H301" s="17"/>
      <c r="I301" s="17"/>
      <c r="J301" s="17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29"/>
      <c r="X301" s="15"/>
      <c r="Y301" s="30"/>
      <c r="Z301" s="30"/>
      <c r="AA301" s="30"/>
      <c r="AB301" s="30"/>
      <c r="AC301" s="17"/>
      <c r="AD301" s="17"/>
      <c r="AE301" s="17"/>
      <c r="AF301" s="17"/>
      <c r="AG301" s="21"/>
      <c r="AH301" s="21"/>
      <c r="AI301" s="21"/>
      <c r="AJ301" s="21"/>
      <c r="AK301" s="21"/>
      <c r="AL301" s="21"/>
      <c r="AM301" s="21"/>
      <c r="AN301" s="21"/>
      <c r="AO301" s="22"/>
      <c r="AP301" s="21"/>
      <c r="AQ301" s="22"/>
      <c r="AR301" s="21"/>
      <c r="AS301" s="21"/>
      <c r="AT301" s="21"/>
      <c r="AU301" s="21"/>
      <c r="AV301" s="21"/>
      <c r="AW301" s="21"/>
      <c r="AX301" s="22"/>
      <c r="AY301" s="21"/>
      <c r="AZ301" s="22"/>
      <c r="BA301" s="21"/>
      <c r="BB301" s="21"/>
      <c r="BC301" s="21"/>
      <c r="BD301" s="21"/>
      <c r="BE301" s="26"/>
      <c r="BF301" s="26"/>
      <c r="BG301" s="62"/>
    </row>
    <row r="302" spans="1:59" x14ac:dyDescent="0.3">
      <c r="A302" s="63"/>
      <c r="B302" s="63"/>
      <c r="C302" s="39"/>
      <c r="D302" s="6"/>
      <c r="E302" s="149"/>
      <c r="F302" s="153"/>
      <c r="G302" s="1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5"/>
      <c r="V302" s="5"/>
      <c r="W302" s="13"/>
      <c r="X302" s="4"/>
      <c r="Y302" s="4"/>
      <c r="Z302" s="4"/>
      <c r="AA302" s="6"/>
      <c r="AB302" s="5"/>
      <c r="AC302" s="9"/>
      <c r="AD302" s="9"/>
      <c r="AE302" s="9"/>
      <c r="AF302" s="9"/>
      <c r="AG302" s="64"/>
      <c r="AH302" s="3"/>
      <c r="AI302" s="2"/>
      <c r="AJ302" s="2"/>
      <c r="AK302" s="2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3.5" customHeight="1" x14ac:dyDescent="0.35">
      <c r="A303" s="49"/>
      <c r="B303" s="49"/>
      <c r="C303" s="14"/>
      <c r="D303" s="1"/>
      <c r="E303" s="149"/>
      <c r="F303" s="153"/>
      <c r="G303" s="10"/>
      <c r="H303" s="17"/>
      <c r="I303" s="17"/>
      <c r="J303" s="17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29"/>
      <c r="X303" s="15"/>
      <c r="Y303" s="30"/>
      <c r="Z303" s="30"/>
      <c r="AA303" s="30"/>
      <c r="AB303" s="30"/>
      <c r="AC303" s="17"/>
      <c r="AD303" s="17"/>
      <c r="AE303" s="17"/>
      <c r="AF303" s="17"/>
      <c r="AG303" s="21"/>
      <c r="AH303" s="21"/>
      <c r="AI303" s="21"/>
      <c r="AJ303" s="21"/>
      <c r="AK303" s="21"/>
      <c r="AL303" s="21"/>
      <c r="AM303" s="21"/>
      <c r="AN303" s="21"/>
      <c r="AO303" s="22"/>
      <c r="AP303" s="21"/>
      <c r="AQ303" s="22"/>
      <c r="AR303" s="21"/>
      <c r="AS303" s="21"/>
      <c r="AT303" s="21"/>
      <c r="AU303" s="21"/>
      <c r="AV303" s="21"/>
      <c r="AW303" s="21"/>
      <c r="AX303" s="22"/>
      <c r="AY303" s="21"/>
      <c r="AZ303" s="22"/>
      <c r="BA303" s="21"/>
      <c r="BB303" s="21"/>
      <c r="BC303" s="21"/>
      <c r="BD303" s="21"/>
      <c r="BE303" s="26"/>
      <c r="BF303" s="26"/>
      <c r="BG303" s="62"/>
    </row>
    <row r="304" spans="1:59" x14ac:dyDescent="0.3">
      <c r="A304" s="6"/>
      <c r="B304" s="6"/>
      <c r="C304" s="39"/>
      <c r="D304" s="6"/>
      <c r="E304" s="149"/>
      <c r="F304" s="153"/>
      <c r="G304" s="1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12"/>
      <c r="Y304" s="6"/>
      <c r="Z304" s="6"/>
      <c r="AA304" s="6"/>
      <c r="AB304" s="6"/>
      <c r="AC304" s="9"/>
      <c r="AD304" s="9"/>
      <c r="AE304" s="9"/>
      <c r="AF304" s="9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21"/>
      <c r="AS304" s="21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x14ac:dyDescent="0.3">
      <c r="A305" s="63"/>
      <c r="B305" s="63"/>
      <c r="C305" s="39"/>
      <c r="D305" s="6"/>
      <c r="E305" s="149"/>
      <c r="F305" s="153"/>
      <c r="G305" s="1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5"/>
      <c r="V305" s="5"/>
      <c r="W305" s="13"/>
      <c r="X305" s="4"/>
      <c r="Y305" s="4"/>
      <c r="Z305" s="4"/>
      <c r="AA305" s="6"/>
      <c r="AB305" s="5"/>
      <c r="AC305" s="9"/>
      <c r="AD305" s="9"/>
      <c r="AE305" s="9"/>
      <c r="AF305" s="9"/>
      <c r="AG305" s="64"/>
      <c r="AH305" s="3"/>
      <c r="AI305" s="2"/>
      <c r="AJ305" s="2"/>
      <c r="AK305" s="2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3.5" customHeight="1" x14ac:dyDescent="0.35">
      <c r="A306" s="49"/>
      <c r="B306" s="49"/>
      <c r="C306" s="14"/>
      <c r="D306" s="1"/>
      <c r="E306" s="149"/>
      <c r="F306" s="153"/>
      <c r="G306" s="10"/>
      <c r="H306" s="17"/>
      <c r="I306" s="17"/>
      <c r="J306" s="17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29"/>
      <c r="X306" s="15"/>
      <c r="Y306" s="30"/>
      <c r="Z306" s="30"/>
      <c r="AA306" s="30"/>
      <c r="AB306" s="30"/>
      <c r="AC306" s="17"/>
      <c r="AD306" s="17"/>
      <c r="AE306" s="17"/>
      <c r="AF306" s="17"/>
      <c r="AG306" s="21"/>
      <c r="AH306" s="21"/>
      <c r="AI306" s="21"/>
      <c r="AJ306" s="21"/>
      <c r="AK306" s="21"/>
      <c r="AL306" s="21"/>
      <c r="AM306" s="21"/>
      <c r="AN306" s="21"/>
      <c r="AO306" s="22"/>
      <c r="AP306" s="21"/>
      <c r="AQ306" s="22"/>
      <c r="AR306" s="21"/>
      <c r="AS306" s="21"/>
      <c r="AT306" s="21"/>
      <c r="AU306" s="21"/>
      <c r="AV306" s="21"/>
      <c r="AW306" s="21"/>
      <c r="AX306" s="22"/>
      <c r="AY306" s="21"/>
      <c r="AZ306" s="22"/>
      <c r="BA306" s="21"/>
      <c r="BB306" s="21"/>
      <c r="BC306" s="21"/>
      <c r="BD306" s="21"/>
      <c r="BE306" s="26"/>
      <c r="BF306" s="26"/>
      <c r="BG306" s="62"/>
    </row>
    <row r="307" spans="1:59" x14ac:dyDescent="0.3">
      <c r="A307" s="63"/>
      <c r="B307" s="63"/>
      <c r="C307" s="39"/>
      <c r="D307" s="6"/>
      <c r="E307" s="149"/>
      <c r="F307" s="153"/>
      <c r="G307" s="1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5"/>
      <c r="V307" s="5"/>
      <c r="W307" s="13"/>
      <c r="X307" s="4"/>
      <c r="Y307" s="4"/>
      <c r="Z307" s="4"/>
      <c r="AA307" s="6"/>
      <c r="AB307" s="5"/>
      <c r="AC307" s="9"/>
      <c r="AD307" s="9"/>
      <c r="AE307" s="9"/>
      <c r="AF307" s="9"/>
      <c r="AG307" s="64"/>
      <c r="AH307" s="3"/>
      <c r="AI307" s="2"/>
      <c r="AJ307" s="2"/>
      <c r="AK307" s="2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x14ac:dyDescent="0.3">
      <c r="A308" s="6"/>
      <c r="B308" s="6"/>
      <c r="C308" s="39"/>
      <c r="D308" s="6"/>
      <c r="E308" s="149"/>
      <c r="F308" s="153"/>
      <c r="G308" s="1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12"/>
      <c r="Y308" s="6"/>
      <c r="Z308" s="6"/>
      <c r="AA308" s="6"/>
      <c r="AB308" s="6"/>
      <c r="AC308" s="9"/>
      <c r="AD308" s="9"/>
      <c r="AE308" s="9"/>
      <c r="AF308" s="9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21"/>
      <c r="AS308" s="21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x14ac:dyDescent="0.3">
      <c r="A309" s="6"/>
      <c r="B309" s="6"/>
      <c r="C309" s="39"/>
      <c r="D309" s="6"/>
      <c r="E309" s="149"/>
      <c r="F309" s="153"/>
      <c r="G309" s="1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5"/>
      <c r="V309" s="5"/>
      <c r="W309" s="13"/>
      <c r="X309" s="4"/>
      <c r="Y309" s="4"/>
      <c r="Z309" s="4"/>
      <c r="AA309" s="6"/>
      <c r="AB309" s="5"/>
      <c r="AC309" s="9"/>
      <c r="AD309" s="9"/>
      <c r="AE309" s="9"/>
      <c r="AF309" s="9"/>
      <c r="AG309" s="2"/>
      <c r="AH309" s="3"/>
      <c r="AI309" s="2"/>
      <c r="AJ309" s="2"/>
      <c r="AK309" s="2"/>
      <c r="AL309" s="3"/>
      <c r="AM309" s="3"/>
      <c r="AN309" s="3"/>
      <c r="AO309" s="3"/>
      <c r="AP309" s="3"/>
      <c r="AQ309" s="3"/>
      <c r="AR309" s="21"/>
      <c r="AS309" s="21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x14ac:dyDescent="0.3">
      <c r="A310" s="6"/>
      <c r="B310" s="6"/>
      <c r="C310" s="39"/>
      <c r="D310" s="6"/>
      <c r="E310" s="149"/>
      <c r="F310" s="153"/>
      <c r="G310" s="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12"/>
      <c r="Y310" s="6"/>
      <c r="Z310" s="6"/>
      <c r="AA310" s="6"/>
      <c r="AB310" s="6"/>
      <c r="AC310" s="9"/>
      <c r="AD310" s="9"/>
      <c r="AE310" s="9"/>
      <c r="AF310" s="9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21"/>
      <c r="AS310" s="21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x14ac:dyDescent="0.3">
      <c r="A311" s="63"/>
      <c r="B311" s="63"/>
      <c r="C311" s="39"/>
      <c r="D311" s="6"/>
      <c r="E311" s="149"/>
      <c r="F311" s="153"/>
      <c r="G311" s="1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5"/>
      <c r="V311" s="5"/>
      <c r="W311" s="13"/>
      <c r="X311" s="4"/>
      <c r="Y311" s="4"/>
      <c r="Z311" s="4"/>
      <c r="AA311" s="6"/>
      <c r="AB311" s="5"/>
      <c r="AC311" s="9"/>
      <c r="AD311" s="9"/>
      <c r="AE311" s="9"/>
      <c r="AF311" s="9"/>
      <c r="AG311" s="64"/>
      <c r="AH311" s="3"/>
      <c r="AI311" s="2"/>
      <c r="AJ311" s="2"/>
      <c r="AK311" s="2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x14ac:dyDescent="0.3">
      <c r="A312" s="63"/>
      <c r="B312" s="63"/>
      <c r="C312" s="39"/>
      <c r="D312" s="6"/>
      <c r="E312" s="149"/>
      <c r="F312" s="153"/>
      <c r="G312" s="1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5"/>
      <c r="V312" s="5"/>
      <c r="W312" s="13"/>
      <c r="X312" s="4"/>
      <c r="Y312" s="4"/>
      <c r="Z312" s="4"/>
      <c r="AA312" s="6"/>
      <c r="AB312" s="5"/>
      <c r="AC312" s="9"/>
      <c r="AD312" s="9"/>
      <c r="AE312" s="9"/>
      <c r="AF312" s="9"/>
      <c r="AG312" s="64"/>
      <c r="AH312" s="3"/>
      <c r="AI312" s="2"/>
      <c r="AJ312" s="2"/>
      <c r="AK312" s="2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x14ac:dyDescent="0.3">
      <c r="A313" s="63"/>
      <c r="B313" s="63"/>
      <c r="C313" s="39"/>
      <c r="D313" s="6"/>
      <c r="E313" s="149"/>
      <c r="F313" s="153"/>
      <c r="G313" s="1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5"/>
      <c r="V313" s="5"/>
      <c r="W313" s="13"/>
      <c r="X313" s="4"/>
      <c r="Y313" s="4"/>
      <c r="Z313" s="4"/>
      <c r="AA313" s="6"/>
      <c r="AB313" s="5"/>
      <c r="AC313" s="9"/>
      <c r="AD313" s="9"/>
      <c r="AE313" s="9"/>
      <c r="AF313" s="9"/>
      <c r="AG313" s="64"/>
      <c r="AH313" s="3"/>
      <c r="AI313" s="2"/>
      <c r="AJ313" s="2"/>
      <c r="AK313" s="2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3.5" customHeight="1" x14ac:dyDescent="0.35">
      <c r="A314" s="49"/>
      <c r="B314" s="49"/>
      <c r="C314" s="14"/>
      <c r="D314" s="1"/>
      <c r="E314" s="149"/>
      <c r="F314" s="153"/>
      <c r="G314" s="10"/>
      <c r="H314" s="17"/>
      <c r="I314" s="17"/>
      <c r="J314" s="17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29"/>
      <c r="X314" s="15"/>
      <c r="Y314" s="30"/>
      <c r="Z314" s="30"/>
      <c r="AA314" s="30"/>
      <c r="AB314" s="30"/>
      <c r="AC314" s="17"/>
      <c r="AD314" s="17"/>
      <c r="AE314" s="17"/>
      <c r="AF314" s="17"/>
      <c r="AG314" s="21"/>
      <c r="AH314" s="21"/>
      <c r="AI314" s="21"/>
      <c r="AJ314" s="21"/>
      <c r="AK314" s="21"/>
      <c r="AL314" s="21"/>
      <c r="AM314" s="21"/>
      <c r="AN314" s="21"/>
      <c r="AO314" s="22"/>
      <c r="AP314" s="21"/>
      <c r="AQ314" s="22"/>
      <c r="AR314" s="21"/>
      <c r="AS314" s="21"/>
      <c r="AT314" s="21"/>
      <c r="AU314" s="21"/>
      <c r="AV314" s="21"/>
      <c r="AW314" s="21"/>
      <c r="AX314" s="22"/>
      <c r="AY314" s="21"/>
      <c r="AZ314" s="22"/>
      <c r="BA314" s="21"/>
      <c r="BB314" s="21"/>
      <c r="BC314" s="21"/>
      <c r="BD314" s="21"/>
      <c r="BE314" s="26"/>
      <c r="BF314" s="26"/>
      <c r="BG314" s="62"/>
    </row>
    <row r="315" spans="1:59" x14ac:dyDescent="0.3">
      <c r="A315" s="6"/>
      <c r="B315" s="6"/>
      <c r="C315" s="39"/>
      <c r="D315" s="6"/>
      <c r="E315" s="149"/>
      <c r="F315" s="153"/>
      <c r="G315" s="1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5"/>
      <c r="V315" s="5"/>
      <c r="W315" s="13"/>
      <c r="X315" s="4"/>
      <c r="Y315" s="4"/>
      <c r="Z315" s="4"/>
      <c r="AA315" s="6"/>
      <c r="AB315" s="5"/>
      <c r="AC315" s="9"/>
      <c r="AD315" s="9"/>
      <c r="AE315" s="9"/>
      <c r="AF315" s="9"/>
      <c r="AG315" s="2"/>
      <c r="AH315" s="3"/>
      <c r="AI315" s="2"/>
      <c r="AJ315" s="2"/>
      <c r="AK315" s="2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x14ac:dyDescent="0.3">
      <c r="A316" s="6"/>
      <c r="B316" s="6"/>
      <c r="C316" s="39"/>
      <c r="D316" s="6"/>
      <c r="E316" s="149"/>
      <c r="F316" s="153"/>
      <c r="G316" s="1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12"/>
      <c r="Y316" s="6"/>
      <c r="Z316" s="6"/>
      <c r="AA316" s="6"/>
      <c r="AB316" s="6"/>
      <c r="AC316" s="9"/>
      <c r="AD316" s="9"/>
      <c r="AE316" s="9"/>
      <c r="AF316" s="9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21"/>
      <c r="AS316" s="21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3.5" customHeight="1" x14ac:dyDescent="0.35">
      <c r="A317" s="49"/>
      <c r="B317" s="49"/>
      <c r="C317" s="14"/>
      <c r="D317" s="1"/>
      <c r="E317" s="149"/>
      <c r="F317" s="153"/>
      <c r="G317" s="10"/>
      <c r="H317" s="17"/>
      <c r="I317" s="17"/>
      <c r="J317" s="17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29"/>
      <c r="X317" s="15"/>
      <c r="Y317" s="30"/>
      <c r="Z317" s="30"/>
      <c r="AA317" s="30"/>
      <c r="AB317" s="30"/>
      <c r="AC317" s="17"/>
      <c r="AD317" s="17"/>
      <c r="AE317" s="17"/>
      <c r="AF317" s="17"/>
      <c r="AG317" s="21"/>
      <c r="AH317" s="21"/>
      <c r="AI317" s="21"/>
      <c r="AJ317" s="21"/>
      <c r="AK317" s="21"/>
      <c r="AL317" s="21"/>
      <c r="AM317" s="21"/>
      <c r="AN317" s="21"/>
      <c r="AO317" s="22"/>
      <c r="AP317" s="21"/>
      <c r="AQ317" s="22"/>
      <c r="AR317" s="21"/>
      <c r="AS317" s="21"/>
      <c r="AT317" s="21"/>
      <c r="AU317" s="21"/>
      <c r="AV317" s="21"/>
      <c r="AW317" s="21"/>
      <c r="AX317" s="22"/>
      <c r="AY317" s="21"/>
      <c r="AZ317" s="22"/>
      <c r="BA317" s="21"/>
      <c r="BB317" s="21"/>
      <c r="BC317" s="21"/>
      <c r="BD317" s="21"/>
      <c r="BE317" s="26"/>
      <c r="BF317" s="26"/>
      <c r="BG317" s="62"/>
    </row>
    <row r="318" spans="1:59" x14ac:dyDescent="0.3">
      <c r="A318" s="6"/>
      <c r="B318" s="6"/>
      <c r="C318" s="39"/>
      <c r="D318" s="6"/>
      <c r="E318" s="149"/>
      <c r="F318" s="153"/>
      <c r="G318" s="1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5"/>
      <c r="V318" s="5"/>
      <c r="W318" s="13"/>
      <c r="X318" s="4"/>
      <c r="Y318" s="4"/>
      <c r="Z318" s="4"/>
      <c r="AA318" s="6"/>
      <c r="AB318" s="5"/>
      <c r="AC318" s="9"/>
      <c r="AD318" s="9"/>
      <c r="AE318" s="9"/>
      <c r="AF318" s="9"/>
      <c r="AG318" s="2"/>
      <c r="AH318" s="3"/>
      <c r="AI318" s="2"/>
      <c r="AJ318" s="2"/>
      <c r="AK318" s="2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x14ac:dyDescent="0.3">
      <c r="A319" s="6"/>
      <c r="B319" s="6"/>
      <c r="C319" s="39"/>
      <c r="D319" s="6"/>
      <c r="E319" s="149"/>
      <c r="F319" s="153"/>
      <c r="G319" s="1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12"/>
      <c r="Y319" s="6"/>
      <c r="Z319" s="6"/>
      <c r="AA319" s="6"/>
      <c r="AB319" s="6"/>
      <c r="AC319" s="9"/>
      <c r="AD319" s="9"/>
      <c r="AE319" s="9"/>
      <c r="AF319" s="9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21"/>
      <c r="AS319" s="21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3.5" customHeight="1" x14ac:dyDescent="0.35">
      <c r="A320" s="49"/>
      <c r="B320" s="49"/>
      <c r="C320" s="14"/>
      <c r="D320" s="1"/>
      <c r="E320" s="149"/>
      <c r="F320" s="153"/>
      <c r="G320" s="10"/>
      <c r="H320" s="17"/>
      <c r="I320" s="17"/>
      <c r="J320" s="17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29"/>
      <c r="X320" s="15"/>
      <c r="Y320" s="30"/>
      <c r="Z320" s="30"/>
      <c r="AA320" s="30"/>
      <c r="AB320" s="30"/>
      <c r="AC320" s="17"/>
      <c r="AD320" s="17"/>
      <c r="AE320" s="17"/>
      <c r="AF320" s="17"/>
      <c r="AG320" s="21"/>
      <c r="AH320" s="21"/>
      <c r="AI320" s="21"/>
      <c r="AJ320" s="21"/>
      <c r="AK320" s="21"/>
      <c r="AL320" s="21"/>
      <c r="AM320" s="21"/>
      <c r="AN320" s="21"/>
      <c r="AO320" s="22"/>
      <c r="AP320" s="21"/>
      <c r="AQ320" s="22"/>
      <c r="AR320" s="21"/>
      <c r="AS320" s="21"/>
      <c r="AT320" s="21"/>
      <c r="AU320" s="21"/>
      <c r="AV320" s="21"/>
      <c r="AW320" s="21"/>
      <c r="AX320" s="22"/>
      <c r="AY320" s="21"/>
      <c r="AZ320" s="22"/>
      <c r="BA320" s="21"/>
      <c r="BB320" s="21"/>
      <c r="BC320" s="21"/>
      <c r="BD320" s="21"/>
      <c r="BE320" s="26"/>
      <c r="BF320" s="26"/>
      <c r="BG320" s="62"/>
    </row>
    <row r="321" spans="1:59" x14ac:dyDescent="0.3">
      <c r="A321" s="6"/>
      <c r="B321" s="6"/>
      <c r="C321" s="39"/>
      <c r="D321" s="6"/>
      <c r="E321" s="149"/>
      <c r="F321" s="153"/>
      <c r="G321" s="1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12"/>
      <c r="Y321" s="6"/>
      <c r="Z321" s="6"/>
      <c r="AA321" s="6"/>
      <c r="AB321" s="6"/>
      <c r="AC321" s="9"/>
      <c r="AD321" s="9"/>
      <c r="AE321" s="9"/>
      <c r="AF321" s="9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21"/>
      <c r="AS321" s="21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x14ac:dyDescent="0.3">
      <c r="A322" s="6"/>
      <c r="B322" s="6"/>
      <c r="C322" s="39"/>
      <c r="D322" s="6"/>
      <c r="E322" s="149"/>
      <c r="F322" s="153"/>
      <c r="G322" s="1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12"/>
      <c r="Y322" s="6"/>
      <c r="Z322" s="6"/>
      <c r="AA322" s="6"/>
      <c r="AB322" s="6"/>
      <c r="AC322" s="9"/>
      <c r="AD322" s="9"/>
      <c r="AE322" s="9"/>
      <c r="AF322" s="9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21"/>
      <c r="AS322" s="21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3.5" customHeight="1" x14ac:dyDescent="0.35">
      <c r="A323" s="49"/>
      <c r="B323" s="49"/>
      <c r="C323" s="14"/>
      <c r="D323" s="6"/>
      <c r="E323" s="149"/>
      <c r="F323" s="153"/>
      <c r="G323" s="10"/>
      <c r="H323" s="17"/>
      <c r="I323" s="17"/>
      <c r="J323" s="17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29"/>
      <c r="X323" s="15"/>
      <c r="Y323" s="30"/>
      <c r="Z323" s="30"/>
      <c r="AA323" s="30"/>
      <c r="AB323" s="30"/>
      <c r="AC323" s="17"/>
      <c r="AD323" s="17"/>
      <c r="AE323" s="17"/>
      <c r="AF323" s="17"/>
      <c r="AG323" s="21"/>
      <c r="AH323" s="21"/>
      <c r="AI323" s="21"/>
      <c r="AJ323" s="21"/>
      <c r="AK323" s="21"/>
      <c r="AL323" s="21"/>
      <c r="AM323" s="21"/>
      <c r="AN323" s="21"/>
      <c r="AO323" s="22"/>
      <c r="AP323" s="21"/>
      <c r="AQ323" s="22"/>
      <c r="AR323" s="21"/>
      <c r="AS323" s="21"/>
      <c r="AT323" s="21"/>
      <c r="AU323" s="21"/>
      <c r="AV323" s="21"/>
      <c r="AW323" s="21"/>
      <c r="AX323" s="22"/>
      <c r="AY323" s="21"/>
      <c r="AZ323" s="22"/>
      <c r="BA323" s="21"/>
      <c r="BB323" s="21"/>
      <c r="BC323" s="21"/>
      <c r="BD323" s="21"/>
      <c r="BE323" s="26"/>
      <c r="BF323" s="26"/>
      <c r="BG323" s="65"/>
    </row>
    <row r="324" spans="1:59" x14ac:dyDescent="0.3">
      <c r="A324" s="6"/>
      <c r="B324" s="6"/>
      <c r="C324" s="39"/>
      <c r="D324" s="6"/>
      <c r="E324" s="149"/>
      <c r="F324" s="153"/>
      <c r="G324" s="1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5"/>
      <c r="V324" s="5"/>
      <c r="W324" s="13"/>
      <c r="X324" s="4"/>
      <c r="Y324" s="4"/>
      <c r="Z324" s="4"/>
      <c r="AA324" s="6"/>
      <c r="AB324" s="5"/>
      <c r="AC324" s="9"/>
      <c r="AD324" s="9"/>
      <c r="AE324" s="9"/>
      <c r="AF324" s="9"/>
      <c r="AG324" s="2"/>
      <c r="AH324" s="3"/>
      <c r="AI324" s="2"/>
      <c r="AJ324" s="2"/>
      <c r="AK324" s="2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3.5" customHeight="1" x14ac:dyDescent="0.35">
      <c r="A325" s="49"/>
      <c r="B325" s="49"/>
      <c r="C325" s="14"/>
      <c r="D325" s="1"/>
      <c r="E325" s="149"/>
      <c r="F325" s="153"/>
      <c r="G325" s="10"/>
      <c r="H325" s="17"/>
      <c r="I325" s="17"/>
      <c r="J325" s="17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29"/>
      <c r="X325" s="15"/>
      <c r="Y325" s="30"/>
      <c r="Z325" s="30"/>
      <c r="AA325" s="30"/>
      <c r="AB325" s="30"/>
      <c r="AC325" s="17"/>
      <c r="AD325" s="17"/>
      <c r="AE325" s="17"/>
      <c r="AF325" s="17"/>
      <c r="AG325" s="21"/>
      <c r="AH325" s="21"/>
      <c r="AI325" s="21"/>
      <c r="AJ325" s="21"/>
      <c r="AK325" s="21"/>
      <c r="AL325" s="21"/>
      <c r="AM325" s="21"/>
      <c r="AN325" s="21"/>
      <c r="AO325" s="22"/>
      <c r="AP325" s="21"/>
      <c r="AQ325" s="22"/>
      <c r="AR325" s="21"/>
      <c r="AS325" s="21"/>
      <c r="AT325" s="21"/>
      <c r="AU325" s="21"/>
      <c r="AV325" s="21"/>
      <c r="AW325" s="21"/>
      <c r="AX325" s="22"/>
      <c r="AY325" s="21"/>
      <c r="AZ325" s="22"/>
      <c r="BA325" s="21"/>
      <c r="BB325" s="21"/>
      <c r="BC325" s="21"/>
      <c r="BD325" s="21"/>
      <c r="BE325" s="26"/>
      <c r="BF325" s="26"/>
      <c r="BG325" s="62"/>
    </row>
    <row r="326" spans="1:59" x14ac:dyDescent="0.3">
      <c r="A326" s="63"/>
      <c r="B326" s="63"/>
      <c r="C326" s="39"/>
      <c r="D326" s="6"/>
      <c r="E326" s="149"/>
      <c r="F326" s="153"/>
      <c r="G326" s="1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5"/>
      <c r="V326" s="5"/>
      <c r="W326" s="13"/>
      <c r="X326" s="4"/>
      <c r="Y326" s="4"/>
      <c r="Z326" s="4"/>
      <c r="AA326" s="6"/>
      <c r="AB326" s="5"/>
      <c r="AC326" s="9"/>
      <c r="AD326" s="9"/>
      <c r="AE326" s="9"/>
      <c r="AF326" s="9"/>
      <c r="AG326" s="64"/>
      <c r="AH326" s="3"/>
      <c r="AI326" s="2"/>
      <c r="AJ326" s="2"/>
      <c r="AK326" s="2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3.5" customHeight="1" x14ac:dyDescent="0.35">
      <c r="A327" s="49"/>
      <c r="B327" s="49"/>
      <c r="C327" s="14"/>
      <c r="D327" s="1"/>
      <c r="E327" s="149"/>
      <c r="F327" s="153"/>
      <c r="G327" s="10"/>
      <c r="H327" s="17"/>
      <c r="I327" s="17"/>
      <c r="J327" s="17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29"/>
      <c r="X327" s="15"/>
      <c r="Y327" s="30"/>
      <c r="Z327" s="30"/>
      <c r="AA327" s="30"/>
      <c r="AB327" s="30"/>
      <c r="AC327" s="17"/>
      <c r="AD327" s="17"/>
      <c r="AE327" s="17"/>
      <c r="AF327" s="17"/>
      <c r="AG327" s="21"/>
      <c r="AH327" s="21"/>
      <c r="AI327" s="21"/>
      <c r="AJ327" s="21"/>
      <c r="AK327" s="21"/>
      <c r="AL327" s="21"/>
      <c r="AM327" s="21"/>
      <c r="AN327" s="21"/>
      <c r="AO327" s="22"/>
      <c r="AP327" s="21"/>
      <c r="AQ327" s="22"/>
      <c r="AR327" s="21"/>
      <c r="AS327" s="21"/>
      <c r="AT327" s="21"/>
      <c r="AU327" s="21"/>
      <c r="AV327" s="21"/>
      <c r="AW327" s="21"/>
      <c r="AX327" s="22"/>
      <c r="AY327" s="21"/>
      <c r="AZ327" s="22"/>
      <c r="BA327" s="21"/>
      <c r="BB327" s="21"/>
      <c r="BC327" s="21"/>
      <c r="BD327" s="21"/>
      <c r="BE327" s="26"/>
      <c r="BF327" s="26"/>
      <c r="BG327" s="62"/>
    </row>
    <row r="328" spans="1:59" x14ac:dyDescent="0.3">
      <c r="A328" s="63"/>
      <c r="B328" s="63"/>
      <c r="C328" s="39"/>
      <c r="D328" s="6"/>
      <c r="E328" s="149"/>
      <c r="F328" s="153"/>
      <c r="G328" s="1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5"/>
      <c r="V328" s="5"/>
      <c r="W328" s="13"/>
      <c r="X328" s="4"/>
      <c r="Y328" s="4"/>
      <c r="Z328" s="4"/>
      <c r="AA328" s="6"/>
      <c r="AB328" s="5"/>
      <c r="AC328" s="9"/>
      <c r="AD328" s="9"/>
      <c r="AE328" s="9"/>
      <c r="AF328" s="9"/>
      <c r="AG328" s="64"/>
      <c r="AH328" s="3"/>
      <c r="AI328" s="2"/>
      <c r="AJ328" s="2"/>
      <c r="AK328" s="2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x14ac:dyDescent="0.3">
      <c r="A329" s="6"/>
      <c r="B329" s="6"/>
      <c r="C329" s="39"/>
      <c r="D329" s="6"/>
      <c r="E329" s="149"/>
      <c r="F329" s="153"/>
      <c r="G329" s="1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5"/>
      <c r="V329" s="5"/>
      <c r="W329" s="13"/>
      <c r="X329" s="4"/>
      <c r="Y329" s="4"/>
      <c r="Z329" s="4"/>
      <c r="AA329" s="6"/>
      <c r="AB329" s="5"/>
      <c r="AC329" s="9"/>
      <c r="AD329" s="9"/>
      <c r="AE329" s="9"/>
      <c r="AF329" s="9"/>
      <c r="AG329" s="2"/>
      <c r="AH329" s="3"/>
      <c r="AI329" s="2"/>
      <c r="AJ329" s="2"/>
      <c r="AK329" s="2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x14ac:dyDescent="0.3">
      <c r="A330" s="6"/>
      <c r="B330" s="6"/>
      <c r="C330" s="39"/>
      <c r="D330" s="6"/>
      <c r="E330" s="149"/>
      <c r="F330" s="153"/>
      <c r="G330" s="1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12"/>
      <c r="Y330" s="6"/>
      <c r="Z330" s="6"/>
      <c r="AA330" s="6"/>
      <c r="AB330" s="6"/>
      <c r="AC330" s="9"/>
      <c r="AD330" s="9"/>
      <c r="AE330" s="9"/>
      <c r="AF330" s="9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3.5" customHeight="1" x14ac:dyDescent="0.35">
      <c r="A331" s="49"/>
      <c r="B331" s="49"/>
      <c r="C331" s="14"/>
      <c r="D331" s="1"/>
      <c r="E331" s="149"/>
      <c r="F331" s="153"/>
      <c r="G331" s="10"/>
      <c r="H331" s="17"/>
      <c r="I331" s="17"/>
      <c r="J331" s="17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29"/>
      <c r="X331" s="15"/>
      <c r="Y331" s="30"/>
      <c r="Z331" s="30"/>
      <c r="AA331" s="30"/>
      <c r="AB331" s="30"/>
      <c r="AC331" s="17"/>
      <c r="AD331" s="17"/>
      <c r="AE331" s="17"/>
      <c r="AF331" s="17"/>
      <c r="AG331" s="21"/>
      <c r="AH331" s="21"/>
      <c r="AI331" s="21"/>
      <c r="AJ331" s="21"/>
      <c r="AK331" s="21"/>
      <c r="AL331" s="21"/>
      <c r="AM331" s="21"/>
      <c r="AN331" s="21"/>
      <c r="AO331" s="22"/>
      <c r="AP331" s="21"/>
      <c r="AQ331" s="22"/>
      <c r="AR331" s="21"/>
      <c r="AS331" s="21"/>
      <c r="AT331" s="21"/>
      <c r="AU331" s="21"/>
      <c r="AV331" s="21"/>
      <c r="AW331" s="21"/>
      <c r="AX331" s="22"/>
      <c r="AY331" s="21"/>
      <c r="AZ331" s="22"/>
      <c r="BA331" s="21"/>
      <c r="BB331" s="21"/>
      <c r="BC331" s="21"/>
      <c r="BD331" s="21"/>
      <c r="BE331" s="26"/>
      <c r="BF331" s="26"/>
      <c r="BG331" s="62"/>
    </row>
    <row r="332" spans="1:59" x14ac:dyDescent="0.3">
      <c r="A332" s="6"/>
      <c r="B332" s="6"/>
      <c r="C332" s="39"/>
      <c r="D332" s="6"/>
      <c r="E332" s="149"/>
      <c r="F332" s="153"/>
      <c r="G332" s="1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12"/>
      <c r="Y332" s="6"/>
      <c r="Z332" s="6"/>
      <c r="AA332" s="6"/>
      <c r="AB332" s="6"/>
      <c r="AC332" s="9"/>
      <c r="AD332" s="9"/>
      <c r="AE332" s="9"/>
      <c r="AF332" s="9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21"/>
      <c r="AS332" s="21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3.5" customHeight="1" x14ac:dyDescent="0.35">
      <c r="A333" s="49"/>
      <c r="B333" s="49"/>
      <c r="C333" s="14"/>
      <c r="D333" s="1"/>
      <c r="E333" s="149"/>
      <c r="F333" s="153"/>
      <c r="G333" s="10"/>
      <c r="H333" s="17"/>
      <c r="I333" s="17"/>
      <c r="J333" s="17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29"/>
      <c r="X333" s="15"/>
      <c r="Y333" s="30"/>
      <c r="Z333" s="30"/>
      <c r="AA333" s="30"/>
      <c r="AB333" s="30"/>
      <c r="AC333" s="17"/>
      <c r="AD333" s="17"/>
      <c r="AE333" s="17"/>
      <c r="AF333" s="17"/>
      <c r="AG333" s="21"/>
      <c r="AH333" s="21"/>
      <c r="AI333" s="21"/>
      <c r="AJ333" s="21"/>
      <c r="AK333" s="21"/>
      <c r="AL333" s="21"/>
      <c r="AM333" s="21"/>
      <c r="AN333" s="21"/>
      <c r="AO333" s="22"/>
      <c r="AP333" s="21"/>
      <c r="AQ333" s="22"/>
      <c r="AR333" s="21"/>
      <c r="AS333" s="21"/>
      <c r="AT333" s="21"/>
      <c r="AU333" s="21"/>
      <c r="AV333" s="21"/>
      <c r="AW333" s="21"/>
      <c r="AX333" s="22"/>
      <c r="AY333" s="21"/>
      <c r="AZ333" s="22"/>
      <c r="BA333" s="21"/>
      <c r="BB333" s="21"/>
      <c r="BC333" s="21"/>
      <c r="BD333" s="21"/>
      <c r="BE333" s="26"/>
      <c r="BF333" s="26"/>
      <c r="BG333" s="62"/>
    </row>
    <row r="334" spans="1:59" x14ac:dyDescent="0.3">
      <c r="A334" s="6"/>
      <c r="B334" s="6"/>
      <c r="C334" s="39"/>
      <c r="D334" s="6"/>
      <c r="E334" s="149"/>
      <c r="F334" s="153"/>
      <c r="G334" s="1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5"/>
      <c r="V334" s="5"/>
      <c r="W334" s="13"/>
      <c r="X334" s="4"/>
      <c r="Y334" s="4"/>
      <c r="Z334" s="4"/>
      <c r="AA334" s="6"/>
      <c r="AB334" s="5"/>
      <c r="AC334" s="9"/>
      <c r="AD334" s="9"/>
      <c r="AE334" s="9"/>
      <c r="AF334" s="9"/>
      <c r="AG334" s="2"/>
      <c r="AH334" s="3"/>
      <c r="AI334" s="2"/>
      <c r="AJ334" s="2"/>
      <c r="AK334" s="2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x14ac:dyDescent="0.3">
      <c r="A335" s="6"/>
      <c r="B335" s="6"/>
      <c r="C335" s="39"/>
      <c r="D335" s="6"/>
      <c r="E335" s="149"/>
      <c r="F335" s="153"/>
      <c r="G335" s="1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5"/>
      <c r="V335" s="5"/>
      <c r="W335" s="13"/>
      <c r="X335" s="4"/>
      <c r="Y335" s="4"/>
      <c r="Z335" s="4"/>
      <c r="AA335" s="6"/>
      <c r="AB335" s="5"/>
      <c r="AC335" s="9"/>
      <c r="AD335" s="9"/>
      <c r="AE335" s="9"/>
      <c r="AF335" s="9"/>
      <c r="AG335" s="2"/>
      <c r="AH335" s="3"/>
      <c r="AI335" s="2"/>
      <c r="AJ335" s="2"/>
      <c r="AK335" s="2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3.5" customHeight="1" x14ac:dyDescent="0.35">
      <c r="A336" s="49"/>
      <c r="B336" s="49"/>
      <c r="C336" s="14"/>
      <c r="D336" s="1"/>
      <c r="E336" s="149"/>
      <c r="F336" s="153"/>
      <c r="G336" s="10"/>
      <c r="H336" s="17"/>
      <c r="I336" s="17"/>
      <c r="J336" s="17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29"/>
      <c r="X336" s="15"/>
      <c r="Y336" s="30"/>
      <c r="Z336" s="30"/>
      <c r="AA336" s="30"/>
      <c r="AB336" s="30"/>
      <c r="AC336" s="17"/>
      <c r="AD336" s="17"/>
      <c r="AE336" s="17"/>
      <c r="AF336" s="17"/>
      <c r="AG336" s="21"/>
      <c r="AH336" s="21"/>
      <c r="AI336" s="21"/>
      <c r="AJ336" s="21"/>
      <c r="AK336" s="21"/>
      <c r="AL336" s="21"/>
      <c r="AM336" s="21"/>
      <c r="AN336" s="21"/>
      <c r="AO336" s="22"/>
      <c r="AP336" s="21"/>
      <c r="AQ336" s="22"/>
      <c r="AR336" s="21"/>
      <c r="AS336" s="21"/>
      <c r="AT336" s="21"/>
      <c r="AU336" s="21"/>
      <c r="AV336" s="21"/>
      <c r="AW336" s="21"/>
      <c r="AX336" s="22"/>
      <c r="AY336" s="21"/>
      <c r="AZ336" s="22"/>
      <c r="BA336" s="21"/>
      <c r="BB336" s="21"/>
      <c r="BC336" s="21"/>
      <c r="BD336" s="21"/>
      <c r="BE336" s="26"/>
      <c r="BF336" s="26"/>
      <c r="BG336" s="62"/>
    </row>
    <row r="337" spans="1:59" ht="13.5" customHeight="1" x14ac:dyDescent="0.3">
      <c r="A337" s="63"/>
      <c r="B337" s="63"/>
      <c r="C337" s="39"/>
      <c r="D337" s="6"/>
      <c r="E337" s="149"/>
      <c r="F337" s="153"/>
      <c r="G337" s="1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5"/>
      <c r="V337" s="5"/>
      <c r="W337" s="13"/>
      <c r="X337" s="4"/>
      <c r="Y337" s="4"/>
      <c r="Z337" s="4"/>
      <c r="AA337" s="6"/>
      <c r="AB337" s="5"/>
      <c r="AC337" s="9"/>
      <c r="AD337" s="9"/>
      <c r="AE337" s="9"/>
      <c r="AF337" s="9"/>
      <c r="AG337" s="64"/>
      <c r="AH337" s="3"/>
      <c r="AI337" s="2"/>
      <c r="AJ337" s="2"/>
      <c r="AK337" s="2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x14ac:dyDescent="0.3">
      <c r="A338" s="6"/>
      <c r="B338" s="6"/>
      <c r="C338" s="39"/>
      <c r="D338" s="6"/>
      <c r="E338" s="149"/>
      <c r="F338" s="153"/>
      <c r="G338" s="1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5"/>
      <c r="V338" s="5"/>
      <c r="W338" s="13"/>
      <c r="X338" s="4"/>
      <c r="Y338" s="4"/>
      <c r="Z338" s="4"/>
      <c r="AA338" s="6"/>
      <c r="AB338" s="5"/>
      <c r="AC338" s="9"/>
      <c r="AD338" s="9"/>
      <c r="AE338" s="9"/>
      <c r="AF338" s="9"/>
      <c r="AG338" s="2"/>
      <c r="AH338" s="3"/>
      <c r="AI338" s="2"/>
      <c r="AJ338" s="2"/>
      <c r="AK338" s="2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x14ac:dyDescent="0.3">
      <c r="A339" s="63"/>
      <c r="B339" s="63"/>
      <c r="C339" s="39"/>
      <c r="D339" s="6"/>
      <c r="E339" s="149"/>
      <c r="F339" s="153"/>
      <c r="G339" s="1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5"/>
      <c r="V339" s="5"/>
      <c r="W339" s="13"/>
      <c r="X339" s="4"/>
      <c r="Y339" s="4"/>
      <c r="Z339" s="4"/>
      <c r="AA339" s="6"/>
      <c r="AB339" s="5"/>
      <c r="AC339" s="9"/>
      <c r="AD339" s="9"/>
      <c r="AE339" s="9"/>
      <c r="AF339" s="9"/>
      <c r="AG339" s="64"/>
      <c r="AH339" s="3"/>
      <c r="AI339" s="2"/>
      <c r="AJ339" s="2"/>
      <c r="AK339" s="2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x14ac:dyDescent="0.3">
      <c r="A340" s="6"/>
      <c r="B340" s="6"/>
      <c r="C340" s="39"/>
      <c r="D340" s="6"/>
      <c r="E340" s="149"/>
      <c r="F340" s="153"/>
      <c r="G340" s="1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12"/>
      <c r="Y340" s="6"/>
      <c r="Z340" s="6"/>
      <c r="AA340" s="6"/>
      <c r="AB340" s="6"/>
      <c r="AC340" s="9"/>
      <c r="AD340" s="9"/>
      <c r="AE340" s="9"/>
      <c r="AF340" s="9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21"/>
      <c r="AS340" s="21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3.5" customHeight="1" x14ac:dyDescent="0.35">
      <c r="A341" s="49"/>
      <c r="B341" s="49"/>
      <c r="C341" s="39"/>
      <c r="D341" s="1"/>
      <c r="E341" s="149"/>
      <c r="F341" s="153"/>
      <c r="G341" s="10"/>
      <c r="H341" s="17"/>
      <c r="I341" s="17"/>
      <c r="J341" s="17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29"/>
      <c r="X341" s="15"/>
      <c r="Y341" s="30"/>
      <c r="Z341" s="30"/>
      <c r="AA341" s="30"/>
      <c r="AB341" s="30"/>
      <c r="AC341" s="17"/>
      <c r="AD341" s="17"/>
      <c r="AE341" s="17"/>
      <c r="AF341" s="17"/>
      <c r="AG341" s="21"/>
      <c r="AH341" s="21"/>
      <c r="AI341" s="21"/>
      <c r="AJ341" s="21"/>
      <c r="AK341" s="21"/>
      <c r="AL341" s="21"/>
      <c r="AM341" s="21"/>
      <c r="AN341" s="21"/>
      <c r="AO341" s="22"/>
      <c r="AP341" s="21"/>
      <c r="AQ341" s="22"/>
      <c r="AR341" s="21"/>
      <c r="AS341" s="21"/>
      <c r="AT341" s="21"/>
      <c r="AU341" s="21"/>
      <c r="AV341" s="21"/>
      <c r="AW341" s="21"/>
      <c r="AX341" s="22"/>
      <c r="AY341" s="21"/>
      <c r="AZ341" s="22"/>
      <c r="BA341" s="21"/>
      <c r="BB341" s="21"/>
      <c r="BC341" s="21"/>
      <c r="BD341" s="21"/>
      <c r="BE341" s="26"/>
      <c r="BF341" s="26"/>
      <c r="BG341" s="62"/>
    </row>
    <row r="342" spans="1:59" x14ac:dyDescent="0.3">
      <c r="A342" s="6"/>
      <c r="B342" s="6"/>
      <c r="C342" s="39"/>
      <c r="D342" s="6"/>
      <c r="E342" s="149"/>
      <c r="F342" s="153"/>
      <c r="G342" s="1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12"/>
      <c r="Y342" s="6"/>
      <c r="Z342" s="6"/>
      <c r="AA342" s="6"/>
      <c r="AB342" s="6"/>
      <c r="AC342" s="9"/>
      <c r="AD342" s="9"/>
      <c r="AE342" s="9"/>
      <c r="AF342" s="9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21"/>
      <c r="AS342" s="21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3.5" customHeight="1" x14ac:dyDescent="0.35">
      <c r="A343" s="49"/>
      <c r="B343" s="49"/>
      <c r="C343" s="14"/>
      <c r="D343" s="1"/>
      <c r="E343" s="149"/>
      <c r="F343" s="153"/>
      <c r="G343" s="10"/>
      <c r="H343" s="17"/>
      <c r="I343" s="17"/>
      <c r="J343" s="17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29"/>
      <c r="X343" s="15"/>
      <c r="Y343" s="30"/>
      <c r="Z343" s="30"/>
      <c r="AA343" s="30"/>
      <c r="AB343" s="30"/>
      <c r="AC343" s="17"/>
      <c r="AD343" s="17"/>
      <c r="AE343" s="17"/>
      <c r="AF343" s="17"/>
      <c r="AG343" s="21"/>
      <c r="AH343" s="21"/>
      <c r="AI343" s="21"/>
      <c r="AJ343" s="21"/>
      <c r="AK343" s="21"/>
      <c r="AL343" s="21"/>
      <c r="AM343" s="21"/>
      <c r="AN343" s="21"/>
      <c r="AO343" s="22"/>
      <c r="AP343" s="21"/>
      <c r="AQ343" s="22"/>
      <c r="AR343" s="21"/>
      <c r="AS343" s="21"/>
      <c r="AT343" s="21"/>
      <c r="AU343" s="21"/>
      <c r="AV343" s="21"/>
      <c r="AW343" s="21"/>
      <c r="AX343" s="22"/>
      <c r="AY343" s="21"/>
      <c r="AZ343" s="22"/>
      <c r="BA343" s="21"/>
      <c r="BB343" s="21"/>
      <c r="BC343" s="21"/>
      <c r="BD343" s="21"/>
      <c r="BE343" s="26"/>
      <c r="BF343" s="26"/>
      <c r="BG343" s="62"/>
    </row>
    <row r="344" spans="1:59" ht="13.5" customHeight="1" x14ac:dyDescent="0.35">
      <c r="A344" s="49"/>
      <c r="B344" s="49"/>
      <c r="C344" s="39"/>
      <c r="D344" s="1"/>
      <c r="E344" s="149"/>
      <c r="F344" s="153"/>
      <c r="G344" s="10"/>
      <c r="H344" s="17"/>
      <c r="I344" s="17"/>
      <c r="J344" s="17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29"/>
      <c r="X344" s="15"/>
      <c r="Y344" s="30"/>
      <c r="Z344" s="30"/>
      <c r="AA344" s="30"/>
      <c r="AB344" s="30"/>
      <c r="AC344" s="17"/>
      <c r="AD344" s="17"/>
      <c r="AE344" s="17"/>
      <c r="AF344" s="17"/>
      <c r="AG344" s="21"/>
      <c r="AH344" s="21"/>
      <c r="AI344" s="21"/>
      <c r="AJ344" s="21"/>
      <c r="AK344" s="21"/>
      <c r="AL344" s="21"/>
      <c r="AM344" s="21"/>
      <c r="AN344" s="21"/>
      <c r="AO344" s="22"/>
      <c r="AP344" s="21"/>
      <c r="AQ344" s="22"/>
      <c r="AR344" s="21"/>
      <c r="AS344" s="21"/>
      <c r="AT344" s="21"/>
      <c r="AU344" s="21"/>
      <c r="AV344" s="21"/>
      <c r="AW344" s="21"/>
      <c r="AX344" s="22"/>
      <c r="AY344" s="21"/>
      <c r="AZ344" s="22"/>
      <c r="BA344" s="21"/>
      <c r="BB344" s="21"/>
      <c r="BC344" s="21"/>
      <c r="BD344" s="21"/>
      <c r="BE344" s="26"/>
      <c r="BF344" s="26"/>
      <c r="BG344" s="62"/>
    </row>
    <row r="345" spans="1:59" x14ac:dyDescent="0.3">
      <c r="A345" s="6"/>
      <c r="B345" s="6"/>
      <c r="C345" s="39"/>
      <c r="D345" s="6"/>
      <c r="E345" s="149"/>
      <c r="F345" s="153"/>
      <c r="G345" s="1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12"/>
      <c r="Y345" s="6"/>
      <c r="Z345" s="6"/>
      <c r="AA345" s="6"/>
      <c r="AB345" s="6"/>
      <c r="AC345" s="9"/>
      <c r="AD345" s="9"/>
      <c r="AE345" s="9"/>
      <c r="AF345" s="9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21"/>
      <c r="AS345" s="21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x14ac:dyDescent="0.3">
      <c r="A346" s="63"/>
      <c r="B346" s="63"/>
      <c r="C346" s="39"/>
      <c r="D346" s="6"/>
      <c r="E346" s="149"/>
      <c r="F346" s="153"/>
      <c r="G346" s="1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5"/>
      <c r="V346" s="5"/>
      <c r="W346" s="13"/>
      <c r="X346" s="4"/>
      <c r="Y346" s="4"/>
      <c r="Z346" s="4"/>
      <c r="AA346" s="6"/>
      <c r="AB346" s="5"/>
      <c r="AC346" s="9"/>
      <c r="AD346" s="9"/>
      <c r="AE346" s="9"/>
      <c r="AF346" s="9"/>
      <c r="AG346" s="64"/>
      <c r="AH346" s="3"/>
      <c r="AI346" s="2"/>
      <c r="AJ346" s="2"/>
      <c r="AK346" s="2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x14ac:dyDescent="0.3">
      <c r="A347" s="63"/>
      <c r="B347" s="63"/>
      <c r="C347" s="39"/>
      <c r="D347" s="6"/>
      <c r="E347" s="149"/>
      <c r="F347" s="153"/>
      <c r="G347" s="1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5"/>
      <c r="V347" s="5"/>
      <c r="W347" s="13"/>
      <c r="X347" s="4"/>
      <c r="Y347" s="4"/>
      <c r="Z347" s="4"/>
      <c r="AA347" s="6"/>
      <c r="AB347" s="5"/>
      <c r="AC347" s="9"/>
      <c r="AD347" s="9"/>
      <c r="AE347" s="9"/>
      <c r="AF347" s="9"/>
      <c r="AG347" s="64"/>
      <c r="AH347" s="3"/>
      <c r="AI347" s="2"/>
      <c r="AJ347" s="2"/>
      <c r="AK347" s="2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x14ac:dyDescent="0.3">
      <c r="A348" s="6"/>
      <c r="B348" s="6"/>
      <c r="C348" s="39"/>
      <c r="D348" s="6"/>
      <c r="E348" s="149"/>
      <c r="F348" s="153"/>
      <c r="G348" s="1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12"/>
      <c r="Y348" s="6"/>
      <c r="Z348" s="6"/>
      <c r="AA348" s="6"/>
      <c r="AB348" s="6"/>
      <c r="AC348" s="9"/>
      <c r="AD348" s="9"/>
      <c r="AE348" s="9"/>
      <c r="AF348" s="9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21"/>
      <c r="AS348" s="21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x14ac:dyDescent="0.3">
      <c r="A349" s="63"/>
      <c r="B349" s="63"/>
      <c r="C349" s="39"/>
      <c r="D349" s="6"/>
      <c r="E349" s="149"/>
      <c r="F349" s="153"/>
      <c r="G349" s="1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5"/>
      <c r="V349" s="5"/>
      <c r="W349" s="13"/>
      <c r="X349" s="4"/>
      <c r="Y349" s="4"/>
      <c r="Z349" s="4"/>
      <c r="AA349" s="6"/>
      <c r="AB349" s="5"/>
      <c r="AC349" s="9"/>
      <c r="AD349" s="9"/>
      <c r="AE349" s="9"/>
      <c r="AF349" s="9"/>
      <c r="AG349" s="64"/>
      <c r="AH349" s="3"/>
      <c r="AI349" s="2"/>
      <c r="AJ349" s="2"/>
      <c r="AK349" s="2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x14ac:dyDescent="0.3">
      <c r="A350" s="6"/>
      <c r="B350" s="6"/>
      <c r="C350" s="39"/>
      <c r="D350" s="6"/>
      <c r="E350" s="149"/>
      <c r="F350" s="153"/>
      <c r="G350" s="1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12"/>
      <c r="Y350" s="6"/>
      <c r="Z350" s="6"/>
      <c r="AA350" s="6"/>
      <c r="AB350" s="6"/>
      <c r="AC350" s="9"/>
      <c r="AD350" s="9"/>
      <c r="AE350" s="9"/>
      <c r="AF350" s="9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21"/>
      <c r="AS350" s="21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3.5" customHeight="1" x14ac:dyDescent="0.35">
      <c r="A351" s="49"/>
      <c r="B351" s="49"/>
      <c r="C351" s="39"/>
      <c r="D351" s="1"/>
      <c r="E351" s="149"/>
      <c r="F351" s="153"/>
      <c r="G351" s="10"/>
      <c r="H351" s="17"/>
      <c r="I351" s="17"/>
      <c r="J351" s="17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29"/>
      <c r="X351" s="15"/>
      <c r="Y351" s="30"/>
      <c r="Z351" s="30"/>
      <c r="AA351" s="30"/>
      <c r="AB351" s="30"/>
      <c r="AC351" s="17"/>
      <c r="AD351" s="17"/>
      <c r="AE351" s="17"/>
      <c r="AF351" s="17"/>
      <c r="AG351" s="21"/>
      <c r="AH351" s="21"/>
      <c r="AI351" s="21"/>
      <c r="AJ351" s="21"/>
      <c r="AK351" s="21"/>
      <c r="AL351" s="21"/>
      <c r="AM351" s="21"/>
      <c r="AN351" s="21"/>
      <c r="AO351" s="22"/>
      <c r="AP351" s="21"/>
      <c r="AQ351" s="22"/>
      <c r="AR351" s="21"/>
      <c r="AS351" s="21"/>
      <c r="AT351" s="21"/>
      <c r="AU351" s="21"/>
      <c r="AV351" s="21"/>
      <c r="AW351" s="21"/>
      <c r="AX351" s="22"/>
      <c r="AY351" s="21"/>
      <c r="AZ351" s="22"/>
      <c r="BA351" s="21"/>
      <c r="BB351" s="21"/>
      <c r="BC351" s="21"/>
      <c r="BD351" s="21"/>
      <c r="BE351" s="26"/>
      <c r="BF351" s="26"/>
      <c r="BG351" s="62"/>
    </row>
    <row r="352" spans="1:59" ht="13.5" customHeight="1" x14ac:dyDescent="0.35">
      <c r="A352" s="49"/>
      <c r="B352" s="49"/>
      <c r="C352" s="14"/>
      <c r="D352" s="1"/>
      <c r="E352" s="149"/>
      <c r="F352" s="153"/>
      <c r="G352" s="10"/>
      <c r="H352" s="17"/>
      <c r="I352" s="17"/>
      <c r="J352" s="17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29"/>
      <c r="X352" s="15"/>
      <c r="Y352" s="30"/>
      <c r="Z352" s="30"/>
      <c r="AA352" s="30"/>
      <c r="AB352" s="30"/>
      <c r="AC352" s="17"/>
      <c r="AD352" s="17"/>
      <c r="AE352" s="17"/>
      <c r="AF352" s="17"/>
      <c r="AG352" s="21"/>
      <c r="AH352" s="21"/>
      <c r="AI352" s="21"/>
      <c r="AJ352" s="21"/>
      <c r="AK352" s="21"/>
      <c r="AL352" s="21"/>
      <c r="AM352" s="21"/>
      <c r="AN352" s="21"/>
      <c r="AO352" s="22"/>
      <c r="AP352" s="21"/>
      <c r="AQ352" s="22"/>
      <c r="AR352" s="21"/>
      <c r="AS352" s="21"/>
      <c r="AT352" s="21"/>
      <c r="AU352" s="21"/>
      <c r="AV352" s="21"/>
      <c r="AW352" s="21"/>
      <c r="AX352" s="22"/>
      <c r="AY352" s="21"/>
      <c r="AZ352" s="22"/>
      <c r="BA352" s="21"/>
      <c r="BB352" s="21"/>
      <c r="BC352" s="21"/>
      <c r="BD352" s="21"/>
      <c r="BE352" s="26"/>
      <c r="BF352" s="26"/>
      <c r="BG352" s="62"/>
    </row>
    <row r="353" spans="1:59" x14ac:dyDescent="0.3">
      <c r="A353" s="6"/>
      <c r="B353" s="6"/>
      <c r="C353" s="39"/>
      <c r="D353" s="6"/>
      <c r="E353" s="149"/>
      <c r="F353" s="153"/>
      <c r="G353" s="1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5"/>
      <c r="V353" s="5"/>
      <c r="W353" s="13"/>
      <c r="X353" s="4"/>
      <c r="Y353" s="4"/>
      <c r="Z353" s="4"/>
      <c r="AA353" s="6"/>
      <c r="AB353" s="5"/>
      <c r="AC353" s="9"/>
      <c r="AD353" s="9"/>
      <c r="AE353" s="9"/>
      <c r="AF353" s="9"/>
      <c r="AG353" s="2"/>
      <c r="AH353" s="3"/>
      <c r="AI353" s="2"/>
      <c r="AJ353" s="2"/>
      <c r="AK353" s="2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x14ac:dyDescent="0.3">
      <c r="A354" s="6"/>
      <c r="B354" s="6"/>
      <c r="C354" s="39"/>
      <c r="D354" s="6"/>
      <c r="E354" s="149"/>
      <c r="F354" s="153"/>
      <c r="G354" s="1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12"/>
      <c r="Y354" s="6"/>
      <c r="Z354" s="6"/>
      <c r="AA354" s="6"/>
      <c r="AB354" s="6"/>
      <c r="AC354" s="9"/>
      <c r="AD354" s="9"/>
      <c r="AE354" s="9"/>
      <c r="AF354" s="9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21"/>
      <c r="AS354" s="21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x14ac:dyDescent="0.3">
      <c r="A355" s="6"/>
      <c r="B355" s="6"/>
      <c r="C355" s="39"/>
      <c r="D355" s="6"/>
      <c r="E355" s="149"/>
      <c r="F355" s="153"/>
      <c r="G355" s="1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12"/>
      <c r="Y355" s="6"/>
      <c r="Z355" s="6"/>
      <c r="AA355" s="6"/>
      <c r="AB355" s="6"/>
      <c r="AC355" s="9"/>
      <c r="AD355" s="9"/>
      <c r="AE355" s="9"/>
      <c r="AF355" s="9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21"/>
      <c r="AS355" s="21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x14ac:dyDescent="0.3">
      <c r="A356" s="6"/>
      <c r="B356" s="6"/>
      <c r="C356" s="39"/>
      <c r="D356" s="6"/>
      <c r="E356" s="149"/>
      <c r="F356" s="153"/>
      <c r="G356" s="1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5"/>
      <c r="V356" s="5"/>
      <c r="W356" s="13"/>
      <c r="X356" s="4"/>
      <c r="Y356" s="4"/>
      <c r="Z356" s="4"/>
      <c r="AA356" s="6"/>
      <c r="AB356" s="5"/>
      <c r="AC356" s="9"/>
      <c r="AD356" s="9"/>
      <c r="AE356" s="9"/>
      <c r="AF356" s="9"/>
      <c r="AG356" s="2"/>
      <c r="AH356" s="3"/>
      <c r="AI356" s="2"/>
      <c r="AJ356" s="2"/>
      <c r="AK356" s="2"/>
      <c r="AL356" s="3"/>
      <c r="AM356" s="3"/>
      <c r="AN356" s="3"/>
      <c r="AO356" s="3"/>
      <c r="AP356" s="3"/>
      <c r="AQ356" s="3"/>
      <c r="AR356" s="21"/>
      <c r="AS356" s="21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x14ac:dyDescent="0.3">
      <c r="A357" s="6"/>
      <c r="B357" s="6"/>
      <c r="C357" s="39"/>
      <c r="D357" s="6"/>
      <c r="E357" s="149"/>
      <c r="F357" s="153"/>
      <c r="G357" s="1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12"/>
      <c r="Y357" s="6"/>
      <c r="Z357" s="6"/>
      <c r="AA357" s="6"/>
      <c r="AB357" s="6"/>
      <c r="AC357" s="9"/>
      <c r="AD357" s="9"/>
      <c r="AE357" s="9"/>
      <c r="AF357" s="9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21"/>
      <c r="AS357" s="21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x14ac:dyDescent="0.3">
      <c r="A358" s="63"/>
      <c r="B358" s="63"/>
      <c r="C358" s="39"/>
      <c r="D358" s="6"/>
      <c r="E358" s="149"/>
      <c r="F358" s="153"/>
      <c r="G358" s="1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5"/>
      <c r="V358" s="5"/>
      <c r="W358" s="13"/>
      <c r="X358" s="4"/>
      <c r="Y358" s="4"/>
      <c r="Z358" s="4"/>
      <c r="AA358" s="6"/>
      <c r="AB358" s="5"/>
      <c r="AC358" s="9"/>
      <c r="AD358" s="9"/>
      <c r="AE358" s="9"/>
      <c r="AF358" s="9"/>
      <c r="AG358" s="64"/>
      <c r="AH358" s="3"/>
      <c r="AI358" s="2"/>
      <c r="AJ358" s="2"/>
      <c r="AK358" s="2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3.5" customHeight="1" x14ac:dyDescent="0.35">
      <c r="A359" s="49"/>
      <c r="B359" s="49"/>
      <c r="C359" s="14"/>
      <c r="D359" s="1"/>
      <c r="E359" s="149"/>
      <c r="F359" s="153"/>
      <c r="G359" s="10"/>
      <c r="H359" s="17"/>
      <c r="I359" s="17"/>
      <c r="J359" s="17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29"/>
      <c r="X359" s="15"/>
      <c r="Y359" s="30"/>
      <c r="Z359" s="30"/>
      <c r="AA359" s="30"/>
      <c r="AB359" s="30"/>
      <c r="AC359" s="17"/>
      <c r="AD359" s="17"/>
      <c r="AE359" s="17"/>
      <c r="AF359" s="17"/>
      <c r="AG359" s="21"/>
      <c r="AH359" s="21"/>
      <c r="AI359" s="21"/>
      <c r="AJ359" s="21"/>
      <c r="AK359" s="21"/>
      <c r="AL359" s="21"/>
      <c r="AM359" s="21"/>
      <c r="AN359" s="21"/>
      <c r="AO359" s="22"/>
      <c r="AP359" s="21"/>
      <c r="AQ359" s="22"/>
      <c r="AR359" s="21"/>
      <c r="AS359" s="21"/>
      <c r="AT359" s="21"/>
      <c r="AU359" s="21"/>
      <c r="AV359" s="21"/>
      <c r="AW359" s="21"/>
      <c r="AX359" s="22"/>
      <c r="AY359" s="21"/>
      <c r="AZ359" s="22"/>
      <c r="BA359" s="21"/>
      <c r="BB359" s="21"/>
      <c r="BC359" s="21"/>
      <c r="BD359" s="21"/>
      <c r="BE359" s="26"/>
      <c r="BF359" s="26"/>
      <c r="BG359" s="62"/>
    </row>
    <row r="360" spans="1:59" x14ac:dyDescent="0.3">
      <c r="A360" s="63"/>
      <c r="B360" s="63"/>
      <c r="C360" s="39"/>
      <c r="D360" s="6"/>
      <c r="E360" s="149"/>
      <c r="F360" s="153"/>
      <c r="G360" s="1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5"/>
      <c r="V360" s="5"/>
      <c r="W360" s="13"/>
      <c r="X360" s="4"/>
      <c r="Y360" s="4"/>
      <c r="Z360" s="4"/>
      <c r="AA360" s="6"/>
      <c r="AB360" s="5"/>
      <c r="AC360" s="9"/>
      <c r="AD360" s="9"/>
      <c r="AE360" s="9"/>
      <c r="AF360" s="9"/>
      <c r="AG360" s="64"/>
      <c r="AH360" s="3"/>
      <c r="AI360" s="2"/>
      <c r="AJ360" s="2"/>
      <c r="AK360" s="2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x14ac:dyDescent="0.3">
      <c r="A361" s="6"/>
      <c r="B361" s="6"/>
      <c r="C361" s="39"/>
      <c r="D361" s="6"/>
      <c r="E361" s="149"/>
      <c r="F361" s="153"/>
      <c r="G361" s="1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5"/>
      <c r="V361" s="5"/>
      <c r="W361" s="13"/>
      <c r="X361" s="4"/>
      <c r="Y361" s="4"/>
      <c r="Z361" s="4"/>
      <c r="AA361" s="6"/>
      <c r="AB361" s="5"/>
      <c r="AC361" s="9"/>
      <c r="AD361" s="9"/>
      <c r="AE361" s="9"/>
      <c r="AF361" s="9"/>
      <c r="AG361" s="2"/>
      <c r="AH361" s="3"/>
      <c r="AI361" s="2"/>
      <c r="AJ361" s="2"/>
      <c r="AK361" s="2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x14ac:dyDescent="0.3">
      <c r="A362" s="63"/>
      <c r="B362" s="63"/>
      <c r="C362" s="39"/>
      <c r="D362" s="6"/>
      <c r="E362" s="149"/>
      <c r="F362" s="153"/>
      <c r="G362" s="1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5"/>
      <c r="V362" s="5"/>
      <c r="W362" s="13"/>
      <c r="X362" s="4"/>
      <c r="Y362" s="4"/>
      <c r="Z362" s="4"/>
      <c r="AA362" s="6"/>
      <c r="AB362" s="5"/>
      <c r="AC362" s="9"/>
      <c r="AD362" s="9"/>
      <c r="AE362" s="9"/>
      <c r="AF362" s="9"/>
      <c r="AG362" s="64"/>
      <c r="AH362" s="3"/>
      <c r="AI362" s="2"/>
      <c r="AJ362" s="2"/>
      <c r="AK362" s="2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x14ac:dyDescent="0.3">
      <c r="A363" s="63"/>
      <c r="B363" s="63"/>
      <c r="C363" s="39"/>
      <c r="D363" s="6"/>
      <c r="E363" s="149"/>
      <c r="F363" s="153"/>
      <c r="G363" s="1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5"/>
      <c r="V363" s="5"/>
      <c r="W363" s="13"/>
      <c r="X363" s="4"/>
      <c r="Y363" s="4"/>
      <c r="Z363" s="4"/>
      <c r="AA363" s="6"/>
      <c r="AB363" s="5"/>
      <c r="AC363" s="9"/>
      <c r="AD363" s="9"/>
      <c r="AE363" s="9"/>
      <c r="AF363" s="9"/>
      <c r="AG363" s="64"/>
      <c r="AH363" s="3"/>
      <c r="AI363" s="2"/>
      <c r="AJ363" s="2"/>
      <c r="AK363" s="2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x14ac:dyDescent="0.3">
      <c r="A364" s="63"/>
      <c r="B364" s="63"/>
      <c r="C364" s="39"/>
      <c r="D364" s="6"/>
      <c r="E364" s="149"/>
      <c r="F364" s="153"/>
      <c r="G364" s="1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5"/>
      <c r="V364" s="5"/>
      <c r="W364" s="13"/>
      <c r="X364" s="4"/>
      <c r="Y364" s="4"/>
      <c r="Z364" s="4"/>
      <c r="AA364" s="6"/>
      <c r="AB364" s="5"/>
      <c r="AC364" s="9"/>
      <c r="AD364" s="9"/>
      <c r="AE364" s="9"/>
      <c r="AF364" s="9"/>
      <c r="AG364" s="64"/>
      <c r="AH364" s="3"/>
      <c r="AI364" s="2"/>
      <c r="AJ364" s="2"/>
      <c r="AK364" s="2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3.5" customHeight="1" x14ac:dyDescent="0.35">
      <c r="A365" s="49"/>
      <c r="B365" s="49"/>
      <c r="C365" s="14"/>
      <c r="D365" s="1"/>
      <c r="E365" s="149"/>
      <c r="F365" s="153"/>
      <c r="G365" s="10"/>
      <c r="H365" s="17"/>
      <c r="I365" s="17"/>
      <c r="J365" s="17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29"/>
      <c r="X365" s="15"/>
      <c r="Y365" s="30"/>
      <c r="Z365" s="30"/>
      <c r="AA365" s="30"/>
      <c r="AB365" s="30"/>
      <c r="AC365" s="17"/>
      <c r="AD365" s="17"/>
      <c r="AE365" s="17"/>
      <c r="AF365" s="17"/>
      <c r="AG365" s="21"/>
      <c r="AH365" s="21"/>
      <c r="AI365" s="21"/>
      <c r="AJ365" s="21"/>
      <c r="AK365" s="21"/>
      <c r="AL365" s="21"/>
      <c r="AM365" s="21"/>
      <c r="AN365" s="21"/>
      <c r="AO365" s="22"/>
      <c r="AP365" s="21"/>
      <c r="AQ365" s="22"/>
      <c r="AR365" s="21"/>
      <c r="AS365" s="21"/>
      <c r="AT365" s="21"/>
      <c r="AU365" s="21"/>
      <c r="AV365" s="21"/>
      <c r="AW365" s="21"/>
      <c r="AX365" s="22"/>
      <c r="AY365" s="21"/>
      <c r="AZ365" s="22"/>
      <c r="BA365" s="21"/>
      <c r="BB365" s="21"/>
      <c r="BC365" s="21"/>
      <c r="BD365" s="21"/>
      <c r="BE365" s="26"/>
      <c r="BF365" s="26"/>
      <c r="BG365" s="62"/>
    </row>
    <row r="366" spans="1:59" ht="13.5" customHeight="1" x14ac:dyDescent="0.35">
      <c r="A366" s="49"/>
      <c r="B366" s="49"/>
      <c r="C366" s="39"/>
      <c r="D366" s="1"/>
      <c r="E366" s="149"/>
      <c r="F366" s="153"/>
      <c r="G366" s="10"/>
      <c r="H366" s="17"/>
      <c r="I366" s="17"/>
      <c r="J366" s="17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29"/>
      <c r="X366" s="15"/>
      <c r="Y366" s="30"/>
      <c r="Z366" s="30"/>
      <c r="AA366" s="30"/>
      <c r="AB366" s="30"/>
      <c r="AC366" s="17"/>
      <c r="AD366" s="17"/>
      <c r="AE366" s="17"/>
      <c r="AF366" s="17"/>
      <c r="AG366" s="21"/>
      <c r="AH366" s="21"/>
      <c r="AI366" s="21"/>
      <c r="AJ366" s="21"/>
      <c r="AK366" s="21"/>
      <c r="AL366" s="21"/>
      <c r="AM366" s="21"/>
      <c r="AN366" s="21"/>
      <c r="AO366" s="22"/>
      <c r="AP366" s="21"/>
      <c r="AQ366" s="22"/>
      <c r="AR366" s="21"/>
      <c r="AS366" s="21"/>
      <c r="AT366" s="21"/>
      <c r="AU366" s="21"/>
      <c r="AV366" s="21"/>
      <c r="AW366" s="21"/>
      <c r="AX366" s="22"/>
      <c r="AY366" s="21"/>
      <c r="AZ366" s="22"/>
      <c r="BA366" s="21"/>
      <c r="BB366" s="21"/>
      <c r="BC366" s="21"/>
      <c r="BD366" s="21"/>
      <c r="BE366" s="26"/>
      <c r="BF366" s="26"/>
      <c r="BG366" s="62"/>
    </row>
    <row r="367" spans="1:59" x14ac:dyDescent="0.3">
      <c r="A367" s="6"/>
      <c r="B367" s="6"/>
      <c r="C367" s="39"/>
      <c r="D367" s="6"/>
      <c r="E367" s="149"/>
      <c r="F367" s="153"/>
      <c r="G367" s="1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12"/>
      <c r="Y367" s="6"/>
      <c r="Z367" s="6"/>
      <c r="AA367" s="6"/>
      <c r="AB367" s="6"/>
      <c r="AC367" s="9"/>
      <c r="AD367" s="9"/>
      <c r="AE367" s="9"/>
      <c r="AF367" s="9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21"/>
      <c r="AS367" s="21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x14ac:dyDescent="0.3">
      <c r="A368" s="6"/>
      <c r="B368" s="6"/>
      <c r="C368" s="39"/>
      <c r="D368" s="6"/>
      <c r="E368" s="149"/>
      <c r="F368" s="153"/>
      <c r="G368" s="1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12"/>
      <c r="Y368" s="6"/>
      <c r="Z368" s="6"/>
      <c r="AA368" s="6"/>
      <c r="AB368" s="6"/>
      <c r="AC368" s="9"/>
      <c r="AD368" s="9"/>
      <c r="AE368" s="9"/>
      <c r="AF368" s="9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21"/>
      <c r="AS368" s="21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3.5" customHeight="1" x14ac:dyDescent="0.35">
      <c r="A369" s="49"/>
      <c r="B369" s="49"/>
      <c r="C369" s="14"/>
      <c r="D369" s="1"/>
      <c r="E369" s="149"/>
      <c r="F369" s="153"/>
      <c r="G369" s="10"/>
      <c r="H369" s="17"/>
      <c r="I369" s="17"/>
      <c r="J369" s="17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29"/>
      <c r="X369" s="15"/>
      <c r="Y369" s="30"/>
      <c r="Z369" s="30"/>
      <c r="AA369" s="30"/>
      <c r="AB369" s="30"/>
      <c r="AC369" s="17"/>
      <c r="AD369" s="17"/>
      <c r="AE369" s="17"/>
      <c r="AF369" s="17"/>
      <c r="AG369" s="21"/>
      <c r="AH369" s="21"/>
      <c r="AI369" s="21"/>
      <c r="AJ369" s="21"/>
      <c r="AK369" s="21"/>
      <c r="AL369" s="21"/>
      <c r="AM369" s="21"/>
      <c r="AN369" s="21"/>
      <c r="AO369" s="22"/>
      <c r="AP369" s="21"/>
      <c r="AQ369" s="22"/>
      <c r="AR369" s="21"/>
      <c r="AS369" s="21"/>
      <c r="AT369" s="21"/>
      <c r="AU369" s="21"/>
      <c r="AV369" s="21"/>
      <c r="AW369" s="21"/>
      <c r="AX369" s="22"/>
      <c r="AY369" s="21"/>
      <c r="AZ369" s="22"/>
      <c r="BA369" s="21"/>
      <c r="BB369" s="21"/>
      <c r="BC369" s="21"/>
      <c r="BD369" s="21"/>
      <c r="BE369" s="26"/>
      <c r="BF369" s="26"/>
      <c r="BG369" s="62"/>
    </row>
    <row r="370" spans="1:59" ht="13.5" customHeight="1" x14ac:dyDescent="0.35">
      <c r="A370" s="49"/>
      <c r="B370" s="49"/>
      <c r="C370" s="39"/>
      <c r="D370" s="1"/>
      <c r="E370" s="149"/>
      <c r="F370" s="153"/>
      <c r="G370" s="10"/>
      <c r="H370" s="17"/>
      <c r="I370" s="17"/>
      <c r="J370" s="17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29"/>
      <c r="X370" s="15"/>
      <c r="Y370" s="30"/>
      <c r="Z370" s="30"/>
      <c r="AA370" s="30"/>
      <c r="AB370" s="30"/>
      <c r="AC370" s="17"/>
      <c r="AD370" s="17"/>
      <c r="AE370" s="17"/>
      <c r="AF370" s="17"/>
      <c r="AG370" s="21"/>
      <c r="AH370" s="21"/>
      <c r="AI370" s="21"/>
      <c r="AJ370" s="21"/>
      <c r="AK370" s="21"/>
      <c r="AL370" s="21"/>
      <c r="AM370" s="21"/>
      <c r="AN370" s="21"/>
      <c r="AO370" s="22"/>
      <c r="AP370" s="21"/>
      <c r="AQ370" s="22"/>
      <c r="AR370" s="21"/>
      <c r="AS370" s="21"/>
      <c r="AT370" s="21"/>
      <c r="AU370" s="21"/>
      <c r="AV370" s="21"/>
      <c r="AW370" s="21"/>
      <c r="AX370" s="22"/>
      <c r="AY370" s="21"/>
      <c r="AZ370" s="22"/>
      <c r="BA370" s="21"/>
      <c r="BB370" s="21"/>
      <c r="BC370" s="21"/>
      <c r="BD370" s="21"/>
      <c r="BE370" s="26"/>
      <c r="BF370" s="26"/>
      <c r="BG370" s="62"/>
    </row>
    <row r="371" spans="1:59" ht="13.5" customHeight="1" x14ac:dyDescent="0.35">
      <c r="A371" s="49"/>
      <c r="B371" s="49"/>
      <c r="C371" s="39"/>
      <c r="D371" s="1"/>
      <c r="E371" s="149"/>
      <c r="F371" s="153"/>
      <c r="G371" s="10"/>
      <c r="H371" s="17"/>
      <c r="I371" s="17"/>
      <c r="J371" s="17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29"/>
      <c r="X371" s="15"/>
      <c r="Y371" s="30"/>
      <c r="Z371" s="30"/>
      <c r="AA371" s="30"/>
      <c r="AB371" s="30"/>
      <c r="AC371" s="17"/>
      <c r="AD371" s="17"/>
      <c r="AE371" s="17"/>
      <c r="AF371" s="17"/>
      <c r="AG371" s="21"/>
      <c r="AH371" s="21"/>
      <c r="AI371" s="21"/>
      <c r="AJ371" s="21"/>
      <c r="AK371" s="21"/>
      <c r="AL371" s="21"/>
      <c r="AM371" s="21"/>
      <c r="AN371" s="21"/>
      <c r="AO371" s="22"/>
      <c r="AP371" s="21"/>
      <c r="AQ371" s="22"/>
      <c r="AR371" s="21"/>
      <c r="AS371" s="21"/>
      <c r="AT371" s="21"/>
      <c r="AU371" s="21"/>
      <c r="AV371" s="21"/>
      <c r="AW371" s="21"/>
      <c r="AX371" s="22"/>
      <c r="AY371" s="21"/>
      <c r="AZ371" s="22"/>
      <c r="BA371" s="21"/>
      <c r="BB371" s="21"/>
      <c r="BC371" s="21"/>
      <c r="BD371" s="21"/>
      <c r="BE371" s="26"/>
      <c r="BF371" s="26"/>
      <c r="BG371" s="62"/>
    </row>
    <row r="372" spans="1:59" ht="13.5" customHeight="1" x14ac:dyDescent="0.35">
      <c r="A372" s="49"/>
      <c r="B372" s="49"/>
      <c r="C372" s="39"/>
      <c r="D372" s="1"/>
      <c r="E372" s="149"/>
      <c r="F372" s="153"/>
      <c r="G372" s="10"/>
      <c r="H372" s="17"/>
      <c r="I372" s="17"/>
      <c r="J372" s="17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29"/>
      <c r="X372" s="15"/>
      <c r="Y372" s="30"/>
      <c r="Z372" s="30"/>
      <c r="AA372" s="30"/>
      <c r="AB372" s="30"/>
      <c r="AC372" s="17"/>
      <c r="AD372" s="17"/>
      <c r="AE372" s="17"/>
      <c r="AF372" s="17"/>
      <c r="AG372" s="21"/>
      <c r="AH372" s="21"/>
      <c r="AI372" s="21"/>
      <c r="AJ372" s="21"/>
      <c r="AK372" s="21"/>
      <c r="AL372" s="21"/>
      <c r="AM372" s="21"/>
      <c r="AN372" s="21"/>
      <c r="AO372" s="22"/>
      <c r="AP372" s="21"/>
      <c r="AQ372" s="22"/>
      <c r="AR372" s="21"/>
      <c r="AS372" s="21"/>
      <c r="AT372" s="21"/>
      <c r="AU372" s="21"/>
      <c r="AV372" s="21"/>
      <c r="AW372" s="21"/>
      <c r="AX372" s="22"/>
      <c r="AY372" s="21"/>
      <c r="AZ372" s="22"/>
      <c r="BA372" s="21"/>
      <c r="BB372" s="21"/>
      <c r="BC372" s="21"/>
      <c r="BD372" s="21"/>
      <c r="BE372" s="26"/>
      <c r="BF372" s="26"/>
      <c r="BG372" s="62"/>
    </row>
    <row r="373" spans="1:59" x14ac:dyDescent="0.3">
      <c r="A373" s="63"/>
      <c r="B373" s="63"/>
      <c r="C373" s="39"/>
      <c r="D373" s="6"/>
      <c r="E373" s="149"/>
      <c r="F373" s="153"/>
      <c r="G373" s="1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5"/>
      <c r="V373" s="5"/>
      <c r="W373" s="13"/>
      <c r="X373" s="4"/>
      <c r="Y373" s="4"/>
      <c r="Z373" s="4"/>
      <c r="AA373" s="6"/>
      <c r="AB373" s="5"/>
      <c r="AC373" s="9"/>
      <c r="AD373" s="9"/>
      <c r="AE373" s="9"/>
      <c r="AF373" s="9"/>
      <c r="AG373" s="64"/>
      <c r="AH373" s="3"/>
      <c r="AI373" s="2"/>
      <c r="AJ373" s="2"/>
      <c r="AK373" s="2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x14ac:dyDescent="0.3">
      <c r="A374" s="6"/>
      <c r="B374" s="6"/>
      <c r="C374" s="39"/>
      <c r="D374" s="6"/>
      <c r="E374" s="149"/>
      <c r="F374" s="153"/>
      <c r="G374" s="1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12"/>
      <c r="Y374" s="6"/>
      <c r="Z374" s="6"/>
      <c r="AA374" s="6"/>
      <c r="AB374" s="6"/>
      <c r="AC374" s="9"/>
      <c r="AD374" s="9"/>
      <c r="AE374" s="9"/>
      <c r="AF374" s="9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21"/>
      <c r="AS374" s="21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3.5" customHeight="1" x14ac:dyDescent="0.35">
      <c r="A375" s="49"/>
      <c r="B375" s="49"/>
      <c r="C375" s="14"/>
      <c r="D375" s="1"/>
      <c r="E375" s="149"/>
      <c r="F375" s="153"/>
      <c r="G375" s="10"/>
      <c r="H375" s="17"/>
      <c r="I375" s="17"/>
      <c r="J375" s="17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29"/>
      <c r="X375" s="15"/>
      <c r="Y375" s="30"/>
      <c r="Z375" s="30"/>
      <c r="AA375" s="30"/>
      <c r="AB375" s="30"/>
      <c r="AC375" s="17"/>
      <c r="AD375" s="17"/>
      <c r="AE375" s="17"/>
      <c r="AF375" s="17"/>
      <c r="AG375" s="21"/>
      <c r="AH375" s="21"/>
      <c r="AI375" s="21"/>
      <c r="AJ375" s="21"/>
      <c r="AK375" s="21"/>
      <c r="AL375" s="21"/>
      <c r="AM375" s="21"/>
      <c r="AN375" s="21"/>
      <c r="AO375" s="22"/>
      <c r="AP375" s="21"/>
      <c r="AQ375" s="22"/>
      <c r="AR375" s="21"/>
      <c r="AS375" s="21"/>
      <c r="AT375" s="21"/>
      <c r="AU375" s="21"/>
      <c r="AV375" s="21"/>
      <c r="AW375" s="21"/>
      <c r="AX375" s="22"/>
      <c r="AY375" s="21"/>
      <c r="AZ375" s="22"/>
      <c r="BA375" s="21"/>
      <c r="BB375" s="21"/>
      <c r="BC375" s="21"/>
      <c r="BD375" s="21"/>
      <c r="BE375" s="26"/>
      <c r="BF375" s="26"/>
      <c r="BG375" s="62"/>
    </row>
    <row r="376" spans="1:59" x14ac:dyDescent="0.3">
      <c r="A376" s="6"/>
      <c r="B376" s="6"/>
      <c r="C376" s="39"/>
      <c r="D376" s="6"/>
      <c r="E376" s="149"/>
      <c r="F376" s="153"/>
      <c r="G376" s="1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5"/>
      <c r="V376" s="5"/>
      <c r="W376" s="13"/>
      <c r="X376" s="4"/>
      <c r="Y376" s="4"/>
      <c r="Z376" s="4"/>
      <c r="AA376" s="6"/>
      <c r="AB376" s="5"/>
      <c r="AC376" s="9"/>
      <c r="AD376" s="9"/>
      <c r="AE376" s="9"/>
      <c r="AF376" s="9"/>
      <c r="AG376" s="2"/>
      <c r="AH376" s="3"/>
      <c r="AI376" s="2"/>
      <c r="AJ376" s="2"/>
      <c r="AK376" s="2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x14ac:dyDescent="0.3">
      <c r="A377" s="6"/>
      <c r="B377" s="6"/>
      <c r="C377" s="39"/>
      <c r="D377" s="6"/>
      <c r="E377" s="149"/>
      <c r="F377" s="153"/>
      <c r="G377" s="1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5"/>
      <c r="V377" s="5"/>
      <c r="W377" s="13"/>
      <c r="X377" s="4"/>
      <c r="Y377" s="4"/>
      <c r="Z377" s="4"/>
      <c r="AA377" s="6"/>
      <c r="AB377" s="5"/>
      <c r="AC377" s="9"/>
      <c r="AD377" s="9"/>
      <c r="AE377" s="9"/>
      <c r="AF377" s="9"/>
      <c r="AG377" s="2"/>
      <c r="AH377" s="3"/>
      <c r="AI377" s="2"/>
      <c r="AJ377" s="2"/>
      <c r="AK377" s="2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x14ac:dyDescent="0.3">
      <c r="A378" s="6"/>
      <c r="B378" s="6"/>
      <c r="C378" s="39"/>
      <c r="D378" s="6"/>
      <c r="E378" s="149"/>
      <c r="F378" s="153"/>
      <c r="G378" s="1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12"/>
      <c r="Y378" s="6"/>
      <c r="Z378" s="6"/>
      <c r="AA378" s="6"/>
      <c r="AB378" s="6"/>
      <c r="AC378" s="9"/>
      <c r="AD378" s="9"/>
      <c r="AE378" s="9"/>
      <c r="AF378" s="9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x14ac:dyDescent="0.3">
      <c r="A379" s="6"/>
      <c r="B379" s="6"/>
      <c r="C379" s="39"/>
      <c r="D379" s="6"/>
      <c r="E379" s="149"/>
      <c r="F379" s="153"/>
      <c r="G379" s="1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12"/>
      <c r="Y379" s="6"/>
      <c r="Z379" s="6"/>
      <c r="AA379" s="6"/>
      <c r="AB379" s="6"/>
      <c r="AC379" s="9"/>
      <c r="AD379" s="9"/>
      <c r="AE379" s="9"/>
      <c r="AF379" s="9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21"/>
      <c r="AS379" s="21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x14ac:dyDescent="0.3">
      <c r="A380" s="6"/>
      <c r="B380" s="6"/>
      <c r="C380" s="39"/>
      <c r="D380" s="6"/>
      <c r="E380" s="149"/>
      <c r="F380" s="153"/>
      <c r="G380" s="1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12"/>
      <c r="Y380" s="6"/>
      <c r="Z380" s="6"/>
      <c r="AA380" s="6"/>
      <c r="AB380" s="6"/>
      <c r="AC380" s="9"/>
      <c r="AD380" s="9"/>
      <c r="AE380" s="9"/>
      <c r="AF380" s="9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21"/>
      <c r="AS380" s="21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x14ac:dyDescent="0.3">
      <c r="A381" s="6"/>
      <c r="B381" s="6"/>
      <c r="C381" s="39"/>
      <c r="D381" s="6"/>
      <c r="E381" s="149"/>
      <c r="F381" s="153"/>
      <c r="G381" s="1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12"/>
      <c r="Y381" s="6"/>
      <c r="Z381" s="6"/>
      <c r="AA381" s="6"/>
      <c r="AB381" s="6"/>
      <c r="AC381" s="9"/>
      <c r="AD381" s="9"/>
      <c r="AE381" s="9"/>
      <c r="AF381" s="9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21"/>
      <c r="AS381" s="21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x14ac:dyDescent="0.3">
      <c r="A382" s="63"/>
      <c r="B382" s="63"/>
      <c r="C382" s="39"/>
      <c r="D382" s="6"/>
      <c r="E382" s="149"/>
      <c r="F382" s="153"/>
      <c r="G382" s="1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5"/>
      <c r="V382" s="5"/>
      <c r="W382" s="13"/>
      <c r="X382" s="4"/>
      <c r="Y382" s="4"/>
      <c r="Z382" s="4"/>
      <c r="AA382" s="6"/>
      <c r="AB382" s="5"/>
      <c r="AC382" s="9"/>
      <c r="AD382" s="9"/>
      <c r="AE382" s="9"/>
      <c r="AF382" s="9"/>
      <c r="AG382" s="64"/>
      <c r="AH382" s="3"/>
      <c r="AI382" s="2"/>
      <c r="AJ382" s="2"/>
      <c r="AK382" s="2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x14ac:dyDescent="0.3">
      <c r="A383" s="6"/>
      <c r="B383" s="6"/>
      <c r="C383" s="39"/>
      <c r="D383" s="6"/>
      <c r="E383" s="149"/>
      <c r="F383" s="153"/>
      <c r="G383" s="1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12"/>
      <c r="Y383" s="6"/>
      <c r="Z383" s="6"/>
      <c r="AA383" s="6"/>
      <c r="AB383" s="6"/>
      <c r="AC383" s="9"/>
      <c r="AD383" s="9"/>
      <c r="AE383" s="9"/>
      <c r="AF383" s="9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21"/>
      <c r="AS383" s="21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x14ac:dyDescent="0.3">
      <c r="A384" s="6"/>
      <c r="B384" s="6"/>
      <c r="C384" s="39"/>
      <c r="D384" s="6"/>
      <c r="E384" s="149"/>
      <c r="F384" s="153"/>
      <c r="G384" s="1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5"/>
      <c r="V384" s="5"/>
      <c r="W384" s="13"/>
      <c r="X384" s="4"/>
      <c r="Y384" s="4"/>
      <c r="Z384" s="4"/>
      <c r="AA384" s="6"/>
      <c r="AB384" s="5"/>
      <c r="AC384" s="9"/>
      <c r="AD384" s="9"/>
      <c r="AE384" s="9"/>
      <c r="AF384" s="9"/>
      <c r="AG384" s="2"/>
      <c r="AH384" s="3"/>
      <c r="AI384" s="2"/>
      <c r="AJ384" s="2"/>
      <c r="AK384" s="2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x14ac:dyDescent="0.3">
      <c r="A385" s="6"/>
      <c r="B385" s="6"/>
      <c r="C385" s="39"/>
      <c r="D385" s="6"/>
      <c r="E385" s="149"/>
      <c r="F385" s="153"/>
      <c r="G385" s="1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12"/>
      <c r="Y385" s="6"/>
      <c r="Z385" s="6"/>
      <c r="AA385" s="6"/>
      <c r="AB385" s="6"/>
      <c r="AC385" s="9"/>
      <c r="AD385" s="9"/>
      <c r="AE385" s="9"/>
      <c r="AF385" s="9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21"/>
      <c r="AS385" s="21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x14ac:dyDescent="0.3">
      <c r="A386" s="6"/>
      <c r="B386" s="6"/>
      <c r="C386" s="39"/>
      <c r="D386" s="6"/>
      <c r="E386" s="149"/>
      <c r="F386" s="153"/>
      <c r="G386" s="1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12"/>
      <c r="Y386" s="6"/>
      <c r="Z386" s="6"/>
      <c r="AA386" s="6"/>
      <c r="AB386" s="6"/>
      <c r="AC386" s="9"/>
      <c r="AD386" s="9"/>
      <c r="AE386" s="9"/>
      <c r="AF386" s="9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21"/>
      <c r="AS386" s="21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x14ac:dyDescent="0.3">
      <c r="A387" s="63"/>
      <c r="B387" s="63"/>
      <c r="C387" s="39"/>
      <c r="D387" s="6"/>
      <c r="E387" s="149"/>
      <c r="F387" s="153"/>
      <c r="G387" s="1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5"/>
      <c r="V387" s="5"/>
      <c r="W387" s="13"/>
      <c r="X387" s="4"/>
      <c r="Y387" s="4"/>
      <c r="Z387" s="4"/>
      <c r="AA387" s="6"/>
      <c r="AB387" s="5"/>
      <c r="AC387" s="9"/>
      <c r="AD387" s="9"/>
      <c r="AE387" s="9"/>
      <c r="AF387" s="9"/>
      <c r="AG387" s="64"/>
      <c r="AH387" s="3"/>
      <c r="AI387" s="2"/>
      <c r="AJ387" s="2"/>
      <c r="AK387" s="2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3.5" customHeight="1" x14ac:dyDescent="0.35">
      <c r="A388" s="49"/>
      <c r="B388" s="49"/>
      <c r="C388" s="14"/>
      <c r="D388" s="1"/>
      <c r="E388" s="149"/>
      <c r="F388" s="153"/>
      <c r="G388" s="10"/>
      <c r="H388" s="17"/>
      <c r="I388" s="17"/>
      <c r="J388" s="17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29"/>
      <c r="X388" s="15"/>
      <c r="Y388" s="30"/>
      <c r="Z388" s="30"/>
      <c r="AA388" s="30"/>
      <c r="AB388" s="30"/>
      <c r="AC388" s="17"/>
      <c r="AD388" s="17"/>
      <c r="AE388" s="17"/>
      <c r="AF388" s="17"/>
      <c r="AG388" s="21"/>
      <c r="AH388" s="21"/>
      <c r="AI388" s="21"/>
      <c r="AJ388" s="21"/>
      <c r="AK388" s="21"/>
      <c r="AL388" s="21"/>
      <c r="AM388" s="21"/>
      <c r="AN388" s="21"/>
      <c r="AO388" s="22"/>
      <c r="AP388" s="21"/>
      <c r="AQ388" s="22"/>
      <c r="AR388" s="21"/>
      <c r="AS388" s="21"/>
      <c r="AT388" s="21"/>
      <c r="AU388" s="21"/>
      <c r="AV388" s="21"/>
      <c r="AW388" s="21"/>
      <c r="AX388" s="22"/>
      <c r="AY388" s="21"/>
      <c r="AZ388" s="22"/>
      <c r="BA388" s="21"/>
      <c r="BB388" s="21"/>
      <c r="BC388" s="21"/>
      <c r="BD388" s="21"/>
      <c r="BE388" s="26"/>
      <c r="BF388" s="26"/>
      <c r="BG388" s="62"/>
    </row>
    <row r="389" spans="1:59" x14ac:dyDescent="0.3">
      <c r="A389" s="6"/>
      <c r="B389" s="6"/>
      <c r="C389" s="39"/>
      <c r="D389" s="6"/>
      <c r="E389" s="149"/>
      <c r="F389" s="153"/>
      <c r="G389" s="1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5"/>
      <c r="V389" s="5"/>
      <c r="W389" s="13"/>
      <c r="X389" s="4"/>
      <c r="Y389" s="4"/>
      <c r="Z389" s="4"/>
      <c r="AA389" s="6"/>
      <c r="AB389" s="5"/>
      <c r="AC389" s="9"/>
      <c r="AD389" s="9"/>
      <c r="AE389" s="9"/>
      <c r="AF389" s="9"/>
      <c r="AG389" s="2"/>
      <c r="AH389" s="3"/>
      <c r="AI389" s="2"/>
      <c r="AJ389" s="2"/>
      <c r="AK389" s="2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3.5" customHeight="1" x14ac:dyDescent="0.35">
      <c r="A390" s="49"/>
      <c r="B390" s="49"/>
      <c r="C390" s="39"/>
      <c r="D390" s="1"/>
      <c r="E390" s="149"/>
      <c r="F390" s="153"/>
      <c r="G390" s="10"/>
      <c r="H390" s="17"/>
      <c r="I390" s="17"/>
      <c r="J390" s="17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29"/>
      <c r="X390" s="15"/>
      <c r="Y390" s="30"/>
      <c r="Z390" s="30"/>
      <c r="AA390" s="30"/>
      <c r="AB390" s="30"/>
      <c r="AC390" s="17"/>
      <c r="AD390" s="17"/>
      <c r="AE390" s="17"/>
      <c r="AF390" s="17"/>
      <c r="AG390" s="21"/>
      <c r="AH390" s="21"/>
      <c r="AI390" s="21"/>
      <c r="AJ390" s="21"/>
      <c r="AK390" s="21"/>
      <c r="AL390" s="21"/>
      <c r="AM390" s="21"/>
      <c r="AN390" s="21"/>
      <c r="AO390" s="22"/>
      <c r="AP390" s="21"/>
      <c r="AQ390" s="22"/>
      <c r="AR390" s="21"/>
      <c r="AS390" s="21"/>
      <c r="AT390" s="21"/>
      <c r="AU390" s="21"/>
      <c r="AV390" s="21"/>
      <c r="AW390" s="21"/>
      <c r="AX390" s="22"/>
      <c r="AY390" s="21"/>
      <c r="AZ390" s="22"/>
      <c r="BA390" s="21"/>
      <c r="BB390" s="21"/>
      <c r="BC390" s="21"/>
      <c r="BD390" s="21"/>
      <c r="BE390" s="26"/>
      <c r="BF390" s="26"/>
      <c r="BG390" s="62"/>
    </row>
    <row r="391" spans="1:59" x14ac:dyDescent="0.3">
      <c r="A391" s="6"/>
      <c r="B391" s="6"/>
      <c r="C391" s="39"/>
      <c r="D391" s="6"/>
      <c r="E391" s="149"/>
      <c r="F391" s="153"/>
      <c r="G391" s="1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5"/>
      <c r="V391" s="5"/>
      <c r="W391" s="13"/>
      <c r="X391" s="4"/>
      <c r="Y391" s="4"/>
      <c r="Z391" s="4"/>
      <c r="AA391" s="6"/>
      <c r="AB391" s="5"/>
      <c r="AC391" s="9"/>
      <c r="AD391" s="9"/>
      <c r="AE391" s="9"/>
      <c r="AF391" s="9"/>
      <c r="AG391" s="2"/>
      <c r="AH391" s="3"/>
      <c r="AI391" s="2"/>
      <c r="AJ391" s="2"/>
      <c r="AK391" s="2"/>
      <c r="AL391" s="3"/>
      <c r="AM391" s="3"/>
      <c r="AN391" s="3"/>
      <c r="AO391" s="3"/>
      <c r="AP391" s="3"/>
      <c r="AQ391" s="3"/>
      <c r="AR391" s="21"/>
      <c r="AS391" s="21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3.5" customHeight="1" x14ac:dyDescent="0.3">
      <c r="A392" s="6"/>
      <c r="B392" s="6"/>
      <c r="C392" s="39"/>
      <c r="D392" s="6"/>
      <c r="E392" s="149"/>
      <c r="F392" s="153"/>
      <c r="G392" s="1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12"/>
      <c r="Y392" s="6"/>
      <c r="Z392" s="6"/>
      <c r="AA392" s="6"/>
      <c r="AB392" s="6"/>
      <c r="AC392" s="9"/>
      <c r="AD392" s="9"/>
      <c r="AE392" s="9"/>
      <c r="AF392" s="9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21"/>
      <c r="AS392" s="21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x14ac:dyDescent="0.3">
      <c r="A393" s="63"/>
      <c r="B393" s="63"/>
      <c r="C393" s="39"/>
      <c r="D393" s="6"/>
      <c r="E393" s="149"/>
      <c r="F393" s="153"/>
      <c r="G393" s="1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5"/>
      <c r="V393" s="5"/>
      <c r="W393" s="13"/>
      <c r="X393" s="4"/>
      <c r="Y393" s="4"/>
      <c r="Z393" s="4"/>
      <c r="AA393" s="6"/>
      <c r="AB393" s="5"/>
      <c r="AC393" s="9"/>
      <c r="AD393" s="9"/>
      <c r="AE393" s="9"/>
      <c r="AF393" s="9"/>
      <c r="AG393" s="64"/>
      <c r="AH393" s="3"/>
      <c r="AI393" s="2"/>
      <c r="AJ393" s="2"/>
      <c r="AK393" s="2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3.5" customHeight="1" x14ac:dyDescent="0.35">
      <c r="A394" s="49"/>
      <c r="B394" s="49"/>
      <c r="C394" s="14"/>
      <c r="D394" s="1"/>
      <c r="E394" s="149"/>
      <c r="F394" s="153"/>
      <c r="G394" s="10"/>
      <c r="H394" s="17"/>
      <c r="I394" s="17"/>
      <c r="J394" s="17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29"/>
      <c r="X394" s="15"/>
      <c r="Y394" s="30"/>
      <c r="Z394" s="30"/>
      <c r="AA394" s="30"/>
      <c r="AB394" s="30"/>
      <c r="AC394" s="17"/>
      <c r="AD394" s="17"/>
      <c r="AE394" s="17"/>
      <c r="AF394" s="17"/>
      <c r="AG394" s="21"/>
      <c r="AH394" s="21"/>
      <c r="AI394" s="21"/>
      <c r="AJ394" s="21"/>
      <c r="AK394" s="21"/>
      <c r="AL394" s="21"/>
      <c r="AM394" s="21"/>
      <c r="AN394" s="21"/>
      <c r="AO394" s="22"/>
      <c r="AP394" s="21"/>
      <c r="AQ394" s="22"/>
      <c r="AR394" s="21"/>
      <c r="AS394" s="21"/>
      <c r="AT394" s="21"/>
      <c r="AU394" s="21"/>
      <c r="AV394" s="21"/>
      <c r="AW394" s="21"/>
      <c r="AX394" s="22"/>
      <c r="AY394" s="21"/>
      <c r="AZ394" s="22"/>
      <c r="BA394" s="21"/>
      <c r="BB394" s="21"/>
      <c r="BC394" s="21"/>
      <c r="BD394" s="21"/>
      <c r="BE394" s="26"/>
      <c r="BF394" s="26"/>
      <c r="BG394" s="62"/>
    </row>
    <row r="395" spans="1:59" x14ac:dyDescent="0.3">
      <c r="A395" s="6"/>
      <c r="B395" s="6"/>
      <c r="C395" s="39"/>
      <c r="D395" s="6"/>
      <c r="E395" s="149"/>
      <c r="F395" s="153"/>
      <c r="G395" s="1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12"/>
      <c r="Y395" s="6"/>
      <c r="Z395" s="6"/>
      <c r="AA395" s="6"/>
      <c r="AB395" s="6"/>
      <c r="AC395" s="9"/>
      <c r="AD395" s="9"/>
      <c r="AE395" s="9"/>
      <c r="AF395" s="9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21"/>
      <c r="AS395" s="21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3.5" customHeight="1" x14ac:dyDescent="0.35">
      <c r="A396" s="49"/>
      <c r="B396" s="49"/>
      <c r="C396" s="14"/>
      <c r="D396" s="1"/>
      <c r="E396" s="149"/>
      <c r="F396" s="153"/>
      <c r="G396" s="10"/>
      <c r="H396" s="17"/>
      <c r="I396" s="17"/>
      <c r="J396" s="17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29"/>
      <c r="X396" s="15"/>
      <c r="Y396" s="30"/>
      <c r="Z396" s="30"/>
      <c r="AA396" s="30"/>
      <c r="AB396" s="30"/>
      <c r="AC396" s="17"/>
      <c r="AD396" s="17"/>
      <c r="AE396" s="17"/>
      <c r="AF396" s="17"/>
      <c r="AG396" s="21"/>
      <c r="AH396" s="21"/>
      <c r="AI396" s="21"/>
      <c r="AJ396" s="21"/>
      <c r="AK396" s="21"/>
      <c r="AL396" s="21"/>
      <c r="AM396" s="21"/>
      <c r="AN396" s="21"/>
      <c r="AO396" s="22"/>
      <c r="AP396" s="21"/>
      <c r="AQ396" s="22"/>
      <c r="AR396" s="21"/>
      <c r="AS396" s="21"/>
      <c r="AT396" s="21"/>
      <c r="AU396" s="21"/>
      <c r="AV396" s="21"/>
      <c r="AW396" s="21"/>
      <c r="AX396" s="22"/>
      <c r="AY396" s="21"/>
      <c r="AZ396" s="22"/>
      <c r="BA396" s="21"/>
      <c r="BB396" s="21"/>
      <c r="BC396" s="21"/>
      <c r="BD396" s="21"/>
      <c r="BE396" s="26"/>
      <c r="BF396" s="26"/>
      <c r="BG396" s="62"/>
    </row>
    <row r="397" spans="1:59" x14ac:dyDescent="0.3">
      <c r="A397" s="6"/>
      <c r="B397" s="6"/>
      <c r="C397" s="39"/>
      <c r="D397" s="6"/>
      <c r="E397" s="149"/>
      <c r="F397" s="153"/>
      <c r="G397" s="1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12"/>
      <c r="Y397" s="6"/>
      <c r="Z397" s="6"/>
      <c r="AA397" s="6"/>
      <c r="AB397" s="6"/>
      <c r="AC397" s="9"/>
      <c r="AD397" s="9"/>
      <c r="AE397" s="9"/>
      <c r="AF397" s="9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21"/>
      <c r="AS397" s="21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x14ac:dyDescent="0.3">
      <c r="A398" s="6"/>
      <c r="B398" s="6"/>
      <c r="C398" s="39"/>
      <c r="D398" s="6"/>
      <c r="E398" s="149"/>
      <c r="F398" s="153"/>
      <c r="G398" s="1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12"/>
      <c r="Y398" s="6"/>
      <c r="Z398" s="6"/>
      <c r="AA398" s="6"/>
      <c r="AB398" s="6"/>
      <c r="AC398" s="9"/>
      <c r="AD398" s="9"/>
      <c r="AE398" s="9"/>
      <c r="AF398" s="9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21"/>
      <c r="AS398" s="21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x14ac:dyDescent="0.3">
      <c r="A399" s="63"/>
      <c r="B399" s="63"/>
      <c r="C399" s="39"/>
      <c r="D399" s="6"/>
      <c r="E399" s="149"/>
      <c r="F399" s="153"/>
      <c r="G399" s="1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5"/>
      <c r="V399" s="5"/>
      <c r="W399" s="13"/>
      <c r="X399" s="4"/>
      <c r="Y399" s="4"/>
      <c r="Z399" s="4"/>
      <c r="AA399" s="6"/>
      <c r="AB399" s="5"/>
      <c r="AC399" s="9"/>
      <c r="AD399" s="9"/>
      <c r="AE399" s="9"/>
      <c r="AF399" s="9"/>
      <c r="AG399" s="64"/>
      <c r="AH399" s="3"/>
      <c r="AI399" s="2"/>
      <c r="AJ399" s="2"/>
      <c r="AK399" s="2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3.5" customHeight="1" x14ac:dyDescent="0.35">
      <c r="A400" s="49"/>
      <c r="B400" s="49"/>
      <c r="C400" s="14"/>
      <c r="D400" s="1"/>
      <c r="E400" s="149"/>
      <c r="F400" s="153"/>
      <c r="G400" s="10"/>
      <c r="H400" s="17"/>
      <c r="I400" s="17"/>
      <c r="J400" s="17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29"/>
      <c r="X400" s="15"/>
      <c r="Y400" s="30"/>
      <c r="Z400" s="30"/>
      <c r="AA400" s="30"/>
      <c r="AB400" s="30"/>
      <c r="AC400" s="17"/>
      <c r="AD400" s="17"/>
      <c r="AE400" s="17"/>
      <c r="AF400" s="17"/>
      <c r="AG400" s="21"/>
      <c r="AH400" s="21"/>
      <c r="AI400" s="21"/>
      <c r="AJ400" s="21"/>
      <c r="AK400" s="21"/>
      <c r="AL400" s="21"/>
      <c r="AM400" s="21"/>
      <c r="AN400" s="21"/>
      <c r="AO400" s="22"/>
      <c r="AP400" s="21"/>
      <c r="AQ400" s="22"/>
      <c r="AR400" s="21"/>
      <c r="AS400" s="21"/>
      <c r="AT400" s="21"/>
      <c r="AU400" s="21"/>
      <c r="AV400" s="21"/>
      <c r="AW400" s="21"/>
      <c r="AX400" s="22"/>
      <c r="AY400" s="21"/>
      <c r="AZ400" s="22"/>
      <c r="BA400" s="21"/>
      <c r="BB400" s="21"/>
      <c r="BC400" s="21"/>
      <c r="BD400" s="21"/>
      <c r="BE400" s="26"/>
      <c r="BF400" s="26"/>
      <c r="BG400" s="62"/>
    </row>
    <row r="401" spans="1:59" ht="13.5" customHeight="1" x14ac:dyDescent="0.35">
      <c r="A401" s="49"/>
      <c r="B401" s="49"/>
      <c r="C401" s="14"/>
      <c r="D401" s="1"/>
      <c r="E401" s="149"/>
      <c r="F401" s="153"/>
      <c r="G401" s="10"/>
      <c r="H401" s="17"/>
      <c r="I401" s="17"/>
      <c r="J401" s="17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29"/>
      <c r="X401" s="15"/>
      <c r="Y401" s="30"/>
      <c r="Z401" s="30"/>
      <c r="AA401" s="30"/>
      <c r="AB401" s="30"/>
      <c r="AC401" s="17"/>
      <c r="AD401" s="17"/>
      <c r="AE401" s="17"/>
      <c r="AF401" s="17"/>
      <c r="AG401" s="21"/>
      <c r="AH401" s="21"/>
      <c r="AI401" s="21"/>
      <c r="AJ401" s="21"/>
      <c r="AK401" s="21"/>
      <c r="AL401" s="21"/>
      <c r="AM401" s="21"/>
      <c r="AN401" s="21"/>
      <c r="AO401" s="22"/>
      <c r="AP401" s="21"/>
      <c r="AQ401" s="22"/>
      <c r="AR401" s="21"/>
      <c r="AS401" s="21"/>
      <c r="AT401" s="21"/>
      <c r="AU401" s="21"/>
      <c r="AV401" s="21"/>
      <c r="AW401" s="21"/>
      <c r="AX401" s="22"/>
      <c r="AY401" s="21"/>
      <c r="AZ401" s="22"/>
      <c r="BA401" s="21"/>
      <c r="BB401" s="21"/>
      <c r="BC401" s="21"/>
      <c r="BD401" s="21"/>
      <c r="BE401" s="26"/>
      <c r="BF401" s="26"/>
      <c r="BG401" s="62"/>
    </row>
    <row r="402" spans="1:59" x14ac:dyDescent="0.3">
      <c r="A402" s="6"/>
      <c r="B402" s="6"/>
      <c r="C402" s="39"/>
      <c r="D402" s="6"/>
      <c r="E402" s="149"/>
      <c r="F402" s="153"/>
      <c r="G402" s="1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12"/>
      <c r="Y402" s="6"/>
      <c r="Z402" s="6"/>
      <c r="AA402" s="6"/>
      <c r="AB402" s="6"/>
      <c r="AC402" s="9"/>
      <c r="AD402" s="9"/>
      <c r="AE402" s="9"/>
      <c r="AF402" s="9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21"/>
      <c r="AS402" s="21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x14ac:dyDescent="0.3">
      <c r="A403" s="6"/>
      <c r="B403" s="6"/>
      <c r="C403" s="39"/>
      <c r="D403" s="6"/>
      <c r="E403" s="149"/>
      <c r="F403" s="153"/>
      <c r="G403" s="1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5"/>
      <c r="V403" s="5"/>
      <c r="W403" s="13"/>
      <c r="X403" s="4"/>
      <c r="Y403" s="4"/>
      <c r="Z403" s="4"/>
      <c r="AA403" s="6"/>
      <c r="AB403" s="5"/>
      <c r="AC403" s="9"/>
      <c r="AD403" s="9"/>
      <c r="AE403" s="9"/>
      <c r="AF403" s="9"/>
      <c r="AG403" s="2"/>
      <c r="AH403" s="3"/>
      <c r="AI403" s="2"/>
      <c r="AJ403" s="2"/>
      <c r="AK403" s="2"/>
      <c r="AL403" s="3"/>
      <c r="AM403" s="3"/>
      <c r="AN403" s="3"/>
      <c r="AO403" s="3"/>
      <c r="AP403" s="3"/>
      <c r="AQ403" s="3"/>
      <c r="AR403" s="21"/>
      <c r="AS403" s="21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x14ac:dyDescent="0.3">
      <c r="A404" s="63"/>
      <c r="B404" s="63"/>
      <c r="C404" s="39"/>
      <c r="D404" s="6"/>
      <c r="E404" s="149"/>
      <c r="F404" s="153"/>
      <c r="G404" s="1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5"/>
      <c r="V404" s="5"/>
      <c r="W404" s="13"/>
      <c r="X404" s="4"/>
      <c r="Y404" s="4"/>
      <c r="Z404" s="4"/>
      <c r="AA404" s="6"/>
      <c r="AB404" s="5"/>
      <c r="AC404" s="9"/>
      <c r="AD404" s="9"/>
      <c r="AE404" s="9"/>
      <c r="AF404" s="9"/>
      <c r="AG404" s="64"/>
      <c r="AH404" s="3"/>
      <c r="AI404" s="2"/>
      <c r="AJ404" s="2"/>
      <c r="AK404" s="2"/>
      <c r="AL404" s="3"/>
      <c r="AM404" s="3"/>
      <c r="AN404" s="3"/>
      <c r="AO404" s="3"/>
      <c r="AP404" s="3"/>
      <c r="AQ404" s="3"/>
      <c r="AR404" s="21"/>
      <c r="AS404" s="21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x14ac:dyDescent="0.3">
      <c r="A405" s="63"/>
      <c r="B405" s="63"/>
      <c r="C405" s="39"/>
      <c r="D405" s="6"/>
      <c r="E405" s="149"/>
      <c r="F405" s="153"/>
      <c r="G405" s="1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5"/>
      <c r="V405" s="5"/>
      <c r="W405" s="13"/>
      <c r="X405" s="4"/>
      <c r="Y405" s="4"/>
      <c r="Z405" s="4"/>
      <c r="AA405" s="6"/>
      <c r="AB405" s="5"/>
      <c r="AC405" s="9"/>
      <c r="AD405" s="9"/>
      <c r="AE405" s="9"/>
      <c r="AF405" s="9"/>
      <c r="AG405" s="64"/>
      <c r="AH405" s="3"/>
      <c r="AI405" s="2"/>
      <c r="AJ405" s="2"/>
      <c r="AK405" s="2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x14ac:dyDescent="0.3">
      <c r="A406" s="63"/>
      <c r="B406" s="63"/>
      <c r="C406" s="39"/>
      <c r="D406" s="6"/>
      <c r="E406" s="149"/>
      <c r="F406" s="153"/>
      <c r="G406" s="1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5"/>
      <c r="V406" s="5"/>
      <c r="W406" s="13"/>
      <c r="X406" s="4"/>
      <c r="Y406" s="4"/>
      <c r="Z406" s="4"/>
      <c r="AA406" s="6"/>
      <c r="AB406" s="5"/>
      <c r="AC406" s="9"/>
      <c r="AD406" s="9"/>
      <c r="AE406" s="9"/>
      <c r="AF406" s="9"/>
      <c r="AG406" s="64"/>
      <c r="AH406" s="3"/>
      <c r="AI406" s="2"/>
      <c r="AJ406" s="2"/>
      <c r="AK406" s="2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x14ac:dyDescent="0.3">
      <c r="A407" s="63"/>
      <c r="B407" s="63"/>
      <c r="C407" s="39"/>
      <c r="D407" s="6"/>
      <c r="E407" s="149"/>
      <c r="F407" s="153"/>
      <c r="G407" s="1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5"/>
      <c r="V407" s="5"/>
      <c r="W407" s="13"/>
      <c r="X407" s="4"/>
      <c r="Y407" s="4"/>
      <c r="Z407" s="4"/>
      <c r="AA407" s="6"/>
      <c r="AB407" s="5"/>
      <c r="AC407" s="9"/>
      <c r="AD407" s="9"/>
      <c r="AE407" s="9"/>
      <c r="AF407" s="9"/>
      <c r="AG407" s="64"/>
      <c r="AH407" s="3"/>
      <c r="AI407" s="2"/>
      <c r="AJ407" s="2"/>
      <c r="AK407" s="2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x14ac:dyDescent="0.3">
      <c r="A408" s="6"/>
      <c r="B408" s="6"/>
      <c r="C408" s="39"/>
      <c r="D408" s="6"/>
      <c r="E408" s="149"/>
      <c r="F408" s="153"/>
      <c r="G408" s="1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5"/>
      <c r="V408" s="5"/>
      <c r="W408" s="13"/>
      <c r="X408" s="4"/>
      <c r="Y408" s="4"/>
      <c r="Z408" s="4"/>
      <c r="AA408" s="6"/>
      <c r="AB408" s="5"/>
      <c r="AC408" s="9"/>
      <c r="AD408" s="9"/>
      <c r="AE408" s="9"/>
      <c r="AF408" s="9"/>
      <c r="AG408" s="2"/>
      <c r="AH408" s="3"/>
      <c r="AI408" s="2"/>
      <c r="AJ408" s="2"/>
      <c r="AK408" s="2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3.5" customHeight="1" x14ac:dyDescent="0.35">
      <c r="A409" s="49"/>
      <c r="B409" s="49"/>
      <c r="C409" s="39"/>
      <c r="D409" s="1"/>
      <c r="E409" s="149"/>
      <c r="F409" s="153"/>
      <c r="G409" s="10"/>
      <c r="H409" s="17"/>
      <c r="I409" s="17"/>
      <c r="J409" s="17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29"/>
      <c r="X409" s="15"/>
      <c r="Y409" s="30"/>
      <c r="Z409" s="30"/>
      <c r="AA409" s="30"/>
      <c r="AB409" s="30"/>
      <c r="AC409" s="17"/>
      <c r="AD409" s="17"/>
      <c r="AE409" s="17"/>
      <c r="AF409" s="17"/>
      <c r="AG409" s="21"/>
      <c r="AH409" s="21"/>
      <c r="AI409" s="21"/>
      <c r="AJ409" s="21"/>
      <c r="AK409" s="21"/>
      <c r="AL409" s="21"/>
      <c r="AM409" s="21"/>
      <c r="AN409" s="21"/>
      <c r="AO409" s="22"/>
      <c r="AP409" s="21"/>
      <c r="AQ409" s="22"/>
      <c r="AR409" s="21"/>
      <c r="AS409" s="21"/>
      <c r="AT409" s="21"/>
      <c r="AU409" s="21"/>
      <c r="AV409" s="21"/>
      <c r="AW409" s="21"/>
      <c r="AX409" s="22"/>
      <c r="AY409" s="21"/>
      <c r="AZ409" s="22"/>
      <c r="BA409" s="21"/>
      <c r="BB409" s="21"/>
      <c r="BC409" s="21"/>
      <c r="BD409" s="21"/>
      <c r="BE409" s="26"/>
      <c r="BF409" s="26"/>
      <c r="BG409" s="62"/>
    </row>
    <row r="410" spans="1:59" x14ac:dyDescent="0.3">
      <c r="A410" s="6"/>
      <c r="B410" s="6"/>
      <c r="C410" s="39"/>
      <c r="D410" s="6"/>
      <c r="E410" s="149"/>
      <c r="F410" s="153"/>
      <c r="G410" s="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12"/>
      <c r="Y410" s="6"/>
      <c r="Z410" s="6"/>
      <c r="AA410" s="6"/>
      <c r="AB410" s="6"/>
      <c r="AC410" s="9"/>
      <c r="AD410" s="9"/>
      <c r="AE410" s="9"/>
      <c r="AF410" s="9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21"/>
      <c r="AS410" s="21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x14ac:dyDescent="0.3">
      <c r="A411" s="6"/>
      <c r="B411" s="6"/>
      <c r="C411" s="39"/>
      <c r="D411" s="6"/>
      <c r="E411" s="149"/>
      <c r="F411" s="153"/>
      <c r="G411" s="1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12"/>
      <c r="Y411" s="6"/>
      <c r="Z411" s="6"/>
      <c r="AA411" s="6"/>
      <c r="AB411" s="6"/>
      <c r="AC411" s="9"/>
      <c r="AD411" s="9"/>
      <c r="AE411" s="9"/>
      <c r="AF411" s="9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21"/>
      <c r="AS411" s="21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x14ac:dyDescent="0.3">
      <c r="A412" s="6"/>
      <c r="B412" s="6"/>
      <c r="C412" s="39"/>
      <c r="D412" s="6"/>
      <c r="E412" s="149"/>
      <c r="F412" s="153"/>
      <c r="G412" s="1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12"/>
      <c r="Y412" s="6"/>
      <c r="Z412" s="6"/>
      <c r="AA412" s="6"/>
      <c r="AB412" s="6"/>
      <c r="AC412" s="9"/>
      <c r="AD412" s="9"/>
      <c r="AE412" s="9"/>
      <c r="AF412" s="9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21"/>
      <c r="AS412" s="21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3.5" customHeight="1" x14ac:dyDescent="0.35">
      <c r="A413" s="49"/>
      <c r="B413" s="49"/>
      <c r="C413" s="14"/>
      <c r="D413" s="1"/>
      <c r="E413" s="149"/>
      <c r="F413" s="153"/>
      <c r="G413" s="10"/>
      <c r="H413" s="17"/>
      <c r="I413" s="17"/>
      <c r="J413" s="17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29"/>
      <c r="X413" s="15"/>
      <c r="Y413" s="30"/>
      <c r="Z413" s="30"/>
      <c r="AA413" s="30"/>
      <c r="AB413" s="30"/>
      <c r="AC413" s="17"/>
      <c r="AD413" s="17"/>
      <c r="AE413" s="17"/>
      <c r="AF413" s="17"/>
      <c r="AG413" s="21"/>
      <c r="AH413" s="21"/>
      <c r="AI413" s="21"/>
      <c r="AJ413" s="21"/>
      <c r="AK413" s="21"/>
      <c r="AL413" s="21"/>
      <c r="AM413" s="21"/>
      <c r="AN413" s="21"/>
      <c r="AO413" s="22"/>
      <c r="AP413" s="21"/>
      <c r="AQ413" s="22"/>
      <c r="AR413" s="21"/>
      <c r="AS413" s="21"/>
      <c r="AT413" s="21"/>
      <c r="AU413" s="21"/>
      <c r="AV413" s="21"/>
      <c r="AW413" s="21"/>
      <c r="AX413" s="22"/>
      <c r="AY413" s="21"/>
      <c r="AZ413" s="22"/>
      <c r="BA413" s="21"/>
      <c r="BB413" s="21"/>
      <c r="BC413" s="21"/>
      <c r="BD413" s="21"/>
      <c r="BE413" s="26"/>
      <c r="BF413" s="26"/>
      <c r="BG413" s="62"/>
    </row>
    <row r="414" spans="1:59" x14ac:dyDescent="0.3">
      <c r="A414" s="6"/>
      <c r="B414" s="6"/>
      <c r="C414" s="39"/>
      <c r="D414" s="6"/>
      <c r="E414" s="149"/>
      <c r="F414" s="153"/>
      <c r="G414" s="1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12"/>
      <c r="Y414" s="6"/>
      <c r="Z414" s="6"/>
      <c r="AA414" s="6"/>
      <c r="AB414" s="6"/>
      <c r="AC414" s="9"/>
      <c r="AD414" s="9"/>
      <c r="AE414" s="9"/>
      <c r="AF414" s="9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x14ac:dyDescent="0.3">
      <c r="A415" s="6"/>
      <c r="B415" s="6"/>
      <c r="C415" s="39"/>
      <c r="D415" s="6"/>
      <c r="E415" s="149"/>
      <c r="F415" s="153"/>
      <c r="G415" s="1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12"/>
      <c r="Y415" s="6"/>
      <c r="Z415" s="6"/>
      <c r="AA415" s="6"/>
      <c r="AB415" s="6"/>
      <c r="AC415" s="9"/>
      <c r="AD415" s="9"/>
      <c r="AE415" s="9"/>
      <c r="AF415" s="9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21"/>
      <c r="AS415" s="21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x14ac:dyDescent="0.3">
      <c r="A416" s="6"/>
      <c r="B416" s="6"/>
      <c r="C416" s="39"/>
      <c r="D416" s="6"/>
      <c r="E416" s="149"/>
      <c r="F416" s="153"/>
      <c r="G416" s="1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12"/>
      <c r="Y416" s="6"/>
      <c r="Z416" s="6"/>
      <c r="AA416" s="6"/>
      <c r="AB416" s="6"/>
      <c r="AC416" s="9"/>
      <c r="AD416" s="9"/>
      <c r="AE416" s="9"/>
      <c r="AF416" s="9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21"/>
      <c r="AS416" s="21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3.5" customHeight="1" x14ac:dyDescent="0.35">
      <c r="A417" s="49"/>
      <c r="B417" s="49"/>
      <c r="C417" s="14"/>
      <c r="D417" s="1"/>
      <c r="E417" s="149"/>
      <c r="F417" s="153"/>
      <c r="G417" s="10"/>
      <c r="H417" s="17"/>
      <c r="I417" s="17"/>
      <c r="J417" s="17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29"/>
      <c r="X417" s="15"/>
      <c r="Y417" s="30"/>
      <c r="Z417" s="30"/>
      <c r="AA417" s="30"/>
      <c r="AB417" s="30"/>
      <c r="AC417" s="17"/>
      <c r="AD417" s="17"/>
      <c r="AE417" s="17"/>
      <c r="AF417" s="17"/>
      <c r="AG417" s="21"/>
      <c r="AH417" s="21"/>
      <c r="AI417" s="21"/>
      <c r="AJ417" s="21"/>
      <c r="AK417" s="21"/>
      <c r="AL417" s="21"/>
      <c r="AM417" s="21"/>
      <c r="AN417" s="21"/>
      <c r="AO417" s="22"/>
      <c r="AP417" s="21"/>
      <c r="AQ417" s="22"/>
      <c r="AR417" s="21"/>
      <c r="AS417" s="21"/>
      <c r="AT417" s="21"/>
      <c r="AU417" s="21"/>
      <c r="AV417" s="21"/>
      <c r="AW417" s="21"/>
      <c r="AX417" s="22"/>
      <c r="AY417" s="21"/>
      <c r="AZ417" s="22"/>
      <c r="BA417" s="21"/>
      <c r="BB417" s="21"/>
      <c r="BC417" s="21"/>
      <c r="BD417" s="21"/>
      <c r="BE417" s="26"/>
      <c r="BF417" s="26"/>
      <c r="BG417" s="62"/>
    </row>
    <row r="418" spans="1:59" x14ac:dyDescent="0.3">
      <c r="A418" s="6"/>
      <c r="B418" s="6"/>
      <c r="C418" s="39"/>
      <c r="D418" s="6"/>
      <c r="E418" s="149"/>
      <c r="F418" s="153"/>
      <c r="G418" s="1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5"/>
      <c r="V418" s="5"/>
      <c r="W418" s="13"/>
      <c r="X418" s="4"/>
      <c r="Y418" s="4"/>
      <c r="Z418" s="4"/>
      <c r="AA418" s="6"/>
      <c r="AB418" s="5"/>
      <c r="AC418" s="9"/>
      <c r="AD418" s="9"/>
      <c r="AE418" s="9"/>
      <c r="AF418" s="9"/>
      <c r="AG418" s="2"/>
      <c r="AH418" s="3"/>
      <c r="AI418" s="2"/>
      <c r="AJ418" s="2"/>
      <c r="AK418" s="2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3.5" customHeight="1" x14ac:dyDescent="0.35">
      <c r="A419" s="49"/>
      <c r="B419" s="49"/>
      <c r="C419" s="14"/>
      <c r="D419" s="1"/>
      <c r="E419" s="149"/>
      <c r="F419" s="153"/>
      <c r="G419" s="10"/>
      <c r="H419" s="17"/>
      <c r="I419" s="17"/>
      <c r="J419" s="17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29"/>
      <c r="X419" s="15"/>
      <c r="Y419" s="30"/>
      <c r="Z419" s="30"/>
      <c r="AA419" s="30"/>
      <c r="AB419" s="30"/>
      <c r="AC419" s="17"/>
      <c r="AD419" s="17"/>
      <c r="AE419" s="17"/>
      <c r="AF419" s="17"/>
      <c r="AG419" s="21"/>
      <c r="AH419" s="21"/>
      <c r="AI419" s="21"/>
      <c r="AJ419" s="21"/>
      <c r="AK419" s="21"/>
      <c r="AL419" s="21"/>
      <c r="AM419" s="21"/>
      <c r="AN419" s="21"/>
      <c r="AO419" s="22"/>
      <c r="AP419" s="21"/>
      <c r="AQ419" s="22"/>
      <c r="AR419" s="21"/>
      <c r="AS419" s="21"/>
      <c r="AT419" s="21"/>
      <c r="AU419" s="21"/>
      <c r="AV419" s="21"/>
      <c r="AW419" s="21"/>
      <c r="AX419" s="22"/>
      <c r="AY419" s="21"/>
      <c r="AZ419" s="22"/>
      <c r="BA419" s="21"/>
      <c r="BB419" s="21"/>
      <c r="BC419" s="21"/>
      <c r="BD419" s="21"/>
      <c r="BE419" s="26"/>
      <c r="BF419" s="26"/>
      <c r="BG419" s="62"/>
    </row>
    <row r="420" spans="1:59" x14ac:dyDescent="0.3">
      <c r="A420" s="63"/>
      <c r="B420" s="63"/>
      <c r="C420" s="39"/>
      <c r="D420" s="6"/>
      <c r="E420" s="149"/>
      <c r="F420" s="153"/>
      <c r="G420" s="1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5"/>
      <c r="V420" s="5"/>
      <c r="W420" s="13"/>
      <c r="X420" s="4"/>
      <c r="Y420" s="4"/>
      <c r="Z420" s="4"/>
      <c r="AA420" s="6"/>
      <c r="AB420" s="5"/>
      <c r="AC420" s="9"/>
      <c r="AD420" s="9"/>
      <c r="AE420" s="9"/>
      <c r="AF420" s="9"/>
      <c r="AG420" s="64"/>
      <c r="AH420" s="3"/>
      <c r="AI420" s="2"/>
      <c r="AJ420" s="2"/>
      <c r="AK420" s="2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x14ac:dyDescent="0.3">
      <c r="A421" s="6"/>
      <c r="B421" s="6"/>
      <c r="C421" s="39"/>
      <c r="D421" s="6"/>
      <c r="E421" s="149"/>
      <c r="F421" s="153"/>
      <c r="G421" s="1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12"/>
      <c r="Y421" s="6"/>
      <c r="Z421" s="6"/>
      <c r="AA421" s="6"/>
      <c r="AB421" s="6"/>
      <c r="AC421" s="9"/>
      <c r="AD421" s="9"/>
      <c r="AE421" s="9"/>
      <c r="AF421" s="9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21"/>
      <c r="AS421" s="21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x14ac:dyDescent="0.3">
      <c r="A422" s="6"/>
      <c r="B422" s="6"/>
      <c r="C422" s="39"/>
      <c r="D422" s="6"/>
      <c r="E422" s="149"/>
      <c r="F422" s="153"/>
      <c r="G422" s="1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5"/>
      <c r="V422" s="5"/>
      <c r="W422" s="13"/>
      <c r="X422" s="4"/>
      <c r="Y422" s="4"/>
      <c r="Z422" s="4"/>
      <c r="AA422" s="6"/>
      <c r="AB422" s="5"/>
      <c r="AC422" s="9"/>
      <c r="AD422" s="9"/>
      <c r="AE422" s="9"/>
      <c r="AF422" s="9"/>
      <c r="AG422" s="2"/>
      <c r="AH422" s="3"/>
      <c r="AI422" s="2"/>
      <c r="AJ422" s="2"/>
      <c r="AK422" s="2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x14ac:dyDescent="0.3">
      <c r="A423" s="6"/>
      <c r="B423" s="6"/>
      <c r="C423" s="39"/>
      <c r="D423" s="6"/>
      <c r="E423" s="149"/>
      <c r="F423" s="153"/>
      <c r="G423" s="1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12"/>
      <c r="Y423" s="6"/>
      <c r="Z423" s="6"/>
      <c r="AA423" s="6"/>
      <c r="AB423" s="6"/>
      <c r="AC423" s="9"/>
      <c r="AD423" s="9"/>
      <c r="AE423" s="9"/>
      <c r="AF423" s="9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21"/>
      <c r="AS423" s="21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3.5" customHeight="1" x14ac:dyDescent="0.35">
      <c r="A424" s="49"/>
      <c r="B424" s="49"/>
      <c r="C424" s="39"/>
      <c r="D424" s="1"/>
      <c r="E424" s="149"/>
      <c r="F424" s="153"/>
      <c r="G424" s="10"/>
      <c r="H424" s="17"/>
      <c r="I424" s="17"/>
      <c r="J424" s="17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29"/>
      <c r="X424" s="15"/>
      <c r="Y424" s="30"/>
      <c r="Z424" s="30"/>
      <c r="AA424" s="30"/>
      <c r="AB424" s="30"/>
      <c r="AC424" s="17"/>
      <c r="AD424" s="17"/>
      <c r="AE424" s="17"/>
      <c r="AF424" s="17"/>
      <c r="AG424" s="21"/>
      <c r="AH424" s="21"/>
      <c r="AI424" s="21"/>
      <c r="AJ424" s="21"/>
      <c r="AK424" s="21"/>
      <c r="AL424" s="21"/>
      <c r="AM424" s="21"/>
      <c r="AN424" s="21"/>
      <c r="AO424" s="22"/>
      <c r="AP424" s="21"/>
      <c r="AQ424" s="22"/>
      <c r="AR424" s="21"/>
      <c r="AS424" s="21"/>
      <c r="AT424" s="21"/>
      <c r="AU424" s="21"/>
      <c r="AV424" s="21"/>
      <c r="AW424" s="21"/>
      <c r="AX424" s="22"/>
      <c r="AY424" s="21"/>
      <c r="AZ424" s="22"/>
      <c r="BA424" s="21"/>
      <c r="BB424" s="21"/>
      <c r="BC424" s="21"/>
      <c r="BD424" s="21"/>
      <c r="BE424" s="26"/>
      <c r="BF424" s="26"/>
      <c r="BG424" s="62"/>
    </row>
    <row r="425" spans="1:59" x14ac:dyDescent="0.3">
      <c r="A425" s="6"/>
      <c r="B425" s="6"/>
      <c r="C425" s="39"/>
      <c r="D425" s="6"/>
      <c r="E425" s="149"/>
      <c r="F425" s="153"/>
      <c r="G425" s="1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12"/>
      <c r="Y425" s="6"/>
      <c r="Z425" s="6"/>
      <c r="AA425" s="6"/>
      <c r="AB425" s="6"/>
      <c r="AC425" s="9"/>
      <c r="AD425" s="9"/>
      <c r="AE425" s="9"/>
      <c r="AF425" s="9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21"/>
      <c r="AS425" s="21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3.5" customHeight="1" x14ac:dyDescent="0.3">
      <c r="A426" s="63"/>
      <c r="B426" s="63"/>
      <c r="C426" s="39"/>
      <c r="D426" s="6"/>
      <c r="E426" s="149"/>
      <c r="F426" s="153"/>
      <c r="G426" s="1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12"/>
      <c r="Y426" s="6"/>
      <c r="Z426" s="6"/>
      <c r="AA426" s="6"/>
      <c r="AB426" s="6"/>
      <c r="AC426" s="9"/>
      <c r="AD426" s="9"/>
      <c r="AE426" s="9"/>
      <c r="AF426" s="9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21"/>
      <c r="AS426" s="21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x14ac:dyDescent="0.3">
      <c r="A427" s="6"/>
      <c r="B427" s="6"/>
      <c r="C427" s="39"/>
      <c r="D427" s="6"/>
      <c r="E427" s="149"/>
      <c r="F427" s="153"/>
      <c r="G427" s="1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12"/>
      <c r="Y427" s="6"/>
      <c r="Z427" s="6"/>
      <c r="AA427" s="6"/>
      <c r="AB427" s="6"/>
      <c r="AC427" s="9"/>
      <c r="AD427" s="9"/>
      <c r="AE427" s="9"/>
      <c r="AF427" s="9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21"/>
      <c r="AS427" s="21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3.5" customHeight="1" x14ac:dyDescent="0.35">
      <c r="A428" s="49"/>
      <c r="B428" s="49"/>
      <c r="C428" s="14"/>
      <c r="D428" s="1"/>
      <c r="E428" s="149"/>
      <c r="F428" s="153"/>
      <c r="G428" s="10"/>
      <c r="H428" s="17"/>
      <c r="I428" s="17"/>
      <c r="J428" s="17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29"/>
      <c r="X428" s="15"/>
      <c r="Y428" s="30"/>
      <c r="Z428" s="30"/>
      <c r="AA428" s="30"/>
      <c r="AB428" s="30"/>
      <c r="AC428" s="17"/>
      <c r="AD428" s="17"/>
      <c r="AE428" s="17"/>
      <c r="AF428" s="17"/>
      <c r="AG428" s="21"/>
      <c r="AH428" s="21"/>
      <c r="AI428" s="21"/>
      <c r="AJ428" s="21"/>
      <c r="AK428" s="21"/>
      <c r="AL428" s="21"/>
      <c r="AM428" s="21"/>
      <c r="AN428" s="21"/>
      <c r="AO428" s="22"/>
      <c r="AP428" s="21"/>
      <c r="AQ428" s="22"/>
      <c r="AR428" s="21"/>
      <c r="AS428" s="21"/>
      <c r="AT428" s="21"/>
      <c r="AU428" s="21"/>
      <c r="AV428" s="21"/>
      <c r="AW428" s="21"/>
      <c r="AX428" s="22"/>
      <c r="AY428" s="21"/>
      <c r="AZ428" s="22"/>
      <c r="BA428" s="21"/>
      <c r="BB428" s="21"/>
      <c r="BC428" s="21"/>
      <c r="BD428" s="21"/>
      <c r="BE428" s="26"/>
      <c r="BF428" s="26"/>
      <c r="BG428" s="62"/>
    </row>
    <row r="429" spans="1:59" ht="15" x14ac:dyDescent="0.35">
      <c r="A429" s="6"/>
      <c r="B429" s="6"/>
      <c r="C429" s="39"/>
      <c r="D429" s="6"/>
      <c r="E429" s="149"/>
      <c r="F429" s="153"/>
      <c r="G429" s="1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12"/>
      <c r="Y429" s="6"/>
      <c r="Z429" s="6"/>
      <c r="AA429" s="6"/>
      <c r="AB429" s="6"/>
      <c r="AC429" s="9"/>
      <c r="AD429" s="9"/>
      <c r="AE429" s="9"/>
      <c r="AF429" s="9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21"/>
      <c r="AS429" s="21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65"/>
    </row>
    <row r="430" spans="1:59" x14ac:dyDescent="0.3">
      <c r="A430" s="6"/>
      <c r="B430" s="6"/>
      <c r="C430" s="39"/>
      <c r="D430" s="6"/>
      <c r="E430" s="149"/>
      <c r="F430" s="153"/>
      <c r="G430" s="1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12"/>
      <c r="Y430" s="6"/>
      <c r="Z430" s="6"/>
      <c r="AA430" s="6"/>
      <c r="AB430" s="6"/>
      <c r="AC430" s="9"/>
      <c r="AD430" s="9"/>
      <c r="AE430" s="9"/>
      <c r="AF430" s="9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21"/>
      <c r="AS430" s="21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3.5" customHeight="1" x14ac:dyDescent="0.35">
      <c r="A431" s="49"/>
      <c r="B431" s="49"/>
      <c r="C431" s="14"/>
      <c r="D431" s="1"/>
      <c r="E431" s="149"/>
      <c r="F431" s="153"/>
      <c r="G431" s="10"/>
      <c r="H431" s="17"/>
      <c r="I431" s="17"/>
      <c r="J431" s="17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29"/>
      <c r="X431" s="15"/>
      <c r="Y431" s="30"/>
      <c r="Z431" s="30"/>
      <c r="AA431" s="30"/>
      <c r="AB431" s="30"/>
      <c r="AC431" s="17"/>
      <c r="AD431" s="17"/>
      <c r="AE431" s="17"/>
      <c r="AF431" s="17"/>
      <c r="AG431" s="21"/>
      <c r="AH431" s="21"/>
      <c r="AI431" s="21"/>
      <c r="AJ431" s="21"/>
      <c r="AK431" s="21"/>
      <c r="AL431" s="21"/>
      <c r="AM431" s="21"/>
      <c r="AN431" s="21"/>
      <c r="AO431" s="22"/>
      <c r="AP431" s="21"/>
      <c r="AQ431" s="22"/>
      <c r="AR431" s="21"/>
      <c r="AS431" s="21"/>
      <c r="AT431" s="21"/>
      <c r="AU431" s="21"/>
      <c r="AV431" s="21"/>
      <c r="AW431" s="21"/>
      <c r="AX431" s="22"/>
      <c r="AY431" s="21"/>
      <c r="AZ431" s="22"/>
      <c r="BA431" s="21"/>
      <c r="BB431" s="21"/>
      <c r="BC431" s="21"/>
      <c r="BD431" s="21"/>
      <c r="BE431" s="26"/>
      <c r="BF431" s="26"/>
      <c r="BG431" s="62"/>
    </row>
    <row r="432" spans="1:59" x14ac:dyDescent="0.3">
      <c r="A432" s="6"/>
      <c r="B432" s="6"/>
      <c r="C432" s="39"/>
      <c r="D432" s="6"/>
      <c r="E432" s="149"/>
      <c r="F432" s="153"/>
      <c r="G432" s="1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12"/>
      <c r="Y432" s="6"/>
      <c r="Z432" s="6"/>
      <c r="AA432" s="6"/>
      <c r="AB432" s="6"/>
      <c r="AC432" s="9"/>
      <c r="AD432" s="9"/>
      <c r="AE432" s="9"/>
      <c r="AF432" s="9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21"/>
      <c r="AS432" s="21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x14ac:dyDescent="0.3">
      <c r="A433" s="6"/>
      <c r="B433" s="6"/>
      <c r="C433" s="39"/>
      <c r="D433" s="6"/>
      <c r="E433" s="149"/>
      <c r="F433" s="153"/>
      <c r="G433" s="1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5"/>
      <c r="V433" s="5"/>
      <c r="W433" s="13"/>
      <c r="X433" s="4"/>
      <c r="Y433" s="4"/>
      <c r="Z433" s="4"/>
      <c r="AA433" s="6"/>
      <c r="AB433" s="5"/>
      <c r="AC433" s="9"/>
      <c r="AD433" s="9"/>
      <c r="AE433" s="9"/>
      <c r="AF433" s="9"/>
      <c r="AG433" s="2"/>
      <c r="AH433" s="3"/>
      <c r="AI433" s="2"/>
      <c r="AJ433" s="2"/>
      <c r="AK433" s="2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x14ac:dyDescent="0.3">
      <c r="A434" s="6"/>
      <c r="B434" s="6"/>
      <c r="C434" s="39"/>
      <c r="D434" s="6"/>
      <c r="E434" s="149"/>
      <c r="F434" s="153"/>
      <c r="G434" s="1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12"/>
      <c r="Y434" s="6"/>
      <c r="Z434" s="6"/>
      <c r="AA434" s="6"/>
      <c r="AB434" s="6"/>
      <c r="AC434" s="9"/>
      <c r="AD434" s="9"/>
      <c r="AE434" s="9"/>
      <c r="AF434" s="9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x14ac:dyDescent="0.3">
      <c r="A435" s="63"/>
      <c r="B435" s="63"/>
      <c r="C435" s="39"/>
      <c r="D435" s="6"/>
      <c r="E435" s="149"/>
      <c r="F435" s="153"/>
      <c r="G435" s="1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5"/>
      <c r="V435" s="5"/>
      <c r="W435" s="13"/>
      <c r="X435" s="4"/>
      <c r="Y435" s="4"/>
      <c r="Z435" s="4"/>
      <c r="AA435" s="6"/>
      <c r="AB435" s="5"/>
      <c r="AC435" s="9"/>
      <c r="AD435" s="9"/>
      <c r="AE435" s="9"/>
      <c r="AF435" s="9"/>
      <c r="AG435" s="64"/>
      <c r="AH435" s="3"/>
      <c r="AI435" s="2"/>
      <c r="AJ435" s="2"/>
      <c r="AK435" s="2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x14ac:dyDescent="0.3">
      <c r="A436" s="6"/>
      <c r="B436" s="6"/>
      <c r="C436" s="39"/>
      <c r="D436" s="6"/>
      <c r="E436" s="149"/>
      <c r="F436" s="153"/>
      <c r="G436" s="1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12"/>
      <c r="Y436" s="6"/>
      <c r="Z436" s="6"/>
      <c r="AA436" s="6"/>
      <c r="AB436" s="6"/>
      <c r="AC436" s="9"/>
      <c r="AD436" s="9"/>
      <c r="AE436" s="9"/>
      <c r="AF436" s="9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21"/>
      <c r="AS436" s="21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x14ac:dyDescent="0.3">
      <c r="A437" s="6"/>
      <c r="B437" s="6"/>
      <c r="C437" s="39"/>
      <c r="D437" s="6"/>
      <c r="E437" s="149"/>
      <c r="F437" s="153"/>
      <c r="G437" s="1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12"/>
      <c r="Y437" s="6"/>
      <c r="Z437" s="6"/>
      <c r="AA437" s="6"/>
      <c r="AB437" s="6"/>
      <c r="AC437" s="9"/>
      <c r="AD437" s="9"/>
      <c r="AE437" s="9"/>
      <c r="AF437" s="9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21"/>
      <c r="AS437" s="21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x14ac:dyDescent="0.3">
      <c r="A438" s="6"/>
      <c r="B438" s="6"/>
      <c r="C438" s="39"/>
      <c r="D438" s="6"/>
      <c r="E438" s="149"/>
      <c r="F438" s="153"/>
      <c r="G438" s="1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5"/>
      <c r="V438" s="5"/>
      <c r="W438" s="13"/>
      <c r="X438" s="4"/>
      <c r="Y438" s="4"/>
      <c r="Z438" s="4"/>
      <c r="AA438" s="6"/>
      <c r="AB438" s="5"/>
      <c r="AC438" s="9"/>
      <c r="AD438" s="9"/>
      <c r="AE438" s="9"/>
      <c r="AF438" s="9"/>
      <c r="AG438" s="2"/>
      <c r="AH438" s="3"/>
      <c r="AI438" s="2"/>
      <c r="AJ438" s="2"/>
      <c r="AK438" s="2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x14ac:dyDescent="0.3">
      <c r="A439" s="6"/>
      <c r="B439" s="6"/>
      <c r="C439" s="39"/>
      <c r="D439" s="6"/>
      <c r="E439" s="149"/>
      <c r="F439" s="153"/>
      <c r="G439" s="1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12"/>
      <c r="Y439" s="6"/>
      <c r="Z439" s="6"/>
      <c r="AA439" s="6"/>
      <c r="AB439" s="6"/>
      <c r="AC439" s="9"/>
      <c r="AD439" s="9"/>
      <c r="AE439" s="9"/>
      <c r="AF439" s="9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21"/>
      <c r="AS439" s="21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x14ac:dyDescent="0.3">
      <c r="A440" s="6"/>
      <c r="B440" s="6"/>
      <c r="C440" s="39"/>
      <c r="D440" s="6"/>
      <c r="E440" s="149"/>
      <c r="F440" s="153"/>
      <c r="G440" s="1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12"/>
      <c r="Y440" s="6"/>
      <c r="Z440" s="6"/>
      <c r="AA440" s="6"/>
      <c r="AB440" s="6"/>
      <c r="AC440" s="9"/>
      <c r="AD440" s="9"/>
      <c r="AE440" s="9"/>
      <c r="AF440" s="9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x14ac:dyDescent="0.3">
      <c r="A441" s="63"/>
      <c r="B441" s="63"/>
      <c r="C441" s="39"/>
      <c r="D441" s="6"/>
      <c r="E441" s="149"/>
      <c r="F441" s="153"/>
      <c r="G441" s="1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5"/>
      <c r="V441" s="5"/>
      <c r="W441" s="13"/>
      <c r="X441" s="4"/>
      <c r="Y441" s="4"/>
      <c r="Z441" s="4"/>
      <c r="AA441" s="6"/>
      <c r="AB441" s="5"/>
      <c r="AC441" s="9"/>
      <c r="AD441" s="9"/>
      <c r="AE441" s="9"/>
      <c r="AF441" s="9"/>
      <c r="AG441" s="64"/>
      <c r="AH441" s="3"/>
      <c r="AI441" s="2"/>
      <c r="AJ441" s="2"/>
      <c r="AK441" s="2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x14ac:dyDescent="0.3">
      <c r="A442" s="6"/>
      <c r="B442" s="6"/>
      <c r="C442" s="39"/>
      <c r="D442" s="6"/>
      <c r="E442" s="149"/>
      <c r="F442" s="153"/>
      <c r="G442" s="1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5"/>
      <c r="V442" s="5"/>
      <c r="W442" s="13"/>
      <c r="X442" s="4"/>
      <c r="Y442" s="4"/>
      <c r="Z442" s="4"/>
      <c r="AA442" s="6"/>
      <c r="AB442" s="5"/>
      <c r="AC442" s="9"/>
      <c r="AD442" s="9"/>
      <c r="AE442" s="9"/>
      <c r="AF442" s="9"/>
      <c r="AG442" s="2"/>
      <c r="AH442" s="3"/>
      <c r="AI442" s="2"/>
      <c r="AJ442" s="2"/>
      <c r="AK442" s="2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x14ac:dyDescent="0.3">
      <c r="A443" s="63"/>
      <c r="B443" s="63"/>
      <c r="C443" s="39"/>
      <c r="D443" s="6"/>
      <c r="E443" s="149"/>
      <c r="F443" s="153"/>
      <c r="G443" s="1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5"/>
      <c r="V443" s="5"/>
      <c r="W443" s="13"/>
      <c r="X443" s="4"/>
      <c r="Y443" s="4"/>
      <c r="Z443" s="4"/>
      <c r="AA443" s="6"/>
      <c r="AB443" s="5"/>
      <c r="AC443" s="9"/>
      <c r="AD443" s="9"/>
      <c r="AE443" s="9"/>
      <c r="AF443" s="9"/>
      <c r="AG443" s="64"/>
      <c r="AH443" s="3"/>
      <c r="AI443" s="2"/>
      <c r="AJ443" s="2"/>
      <c r="AK443" s="2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x14ac:dyDescent="0.3">
      <c r="A444" s="6"/>
      <c r="B444" s="6"/>
      <c r="C444" s="39"/>
      <c r="D444" s="6"/>
      <c r="E444" s="149"/>
      <c r="F444" s="153"/>
      <c r="G444" s="1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5"/>
      <c r="V444" s="5"/>
      <c r="W444" s="13"/>
      <c r="X444" s="4"/>
      <c r="Y444" s="4"/>
      <c r="Z444" s="4"/>
      <c r="AA444" s="6"/>
      <c r="AB444" s="5"/>
      <c r="AC444" s="9"/>
      <c r="AD444" s="9"/>
      <c r="AE444" s="9"/>
      <c r="AF444" s="9"/>
      <c r="AG444" s="2"/>
      <c r="AH444" s="3"/>
      <c r="AI444" s="2"/>
      <c r="AJ444" s="2"/>
      <c r="AK444" s="2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x14ac:dyDescent="0.3">
      <c r="A445" s="6"/>
      <c r="B445" s="6"/>
      <c r="C445" s="39"/>
      <c r="D445" s="6"/>
      <c r="E445" s="149"/>
      <c r="F445" s="153"/>
      <c r="G445" s="1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12"/>
      <c r="Y445" s="6"/>
      <c r="Z445" s="6"/>
      <c r="AA445" s="6"/>
      <c r="AB445" s="6"/>
      <c r="AC445" s="9"/>
      <c r="AD445" s="9"/>
      <c r="AE445" s="9"/>
      <c r="AF445" s="9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21"/>
      <c r="AS445" s="21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x14ac:dyDescent="0.3">
      <c r="A446" s="6"/>
      <c r="B446" s="6"/>
      <c r="C446" s="39"/>
      <c r="D446" s="6"/>
      <c r="E446" s="149"/>
      <c r="F446" s="153"/>
      <c r="G446" s="1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12"/>
      <c r="Y446" s="6"/>
      <c r="Z446" s="6"/>
      <c r="AA446" s="6"/>
      <c r="AB446" s="6"/>
      <c r="AC446" s="9"/>
      <c r="AD446" s="9"/>
      <c r="AE446" s="9"/>
      <c r="AF446" s="9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21"/>
      <c r="AS446" s="21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x14ac:dyDescent="0.3">
      <c r="A447" s="6"/>
      <c r="B447" s="6"/>
      <c r="C447" s="39"/>
      <c r="D447" s="6"/>
      <c r="E447" s="149"/>
      <c r="F447" s="153"/>
      <c r="G447" s="1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12"/>
      <c r="Y447" s="6"/>
      <c r="Z447" s="6"/>
      <c r="AA447" s="6"/>
      <c r="AB447" s="6"/>
      <c r="AC447" s="9"/>
      <c r="AD447" s="9"/>
      <c r="AE447" s="9"/>
      <c r="AF447" s="9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21"/>
      <c r="AS447" s="21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x14ac:dyDescent="0.3">
      <c r="A448" s="6"/>
      <c r="B448" s="6"/>
      <c r="C448" s="39"/>
      <c r="D448" s="6"/>
      <c r="E448" s="149"/>
      <c r="F448" s="153"/>
      <c r="G448" s="1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12"/>
      <c r="Y448" s="6"/>
      <c r="Z448" s="6"/>
      <c r="AA448" s="6"/>
      <c r="AB448" s="6"/>
      <c r="AC448" s="9"/>
      <c r="AD448" s="9"/>
      <c r="AE448" s="9"/>
      <c r="AF448" s="9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21"/>
      <c r="AS448" s="21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x14ac:dyDescent="0.3">
      <c r="A449" s="6"/>
      <c r="B449" s="6"/>
      <c r="C449" s="39"/>
      <c r="D449" s="6"/>
      <c r="E449" s="149"/>
      <c r="F449" s="153"/>
      <c r="G449" s="1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12"/>
      <c r="Y449" s="6"/>
      <c r="Z449" s="6"/>
      <c r="AA449" s="6"/>
      <c r="AB449" s="6"/>
      <c r="AC449" s="9"/>
      <c r="AD449" s="9"/>
      <c r="AE449" s="9"/>
      <c r="AF449" s="9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21"/>
      <c r="AS449" s="21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x14ac:dyDescent="0.3">
      <c r="A450" s="6"/>
      <c r="B450" s="6"/>
      <c r="C450" s="39"/>
      <c r="D450" s="6"/>
      <c r="E450" s="149"/>
      <c r="F450" s="153"/>
      <c r="G450" s="1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12"/>
      <c r="Y450" s="6"/>
      <c r="Z450" s="6"/>
      <c r="AA450" s="6"/>
      <c r="AB450" s="6"/>
      <c r="AC450" s="9"/>
      <c r="AD450" s="9"/>
      <c r="AE450" s="9"/>
      <c r="AF450" s="9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21"/>
      <c r="AS450" s="21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3.5" customHeight="1" x14ac:dyDescent="0.35">
      <c r="A451" s="49"/>
      <c r="B451" s="49"/>
      <c r="C451" s="39"/>
      <c r="D451" s="1"/>
      <c r="E451" s="149"/>
      <c r="F451" s="153"/>
      <c r="G451" s="10"/>
      <c r="H451" s="17"/>
      <c r="I451" s="17"/>
      <c r="J451" s="17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29"/>
      <c r="X451" s="15"/>
      <c r="Y451" s="30"/>
      <c r="Z451" s="30"/>
      <c r="AA451" s="30"/>
      <c r="AB451" s="30"/>
      <c r="AC451" s="17"/>
      <c r="AD451" s="17"/>
      <c r="AE451" s="17"/>
      <c r="AF451" s="17"/>
      <c r="AG451" s="21"/>
      <c r="AH451" s="21"/>
      <c r="AI451" s="21"/>
      <c r="AJ451" s="21"/>
      <c r="AK451" s="21"/>
      <c r="AL451" s="21"/>
      <c r="AM451" s="21"/>
      <c r="AN451" s="21"/>
      <c r="AO451" s="22"/>
      <c r="AP451" s="21"/>
      <c r="AQ451" s="22"/>
      <c r="AR451" s="21"/>
      <c r="AS451" s="21"/>
      <c r="AT451" s="21"/>
      <c r="AU451" s="21"/>
      <c r="AV451" s="21"/>
      <c r="AW451" s="21"/>
      <c r="AX451" s="22"/>
      <c r="AY451" s="21"/>
      <c r="AZ451" s="22"/>
      <c r="BA451" s="21"/>
      <c r="BB451" s="21"/>
      <c r="BC451" s="21"/>
      <c r="BD451" s="21"/>
      <c r="BE451" s="26"/>
      <c r="BF451" s="26"/>
      <c r="BG451" s="62"/>
    </row>
    <row r="452" spans="1:59" x14ac:dyDescent="0.3">
      <c r="A452" s="63"/>
      <c r="B452" s="63"/>
      <c r="C452" s="39"/>
      <c r="D452" s="6"/>
      <c r="E452" s="149"/>
      <c r="F452" s="153"/>
      <c r="G452" s="1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5"/>
      <c r="V452" s="5"/>
      <c r="W452" s="13"/>
      <c r="X452" s="4"/>
      <c r="Y452" s="4"/>
      <c r="Z452" s="4"/>
      <c r="AA452" s="6"/>
      <c r="AB452" s="5"/>
      <c r="AC452" s="9"/>
      <c r="AD452" s="9"/>
      <c r="AE452" s="9"/>
      <c r="AF452" s="9"/>
      <c r="AG452" s="64"/>
      <c r="AH452" s="3"/>
      <c r="AI452" s="2"/>
      <c r="AJ452" s="2"/>
      <c r="AK452" s="2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x14ac:dyDescent="0.3">
      <c r="A453" s="6"/>
      <c r="B453" s="6"/>
      <c r="C453" s="39"/>
      <c r="D453" s="6"/>
      <c r="E453" s="149"/>
      <c r="F453" s="153"/>
      <c r="G453" s="1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12"/>
      <c r="Y453" s="6"/>
      <c r="Z453" s="6"/>
      <c r="AA453" s="6"/>
      <c r="AB453" s="6"/>
      <c r="AC453" s="9"/>
      <c r="AD453" s="9"/>
      <c r="AE453" s="9"/>
      <c r="AF453" s="9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21"/>
      <c r="AS453" s="21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x14ac:dyDescent="0.3">
      <c r="A454" s="63"/>
      <c r="B454" s="63"/>
      <c r="C454" s="39"/>
      <c r="D454" s="6"/>
      <c r="E454" s="149"/>
      <c r="F454" s="153"/>
      <c r="G454" s="1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5"/>
      <c r="V454" s="5"/>
      <c r="W454" s="13"/>
      <c r="X454" s="4"/>
      <c r="Y454" s="4"/>
      <c r="Z454" s="4"/>
      <c r="AA454" s="6"/>
      <c r="AB454" s="5"/>
      <c r="AC454" s="9"/>
      <c r="AD454" s="9"/>
      <c r="AE454" s="9"/>
      <c r="AF454" s="9"/>
      <c r="AG454" s="64"/>
      <c r="AH454" s="3"/>
      <c r="AI454" s="2"/>
      <c r="AJ454" s="2"/>
      <c r="AK454" s="2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x14ac:dyDescent="0.3">
      <c r="A455" s="63"/>
      <c r="B455" s="63"/>
      <c r="C455" s="39"/>
      <c r="D455" s="6"/>
      <c r="E455" s="149"/>
      <c r="F455" s="153"/>
      <c r="G455" s="1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5"/>
      <c r="V455" s="5"/>
      <c r="W455" s="13"/>
      <c r="X455" s="4"/>
      <c r="Y455" s="4"/>
      <c r="Z455" s="4"/>
      <c r="AA455" s="6"/>
      <c r="AB455" s="5"/>
      <c r="AC455" s="9"/>
      <c r="AD455" s="9"/>
      <c r="AE455" s="9"/>
      <c r="AF455" s="9"/>
      <c r="AG455" s="64"/>
      <c r="AH455" s="3"/>
      <c r="AI455" s="2"/>
      <c r="AJ455" s="2"/>
      <c r="AK455" s="2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x14ac:dyDescent="0.3">
      <c r="A456" s="6"/>
      <c r="B456" s="6"/>
      <c r="C456" s="39"/>
      <c r="D456" s="6"/>
      <c r="E456" s="149"/>
      <c r="F456" s="153"/>
      <c r="G456" s="1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12"/>
      <c r="Y456" s="6"/>
      <c r="Z456" s="6"/>
      <c r="AA456" s="6"/>
      <c r="AB456" s="6"/>
      <c r="AC456" s="9"/>
      <c r="AD456" s="9"/>
      <c r="AE456" s="9"/>
      <c r="AF456" s="9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21"/>
      <c r="AS456" s="21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x14ac:dyDescent="0.3">
      <c r="A457" s="63"/>
      <c r="B457" s="63"/>
      <c r="C457" s="39"/>
      <c r="D457" s="6"/>
      <c r="E457" s="149"/>
      <c r="F457" s="153"/>
      <c r="G457" s="1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5"/>
      <c r="V457" s="5"/>
      <c r="W457" s="13"/>
      <c r="X457" s="4"/>
      <c r="Y457" s="4"/>
      <c r="Z457" s="4"/>
      <c r="AA457" s="6"/>
      <c r="AB457" s="5"/>
      <c r="AC457" s="9"/>
      <c r="AD457" s="9"/>
      <c r="AE457" s="9"/>
      <c r="AF457" s="9"/>
      <c r="AG457" s="64"/>
      <c r="AH457" s="3"/>
      <c r="AI457" s="2"/>
      <c r="AJ457" s="2"/>
      <c r="AK457" s="2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x14ac:dyDescent="0.3">
      <c r="A458" s="6"/>
      <c r="B458" s="6"/>
      <c r="C458" s="39"/>
      <c r="D458" s="6"/>
      <c r="E458" s="149"/>
      <c r="F458" s="153"/>
      <c r="G458" s="1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12"/>
      <c r="Y458" s="6"/>
      <c r="Z458" s="6"/>
      <c r="AA458" s="6"/>
      <c r="AB458" s="6"/>
      <c r="AC458" s="9"/>
      <c r="AD458" s="9"/>
      <c r="AE458" s="9"/>
      <c r="AF458" s="9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x14ac:dyDescent="0.3">
      <c r="A459" s="6"/>
      <c r="B459" s="6"/>
      <c r="C459" s="39"/>
      <c r="D459" s="6"/>
      <c r="E459" s="149"/>
      <c r="F459" s="153"/>
      <c r="G459" s="1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5"/>
      <c r="V459" s="5"/>
      <c r="W459" s="13"/>
      <c r="X459" s="4"/>
      <c r="Y459" s="4"/>
      <c r="Z459" s="4"/>
      <c r="AA459" s="6"/>
      <c r="AB459" s="5"/>
      <c r="AC459" s="9"/>
      <c r="AD459" s="9"/>
      <c r="AE459" s="9"/>
      <c r="AF459" s="9"/>
      <c r="AG459" s="2"/>
      <c r="AH459" s="3"/>
      <c r="AI459" s="2"/>
      <c r="AJ459" s="2"/>
      <c r="AK459" s="2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3.5" customHeight="1" x14ac:dyDescent="0.35">
      <c r="A460" s="49"/>
      <c r="B460" s="49"/>
      <c r="C460" s="39"/>
      <c r="D460" s="1"/>
      <c r="E460" s="149"/>
      <c r="F460" s="153"/>
      <c r="G460" s="10"/>
      <c r="H460" s="17"/>
      <c r="I460" s="17"/>
      <c r="J460" s="17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29"/>
      <c r="X460" s="15"/>
      <c r="Y460" s="30"/>
      <c r="Z460" s="30"/>
      <c r="AA460" s="30"/>
      <c r="AB460" s="30"/>
      <c r="AC460" s="17"/>
      <c r="AD460" s="17"/>
      <c r="AE460" s="17"/>
      <c r="AF460" s="17"/>
      <c r="AG460" s="21"/>
      <c r="AH460" s="21"/>
      <c r="AI460" s="21"/>
      <c r="AJ460" s="21"/>
      <c r="AK460" s="21"/>
      <c r="AL460" s="21"/>
      <c r="AM460" s="21"/>
      <c r="AN460" s="21"/>
      <c r="AO460" s="22"/>
      <c r="AP460" s="21"/>
      <c r="AQ460" s="22"/>
      <c r="AR460" s="21"/>
      <c r="AS460" s="21"/>
      <c r="AT460" s="21"/>
      <c r="AU460" s="21"/>
      <c r="AV460" s="21"/>
      <c r="AW460" s="21"/>
      <c r="AX460" s="22"/>
      <c r="AY460" s="21"/>
      <c r="AZ460" s="22"/>
      <c r="BA460" s="21"/>
      <c r="BB460" s="21"/>
      <c r="BC460" s="21"/>
      <c r="BD460" s="21"/>
      <c r="BE460" s="26"/>
      <c r="BF460" s="26"/>
      <c r="BG460" s="62"/>
    </row>
    <row r="461" spans="1:59" x14ac:dyDescent="0.3">
      <c r="A461" s="6"/>
      <c r="B461" s="6"/>
      <c r="C461" s="39"/>
      <c r="D461" s="6"/>
      <c r="E461" s="149"/>
      <c r="F461" s="153"/>
      <c r="G461" s="1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12"/>
      <c r="Y461" s="6"/>
      <c r="Z461" s="6"/>
      <c r="AA461" s="6"/>
      <c r="AB461" s="6"/>
      <c r="AC461" s="9"/>
      <c r="AD461" s="9"/>
      <c r="AE461" s="9"/>
      <c r="AF461" s="9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21"/>
      <c r="AS461" s="21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3.5" customHeight="1" x14ac:dyDescent="0.35">
      <c r="A462" s="49"/>
      <c r="B462" s="49"/>
      <c r="C462" s="39"/>
      <c r="D462" s="1"/>
      <c r="E462" s="149"/>
      <c r="F462" s="153"/>
      <c r="G462" s="10"/>
      <c r="H462" s="17"/>
      <c r="I462" s="17"/>
      <c r="J462" s="17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29"/>
      <c r="X462" s="15"/>
      <c r="Y462" s="30"/>
      <c r="Z462" s="30"/>
      <c r="AA462" s="30"/>
      <c r="AB462" s="30"/>
      <c r="AC462" s="17"/>
      <c r="AD462" s="17"/>
      <c r="AE462" s="17"/>
      <c r="AF462" s="17"/>
      <c r="AG462" s="21"/>
      <c r="AH462" s="21"/>
      <c r="AI462" s="21"/>
      <c r="AJ462" s="21"/>
      <c r="AK462" s="21"/>
      <c r="AL462" s="21"/>
      <c r="AM462" s="21"/>
      <c r="AN462" s="21"/>
      <c r="AO462" s="22"/>
      <c r="AP462" s="21"/>
      <c r="AQ462" s="22"/>
      <c r="AR462" s="21"/>
      <c r="AS462" s="21"/>
      <c r="AT462" s="21"/>
      <c r="AU462" s="21"/>
      <c r="AV462" s="21"/>
      <c r="AW462" s="21"/>
      <c r="AX462" s="22"/>
      <c r="AY462" s="21"/>
      <c r="AZ462" s="22"/>
      <c r="BA462" s="21"/>
      <c r="BB462" s="21"/>
      <c r="BC462" s="21"/>
      <c r="BD462" s="21"/>
      <c r="BE462" s="26"/>
      <c r="BF462" s="26"/>
      <c r="BG462" s="62"/>
    </row>
    <row r="463" spans="1:59" x14ac:dyDescent="0.3">
      <c r="A463" s="63"/>
      <c r="B463" s="63"/>
      <c r="C463" s="39"/>
      <c r="D463" s="6"/>
      <c r="E463" s="149"/>
      <c r="F463" s="153"/>
      <c r="G463" s="1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5"/>
      <c r="V463" s="5"/>
      <c r="W463" s="13"/>
      <c r="X463" s="4"/>
      <c r="Y463" s="4"/>
      <c r="Z463" s="4"/>
      <c r="AA463" s="6"/>
      <c r="AB463" s="5"/>
      <c r="AC463" s="9"/>
      <c r="AD463" s="9"/>
      <c r="AE463" s="9"/>
      <c r="AF463" s="9"/>
      <c r="AG463" s="64"/>
      <c r="AH463" s="3"/>
      <c r="AI463" s="2"/>
      <c r="AJ463" s="2"/>
      <c r="AK463" s="2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3.5" customHeight="1" x14ac:dyDescent="0.35">
      <c r="A464" s="49"/>
      <c r="B464" s="49"/>
      <c r="C464" s="39"/>
      <c r="D464" s="1"/>
      <c r="E464" s="149"/>
      <c r="F464" s="153"/>
      <c r="G464" s="10"/>
      <c r="H464" s="17"/>
      <c r="I464" s="17"/>
      <c r="J464" s="17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29"/>
      <c r="X464" s="15"/>
      <c r="Y464" s="30"/>
      <c r="Z464" s="30"/>
      <c r="AA464" s="30"/>
      <c r="AB464" s="30"/>
      <c r="AC464" s="17"/>
      <c r="AD464" s="17"/>
      <c r="AE464" s="17"/>
      <c r="AF464" s="17"/>
      <c r="AG464" s="21"/>
      <c r="AH464" s="21"/>
      <c r="AI464" s="21"/>
      <c r="AJ464" s="21"/>
      <c r="AK464" s="21"/>
      <c r="AL464" s="21"/>
      <c r="AM464" s="21"/>
      <c r="AN464" s="21"/>
      <c r="AO464" s="22"/>
      <c r="AP464" s="21"/>
      <c r="AQ464" s="22"/>
      <c r="AR464" s="21"/>
      <c r="AS464" s="21"/>
      <c r="AT464" s="21"/>
      <c r="AU464" s="21"/>
      <c r="AV464" s="21"/>
      <c r="AW464" s="21"/>
      <c r="AX464" s="22"/>
      <c r="AY464" s="21"/>
      <c r="AZ464" s="22"/>
      <c r="BA464" s="21"/>
      <c r="BB464" s="21"/>
      <c r="BC464" s="21"/>
      <c r="BD464" s="21"/>
      <c r="BE464" s="26"/>
      <c r="BF464" s="26"/>
      <c r="BG464" s="62"/>
    </row>
    <row r="465" spans="1:59" x14ac:dyDescent="0.3">
      <c r="A465" s="6"/>
      <c r="B465" s="6"/>
      <c r="C465" s="39"/>
      <c r="D465" s="6"/>
      <c r="E465" s="149"/>
      <c r="F465" s="153"/>
      <c r="G465" s="1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12"/>
      <c r="Y465" s="6"/>
      <c r="Z465" s="6"/>
      <c r="AA465" s="6"/>
      <c r="AB465" s="6"/>
      <c r="AC465" s="9"/>
      <c r="AD465" s="9"/>
      <c r="AE465" s="9"/>
      <c r="AF465" s="9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21"/>
      <c r="AS465" s="21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x14ac:dyDescent="0.3">
      <c r="A466" s="6"/>
      <c r="B466" s="6"/>
      <c r="C466" s="39"/>
      <c r="D466" s="6"/>
      <c r="E466" s="149"/>
      <c r="F466" s="153"/>
      <c r="G466" s="1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12"/>
      <c r="Y466" s="6"/>
      <c r="Z466" s="6"/>
      <c r="AA466" s="6"/>
      <c r="AB466" s="6"/>
      <c r="AC466" s="9"/>
      <c r="AD466" s="9"/>
      <c r="AE466" s="9"/>
      <c r="AF466" s="9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x14ac:dyDescent="0.3">
      <c r="A467" s="6"/>
      <c r="B467" s="6"/>
      <c r="C467" s="39"/>
      <c r="D467" s="6"/>
      <c r="E467" s="149"/>
      <c r="F467" s="153"/>
      <c r="G467" s="1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12"/>
      <c r="Y467" s="6"/>
      <c r="Z467" s="6"/>
      <c r="AA467" s="6"/>
      <c r="AB467" s="6"/>
      <c r="AC467" s="9"/>
      <c r="AD467" s="9"/>
      <c r="AE467" s="9"/>
      <c r="AF467" s="9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21"/>
      <c r="AS467" s="21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x14ac:dyDescent="0.3">
      <c r="A468" s="63"/>
      <c r="B468" s="63"/>
      <c r="C468" s="39"/>
      <c r="D468" s="6"/>
      <c r="E468" s="149"/>
      <c r="F468" s="153"/>
      <c r="G468" s="1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5"/>
      <c r="V468" s="5"/>
      <c r="W468" s="13"/>
      <c r="X468" s="4"/>
      <c r="Y468" s="4"/>
      <c r="Z468" s="4"/>
      <c r="AA468" s="6"/>
      <c r="AB468" s="5"/>
      <c r="AC468" s="9"/>
      <c r="AD468" s="9"/>
      <c r="AE468" s="9"/>
      <c r="AF468" s="9"/>
      <c r="AG468" s="64"/>
      <c r="AH468" s="3"/>
      <c r="AI468" s="2"/>
      <c r="AJ468" s="2"/>
      <c r="AK468" s="2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x14ac:dyDescent="0.3">
      <c r="A469" s="6"/>
      <c r="B469" s="6"/>
      <c r="C469" s="39"/>
      <c r="D469" s="6"/>
      <c r="E469" s="149"/>
      <c r="F469" s="153"/>
      <c r="G469" s="1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12"/>
      <c r="Y469" s="6"/>
      <c r="Z469" s="6"/>
      <c r="AA469" s="6"/>
      <c r="AB469" s="6"/>
      <c r="AC469" s="9"/>
      <c r="AD469" s="9"/>
      <c r="AE469" s="9"/>
      <c r="AF469" s="9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21"/>
      <c r="AS469" s="21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3.5" customHeight="1" x14ac:dyDescent="0.35">
      <c r="A470" s="49"/>
      <c r="B470" s="49"/>
      <c r="C470" s="14"/>
      <c r="D470" s="1"/>
      <c r="E470" s="149"/>
      <c r="F470" s="153"/>
      <c r="G470" s="10"/>
      <c r="H470" s="17"/>
      <c r="I470" s="17"/>
      <c r="J470" s="17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29"/>
      <c r="X470" s="15"/>
      <c r="Y470" s="30"/>
      <c r="Z470" s="30"/>
      <c r="AA470" s="30"/>
      <c r="AB470" s="30"/>
      <c r="AC470" s="17"/>
      <c r="AD470" s="17"/>
      <c r="AE470" s="17"/>
      <c r="AF470" s="17"/>
      <c r="AG470" s="21"/>
      <c r="AH470" s="21"/>
      <c r="AI470" s="21"/>
      <c r="AJ470" s="21"/>
      <c r="AK470" s="21"/>
      <c r="AL470" s="21"/>
      <c r="AM470" s="21"/>
      <c r="AN470" s="21"/>
      <c r="AO470" s="22"/>
      <c r="AP470" s="21"/>
      <c r="AQ470" s="22"/>
      <c r="AR470" s="21"/>
      <c r="AS470" s="21"/>
      <c r="AT470" s="21"/>
      <c r="AU470" s="21"/>
      <c r="AV470" s="21"/>
      <c r="AW470" s="21"/>
      <c r="AX470" s="22"/>
      <c r="AY470" s="21"/>
      <c r="AZ470" s="22"/>
      <c r="BA470" s="21"/>
      <c r="BB470" s="21"/>
      <c r="BC470" s="21"/>
      <c r="BD470" s="21"/>
      <c r="BE470" s="26"/>
      <c r="BF470" s="26"/>
      <c r="BG470" s="62"/>
    </row>
    <row r="471" spans="1:59" x14ac:dyDescent="0.3">
      <c r="A471" s="6"/>
      <c r="B471" s="6"/>
      <c r="C471" s="39"/>
      <c r="D471" s="6"/>
      <c r="E471" s="149"/>
      <c r="F471" s="153"/>
      <c r="G471" s="1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5"/>
      <c r="V471" s="5"/>
      <c r="W471" s="13"/>
      <c r="X471" s="4"/>
      <c r="Y471" s="4"/>
      <c r="Z471" s="4"/>
      <c r="AA471" s="6"/>
      <c r="AB471" s="5"/>
      <c r="AC471" s="9"/>
      <c r="AD471" s="9"/>
      <c r="AE471" s="9"/>
      <c r="AF471" s="9"/>
      <c r="AG471" s="2"/>
      <c r="AH471" s="3"/>
      <c r="AI471" s="2"/>
      <c r="AJ471" s="2"/>
      <c r="AK471" s="2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x14ac:dyDescent="0.3">
      <c r="A472" s="63"/>
      <c r="B472" s="63"/>
      <c r="C472" s="39"/>
      <c r="D472" s="6"/>
      <c r="E472" s="149"/>
      <c r="F472" s="153"/>
      <c r="G472" s="1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5"/>
      <c r="V472" s="5"/>
      <c r="W472" s="13"/>
      <c r="X472" s="4"/>
      <c r="Y472" s="4"/>
      <c r="Z472" s="4"/>
      <c r="AA472" s="6"/>
      <c r="AB472" s="5"/>
      <c r="AC472" s="9"/>
      <c r="AD472" s="9"/>
      <c r="AE472" s="9"/>
      <c r="AF472" s="9"/>
      <c r="AG472" s="64"/>
      <c r="AH472" s="3"/>
      <c r="AI472" s="2"/>
      <c r="AJ472" s="2"/>
      <c r="AK472" s="2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x14ac:dyDescent="0.3">
      <c r="A473" s="6"/>
      <c r="B473" s="6"/>
      <c r="C473" s="39"/>
      <c r="D473" s="6"/>
      <c r="E473" s="149"/>
      <c r="F473" s="153"/>
      <c r="G473" s="1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12"/>
      <c r="Y473" s="6"/>
      <c r="Z473" s="6"/>
      <c r="AA473" s="6"/>
      <c r="AB473" s="6"/>
      <c r="AC473" s="9"/>
      <c r="AD473" s="9"/>
      <c r="AE473" s="9"/>
      <c r="AF473" s="9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x14ac:dyDescent="0.3">
      <c r="A474" s="63"/>
      <c r="B474" s="63"/>
      <c r="C474" s="39"/>
      <c r="D474" s="6"/>
      <c r="E474" s="149"/>
      <c r="F474" s="153"/>
      <c r="G474" s="1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5"/>
      <c r="V474" s="5"/>
      <c r="W474" s="13"/>
      <c r="X474" s="4"/>
      <c r="Y474" s="4"/>
      <c r="Z474" s="4"/>
      <c r="AA474" s="6"/>
      <c r="AB474" s="5"/>
      <c r="AC474" s="9"/>
      <c r="AD474" s="9"/>
      <c r="AE474" s="9"/>
      <c r="AF474" s="9"/>
      <c r="AG474" s="64"/>
      <c r="AH474" s="3"/>
      <c r="AI474" s="2"/>
      <c r="AJ474" s="2"/>
      <c r="AK474" s="2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x14ac:dyDescent="0.3">
      <c r="A475" s="63"/>
      <c r="B475" s="63"/>
      <c r="C475" s="39"/>
      <c r="D475" s="6"/>
      <c r="E475" s="149"/>
      <c r="F475" s="153"/>
      <c r="G475" s="1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5"/>
      <c r="V475" s="5"/>
      <c r="W475" s="13"/>
      <c r="X475" s="4"/>
      <c r="Y475" s="4"/>
      <c r="Z475" s="4"/>
      <c r="AA475" s="6"/>
      <c r="AB475" s="5"/>
      <c r="AC475" s="9"/>
      <c r="AD475" s="9"/>
      <c r="AE475" s="9"/>
      <c r="AF475" s="9"/>
      <c r="AG475" s="64"/>
      <c r="AH475" s="3"/>
      <c r="AI475" s="2"/>
      <c r="AJ475" s="2"/>
      <c r="AK475" s="2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x14ac:dyDescent="0.3">
      <c r="A476" s="63"/>
      <c r="B476" s="63"/>
      <c r="C476" s="39"/>
      <c r="D476" s="6"/>
      <c r="E476" s="149"/>
      <c r="F476" s="153"/>
      <c r="G476" s="1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5"/>
      <c r="V476" s="5"/>
      <c r="W476" s="13"/>
      <c r="X476" s="4"/>
      <c r="Y476" s="4"/>
      <c r="Z476" s="4"/>
      <c r="AA476" s="6"/>
      <c r="AB476" s="5"/>
      <c r="AC476" s="9"/>
      <c r="AD476" s="9"/>
      <c r="AE476" s="9"/>
      <c r="AF476" s="9"/>
      <c r="AG476" s="64"/>
      <c r="AH476" s="3"/>
      <c r="AI476" s="2"/>
      <c r="AJ476" s="2"/>
      <c r="AK476" s="2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3.5" customHeight="1" x14ac:dyDescent="0.35">
      <c r="A477" s="49"/>
      <c r="B477" s="49"/>
      <c r="C477" s="14"/>
      <c r="D477" s="1"/>
      <c r="E477" s="149"/>
      <c r="F477" s="153"/>
      <c r="G477" s="10"/>
      <c r="H477" s="17"/>
      <c r="I477" s="17"/>
      <c r="J477" s="17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29"/>
      <c r="X477" s="15"/>
      <c r="Y477" s="30"/>
      <c r="Z477" s="30"/>
      <c r="AA477" s="30"/>
      <c r="AB477" s="30"/>
      <c r="AC477" s="17"/>
      <c r="AD477" s="17"/>
      <c r="AE477" s="17"/>
      <c r="AF477" s="17"/>
      <c r="AG477" s="21"/>
      <c r="AH477" s="21"/>
      <c r="AI477" s="21"/>
      <c r="AJ477" s="21"/>
      <c r="AK477" s="21"/>
      <c r="AL477" s="21"/>
      <c r="AM477" s="21"/>
      <c r="AN477" s="21"/>
      <c r="AO477" s="22"/>
      <c r="AP477" s="21"/>
      <c r="AQ477" s="22"/>
      <c r="AR477" s="21"/>
      <c r="AS477" s="21"/>
      <c r="AT477" s="21"/>
      <c r="AU477" s="21"/>
      <c r="AV477" s="21"/>
      <c r="AW477" s="21"/>
      <c r="AX477" s="22"/>
      <c r="AY477" s="21"/>
      <c r="AZ477" s="22"/>
      <c r="BA477" s="21"/>
      <c r="BB477" s="21"/>
      <c r="BC477" s="21"/>
      <c r="BD477" s="21"/>
      <c r="BE477" s="26"/>
      <c r="BF477" s="26"/>
      <c r="BG477" s="62"/>
    </row>
    <row r="478" spans="1:59" x14ac:dyDescent="0.3">
      <c r="A478" s="6"/>
      <c r="B478" s="6"/>
      <c r="C478" s="39"/>
      <c r="D478" s="6"/>
      <c r="E478" s="149"/>
      <c r="F478" s="153"/>
      <c r="G478" s="1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5"/>
      <c r="V478" s="5"/>
      <c r="W478" s="13"/>
      <c r="X478" s="4"/>
      <c r="Y478" s="4"/>
      <c r="Z478" s="4"/>
      <c r="AA478" s="6"/>
      <c r="AB478" s="5"/>
      <c r="AC478" s="9"/>
      <c r="AD478" s="9"/>
      <c r="AE478" s="9"/>
      <c r="AF478" s="9"/>
      <c r="AG478" s="2"/>
      <c r="AH478" s="3"/>
      <c r="AI478" s="2"/>
      <c r="AJ478" s="2"/>
      <c r="AK478" s="2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x14ac:dyDescent="0.3">
      <c r="A479" s="6"/>
      <c r="B479" s="6"/>
      <c r="C479" s="39"/>
      <c r="D479" s="6"/>
      <c r="E479" s="149"/>
      <c r="F479" s="153"/>
      <c r="G479" s="1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12"/>
      <c r="Y479" s="6"/>
      <c r="Z479" s="6"/>
      <c r="AA479" s="6"/>
      <c r="AB479" s="6"/>
      <c r="AC479" s="9"/>
      <c r="AD479" s="9"/>
      <c r="AE479" s="9"/>
      <c r="AF479" s="9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21"/>
      <c r="AS479" s="21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3.5" customHeight="1" x14ac:dyDescent="0.35">
      <c r="A480" s="49"/>
      <c r="B480" s="49"/>
      <c r="C480" s="39"/>
      <c r="D480" s="1"/>
      <c r="E480" s="149"/>
      <c r="F480" s="153"/>
      <c r="G480" s="10"/>
      <c r="H480" s="17"/>
      <c r="I480" s="17"/>
      <c r="J480" s="17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29"/>
      <c r="X480" s="15"/>
      <c r="Y480" s="30"/>
      <c r="Z480" s="30"/>
      <c r="AA480" s="30"/>
      <c r="AB480" s="30"/>
      <c r="AC480" s="17"/>
      <c r="AD480" s="17"/>
      <c r="AE480" s="17"/>
      <c r="AF480" s="17"/>
      <c r="AG480" s="21"/>
      <c r="AH480" s="21"/>
      <c r="AI480" s="21"/>
      <c r="AJ480" s="21"/>
      <c r="AK480" s="21"/>
      <c r="AL480" s="21"/>
      <c r="AM480" s="21"/>
      <c r="AN480" s="21"/>
      <c r="AO480" s="22"/>
      <c r="AP480" s="21"/>
      <c r="AQ480" s="22"/>
      <c r="AR480" s="21"/>
      <c r="AS480" s="21"/>
      <c r="AT480" s="21"/>
      <c r="AU480" s="21"/>
      <c r="AV480" s="21"/>
      <c r="AW480" s="21"/>
      <c r="AX480" s="22"/>
      <c r="AY480" s="21"/>
      <c r="AZ480" s="22"/>
      <c r="BA480" s="21"/>
      <c r="BB480" s="21"/>
      <c r="BC480" s="21"/>
      <c r="BD480" s="21"/>
      <c r="BE480" s="26"/>
      <c r="BF480" s="26"/>
      <c r="BG480" s="62"/>
    </row>
    <row r="481" spans="1:59" x14ac:dyDescent="0.3">
      <c r="A481" s="6"/>
      <c r="B481" s="6"/>
      <c r="C481" s="39"/>
      <c r="D481" s="6"/>
      <c r="E481" s="149"/>
      <c r="F481" s="153"/>
      <c r="G481" s="1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12"/>
      <c r="Y481" s="6"/>
      <c r="Z481" s="6"/>
      <c r="AA481" s="6"/>
      <c r="AB481" s="6"/>
      <c r="AC481" s="9"/>
      <c r="AD481" s="9"/>
      <c r="AE481" s="9"/>
      <c r="AF481" s="9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21"/>
      <c r="AS481" s="21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x14ac:dyDescent="0.3">
      <c r="A482" s="63"/>
      <c r="B482" s="63"/>
      <c r="C482" s="39"/>
      <c r="D482" s="6"/>
      <c r="E482" s="149"/>
      <c r="F482" s="153"/>
      <c r="G482" s="1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5"/>
      <c r="V482" s="5"/>
      <c r="W482" s="13"/>
      <c r="X482" s="4"/>
      <c r="Y482" s="4"/>
      <c r="Z482" s="4"/>
      <c r="AA482" s="6"/>
      <c r="AB482" s="5"/>
      <c r="AC482" s="9"/>
      <c r="AD482" s="9"/>
      <c r="AE482" s="9"/>
      <c r="AF482" s="9"/>
      <c r="AG482" s="64"/>
      <c r="AH482" s="3"/>
      <c r="AI482" s="2"/>
      <c r="AJ482" s="2"/>
      <c r="AK482" s="2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x14ac:dyDescent="0.3">
      <c r="A483" s="63"/>
      <c r="B483" s="63"/>
      <c r="C483" s="39"/>
      <c r="D483" s="6"/>
      <c r="E483" s="149"/>
      <c r="F483" s="153"/>
      <c r="G483" s="1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5"/>
      <c r="V483" s="5"/>
      <c r="W483" s="13"/>
      <c r="X483" s="4"/>
      <c r="Y483" s="4"/>
      <c r="Z483" s="4"/>
      <c r="AA483" s="6"/>
      <c r="AB483" s="5"/>
      <c r="AC483" s="9"/>
      <c r="AD483" s="9"/>
      <c r="AE483" s="9"/>
      <c r="AF483" s="9"/>
      <c r="AG483" s="64"/>
      <c r="AH483" s="3"/>
      <c r="AI483" s="2"/>
      <c r="AJ483" s="2"/>
      <c r="AK483" s="2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x14ac:dyDescent="0.3">
      <c r="A484" s="6"/>
      <c r="B484" s="6"/>
      <c r="C484" s="39"/>
      <c r="D484" s="6"/>
      <c r="E484" s="149"/>
      <c r="F484" s="153"/>
      <c r="G484" s="1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12"/>
      <c r="Y484" s="6"/>
      <c r="Z484" s="6"/>
      <c r="AA484" s="6"/>
      <c r="AB484" s="6"/>
      <c r="AC484" s="9"/>
      <c r="AD484" s="9"/>
      <c r="AE484" s="9"/>
      <c r="AF484" s="9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21"/>
      <c r="AS484" s="21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3.5" customHeight="1" x14ac:dyDescent="0.35">
      <c r="A485" s="49"/>
      <c r="B485" s="49"/>
      <c r="C485" s="14"/>
      <c r="D485" s="1"/>
      <c r="E485" s="149"/>
      <c r="F485" s="153"/>
      <c r="G485" s="10"/>
      <c r="H485" s="17"/>
      <c r="I485" s="17"/>
      <c r="J485" s="17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29"/>
      <c r="X485" s="15"/>
      <c r="Y485" s="30"/>
      <c r="Z485" s="30"/>
      <c r="AA485" s="30"/>
      <c r="AB485" s="30"/>
      <c r="AC485" s="17"/>
      <c r="AD485" s="17"/>
      <c r="AE485" s="17"/>
      <c r="AF485" s="17"/>
      <c r="AG485" s="21"/>
      <c r="AH485" s="21"/>
      <c r="AI485" s="21"/>
      <c r="AJ485" s="21"/>
      <c r="AK485" s="21"/>
      <c r="AL485" s="21"/>
      <c r="AM485" s="21"/>
      <c r="AN485" s="21"/>
      <c r="AO485" s="22"/>
      <c r="AP485" s="21"/>
      <c r="AQ485" s="22"/>
      <c r="AR485" s="21"/>
      <c r="AS485" s="21"/>
      <c r="AT485" s="21"/>
      <c r="AU485" s="21"/>
      <c r="AV485" s="21"/>
      <c r="AW485" s="21"/>
      <c r="AX485" s="22"/>
      <c r="AY485" s="21"/>
      <c r="AZ485" s="22"/>
      <c r="BA485" s="21"/>
      <c r="BB485" s="21"/>
      <c r="BC485" s="21"/>
      <c r="BD485" s="21"/>
      <c r="BE485" s="26"/>
      <c r="BF485" s="26"/>
      <c r="BG485" s="62"/>
    </row>
    <row r="486" spans="1:59" x14ac:dyDescent="0.3">
      <c r="A486" s="63"/>
      <c r="B486" s="63"/>
      <c r="C486" s="39"/>
      <c r="D486" s="6"/>
      <c r="E486" s="149"/>
      <c r="F486" s="153"/>
      <c r="G486" s="1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5"/>
      <c r="V486" s="5"/>
      <c r="W486" s="13"/>
      <c r="X486" s="4"/>
      <c r="Y486" s="4"/>
      <c r="Z486" s="4"/>
      <c r="AA486" s="6"/>
      <c r="AB486" s="5"/>
      <c r="AC486" s="9"/>
      <c r="AD486" s="9"/>
      <c r="AE486" s="9"/>
      <c r="AF486" s="9"/>
      <c r="AG486" s="64"/>
      <c r="AH486" s="3"/>
      <c r="AI486" s="2"/>
      <c r="AJ486" s="2"/>
      <c r="AK486" s="2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3.5" customHeight="1" x14ac:dyDescent="0.35">
      <c r="A487" s="49"/>
      <c r="B487" s="49"/>
      <c r="C487" s="14"/>
      <c r="D487" s="1"/>
      <c r="E487" s="149"/>
      <c r="F487" s="153"/>
      <c r="G487" s="10"/>
      <c r="H487" s="17"/>
      <c r="I487" s="17"/>
      <c r="J487" s="17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29"/>
      <c r="X487" s="15"/>
      <c r="Y487" s="30"/>
      <c r="Z487" s="30"/>
      <c r="AA487" s="30"/>
      <c r="AB487" s="30"/>
      <c r="AC487" s="17"/>
      <c r="AD487" s="17"/>
      <c r="AE487" s="17"/>
      <c r="AF487" s="17"/>
      <c r="AG487" s="21"/>
      <c r="AH487" s="21"/>
      <c r="AI487" s="21"/>
      <c r="AJ487" s="21"/>
      <c r="AK487" s="21"/>
      <c r="AL487" s="21"/>
      <c r="AM487" s="21"/>
      <c r="AN487" s="21"/>
      <c r="AO487" s="22"/>
      <c r="AP487" s="21"/>
      <c r="AQ487" s="22"/>
      <c r="AR487" s="21"/>
      <c r="AS487" s="21"/>
      <c r="AT487" s="21"/>
      <c r="AU487" s="21"/>
      <c r="AV487" s="21"/>
      <c r="AW487" s="21"/>
      <c r="AX487" s="22"/>
      <c r="AY487" s="21"/>
      <c r="AZ487" s="22"/>
      <c r="BA487" s="21"/>
      <c r="BB487" s="21"/>
      <c r="BC487" s="21"/>
      <c r="BD487" s="21"/>
      <c r="BE487" s="26"/>
      <c r="BF487" s="26"/>
      <c r="BG487" s="62"/>
    </row>
    <row r="488" spans="1:59" x14ac:dyDescent="0.3">
      <c r="A488" s="63"/>
      <c r="B488" s="63"/>
      <c r="C488" s="39"/>
      <c r="D488" s="6"/>
      <c r="E488" s="149"/>
      <c r="F488" s="153"/>
      <c r="G488" s="1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5"/>
      <c r="V488" s="5"/>
      <c r="W488" s="13"/>
      <c r="X488" s="4"/>
      <c r="Y488" s="4"/>
      <c r="Z488" s="4"/>
      <c r="AA488" s="6"/>
      <c r="AB488" s="5"/>
      <c r="AC488" s="9"/>
      <c r="AD488" s="9"/>
      <c r="AE488" s="9"/>
      <c r="AF488" s="9"/>
      <c r="AG488" s="64"/>
      <c r="AH488" s="3"/>
      <c r="AI488" s="2"/>
      <c r="AJ488" s="2"/>
      <c r="AK488" s="2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x14ac:dyDescent="0.3">
      <c r="A489" s="63"/>
      <c r="B489" s="63"/>
      <c r="C489" s="39"/>
      <c r="D489" s="6"/>
      <c r="E489" s="149"/>
      <c r="F489" s="153"/>
      <c r="G489" s="1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5"/>
      <c r="V489" s="5"/>
      <c r="W489" s="13"/>
      <c r="X489" s="4"/>
      <c r="Y489" s="4"/>
      <c r="Z489" s="4"/>
      <c r="AA489" s="6"/>
      <c r="AB489" s="5"/>
      <c r="AC489" s="9"/>
      <c r="AD489" s="9"/>
      <c r="AE489" s="9"/>
      <c r="AF489" s="9"/>
      <c r="AG489" s="64"/>
      <c r="AH489" s="3"/>
      <c r="AI489" s="2"/>
      <c r="AJ489" s="2"/>
      <c r="AK489" s="2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x14ac:dyDescent="0.3">
      <c r="A490" s="6"/>
      <c r="B490" s="6"/>
      <c r="C490" s="39"/>
      <c r="D490" s="6"/>
      <c r="E490" s="149"/>
      <c r="F490" s="153"/>
      <c r="G490" s="1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5"/>
      <c r="V490" s="5"/>
      <c r="W490" s="13"/>
      <c r="X490" s="4"/>
      <c r="Y490" s="4"/>
      <c r="Z490" s="4"/>
      <c r="AA490" s="6"/>
      <c r="AB490" s="5"/>
      <c r="AC490" s="9"/>
      <c r="AD490" s="9"/>
      <c r="AE490" s="9"/>
      <c r="AF490" s="9"/>
      <c r="AG490" s="2"/>
      <c r="AH490" s="3"/>
      <c r="AI490" s="2"/>
      <c r="AJ490" s="2"/>
      <c r="AK490" s="2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3.5" customHeight="1" x14ac:dyDescent="0.35">
      <c r="A491" s="49"/>
      <c r="B491" s="49"/>
      <c r="C491" s="39"/>
      <c r="D491" s="1"/>
      <c r="E491" s="149"/>
      <c r="F491" s="153"/>
      <c r="G491" s="10"/>
      <c r="H491" s="17"/>
      <c r="I491" s="17"/>
      <c r="J491" s="17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29"/>
      <c r="X491" s="15"/>
      <c r="Y491" s="30"/>
      <c r="Z491" s="30"/>
      <c r="AA491" s="30"/>
      <c r="AB491" s="30"/>
      <c r="AC491" s="17"/>
      <c r="AD491" s="17"/>
      <c r="AE491" s="17"/>
      <c r="AF491" s="17"/>
      <c r="AG491" s="21"/>
      <c r="AH491" s="21"/>
      <c r="AI491" s="21"/>
      <c r="AJ491" s="21"/>
      <c r="AK491" s="21"/>
      <c r="AL491" s="21"/>
      <c r="AM491" s="21"/>
      <c r="AN491" s="21"/>
      <c r="AO491" s="22"/>
      <c r="AP491" s="21"/>
      <c r="AQ491" s="22"/>
      <c r="AR491" s="21"/>
      <c r="AS491" s="21"/>
      <c r="AT491" s="21"/>
      <c r="AU491" s="21"/>
      <c r="AV491" s="21"/>
      <c r="AW491" s="21"/>
      <c r="AX491" s="22"/>
      <c r="AY491" s="21"/>
      <c r="AZ491" s="22"/>
      <c r="BA491" s="21"/>
      <c r="BB491" s="21"/>
      <c r="BC491" s="21"/>
      <c r="BD491" s="21"/>
      <c r="BE491" s="26"/>
      <c r="BF491" s="26"/>
      <c r="BG491" s="62"/>
    </row>
    <row r="492" spans="1:59" x14ac:dyDescent="0.3">
      <c r="A492" s="6"/>
      <c r="B492" s="6"/>
      <c r="C492" s="39"/>
      <c r="D492" s="6"/>
      <c r="E492" s="149"/>
      <c r="F492" s="153"/>
      <c r="G492" s="1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5"/>
      <c r="V492" s="5"/>
      <c r="W492" s="13"/>
      <c r="X492" s="4"/>
      <c r="Y492" s="4"/>
      <c r="Z492" s="4"/>
      <c r="AA492" s="6"/>
      <c r="AB492" s="5"/>
      <c r="AC492" s="9"/>
      <c r="AD492" s="9"/>
      <c r="AE492" s="9"/>
      <c r="AF492" s="9"/>
      <c r="AG492" s="2"/>
      <c r="AH492" s="3"/>
      <c r="AI492" s="2"/>
      <c r="AJ492" s="2"/>
      <c r="AK492" s="2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x14ac:dyDescent="0.3">
      <c r="A493" s="6"/>
      <c r="B493" s="6"/>
      <c r="C493" s="39"/>
      <c r="D493" s="6"/>
      <c r="E493" s="149"/>
      <c r="F493" s="153"/>
      <c r="G493" s="1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12"/>
      <c r="Y493" s="6"/>
      <c r="Z493" s="6"/>
      <c r="AA493" s="6"/>
      <c r="AB493" s="6"/>
      <c r="AC493" s="9"/>
      <c r="AD493" s="9"/>
      <c r="AE493" s="9"/>
      <c r="AF493" s="9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21"/>
      <c r="AS493" s="21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x14ac:dyDescent="0.3">
      <c r="A494" s="6"/>
      <c r="B494" s="6"/>
      <c r="C494" s="39"/>
      <c r="D494" s="6"/>
      <c r="E494" s="149"/>
      <c r="F494" s="153"/>
      <c r="G494" s="1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12"/>
      <c r="Y494" s="6"/>
      <c r="Z494" s="6"/>
      <c r="AA494" s="6"/>
      <c r="AB494" s="6"/>
      <c r="AC494" s="9"/>
      <c r="AD494" s="9"/>
      <c r="AE494" s="9"/>
      <c r="AF494" s="9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21"/>
      <c r="AS494" s="21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x14ac:dyDescent="0.3">
      <c r="A495" s="6"/>
      <c r="B495" s="6"/>
      <c r="C495" s="39"/>
      <c r="D495" s="6"/>
      <c r="E495" s="149"/>
      <c r="F495" s="153"/>
      <c r="G495" s="1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12"/>
      <c r="Y495" s="6"/>
      <c r="Z495" s="6"/>
      <c r="AA495" s="6"/>
      <c r="AB495" s="6"/>
      <c r="AC495" s="9"/>
      <c r="AD495" s="9"/>
      <c r="AE495" s="9"/>
      <c r="AF495" s="9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21"/>
      <c r="AS495" s="21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x14ac:dyDescent="0.3">
      <c r="A496" s="63"/>
      <c r="B496" s="63"/>
      <c r="C496" s="39"/>
      <c r="D496" s="6"/>
      <c r="E496" s="149"/>
      <c r="F496" s="153"/>
      <c r="G496" s="1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5"/>
      <c r="V496" s="5"/>
      <c r="W496" s="13"/>
      <c r="X496" s="4"/>
      <c r="Y496" s="4"/>
      <c r="Z496" s="4"/>
      <c r="AA496" s="6"/>
      <c r="AB496" s="5"/>
      <c r="AC496" s="9"/>
      <c r="AD496" s="9"/>
      <c r="AE496" s="9"/>
      <c r="AF496" s="9"/>
      <c r="AG496" s="64"/>
      <c r="AH496" s="3"/>
      <c r="AI496" s="2"/>
      <c r="AJ496" s="2"/>
      <c r="AK496" s="2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3.5" customHeight="1" x14ac:dyDescent="0.35">
      <c r="A497" s="49"/>
      <c r="B497" s="49"/>
      <c r="C497" s="39"/>
      <c r="D497" s="1"/>
      <c r="E497" s="149"/>
      <c r="F497" s="153"/>
      <c r="G497" s="10"/>
      <c r="H497" s="17"/>
      <c r="I497" s="17"/>
      <c r="J497" s="17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29"/>
      <c r="X497" s="15"/>
      <c r="Y497" s="30"/>
      <c r="Z497" s="30"/>
      <c r="AA497" s="30"/>
      <c r="AB497" s="30"/>
      <c r="AC497" s="17"/>
      <c r="AD497" s="17"/>
      <c r="AE497" s="17"/>
      <c r="AF497" s="17"/>
      <c r="AG497" s="21"/>
      <c r="AH497" s="21"/>
      <c r="AI497" s="21"/>
      <c r="AJ497" s="21"/>
      <c r="AK497" s="21"/>
      <c r="AL497" s="21"/>
      <c r="AM497" s="21"/>
      <c r="AN497" s="21"/>
      <c r="AO497" s="22"/>
      <c r="AP497" s="21"/>
      <c r="AQ497" s="22"/>
      <c r="AR497" s="21"/>
      <c r="AS497" s="21"/>
      <c r="AT497" s="21"/>
      <c r="AU497" s="21"/>
      <c r="AV497" s="21"/>
      <c r="AW497" s="21"/>
      <c r="AX497" s="22"/>
      <c r="AY497" s="21"/>
      <c r="AZ497" s="22"/>
      <c r="BA497" s="21"/>
      <c r="BB497" s="21"/>
      <c r="BC497" s="21"/>
      <c r="BD497" s="21"/>
      <c r="BE497" s="26"/>
      <c r="BF497" s="26"/>
      <c r="BG497" s="62"/>
    </row>
    <row r="498" spans="1:59" x14ac:dyDescent="0.3">
      <c r="A498" s="6"/>
      <c r="B498" s="6"/>
      <c r="C498" s="39"/>
      <c r="D498" s="6"/>
      <c r="E498" s="149"/>
      <c r="F498" s="153"/>
      <c r="G498" s="1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12"/>
      <c r="Y498" s="6"/>
      <c r="Z498" s="6"/>
      <c r="AA498" s="6"/>
      <c r="AB498" s="6"/>
      <c r="AC498" s="9"/>
      <c r="AD498" s="9"/>
      <c r="AE498" s="9"/>
      <c r="AF498" s="9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21"/>
      <c r="AS498" s="21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3.5" customHeight="1" x14ac:dyDescent="0.35">
      <c r="A499" s="49"/>
      <c r="B499" s="49"/>
      <c r="C499" s="14"/>
      <c r="D499" s="1"/>
      <c r="E499" s="149"/>
      <c r="F499" s="153"/>
      <c r="G499" s="10"/>
      <c r="H499" s="17"/>
      <c r="I499" s="17"/>
      <c r="J499" s="17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29"/>
      <c r="X499" s="15"/>
      <c r="Y499" s="30"/>
      <c r="Z499" s="30"/>
      <c r="AA499" s="30"/>
      <c r="AB499" s="30"/>
      <c r="AC499" s="17"/>
      <c r="AD499" s="17"/>
      <c r="AE499" s="17"/>
      <c r="AF499" s="17"/>
      <c r="AG499" s="21"/>
      <c r="AH499" s="21"/>
      <c r="AI499" s="21"/>
      <c r="AJ499" s="21"/>
      <c r="AK499" s="21"/>
      <c r="AL499" s="21"/>
      <c r="AM499" s="21"/>
      <c r="AN499" s="21"/>
      <c r="AO499" s="22"/>
      <c r="AP499" s="21"/>
      <c r="AQ499" s="22"/>
      <c r="AR499" s="21"/>
      <c r="AS499" s="21"/>
      <c r="AT499" s="21"/>
      <c r="AU499" s="21"/>
      <c r="AV499" s="21"/>
      <c r="AW499" s="21"/>
      <c r="AX499" s="22"/>
      <c r="AY499" s="21"/>
      <c r="AZ499" s="22"/>
      <c r="BA499" s="21"/>
      <c r="BB499" s="21"/>
      <c r="BC499" s="21"/>
      <c r="BD499" s="21"/>
      <c r="BE499" s="26"/>
      <c r="BF499" s="26"/>
      <c r="BG499" s="62"/>
    </row>
    <row r="500" spans="1:59" x14ac:dyDescent="0.3">
      <c r="A500" s="6"/>
      <c r="B500" s="6"/>
      <c r="C500" s="39"/>
      <c r="D500" s="6"/>
      <c r="E500" s="149"/>
      <c r="F500" s="153"/>
      <c r="G500" s="1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12"/>
      <c r="Y500" s="6"/>
      <c r="Z500" s="6"/>
      <c r="AA500" s="6"/>
      <c r="AB500" s="6"/>
      <c r="AC500" s="9"/>
      <c r="AD500" s="9"/>
      <c r="AE500" s="9"/>
      <c r="AF500" s="9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21"/>
      <c r="AS500" s="21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3.5" customHeight="1" x14ac:dyDescent="0.35">
      <c r="A501" s="49"/>
      <c r="B501" s="49"/>
      <c r="C501" s="14"/>
      <c r="D501" s="1"/>
      <c r="E501" s="149"/>
      <c r="F501" s="153"/>
      <c r="G501" s="10"/>
      <c r="H501" s="17"/>
      <c r="I501" s="17"/>
      <c r="J501" s="17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29"/>
      <c r="X501" s="15"/>
      <c r="Y501" s="30"/>
      <c r="Z501" s="30"/>
      <c r="AA501" s="30"/>
      <c r="AB501" s="30"/>
      <c r="AC501" s="17"/>
      <c r="AD501" s="17"/>
      <c r="AE501" s="17"/>
      <c r="AF501" s="17"/>
      <c r="AG501" s="21"/>
      <c r="AH501" s="21"/>
      <c r="AI501" s="21"/>
      <c r="AJ501" s="21"/>
      <c r="AK501" s="21"/>
      <c r="AL501" s="21"/>
      <c r="AM501" s="21"/>
      <c r="AN501" s="21"/>
      <c r="AO501" s="22"/>
      <c r="AP501" s="21"/>
      <c r="AQ501" s="22"/>
      <c r="AR501" s="21"/>
      <c r="AS501" s="21"/>
      <c r="AT501" s="21"/>
      <c r="AU501" s="21"/>
      <c r="AV501" s="21"/>
      <c r="AW501" s="21"/>
      <c r="AX501" s="22"/>
      <c r="AY501" s="21"/>
      <c r="AZ501" s="22"/>
      <c r="BA501" s="21"/>
      <c r="BB501" s="21"/>
      <c r="BC501" s="21"/>
      <c r="BD501" s="21"/>
      <c r="BE501" s="26"/>
      <c r="BF501" s="26"/>
      <c r="BG501" s="62"/>
    </row>
    <row r="502" spans="1:59" x14ac:dyDescent="0.3">
      <c r="A502" s="6"/>
      <c r="B502" s="6"/>
      <c r="C502" s="39"/>
      <c r="D502" s="6"/>
      <c r="E502" s="149"/>
      <c r="F502" s="153"/>
      <c r="G502" s="1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5"/>
      <c r="V502" s="5"/>
      <c r="W502" s="13"/>
      <c r="X502" s="4"/>
      <c r="Y502" s="4"/>
      <c r="Z502" s="4"/>
      <c r="AA502" s="6"/>
      <c r="AB502" s="5"/>
      <c r="AC502" s="9"/>
      <c r="AD502" s="9"/>
      <c r="AE502" s="9"/>
      <c r="AF502" s="9"/>
      <c r="AG502" s="2"/>
      <c r="AH502" s="3"/>
      <c r="AI502" s="2"/>
      <c r="AJ502" s="2"/>
      <c r="AK502" s="2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x14ac:dyDescent="0.3">
      <c r="A503" s="6"/>
      <c r="B503" s="6"/>
      <c r="C503" s="39"/>
      <c r="D503" s="6"/>
      <c r="E503" s="149"/>
      <c r="F503" s="153"/>
      <c r="G503" s="1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12"/>
      <c r="Y503" s="6"/>
      <c r="Z503" s="6"/>
      <c r="AA503" s="6"/>
      <c r="AB503" s="6"/>
      <c r="AC503" s="9"/>
      <c r="AD503" s="9"/>
      <c r="AE503" s="9"/>
      <c r="AF503" s="9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21"/>
      <c r="AS503" s="21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x14ac:dyDescent="0.3">
      <c r="A504" s="6"/>
      <c r="B504" s="6"/>
      <c r="C504" s="39"/>
      <c r="D504" s="6"/>
      <c r="E504" s="149"/>
      <c r="F504" s="153"/>
      <c r="G504" s="1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12"/>
      <c r="Y504" s="6"/>
      <c r="Z504" s="6"/>
      <c r="AA504" s="6"/>
      <c r="AB504" s="6"/>
      <c r="AC504" s="9"/>
      <c r="AD504" s="9"/>
      <c r="AE504" s="9"/>
      <c r="AF504" s="9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21"/>
      <c r="AS504" s="21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x14ac:dyDescent="0.3">
      <c r="A505" s="63"/>
      <c r="B505" s="63"/>
      <c r="C505" s="39"/>
      <c r="D505" s="6"/>
      <c r="E505" s="149"/>
      <c r="F505" s="153"/>
      <c r="G505" s="1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5"/>
      <c r="V505" s="5"/>
      <c r="W505" s="13"/>
      <c r="X505" s="4"/>
      <c r="Y505" s="4"/>
      <c r="Z505" s="4"/>
      <c r="AA505" s="6"/>
      <c r="AB505" s="5"/>
      <c r="AC505" s="9"/>
      <c r="AD505" s="9"/>
      <c r="AE505" s="9"/>
      <c r="AF505" s="9"/>
      <c r="AG505" s="64"/>
      <c r="AH505" s="3"/>
      <c r="AI505" s="2"/>
      <c r="AJ505" s="2"/>
      <c r="AK505" s="2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3.5" customHeight="1" x14ac:dyDescent="0.35">
      <c r="A506" s="49"/>
      <c r="B506" s="49"/>
      <c r="C506" s="14"/>
      <c r="D506" s="1"/>
      <c r="E506" s="149"/>
      <c r="F506" s="153"/>
      <c r="G506" s="10"/>
      <c r="H506" s="17"/>
      <c r="I506" s="17"/>
      <c r="J506" s="17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29"/>
      <c r="X506" s="15"/>
      <c r="Y506" s="30"/>
      <c r="Z506" s="30"/>
      <c r="AA506" s="30"/>
      <c r="AB506" s="30"/>
      <c r="AC506" s="17"/>
      <c r="AD506" s="17"/>
      <c r="AE506" s="17"/>
      <c r="AF506" s="17"/>
      <c r="AG506" s="21"/>
      <c r="AH506" s="21"/>
      <c r="AI506" s="21"/>
      <c r="AJ506" s="21"/>
      <c r="AK506" s="21"/>
      <c r="AL506" s="21"/>
      <c r="AM506" s="21"/>
      <c r="AN506" s="21"/>
      <c r="AO506" s="22"/>
      <c r="AP506" s="21"/>
      <c r="AQ506" s="22"/>
      <c r="AR506" s="21"/>
      <c r="AS506" s="21"/>
      <c r="AT506" s="21"/>
      <c r="AU506" s="21"/>
      <c r="AV506" s="21"/>
      <c r="AW506" s="21"/>
      <c r="AX506" s="22"/>
      <c r="AY506" s="21"/>
      <c r="AZ506" s="22"/>
      <c r="BA506" s="21"/>
      <c r="BB506" s="21"/>
      <c r="BC506" s="21"/>
      <c r="BD506" s="21"/>
      <c r="BE506" s="26"/>
      <c r="BF506" s="26"/>
      <c r="BG506" s="62"/>
    </row>
    <row r="507" spans="1:59" x14ac:dyDescent="0.3">
      <c r="A507" s="6"/>
      <c r="B507" s="6"/>
      <c r="C507" s="39"/>
      <c r="D507" s="6"/>
      <c r="E507" s="149"/>
      <c r="F507" s="153"/>
      <c r="G507" s="1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12"/>
      <c r="Y507" s="6"/>
      <c r="Z507" s="6"/>
      <c r="AA507" s="6"/>
      <c r="AB507" s="6"/>
      <c r="AC507" s="9"/>
      <c r="AD507" s="9"/>
      <c r="AE507" s="9"/>
      <c r="AF507" s="9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21"/>
      <c r="AS507" s="21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3.5" customHeight="1" x14ac:dyDescent="0.35">
      <c r="A508" s="49"/>
      <c r="B508" s="49"/>
      <c r="C508" s="39"/>
      <c r="D508" s="1"/>
      <c r="E508" s="149"/>
      <c r="F508" s="153"/>
      <c r="G508" s="10"/>
      <c r="H508" s="17"/>
      <c r="I508" s="17"/>
      <c r="J508" s="17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29"/>
      <c r="X508" s="15"/>
      <c r="Y508" s="30"/>
      <c r="Z508" s="30"/>
      <c r="AA508" s="30"/>
      <c r="AB508" s="30"/>
      <c r="AC508" s="17"/>
      <c r="AD508" s="17"/>
      <c r="AE508" s="17"/>
      <c r="AF508" s="17"/>
      <c r="AG508" s="21"/>
      <c r="AH508" s="21"/>
      <c r="AI508" s="21"/>
      <c r="AJ508" s="21"/>
      <c r="AK508" s="21"/>
      <c r="AL508" s="21"/>
      <c r="AM508" s="21"/>
      <c r="AN508" s="21"/>
      <c r="AO508" s="22"/>
      <c r="AP508" s="21"/>
      <c r="AQ508" s="22"/>
      <c r="AR508" s="21"/>
      <c r="AS508" s="21"/>
      <c r="AT508" s="21"/>
      <c r="AU508" s="21"/>
      <c r="AV508" s="21"/>
      <c r="AW508" s="21"/>
      <c r="AX508" s="22"/>
      <c r="AY508" s="21"/>
      <c r="AZ508" s="22"/>
      <c r="BA508" s="21"/>
      <c r="BB508" s="21"/>
      <c r="BC508" s="21"/>
      <c r="BD508" s="21"/>
      <c r="BE508" s="26"/>
      <c r="BF508" s="26"/>
      <c r="BG508" s="62"/>
    </row>
    <row r="509" spans="1:59" x14ac:dyDescent="0.3">
      <c r="A509" s="63"/>
      <c r="B509" s="63"/>
      <c r="C509" s="39"/>
      <c r="D509" s="6"/>
      <c r="E509" s="149"/>
      <c r="F509" s="153"/>
      <c r="G509" s="1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5"/>
      <c r="V509" s="5"/>
      <c r="W509" s="13"/>
      <c r="X509" s="4"/>
      <c r="Y509" s="4"/>
      <c r="Z509" s="4"/>
      <c r="AA509" s="6"/>
      <c r="AB509" s="5"/>
      <c r="AC509" s="9"/>
      <c r="AD509" s="9"/>
      <c r="AE509" s="9"/>
      <c r="AF509" s="9"/>
      <c r="AG509" s="64"/>
      <c r="AH509" s="3"/>
      <c r="AI509" s="2"/>
      <c r="AJ509" s="2"/>
      <c r="AK509" s="2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3.5" customHeight="1" x14ac:dyDescent="0.35">
      <c r="A510" s="49"/>
      <c r="B510" s="49"/>
      <c r="C510" s="14"/>
      <c r="D510" s="1"/>
      <c r="E510" s="149"/>
      <c r="F510" s="153"/>
      <c r="G510" s="10"/>
      <c r="H510" s="17"/>
      <c r="I510" s="17"/>
      <c r="J510" s="17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29"/>
      <c r="X510" s="15"/>
      <c r="Y510" s="30"/>
      <c r="Z510" s="30"/>
      <c r="AA510" s="30"/>
      <c r="AB510" s="30"/>
      <c r="AC510" s="17"/>
      <c r="AD510" s="17"/>
      <c r="AE510" s="17"/>
      <c r="AF510" s="17"/>
      <c r="AG510" s="21"/>
      <c r="AH510" s="21"/>
      <c r="AI510" s="21"/>
      <c r="AJ510" s="21"/>
      <c r="AK510" s="21"/>
      <c r="AL510" s="21"/>
      <c r="AM510" s="21"/>
      <c r="AN510" s="21"/>
      <c r="AO510" s="22"/>
      <c r="AP510" s="21"/>
      <c r="AQ510" s="22"/>
      <c r="AR510" s="21"/>
      <c r="AS510" s="21"/>
      <c r="AT510" s="21"/>
      <c r="AU510" s="21"/>
      <c r="AV510" s="21"/>
      <c r="AW510" s="21"/>
      <c r="AX510" s="22"/>
      <c r="AY510" s="21"/>
      <c r="AZ510" s="22"/>
      <c r="BA510" s="21"/>
      <c r="BB510" s="21"/>
      <c r="BC510" s="21"/>
      <c r="BD510" s="21"/>
      <c r="BE510" s="26"/>
      <c r="BF510" s="26"/>
      <c r="BG510" s="62"/>
    </row>
    <row r="511" spans="1:59" x14ac:dyDescent="0.3">
      <c r="A511" s="6"/>
      <c r="B511" s="6"/>
      <c r="C511" s="39"/>
      <c r="D511" s="6"/>
      <c r="E511" s="149"/>
      <c r="F511" s="153"/>
      <c r="G511" s="1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5"/>
      <c r="V511" s="5"/>
      <c r="W511" s="13"/>
      <c r="X511" s="4"/>
      <c r="Y511" s="4"/>
      <c r="Z511" s="4"/>
      <c r="AA511" s="6"/>
      <c r="AB511" s="5"/>
      <c r="AC511" s="9"/>
      <c r="AD511" s="9"/>
      <c r="AE511" s="9"/>
      <c r="AF511" s="9"/>
      <c r="AG511" s="2"/>
      <c r="AH511" s="3"/>
      <c r="AI511" s="2"/>
      <c r="AJ511" s="2"/>
      <c r="AK511" s="2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x14ac:dyDescent="0.3">
      <c r="A512" s="6"/>
      <c r="B512" s="6"/>
      <c r="C512" s="39"/>
      <c r="D512" s="6"/>
      <c r="E512" s="149"/>
      <c r="F512" s="153"/>
      <c r="G512" s="1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12"/>
      <c r="Y512" s="6"/>
      <c r="Z512" s="6"/>
      <c r="AA512" s="6"/>
      <c r="AB512" s="6"/>
      <c r="AC512" s="9"/>
      <c r="AD512" s="9"/>
      <c r="AE512" s="9"/>
      <c r="AF512" s="9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21"/>
      <c r="AS512" s="21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3.5" customHeight="1" x14ac:dyDescent="0.35">
      <c r="A513" s="49"/>
      <c r="B513" s="49"/>
      <c r="C513" s="14"/>
      <c r="D513" s="1"/>
      <c r="E513" s="149"/>
      <c r="F513" s="153"/>
      <c r="G513" s="10"/>
      <c r="H513" s="17"/>
      <c r="I513" s="17"/>
      <c r="J513" s="17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29"/>
      <c r="X513" s="15"/>
      <c r="Y513" s="30"/>
      <c r="Z513" s="30"/>
      <c r="AA513" s="30"/>
      <c r="AB513" s="30"/>
      <c r="AC513" s="17"/>
      <c r="AD513" s="17"/>
      <c r="AE513" s="17"/>
      <c r="AF513" s="17"/>
      <c r="AG513" s="21"/>
      <c r="AH513" s="21"/>
      <c r="AI513" s="21"/>
      <c r="AJ513" s="21"/>
      <c r="AK513" s="21"/>
      <c r="AL513" s="21"/>
      <c r="AM513" s="21"/>
      <c r="AN513" s="21"/>
      <c r="AO513" s="22"/>
      <c r="AP513" s="21"/>
      <c r="AQ513" s="22"/>
      <c r="AR513" s="21"/>
      <c r="AS513" s="21"/>
      <c r="AT513" s="21"/>
      <c r="AU513" s="21"/>
      <c r="AV513" s="21"/>
      <c r="AW513" s="21"/>
      <c r="AX513" s="22"/>
      <c r="AY513" s="21"/>
      <c r="AZ513" s="22"/>
      <c r="BA513" s="21"/>
      <c r="BB513" s="21"/>
      <c r="BC513" s="21"/>
      <c r="BD513" s="21"/>
      <c r="BE513" s="26"/>
      <c r="BF513" s="26"/>
      <c r="BG513" s="62"/>
    </row>
    <row r="514" spans="1:59" x14ac:dyDescent="0.3">
      <c r="A514" s="6"/>
      <c r="B514" s="6"/>
      <c r="C514" s="39"/>
      <c r="D514" s="6"/>
      <c r="E514" s="149"/>
      <c r="F514" s="153"/>
      <c r="G514" s="1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12"/>
      <c r="Y514" s="6"/>
      <c r="Z514" s="6"/>
      <c r="AA514" s="6"/>
      <c r="AB514" s="6"/>
      <c r="AC514" s="9"/>
      <c r="AD514" s="9"/>
      <c r="AE514" s="9"/>
      <c r="AF514" s="9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21"/>
      <c r="AS514" s="21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x14ac:dyDescent="0.3">
      <c r="A515" s="6"/>
      <c r="B515" s="6"/>
      <c r="C515" s="39"/>
      <c r="D515" s="6"/>
      <c r="E515" s="149"/>
      <c r="F515" s="153"/>
      <c r="G515" s="1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5"/>
      <c r="V515" s="5"/>
      <c r="W515" s="13"/>
      <c r="X515" s="4"/>
      <c r="Y515" s="4"/>
      <c r="Z515" s="4"/>
      <c r="AA515" s="6"/>
      <c r="AB515" s="5"/>
      <c r="AC515" s="9"/>
      <c r="AD515" s="9"/>
      <c r="AE515" s="9"/>
      <c r="AF515" s="9"/>
      <c r="AG515" s="2"/>
      <c r="AH515" s="3"/>
      <c r="AI515" s="2"/>
      <c r="AJ515" s="2"/>
      <c r="AK515" s="2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x14ac:dyDescent="0.3">
      <c r="A516" s="6"/>
      <c r="B516" s="6"/>
      <c r="C516" s="39"/>
      <c r="D516" s="6"/>
      <c r="E516" s="149"/>
      <c r="F516" s="153"/>
      <c r="G516" s="1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12"/>
      <c r="Y516" s="6"/>
      <c r="Z516" s="6"/>
      <c r="AA516" s="6"/>
      <c r="AB516" s="6"/>
      <c r="AC516" s="9"/>
      <c r="AD516" s="9"/>
      <c r="AE516" s="9"/>
      <c r="AF516" s="9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21"/>
      <c r="AS516" s="21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x14ac:dyDescent="0.3">
      <c r="A517" s="6"/>
      <c r="B517" s="6"/>
      <c r="C517" s="39"/>
      <c r="D517" s="6"/>
      <c r="E517" s="149"/>
      <c r="F517" s="153"/>
      <c r="G517" s="1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5"/>
      <c r="V517" s="5"/>
      <c r="W517" s="13"/>
      <c r="X517" s="4"/>
      <c r="Y517" s="4"/>
      <c r="Z517" s="4"/>
      <c r="AA517" s="6"/>
      <c r="AB517" s="5"/>
      <c r="AC517" s="9"/>
      <c r="AD517" s="9"/>
      <c r="AE517" s="9"/>
      <c r="AF517" s="9"/>
      <c r="AG517" s="2"/>
      <c r="AH517" s="3"/>
      <c r="AI517" s="2"/>
      <c r="AJ517" s="2"/>
      <c r="AK517" s="2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x14ac:dyDescent="0.3">
      <c r="A518" s="6"/>
      <c r="B518" s="6"/>
      <c r="C518" s="39"/>
      <c r="D518" s="6"/>
      <c r="E518" s="149"/>
      <c r="F518" s="153"/>
      <c r="G518" s="1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12"/>
      <c r="Y518" s="6"/>
      <c r="Z518" s="6"/>
      <c r="AA518" s="6"/>
      <c r="AB518" s="6"/>
      <c r="AC518" s="9"/>
      <c r="AD518" s="9"/>
      <c r="AE518" s="9"/>
      <c r="AF518" s="9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21"/>
      <c r="AS518" s="21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x14ac:dyDescent="0.3">
      <c r="A519" s="63"/>
      <c r="B519" s="63"/>
      <c r="C519" s="39"/>
      <c r="D519" s="6"/>
      <c r="E519" s="149"/>
      <c r="F519" s="153"/>
      <c r="G519" s="1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5"/>
      <c r="V519" s="5"/>
      <c r="W519" s="13"/>
      <c r="X519" s="4"/>
      <c r="Y519" s="4"/>
      <c r="Z519" s="4"/>
      <c r="AA519" s="6"/>
      <c r="AB519" s="5"/>
      <c r="AC519" s="9"/>
      <c r="AD519" s="9"/>
      <c r="AE519" s="9"/>
      <c r="AF519" s="9"/>
      <c r="AG519" s="64"/>
      <c r="AH519" s="3"/>
      <c r="AI519" s="2"/>
      <c r="AJ519" s="2"/>
      <c r="AK519" s="2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x14ac:dyDescent="0.3">
      <c r="A520" s="6"/>
      <c r="B520" s="6"/>
      <c r="C520" s="39"/>
      <c r="D520" s="6"/>
      <c r="E520" s="149"/>
      <c r="F520" s="153"/>
      <c r="G520" s="1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5"/>
      <c r="V520" s="5"/>
      <c r="W520" s="13"/>
      <c r="X520" s="4"/>
      <c r="Y520" s="4"/>
      <c r="Z520" s="4"/>
      <c r="AA520" s="6"/>
      <c r="AB520" s="5"/>
      <c r="AC520" s="9"/>
      <c r="AD520" s="9"/>
      <c r="AE520" s="9"/>
      <c r="AF520" s="9"/>
      <c r="AG520" s="2"/>
      <c r="AH520" s="3"/>
      <c r="AI520" s="2"/>
      <c r="AJ520" s="2"/>
      <c r="AK520" s="2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x14ac:dyDescent="0.3">
      <c r="A521" s="6"/>
      <c r="B521" s="6"/>
      <c r="C521" s="39"/>
      <c r="D521" s="6"/>
      <c r="E521" s="149"/>
      <c r="F521" s="153"/>
      <c r="G521" s="1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12"/>
      <c r="Y521" s="6"/>
      <c r="Z521" s="6"/>
      <c r="AA521" s="6"/>
      <c r="AB521" s="6"/>
      <c r="AC521" s="9"/>
      <c r="AD521" s="9"/>
      <c r="AE521" s="9"/>
      <c r="AF521" s="9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21"/>
      <c r="AS521" s="21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x14ac:dyDescent="0.3">
      <c r="A522" s="63"/>
      <c r="B522" s="63"/>
      <c r="C522" s="39"/>
      <c r="D522" s="6"/>
      <c r="E522" s="149"/>
      <c r="F522" s="153"/>
      <c r="G522" s="1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5"/>
      <c r="V522" s="5"/>
      <c r="W522" s="13"/>
      <c r="X522" s="4"/>
      <c r="Y522" s="4"/>
      <c r="Z522" s="4"/>
      <c r="AA522" s="6"/>
      <c r="AB522" s="5"/>
      <c r="AC522" s="9"/>
      <c r="AD522" s="9"/>
      <c r="AE522" s="9"/>
      <c r="AF522" s="9"/>
      <c r="AG522" s="64"/>
      <c r="AH522" s="3"/>
      <c r="AI522" s="2"/>
      <c r="AJ522" s="2"/>
      <c r="AK522" s="2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x14ac:dyDescent="0.3">
      <c r="A523" s="6"/>
      <c r="B523" s="6"/>
      <c r="C523" s="39"/>
      <c r="D523" s="6"/>
      <c r="E523" s="149"/>
      <c r="F523" s="153"/>
      <c r="G523" s="1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12"/>
      <c r="Y523" s="6"/>
      <c r="Z523" s="6"/>
      <c r="AA523" s="6"/>
      <c r="AB523" s="6"/>
      <c r="AC523" s="9"/>
      <c r="AD523" s="9"/>
      <c r="AE523" s="9"/>
      <c r="AF523" s="9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21"/>
      <c r="AS523" s="21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3.5" customHeight="1" x14ac:dyDescent="0.35">
      <c r="A524" s="49"/>
      <c r="B524" s="49"/>
      <c r="C524" s="14"/>
      <c r="D524" s="1"/>
      <c r="E524" s="149"/>
      <c r="F524" s="153"/>
      <c r="G524" s="10"/>
      <c r="H524" s="17"/>
      <c r="I524" s="17"/>
      <c r="J524" s="17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29"/>
      <c r="X524" s="15"/>
      <c r="Y524" s="30"/>
      <c r="Z524" s="30"/>
      <c r="AA524" s="30"/>
      <c r="AB524" s="30"/>
      <c r="AC524" s="17"/>
      <c r="AD524" s="17"/>
      <c r="AE524" s="17"/>
      <c r="AF524" s="17"/>
      <c r="AG524" s="21"/>
      <c r="AH524" s="21"/>
      <c r="AI524" s="21"/>
      <c r="AJ524" s="21"/>
      <c r="AK524" s="21"/>
      <c r="AL524" s="21"/>
      <c r="AM524" s="21"/>
      <c r="AN524" s="21"/>
      <c r="AO524" s="22"/>
      <c r="AP524" s="21"/>
      <c r="AQ524" s="22"/>
      <c r="AR524" s="21"/>
      <c r="AS524" s="21"/>
      <c r="AT524" s="21"/>
      <c r="AU524" s="21"/>
      <c r="AV524" s="21"/>
      <c r="AW524" s="21"/>
      <c r="AX524" s="22"/>
      <c r="AY524" s="21"/>
      <c r="AZ524" s="22"/>
      <c r="BA524" s="21"/>
      <c r="BB524" s="21"/>
      <c r="BC524" s="21"/>
      <c r="BD524" s="21"/>
      <c r="BE524" s="26"/>
      <c r="BF524" s="26"/>
      <c r="BG524" s="62"/>
    </row>
    <row r="525" spans="1:59" ht="13.5" customHeight="1" x14ac:dyDescent="0.35">
      <c r="A525" s="49"/>
      <c r="B525" s="49"/>
      <c r="C525" s="14"/>
      <c r="D525" s="1"/>
      <c r="E525" s="149"/>
      <c r="F525" s="153"/>
      <c r="G525" s="10"/>
      <c r="H525" s="17"/>
      <c r="I525" s="17"/>
      <c r="J525" s="17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29"/>
      <c r="X525" s="15"/>
      <c r="Y525" s="30"/>
      <c r="Z525" s="30"/>
      <c r="AA525" s="30"/>
      <c r="AB525" s="30"/>
      <c r="AC525" s="17"/>
      <c r="AD525" s="17"/>
      <c r="AE525" s="17"/>
      <c r="AF525" s="17"/>
      <c r="AG525" s="21"/>
      <c r="AH525" s="21"/>
      <c r="AI525" s="21"/>
      <c r="AJ525" s="21"/>
      <c r="AK525" s="21"/>
      <c r="AL525" s="21"/>
      <c r="AM525" s="21"/>
      <c r="AN525" s="21"/>
      <c r="AO525" s="22"/>
      <c r="AP525" s="21"/>
      <c r="AQ525" s="22"/>
      <c r="AR525" s="21"/>
      <c r="AS525" s="21"/>
      <c r="AT525" s="21"/>
      <c r="AU525" s="21"/>
      <c r="AV525" s="21"/>
      <c r="AW525" s="21"/>
      <c r="AX525" s="22"/>
      <c r="AY525" s="21"/>
      <c r="AZ525" s="22"/>
      <c r="BA525" s="21"/>
      <c r="BB525" s="21"/>
      <c r="BC525" s="21"/>
      <c r="BD525" s="21"/>
      <c r="BE525" s="26"/>
      <c r="BF525" s="26"/>
      <c r="BG525" s="62"/>
    </row>
    <row r="526" spans="1:59" x14ac:dyDescent="0.3">
      <c r="A526" s="6"/>
      <c r="B526" s="6"/>
      <c r="C526" s="39"/>
      <c r="D526" s="6"/>
      <c r="E526" s="149"/>
      <c r="F526" s="153"/>
      <c r="G526" s="1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12"/>
      <c r="Y526" s="6"/>
      <c r="Z526" s="6"/>
      <c r="AA526" s="6"/>
      <c r="AB526" s="6"/>
      <c r="AC526" s="9"/>
      <c r="AD526" s="9"/>
      <c r="AE526" s="9"/>
      <c r="AF526" s="9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21"/>
      <c r="AS526" s="21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x14ac:dyDescent="0.3">
      <c r="A527" s="6"/>
      <c r="B527" s="6"/>
      <c r="C527" s="39"/>
      <c r="D527" s="6"/>
      <c r="E527" s="149"/>
      <c r="F527" s="153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12"/>
      <c r="Y527" s="6"/>
      <c r="Z527" s="6"/>
      <c r="AA527" s="6"/>
      <c r="AB527" s="6"/>
      <c r="AC527" s="9"/>
      <c r="AD527" s="9"/>
      <c r="AE527" s="9"/>
      <c r="AF527" s="9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21"/>
      <c r="AS527" s="21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3.5" customHeight="1" x14ac:dyDescent="0.35">
      <c r="A528" s="49"/>
      <c r="B528" s="49"/>
      <c r="C528" s="39"/>
      <c r="D528" s="1"/>
      <c r="E528" s="149"/>
      <c r="F528" s="153"/>
      <c r="G528" s="10"/>
      <c r="H528" s="17"/>
      <c r="I528" s="17"/>
      <c r="J528" s="17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29"/>
      <c r="X528" s="15"/>
      <c r="Y528" s="30"/>
      <c r="Z528" s="30"/>
      <c r="AA528" s="30"/>
      <c r="AB528" s="30"/>
      <c r="AC528" s="17"/>
      <c r="AD528" s="17"/>
      <c r="AE528" s="17"/>
      <c r="AF528" s="17"/>
      <c r="AG528" s="21"/>
      <c r="AH528" s="21"/>
      <c r="AI528" s="21"/>
      <c r="AJ528" s="21"/>
      <c r="AK528" s="21"/>
      <c r="AL528" s="21"/>
      <c r="AM528" s="21"/>
      <c r="AN528" s="21"/>
      <c r="AO528" s="22"/>
      <c r="AP528" s="21"/>
      <c r="AQ528" s="22"/>
      <c r="AR528" s="21"/>
      <c r="AS528" s="21"/>
      <c r="AT528" s="21"/>
      <c r="AU528" s="21"/>
      <c r="AV528" s="21"/>
      <c r="AW528" s="21"/>
      <c r="AX528" s="22"/>
      <c r="AY528" s="21"/>
      <c r="AZ528" s="22"/>
      <c r="BA528" s="21"/>
      <c r="BB528" s="21"/>
      <c r="BC528" s="21"/>
      <c r="BD528" s="21"/>
      <c r="BE528" s="26"/>
      <c r="BF528" s="26"/>
      <c r="BG528" s="62"/>
    </row>
    <row r="529" spans="1:59" ht="13.5" customHeight="1" x14ac:dyDescent="0.35">
      <c r="A529" s="49"/>
      <c r="B529" s="49"/>
      <c r="C529" s="14"/>
      <c r="D529" s="1"/>
      <c r="E529" s="149"/>
      <c r="F529" s="153"/>
      <c r="G529" s="10"/>
      <c r="H529" s="17"/>
      <c r="I529" s="17"/>
      <c r="J529" s="17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29"/>
      <c r="X529" s="15"/>
      <c r="Y529" s="30"/>
      <c r="Z529" s="30"/>
      <c r="AA529" s="30"/>
      <c r="AB529" s="30"/>
      <c r="AC529" s="17"/>
      <c r="AD529" s="17"/>
      <c r="AE529" s="17"/>
      <c r="AF529" s="17"/>
      <c r="AG529" s="21"/>
      <c r="AH529" s="21"/>
      <c r="AI529" s="21"/>
      <c r="AJ529" s="21"/>
      <c r="AK529" s="21"/>
      <c r="AL529" s="21"/>
      <c r="AM529" s="21"/>
      <c r="AN529" s="21"/>
      <c r="AO529" s="22"/>
      <c r="AP529" s="21"/>
      <c r="AQ529" s="22"/>
      <c r="AR529" s="21"/>
      <c r="AS529" s="21"/>
      <c r="AT529" s="21"/>
      <c r="AU529" s="21"/>
      <c r="AV529" s="21"/>
      <c r="AW529" s="21"/>
      <c r="AX529" s="22"/>
      <c r="AY529" s="21"/>
      <c r="AZ529" s="22"/>
      <c r="BA529" s="21"/>
      <c r="BB529" s="21"/>
      <c r="BC529" s="21"/>
      <c r="BD529" s="21"/>
      <c r="BE529" s="26"/>
      <c r="BF529" s="26"/>
      <c r="BG529" s="62"/>
    </row>
    <row r="530" spans="1:59" x14ac:dyDescent="0.3">
      <c r="A530" s="6"/>
      <c r="B530" s="6"/>
      <c r="C530" s="39"/>
      <c r="D530" s="6"/>
      <c r="E530" s="149"/>
      <c r="F530" s="153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12"/>
      <c r="Y530" s="6"/>
      <c r="Z530" s="6"/>
      <c r="AA530" s="6"/>
      <c r="AB530" s="6"/>
      <c r="AC530" s="9"/>
      <c r="AD530" s="9"/>
      <c r="AE530" s="9"/>
      <c r="AF530" s="9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21"/>
      <c r="AS530" s="21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3.5" customHeight="1" x14ac:dyDescent="0.35">
      <c r="A531" s="49"/>
      <c r="B531" s="49"/>
      <c r="C531" s="14"/>
      <c r="D531" s="1"/>
      <c r="E531" s="149"/>
      <c r="F531" s="153"/>
      <c r="G531" s="10"/>
      <c r="H531" s="17"/>
      <c r="I531" s="17"/>
      <c r="J531" s="17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29"/>
      <c r="X531" s="15"/>
      <c r="Y531" s="30"/>
      <c r="Z531" s="30"/>
      <c r="AA531" s="30"/>
      <c r="AB531" s="30"/>
      <c r="AC531" s="17"/>
      <c r="AD531" s="17"/>
      <c r="AE531" s="17"/>
      <c r="AF531" s="17"/>
      <c r="AG531" s="21"/>
      <c r="AH531" s="21"/>
      <c r="AI531" s="21"/>
      <c r="AJ531" s="21"/>
      <c r="AK531" s="21"/>
      <c r="AL531" s="21"/>
      <c r="AM531" s="21"/>
      <c r="AN531" s="21"/>
      <c r="AO531" s="22"/>
      <c r="AP531" s="21"/>
      <c r="AQ531" s="22"/>
      <c r="AR531" s="21"/>
      <c r="AS531" s="21"/>
      <c r="AT531" s="21"/>
      <c r="AU531" s="21"/>
      <c r="AV531" s="21"/>
      <c r="AW531" s="21"/>
      <c r="AX531" s="22"/>
      <c r="AY531" s="21"/>
      <c r="AZ531" s="22"/>
      <c r="BA531" s="21"/>
      <c r="BB531" s="21"/>
      <c r="BC531" s="21"/>
      <c r="BD531" s="21"/>
      <c r="BE531" s="26"/>
      <c r="BF531" s="26"/>
      <c r="BG531" s="62"/>
    </row>
    <row r="532" spans="1:59" x14ac:dyDescent="0.3">
      <c r="A532" s="6"/>
      <c r="B532" s="6"/>
      <c r="C532" s="39"/>
      <c r="D532" s="6"/>
      <c r="E532" s="149"/>
      <c r="F532" s="153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12"/>
      <c r="Y532" s="6"/>
      <c r="Z532" s="6"/>
      <c r="AA532" s="6"/>
      <c r="AB532" s="6"/>
      <c r="AC532" s="9"/>
      <c r="AD532" s="9"/>
      <c r="AE532" s="9"/>
      <c r="AF532" s="9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21"/>
      <c r="AS532" s="21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x14ac:dyDescent="0.3">
      <c r="A533" s="63"/>
      <c r="B533" s="63"/>
      <c r="C533" s="39"/>
      <c r="D533" s="6"/>
      <c r="E533" s="149"/>
      <c r="F533" s="153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5"/>
      <c r="V533" s="5"/>
      <c r="W533" s="13"/>
      <c r="X533" s="4"/>
      <c r="Y533" s="4"/>
      <c r="Z533" s="4"/>
      <c r="AA533" s="6"/>
      <c r="AB533" s="5"/>
      <c r="AC533" s="9"/>
      <c r="AD533" s="9"/>
      <c r="AE533" s="9"/>
      <c r="AF533" s="9"/>
      <c r="AG533" s="64"/>
      <c r="AH533" s="3"/>
      <c r="AI533" s="2"/>
      <c r="AJ533" s="2"/>
      <c r="AK533" s="2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x14ac:dyDescent="0.3">
      <c r="A534" s="6"/>
      <c r="B534" s="6"/>
      <c r="C534" s="39"/>
      <c r="D534" s="6"/>
      <c r="E534" s="149"/>
      <c r="F534" s="153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5"/>
      <c r="V534" s="5"/>
      <c r="W534" s="13"/>
      <c r="X534" s="4"/>
      <c r="Y534" s="4"/>
      <c r="Z534" s="4"/>
      <c r="AA534" s="6"/>
      <c r="AB534" s="5"/>
      <c r="AC534" s="9"/>
      <c r="AD534" s="9"/>
      <c r="AE534" s="9"/>
      <c r="AF534" s="9"/>
      <c r="AG534" s="2"/>
      <c r="AH534" s="3"/>
      <c r="AI534" s="2"/>
      <c r="AJ534" s="2"/>
      <c r="AK534" s="2"/>
      <c r="AL534" s="3"/>
      <c r="AM534" s="3"/>
      <c r="AN534" s="3"/>
      <c r="AO534" s="3"/>
      <c r="AP534" s="3"/>
      <c r="AQ534" s="3"/>
      <c r="AR534" s="21"/>
      <c r="AS534" s="21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3.5" customHeight="1" x14ac:dyDescent="0.35">
      <c r="A535" s="49"/>
      <c r="B535" s="49"/>
      <c r="C535" s="14"/>
      <c r="D535" s="1"/>
      <c r="E535" s="149"/>
      <c r="F535" s="153"/>
      <c r="G535" s="10"/>
      <c r="H535" s="17"/>
      <c r="I535" s="17"/>
      <c r="J535" s="17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29"/>
      <c r="X535" s="15"/>
      <c r="Y535" s="30"/>
      <c r="Z535" s="30"/>
      <c r="AA535" s="30"/>
      <c r="AB535" s="30"/>
      <c r="AC535" s="17"/>
      <c r="AD535" s="17"/>
      <c r="AE535" s="17"/>
      <c r="AF535" s="17"/>
      <c r="AG535" s="21"/>
      <c r="AH535" s="21"/>
      <c r="AI535" s="21"/>
      <c r="AJ535" s="21"/>
      <c r="AK535" s="21"/>
      <c r="AL535" s="21"/>
      <c r="AM535" s="21"/>
      <c r="AN535" s="21"/>
      <c r="AO535" s="22"/>
      <c r="AP535" s="21"/>
      <c r="AQ535" s="22"/>
      <c r="AR535" s="21"/>
      <c r="AS535" s="21"/>
      <c r="AT535" s="21"/>
      <c r="AU535" s="21"/>
      <c r="AV535" s="21"/>
      <c r="AW535" s="21"/>
      <c r="AX535" s="22"/>
      <c r="AY535" s="21"/>
      <c r="AZ535" s="22"/>
      <c r="BA535" s="21"/>
      <c r="BB535" s="21"/>
      <c r="BC535" s="21"/>
      <c r="BD535" s="21"/>
      <c r="BE535" s="26"/>
      <c r="BF535" s="26"/>
      <c r="BG535" s="62"/>
    </row>
    <row r="536" spans="1:59" x14ac:dyDescent="0.3">
      <c r="A536" s="6"/>
      <c r="B536" s="6"/>
      <c r="C536" s="39"/>
      <c r="D536" s="6"/>
      <c r="E536" s="149"/>
      <c r="F536" s="153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12"/>
      <c r="Y536" s="6"/>
      <c r="Z536" s="6"/>
      <c r="AA536" s="6"/>
      <c r="AB536" s="6"/>
      <c r="AC536" s="9"/>
      <c r="AD536" s="9"/>
      <c r="AE536" s="9"/>
      <c r="AF536" s="9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21"/>
      <c r="AS536" s="21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3.5" customHeight="1" x14ac:dyDescent="0.35">
      <c r="A537" s="49"/>
      <c r="B537" s="49"/>
      <c r="C537" s="39"/>
      <c r="D537" s="1"/>
      <c r="E537" s="149"/>
      <c r="F537" s="153"/>
      <c r="G537" s="10"/>
      <c r="H537" s="17"/>
      <c r="I537" s="17"/>
      <c r="J537" s="17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29"/>
      <c r="X537" s="15"/>
      <c r="Y537" s="30"/>
      <c r="Z537" s="30"/>
      <c r="AA537" s="30"/>
      <c r="AB537" s="30"/>
      <c r="AC537" s="17"/>
      <c r="AD537" s="17"/>
      <c r="AE537" s="17"/>
      <c r="AF537" s="17"/>
      <c r="AG537" s="21"/>
      <c r="AH537" s="21"/>
      <c r="AI537" s="21"/>
      <c r="AJ537" s="21"/>
      <c r="AK537" s="21"/>
      <c r="AL537" s="21"/>
      <c r="AM537" s="21"/>
      <c r="AN537" s="21"/>
      <c r="AO537" s="22"/>
      <c r="AP537" s="21"/>
      <c r="AQ537" s="22"/>
      <c r="AR537" s="21"/>
      <c r="AS537" s="21"/>
      <c r="AT537" s="21"/>
      <c r="AU537" s="21"/>
      <c r="AV537" s="21"/>
      <c r="AW537" s="21"/>
      <c r="AX537" s="22"/>
      <c r="AY537" s="21"/>
      <c r="AZ537" s="22"/>
      <c r="BA537" s="21"/>
      <c r="BB537" s="21"/>
      <c r="BC537" s="21"/>
      <c r="BD537" s="21"/>
      <c r="BE537" s="26"/>
      <c r="BF537" s="26"/>
      <c r="BG537" s="62"/>
    </row>
    <row r="538" spans="1:59" ht="13.5" customHeight="1" x14ac:dyDescent="0.35">
      <c r="A538" s="49"/>
      <c r="B538" s="49"/>
      <c r="C538" s="14"/>
      <c r="D538" s="1"/>
      <c r="E538" s="149"/>
      <c r="F538" s="153"/>
      <c r="G538" s="10"/>
      <c r="H538" s="17"/>
      <c r="I538" s="17"/>
      <c r="J538" s="17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29"/>
      <c r="X538" s="15"/>
      <c r="Y538" s="30"/>
      <c r="Z538" s="30"/>
      <c r="AA538" s="30"/>
      <c r="AB538" s="30"/>
      <c r="AC538" s="17"/>
      <c r="AD538" s="17"/>
      <c r="AE538" s="17"/>
      <c r="AF538" s="17"/>
      <c r="AG538" s="21"/>
      <c r="AH538" s="21"/>
      <c r="AI538" s="21"/>
      <c r="AJ538" s="21"/>
      <c r="AK538" s="21"/>
      <c r="AL538" s="21"/>
      <c r="AM538" s="21"/>
      <c r="AN538" s="21"/>
      <c r="AO538" s="22"/>
      <c r="AP538" s="21"/>
      <c r="AQ538" s="22"/>
      <c r="AR538" s="21"/>
      <c r="AS538" s="21"/>
      <c r="AT538" s="21"/>
      <c r="AU538" s="21"/>
      <c r="AV538" s="21"/>
      <c r="AW538" s="21"/>
      <c r="AX538" s="22"/>
      <c r="AY538" s="21"/>
      <c r="AZ538" s="22"/>
      <c r="BA538" s="21"/>
      <c r="BB538" s="21"/>
      <c r="BC538" s="21"/>
      <c r="BD538" s="21"/>
      <c r="BE538" s="26"/>
      <c r="BF538" s="26"/>
      <c r="BG538" s="62"/>
    </row>
    <row r="539" spans="1:59" ht="13.5" customHeight="1" x14ac:dyDescent="0.35">
      <c r="A539" s="49"/>
      <c r="B539" s="49"/>
      <c r="C539" s="14"/>
      <c r="D539" s="1"/>
      <c r="E539" s="149"/>
      <c r="F539" s="153"/>
      <c r="G539" s="10"/>
      <c r="H539" s="17"/>
      <c r="I539" s="17"/>
      <c r="J539" s="17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29"/>
      <c r="X539" s="15"/>
      <c r="Y539" s="30"/>
      <c r="Z539" s="30"/>
      <c r="AA539" s="30"/>
      <c r="AB539" s="30"/>
      <c r="AC539" s="17"/>
      <c r="AD539" s="17"/>
      <c r="AE539" s="17"/>
      <c r="AF539" s="17"/>
      <c r="AG539" s="21"/>
      <c r="AH539" s="21"/>
      <c r="AI539" s="21"/>
      <c r="AJ539" s="21"/>
      <c r="AK539" s="21"/>
      <c r="AL539" s="21"/>
      <c r="AM539" s="21"/>
      <c r="AN539" s="21"/>
      <c r="AO539" s="22"/>
      <c r="AP539" s="21"/>
      <c r="AQ539" s="22"/>
      <c r="AR539" s="21"/>
      <c r="AS539" s="21"/>
      <c r="AT539" s="21"/>
      <c r="AU539" s="21"/>
      <c r="AV539" s="21"/>
      <c r="AW539" s="21"/>
      <c r="AX539" s="22"/>
      <c r="AY539" s="21"/>
      <c r="AZ539" s="22"/>
      <c r="BA539" s="21"/>
      <c r="BB539" s="21"/>
      <c r="BC539" s="21"/>
      <c r="BD539" s="21"/>
      <c r="BE539" s="26"/>
      <c r="BF539" s="26"/>
      <c r="BG539" s="62"/>
    </row>
    <row r="540" spans="1:59" ht="13.5" customHeight="1" x14ac:dyDescent="0.35">
      <c r="A540" s="49"/>
      <c r="B540" s="49"/>
      <c r="C540" s="14"/>
      <c r="D540" s="1"/>
      <c r="E540" s="149"/>
      <c r="F540" s="153"/>
      <c r="G540" s="10"/>
      <c r="H540" s="17"/>
      <c r="I540" s="17"/>
      <c r="J540" s="17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29"/>
      <c r="X540" s="15"/>
      <c r="Y540" s="30"/>
      <c r="Z540" s="30"/>
      <c r="AA540" s="30"/>
      <c r="AB540" s="30"/>
      <c r="AC540" s="17"/>
      <c r="AD540" s="17"/>
      <c r="AE540" s="17"/>
      <c r="AF540" s="17"/>
      <c r="AG540" s="21"/>
      <c r="AH540" s="21"/>
      <c r="AI540" s="21"/>
      <c r="AJ540" s="21"/>
      <c r="AK540" s="21"/>
      <c r="AL540" s="21"/>
      <c r="AM540" s="21"/>
      <c r="AN540" s="21"/>
      <c r="AO540" s="22"/>
      <c r="AP540" s="21"/>
      <c r="AQ540" s="22"/>
      <c r="AR540" s="21"/>
      <c r="AS540" s="21"/>
      <c r="AT540" s="21"/>
      <c r="AU540" s="21"/>
      <c r="AV540" s="21"/>
      <c r="AW540" s="21"/>
      <c r="AX540" s="22"/>
      <c r="AY540" s="21"/>
      <c r="AZ540" s="22"/>
      <c r="BA540" s="21"/>
      <c r="BB540" s="21"/>
      <c r="BC540" s="21"/>
      <c r="BD540" s="21"/>
      <c r="BE540" s="26"/>
      <c r="BF540" s="26"/>
      <c r="BG540" s="62"/>
    </row>
    <row r="541" spans="1:59" x14ac:dyDescent="0.3">
      <c r="A541" s="6"/>
      <c r="B541" s="6"/>
      <c r="C541" s="39"/>
      <c r="D541" s="6"/>
      <c r="E541" s="149"/>
      <c r="F541" s="153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12"/>
      <c r="Y541" s="6"/>
      <c r="Z541" s="6"/>
      <c r="AA541" s="6"/>
      <c r="AB541" s="6"/>
      <c r="AC541" s="9"/>
      <c r="AD541" s="9"/>
      <c r="AE541" s="9"/>
      <c r="AF541" s="9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21"/>
      <c r="AS541" s="21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x14ac:dyDescent="0.3">
      <c r="A542" s="6"/>
      <c r="B542" s="6"/>
      <c r="C542" s="39"/>
      <c r="D542" s="6"/>
      <c r="E542" s="149"/>
      <c r="F542" s="153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12"/>
      <c r="Y542" s="6"/>
      <c r="Z542" s="6"/>
      <c r="AA542" s="6"/>
      <c r="AB542" s="6"/>
      <c r="AC542" s="9"/>
      <c r="AD542" s="9"/>
      <c r="AE542" s="9"/>
      <c r="AF542" s="9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21"/>
      <c r="AS542" s="21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3.5" customHeight="1" x14ac:dyDescent="0.35">
      <c r="A543" s="49"/>
      <c r="B543" s="49"/>
      <c r="C543" s="14"/>
      <c r="D543" s="1"/>
      <c r="E543" s="149"/>
      <c r="F543" s="153"/>
      <c r="G543" s="10"/>
      <c r="H543" s="17"/>
      <c r="I543" s="17"/>
      <c r="J543" s="17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29"/>
      <c r="X543" s="15"/>
      <c r="Y543" s="30"/>
      <c r="Z543" s="30"/>
      <c r="AA543" s="30"/>
      <c r="AB543" s="30"/>
      <c r="AC543" s="17"/>
      <c r="AD543" s="17"/>
      <c r="AE543" s="17"/>
      <c r="AF543" s="17"/>
      <c r="AG543" s="21"/>
      <c r="AH543" s="21"/>
      <c r="AI543" s="21"/>
      <c r="AJ543" s="21"/>
      <c r="AK543" s="21"/>
      <c r="AL543" s="21"/>
      <c r="AM543" s="21"/>
      <c r="AN543" s="21"/>
      <c r="AO543" s="22"/>
      <c r="AP543" s="21"/>
      <c r="AQ543" s="22"/>
      <c r="AR543" s="21"/>
      <c r="AS543" s="21"/>
      <c r="AT543" s="21"/>
      <c r="AU543" s="21"/>
      <c r="AV543" s="21"/>
      <c r="AW543" s="21"/>
      <c r="AX543" s="22"/>
      <c r="AY543" s="21"/>
      <c r="AZ543" s="22"/>
      <c r="BA543" s="21"/>
      <c r="BB543" s="21"/>
      <c r="BC543" s="21"/>
      <c r="BD543" s="21"/>
      <c r="BE543" s="26"/>
      <c r="BF543" s="26"/>
      <c r="BG543" s="62"/>
    </row>
    <row r="544" spans="1:59" ht="13.5" customHeight="1" x14ac:dyDescent="0.35">
      <c r="A544" s="49"/>
      <c r="B544" s="49"/>
      <c r="C544" s="14"/>
      <c r="D544" s="1"/>
      <c r="E544" s="149"/>
      <c r="F544" s="153"/>
      <c r="G544" s="10"/>
      <c r="H544" s="17"/>
      <c r="I544" s="17"/>
      <c r="J544" s="17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29"/>
      <c r="X544" s="15"/>
      <c r="Y544" s="30"/>
      <c r="Z544" s="30"/>
      <c r="AA544" s="30"/>
      <c r="AB544" s="30"/>
      <c r="AC544" s="17"/>
      <c r="AD544" s="17"/>
      <c r="AE544" s="17"/>
      <c r="AF544" s="17"/>
      <c r="AG544" s="21"/>
      <c r="AH544" s="21"/>
      <c r="AI544" s="21"/>
      <c r="AJ544" s="21"/>
      <c r="AK544" s="21"/>
      <c r="AL544" s="21"/>
      <c r="AM544" s="21"/>
      <c r="AN544" s="21"/>
      <c r="AO544" s="22"/>
      <c r="AP544" s="21"/>
      <c r="AQ544" s="22"/>
      <c r="AR544" s="21"/>
      <c r="AS544" s="21"/>
      <c r="AT544" s="21"/>
      <c r="AU544" s="21"/>
      <c r="AV544" s="21"/>
      <c r="AW544" s="21"/>
      <c r="AX544" s="22"/>
      <c r="AY544" s="21"/>
      <c r="AZ544" s="22"/>
      <c r="BA544" s="21"/>
      <c r="BB544" s="21"/>
      <c r="BC544" s="21"/>
      <c r="BD544" s="21"/>
      <c r="BE544" s="26"/>
      <c r="BF544" s="26"/>
      <c r="BG544" s="62"/>
    </row>
    <row r="545" spans="1:59" x14ac:dyDescent="0.3">
      <c r="A545" s="6"/>
      <c r="B545" s="6"/>
      <c r="C545" s="39"/>
      <c r="D545" s="6"/>
      <c r="E545" s="149"/>
      <c r="F545" s="153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5"/>
      <c r="V545" s="5"/>
      <c r="W545" s="13"/>
      <c r="X545" s="4"/>
      <c r="Y545" s="4"/>
      <c r="Z545" s="4"/>
      <c r="AA545" s="6"/>
      <c r="AB545" s="5"/>
      <c r="AC545" s="9"/>
      <c r="AD545" s="9"/>
      <c r="AE545" s="9"/>
      <c r="AF545" s="9"/>
      <c r="AG545" s="2"/>
      <c r="AH545" s="3"/>
      <c r="AI545" s="2"/>
      <c r="AJ545" s="2"/>
      <c r="AK545" s="2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x14ac:dyDescent="0.3">
      <c r="A546" s="6"/>
      <c r="B546" s="6"/>
      <c r="C546" s="39"/>
      <c r="D546" s="6"/>
      <c r="E546" s="149"/>
      <c r="F546" s="153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12"/>
      <c r="Y546" s="6"/>
      <c r="Z546" s="6"/>
      <c r="AA546" s="6"/>
      <c r="AB546" s="6"/>
      <c r="AC546" s="9"/>
      <c r="AD546" s="9"/>
      <c r="AE546" s="9"/>
      <c r="AF546" s="9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21"/>
      <c r="AS546" s="21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3.5" customHeight="1" x14ac:dyDescent="0.35">
      <c r="A547" s="49"/>
      <c r="B547" s="49"/>
      <c r="C547" s="14"/>
      <c r="D547" s="1"/>
      <c r="E547" s="149"/>
      <c r="F547" s="153"/>
      <c r="G547" s="10"/>
      <c r="H547" s="17"/>
      <c r="I547" s="17"/>
      <c r="J547" s="17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29"/>
      <c r="X547" s="15"/>
      <c r="Y547" s="30"/>
      <c r="Z547" s="30"/>
      <c r="AA547" s="30"/>
      <c r="AB547" s="30"/>
      <c r="AC547" s="17"/>
      <c r="AD547" s="17"/>
      <c r="AE547" s="17"/>
      <c r="AF547" s="17"/>
      <c r="AG547" s="21"/>
      <c r="AH547" s="21"/>
      <c r="AI547" s="21"/>
      <c r="AJ547" s="21"/>
      <c r="AK547" s="21"/>
      <c r="AL547" s="21"/>
      <c r="AM547" s="21"/>
      <c r="AN547" s="21"/>
      <c r="AO547" s="22"/>
      <c r="AP547" s="21"/>
      <c r="AQ547" s="22"/>
      <c r="AR547" s="21"/>
      <c r="AS547" s="21"/>
      <c r="AT547" s="21"/>
      <c r="AU547" s="21"/>
      <c r="AV547" s="21"/>
      <c r="AW547" s="21"/>
      <c r="AX547" s="22"/>
      <c r="AY547" s="21"/>
      <c r="AZ547" s="22"/>
      <c r="BA547" s="21"/>
      <c r="BB547" s="21"/>
      <c r="BC547" s="21"/>
      <c r="BD547" s="21"/>
      <c r="BE547" s="26"/>
      <c r="BF547" s="26"/>
      <c r="BG547" s="62"/>
    </row>
    <row r="548" spans="1:59" x14ac:dyDescent="0.3">
      <c r="A548" s="6"/>
      <c r="B548" s="6"/>
      <c r="C548" s="39"/>
      <c r="D548" s="6"/>
      <c r="E548" s="149"/>
      <c r="F548" s="153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12"/>
      <c r="Y548" s="6"/>
      <c r="Z548" s="6"/>
      <c r="AA548" s="6"/>
      <c r="AB548" s="6"/>
      <c r="AC548" s="9"/>
      <c r="AD548" s="9"/>
      <c r="AE548" s="9"/>
      <c r="AF548" s="9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21"/>
      <c r="AS548" s="21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3.5" customHeight="1" x14ac:dyDescent="0.35">
      <c r="A549" s="49"/>
      <c r="B549" s="49"/>
      <c r="C549" s="14"/>
      <c r="D549" s="1"/>
      <c r="E549" s="149"/>
      <c r="F549" s="153"/>
      <c r="G549" s="10"/>
      <c r="H549" s="17"/>
      <c r="I549" s="17"/>
      <c r="J549" s="17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29"/>
      <c r="X549" s="15"/>
      <c r="Y549" s="30"/>
      <c r="Z549" s="30"/>
      <c r="AA549" s="30"/>
      <c r="AB549" s="30"/>
      <c r="AC549" s="17"/>
      <c r="AD549" s="17"/>
      <c r="AE549" s="17"/>
      <c r="AF549" s="17"/>
      <c r="AG549" s="21"/>
      <c r="AH549" s="21"/>
      <c r="AI549" s="21"/>
      <c r="AJ549" s="21"/>
      <c r="AK549" s="21"/>
      <c r="AL549" s="21"/>
      <c r="AM549" s="21"/>
      <c r="AN549" s="21"/>
      <c r="AO549" s="22"/>
      <c r="AP549" s="21"/>
      <c r="AQ549" s="22"/>
      <c r="AR549" s="21"/>
      <c r="AS549" s="21"/>
      <c r="AT549" s="21"/>
      <c r="AU549" s="21"/>
      <c r="AV549" s="21"/>
      <c r="AW549" s="21"/>
      <c r="AX549" s="22"/>
      <c r="AY549" s="21"/>
      <c r="AZ549" s="22"/>
      <c r="BA549" s="21"/>
      <c r="BB549" s="21"/>
      <c r="BC549" s="21"/>
      <c r="BD549" s="21"/>
      <c r="BE549" s="26"/>
      <c r="BF549" s="26"/>
      <c r="BG549" s="62"/>
    </row>
    <row r="550" spans="1:59" ht="13.5" customHeight="1" x14ac:dyDescent="0.35">
      <c r="A550" s="49"/>
      <c r="B550" s="49"/>
      <c r="C550" s="14"/>
      <c r="D550" s="1"/>
      <c r="E550" s="149"/>
      <c r="F550" s="153"/>
      <c r="G550" s="10"/>
      <c r="H550" s="17"/>
      <c r="I550" s="17"/>
      <c r="J550" s="17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29"/>
      <c r="X550" s="15"/>
      <c r="Y550" s="30"/>
      <c r="Z550" s="30"/>
      <c r="AA550" s="30"/>
      <c r="AB550" s="30"/>
      <c r="AC550" s="17"/>
      <c r="AD550" s="17"/>
      <c r="AE550" s="17"/>
      <c r="AF550" s="17"/>
      <c r="AG550" s="21"/>
      <c r="AH550" s="21"/>
      <c r="AI550" s="21"/>
      <c r="AJ550" s="21"/>
      <c r="AK550" s="21"/>
      <c r="AL550" s="21"/>
      <c r="AM550" s="21"/>
      <c r="AN550" s="21"/>
      <c r="AO550" s="22"/>
      <c r="AP550" s="21"/>
      <c r="AQ550" s="22"/>
      <c r="AR550" s="21"/>
      <c r="AS550" s="21"/>
      <c r="AT550" s="21"/>
      <c r="AU550" s="21"/>
      <c r="AV550" s="21"/>
      <c r="AW550" s="21"/>
      <c r="AX550" s="22"/>
      <c r="AY550" s="21"/>
      <c r="AZ550" s="22"/>
      <c r="BA550" s="21"/>
      <c r="BB550" s="21"/>
      <c r="BC550" s="21"/>
      <c r="BD550" s="21"/>
      <c r="BE550" s="26"/>
      <c r="BF550" s="26"/>
      <c r="BG550" s="62"/>
    </row>
    <row r="551" spans="1:59" x14ac:dyDescent="0.3">
      <c r="A551" s="63"/>
      <c r="B551" s="63"/>
      <c r="C551" s="39"/>
      <c r="D551" s="6"/>
      <c r="E551" s="149"/>
      <c r="F551" s="153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5"/>
      <c r="V551" s="5"/>
      <c r="W551" s="13"/>
      <c r="X551" s="4"/>
      <c r="Y551" s="4"/>
      <c r="Z551" s="4"/>
      <c r="AA551" s="6"/>
      <c r="AB551" s="5"/>
      <c r="AC551" s="9"/>
      <c r="AD551" s="9"/>
      <c r="AE551" s="9"/>
      <c r="AF551" s="9"/>
      <c r="AG551" s="64"/>
      <c r="AH551" s="3"/>
      <c r="AI551" s="2"/>
      <c r="AJ551" s="2"/>
      <c r="AK551" s="2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3.5" customHeight="1" x14ac:dyDescent="0.35">
      <c r="A552" s="49"/>
      <c r="B552" s="49"/>
      <c r="C552" s="14"/>
      <c r="D552" s="1"/>
      <c r="E552" s="149"/>
      <c r="F552" s="153"/>
      <c r="G552" s="10"/>
      <c r="H552" s="17"/>
      <c r="I552" s="17"/>
      <c r="J552" s="17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29"/>
      <c r="X552" s="15"/>
      <c r="Y552" s="30"/>
      <c r="Z552" s="30"/>
      <c r="AA552" s="30"/>
      <c r="AB552" s="30"/>
      <c r="AC552" s="17"/>
      <c r="AD552" s="17"/>
      <c r="AE552" s="17"/>
      <c r="AF552" s="17"/>
      <c r="AG552" s="21"/>
      <c r="AH552" s="21"/>
      <c r="AI552" s="21"/>
      <c r="AJ552" s="21"/>
      <c r="AK552" s="21"/>
      <c r="AL552" s="21"/>
      <c r="AM552" s="21"/>
      <c r="AN552" s="21"/>
      <c r="AO552" s="22"/>
      <c r="AP552" s="21"/>
      <c r="AQ552" s="22"/>
      <c r="AR552" s="21"/>
      <c r="AS552" s="21"/>
      <c r="AT552" s="21"/>
      <c r="AU552" s="21"/>
      <c r="AV552" s="21"/>
      <c r="AW552" s="21"/>
      <c r="AX552" s="22"/>
      <c r="AY552" s="21"/>
      <c r="AZ552" s="22"/>
      <c r="BA552" s="21"/>
      <c r="BB552" s="21"/>
      <c r="BC552" s="21"/>
      <c r="BD552" s="21"/>
      <c r="BE552" s="26"/>
      <c r="BF552" s="26"/>
      <c r="BG552" s="62"/>
    </row>
    <row r="553" spans="1:59" x14ac:dyDescent="0.3">
      <c r="A553" s="6"/>
      <c r="B553" s="6"/>
      <c r="C553" s="39"/>
      <c r="D553" s="6"/>
      <c r="E553" s="149"/>
      <c r="F553" s="153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5"/>
      <c r="V553" s="5"/>
      <c r="W553" s="13"/>
      <c r="X553" s="4"/>
      <c r="Y553" s="4"/>
      <c r="Z553" s="4"/>
      <c r="AA553" s="6"/>
      <c r="AB553" s="5"/>
      <c r="AC553" s="9"/>
      <c r="AD553" s="9"/>
      <c r="AE553" s="9"/>
      <c r="AF553" s="9"/>
      <c r="AG553" s="2"/>
      <c r="AH553" s="3"/>
      <c r="AI553" s="2"/>
      <c r="AJ553" s="2"/>
      <c r="AK553" s="2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3.5" customHeight="1" x14ac:dyDescent="0.35">
      <c r="A554" s="49"/>
      <c r="B554" s="49"/>
      <c r="C554" s="14"/>
      <c r="D554" s="1"/>
      <c r="E554" s="149"/>
      <c r="F554" s="153"/>
      <c r="G554" s="10"/>
      <c r="H554" s="17"/>
      <c r="I554" s="17"/>
      <c r="J554" s="17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29"/>
      <c r="X554" s="15"/>
      <c r="Y554" s="30"/>
      <c r="Z554" s="30"/>
      <c r="AA554" s="30"/>
      <c r="AB554" s="30"/>
      <c r="AC554" s="17"/>
      <c r="AD554" s="17"/>
      <c r="AE554" s="17"/>
      <c r="AF554" s="17"/>
      <c r="AG554" s="21"/>
      <c r="AH554" s="21"/>
      <c r="AI554" s="21"/>
      <c r="AJ554" s="21"/>
      <c r="AK554" s="21"/>
      <c r="AL554" s="21"/>
      <c r="AM554" s="21"/>
      <c r="AN554" s="21"/>
      <c r="AO554" s="22"/>
      <c r="AP554" s="21"/>
      <c r="AQ554" s="22"/>
      <c r="AR554" s="21"/>
      <c r="AS554" s="21"/>
      <c r="AT554" s="21"/>
      <c r="AU554" s="21"/>
      <c r="AV554" s="21"/>
      <c r="AW554" s="21"/>
      <c r="AX554" s="22"/>
      <c r="AY554" s="21"/>
      <c r="AZ554" s="22"/>
      <c r="BA554" s="21"/>
      <c r="BB554" s="21"/>
      <c r="BC554" s="21"/>
      <c r="BD554" s="21"/>
      <c r="BE554" s="26"/>
      <c r="BF554" s="26"/>
      <c r="BG554" s="62"/>
    </row>
    <row r="555" spans="1:59" x14ac:dyDescent="0.3">
      <c r="A555" s="6"/>
      <c r="B555" s="6"/>
      <c r="C555" s="39"/>
      <c r="D555" s="6"/>
      <c r="E555" s="149"/>
      <c r="F555" s="153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12"/>
      <c r="Y555" s="6"/>
      <c r="Z555" s="6"/>
      <c r="AA555" s="6"/>
      <c r="AB555" s="6"/>
      <c r="AC555" s="9"/>
      <c r="AD555" s="9"/>
      <c r="AE555" s="9"/>
      <c r="AF555" s="9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21"/>
      <c r="AS555" s="21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3.5" customHeight="1" x14ac:dyDescent="0.35">
      <c r="A556" s="49"/>
      <c r="B556" s="49"/>
      <c r="C556" s="39"/>
      <c r="D556" s="1"/>
      <c r="E556" s="149"/>
      <c r="F556" s="153"/>
      <c r="G556" s="10"/>
      <c r="H556" s="17"/>
      <c r="I556" s="17"/>
      <c r="J556" s="17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29"/>
      <c r="X556" s="15"/>
      <c r="Y556" s="30"/>
      <c r="Z556" s="30"/>
      <c r="AA556" s="30"/>
      <c r="AB556" s="30"/>
      <c r="AC556" s="17"/>
      <c r="AD556" s="17"/>
      <c r="AE556" s="17"/>
      <c r="AF556" s="17"/>
      <c r="AG556" s="21"/>
      <c r="AH556" s="21"/>
      <c r="AI556" s="21"/>
      <c r="AJ556" s="21"/>
      <c r="AK556" s="21"/>
      <c r="AL556" s="21"/>
      <c r="AM556" s="21"/>
      <c r="AN556" s="21"/>
      <c r="AO556" s="22"/>
      <c r="AP556" s="21"/>
      <c r="AQ556" s="22"/>
      <c r="AR556" s="21"/>
      <c r="AS556" s="21"/>
      <c r="AT556" s="21"/>
      <c r="AU556" s="21"/>
      <c r="AV556" s="21"/>
      <c r="AW556" s="21"/>
      <c r="AX556" s="22"/>
      <c r="AY556" s="21"/>
      <c r="AZ556" s="22"/>
      <c r="BA556" s="21"/>
      <c r="BB556" s="21"/>
      <c r="BC556" s="21"/>
      <c r="BD556" s="21"/>
      <c r="BE556" s="26"/>
      <c r="BF556" s="26"/>
      <c r="BG556" s="62"/>
    </row>
    <row r="557" spans="1:59" x14ac:dyDescent="0.3">
      <c r="A557" s="6"/>
      <c r="B557" s="6"/>
      <c r="C557" s="39"/>
      <c r="D557" s="6"/>
      <c r="E557" s="149"/>
      <c r="F557" s="153"/>
      <c r="G557" s="1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12"/>
      <c r="Y557" s="6"/>
      <c r="Z557" s="6"/>
      <c r="AA557" s="6"/>
      <c r="AB557" s="6"/>
      <c r="AC557" s="9"/>
      <c r="AD557" s="9"/>
      <c r="AE557" s="9"/>
      <c r="AF557" s="9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21"/>
      <c r="AS557" s="21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x14ac:dyDescent="0.3">
      <c r="A558" s="6"/>
      <c r="B558" s="6"/>
      <c r="C558" s="39"/>
      <c r="D558" s="6"/>
      <c r="E558" s="149"/>
      <c r="F558" s="153"/>
      <c r="G558" s="1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12"/>
      <c r="Y558" s="6"/>
      <c r="Z558" s="6"/>
      <c r="AA558" s="6"/>
      <c r="AB558" s="6"/>
      <c r="AC558" s="9"/>
      <c r="AD558" s="9"/>
      <c r="AE558" s="9"/>
      <c r="AF558" s="9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21"/>
      <c r="AS558" s="21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x14ac:dyDescent="0.3">
      <c r="A559" s="63"/>
      <c r="B559" s="63"/>
      <c r="C559" s="39"/>
      <c r="D559" s="6"/>
      <c r="E559" s="149"/>
      <c r="F559" s="153"/>
      <c r="G559" s="1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5"/>
      <c r="V559" s="5"/>
      <c r="W559" s="13"/>
      <c r="X559" s="4"/>
      <c r="Y559" s="4"/>
      <c r="Z559" s="4"/>
      <c r="AA559" s="6"/>
      <c r="AB559" s="5"/>
      <c r="AC559" s="9"/>
      <c r="AD559" s="9"/>
      <c r="AE559" s="9"/>
      <c r="AF559" s="9"/>
      <c r="AG559" s="64"/>
      <c r="AH559" s="3"/>
      <c r="AI559" s="2"/>
      <c r="AJ559" s="2"/>
      <c r="AK559" s="2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x14ac:dyDescent="0.3">
      <c r="A560" s="6"/>
      <c r="B560" s="6"/>
      <c r="C560" s="39"/>
      <c r="D560" s="6"/>
      <c r="E560" s="149"/>
      <c r="F560" s="153"/>
      <c r="G560" s="1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12"/>
      <c r="Y560" s="6"/>
      <c r="Z560" s="6"/>
      <c r="AA560" s="6"/>
      <c r="AB560" s="6"/>
      <c r="AC560" s="9"/>
      <c r="AD560" s="9"/>
      <c r="AE560" s="9"/>
      <c r="AF560" s="9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21"/>
      <c r="AS560" s="21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3.5" customHeight="1" x14ac:dyDescent="0.35">
      <c r="A561" s="49"/>
      <c r="B561" s="49"/>
      <c r="C561" s="14"/>
      <c r="D561" s="1"/>
      <c r="E561" s="149"/>
      <c r="F561" s="153"/>
      <c r="G561" s="10"/>
      <c r="H561" s="17"/>
      <c r="I561" s="17"/>
      <c r="J561" s="17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29"/>
      <c r="X561" s="15"/>
      <c r="Y561" s="30"/>
      <c r="Z561" s="30"/>
      <c r="AA561" s="30"/>
      <c r="AB561" s="30"/>
      <c r="AC561" s="17"/>
      <c r="AD561" s="17"/>
      <c r="AE561" s="17"/>
      <c r="AF561" s="17"/>
      <c r="AG561" s="21"/>
      <c r="AH561" s="21"/>
      <c r="AI561" s="21"/>
      <c r="AJ561" s="21"/>
      <c r="AK561" s="21"/>
      <c r="AL561" s="21"/>
      <c r="AM561" s="21"/>
      <c r="AN561" s="21"/>
      <c r="AO561" s="22"/>
      <c r="AP561" s="21"/>
      <c r="AQ561" s="22"/>
      <c r="AR561" s="21"/>
      <c r="AS561" s="21"/>
      <c r="AT561" s="21"/>
      <c r="AU561" s="21"/>
      <c r="AV561" s="21"/>
      <c r="AW561" s="21"/>
      <c r="AX561" s="22"/>
      <c r="AY561" s="21"/>
      <c r="AZ561" s="22"/>
      <c r="BA561" s="21"/>
      <c r="BB561" s="21"/>
      <c r="BC561" s="21"/>
      <c r="BD561" s="21"/>
      <c r="BE561" s="26"/>
      <c r="BF561" s="26"/>
      <c r="BG561" s="62"/>
    </row>
    <row r="562" spans="1:59" x14ac:dyDescent="0.3">
      <c r="A562" s="6"/>
      <c r="B562" s="6"/>
      <c r="C562" s="39"/>
      <c r="D562" s="6"/>
      <c r="E562" s="149"/>
      <c r="F562" s="153"/>
      <c r="G562" s="1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12"/>
      <c r="Y562" s="6"/>
      <c r="Z562" s="6"/>
      <c r="AA562" s="6"/>
      <c r="AB562" s="6"/>
      <c r="AC562" s="9"/>
      <c r="AD562" s="9"/>
      <c r="AE562" s="9"/>
      <c r="AF562" s="9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x14ac:dyDescent="0.3">
      <c r="A563" s="6"/>
      <c r="B563" s="6"/>
      <c r="C563" s="39"/>
      <c r="D563" s="6"/>
      <c r="E563" s="149"/>
      <c r="F563" s="153"/>
      <c r="G563" s="1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12"/>
      <c r="Y563" s="6"/>
      <c r="Z563" s="6"/>
      <c r="AA563" s="6"/>
      <c r="AB563" s="6"/>
      <c r="AC563" s="9"/>
      <c r="AD563" s="9"/>
      <c r="AE563" s="9"/>
      <c r="AF563" s="9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x14ac:dyDescent="0.3">
      <c r="A564" s="63"/>
      <c r="B564" s="63"/>
      <c r="C564" s="39"/>
      <c r="D564" s="6"/>
      <c r="E564" s="149"/>
      <c r="F564" s="153"/>
      <c r="G564" s="1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5"/>
      <c r="V564" s="5"/>
      <c r="W564" s="13"/>
      <c r="X564" s="4"/>
      <c r="Y564" s="4"/>
      <c r="Z564" s="4"/>
      <c r="AA564" s="6"/>
      <c r="AB564" s="5"/>
      <c r="AC564" s="9"/>
      <c r="AD564" s="9"/>
      <c r="AE564" s="9"/>
      <c r="AF564" s="9"/>
      <c r="AG564" s="64"/>
      <c r="AH564" s="3"/>
      <c r="AI564" s="2"/>
      <c r="AJ564" s="2"/>
      <c r="AK564" s="2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x14ac:dyDescent="0.3">
      <c r="A565" s="6"/>
      <c r="B565" s="6"/>
      <c r="C565" s="39"/>
      <c r="D565" s="6"/>
      <c r="E565" s="149"/>
      <c r="F565" s="153"/>
      <c r="G565" s="1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12"/>
      <c r="Y565" s="6"/>
      <c r="Z565" s="6"/>
      <c r="AA565" s="6"/>
      <c r="AB565" s="6"/>
      <c r="AC565" s="9"/>
      <c r="AD565" s="9"/>
      <c r="AE565" s="9"/>
      <c r="AF565" s="9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21"/>
      <c r="AS565" s="21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x14ac:dyDescent="0.3">
      <c r="A566" s="6"/>
      <c r="B566" s="6"/>
      <c r="C566" s="39"/>
      <c r="D566" s="6"/>
      <c r="E566" s="149"/>
      <c r="F566" s="153"/>
      <c r="G566" s="1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12"/>
      <c r="Y566" s="6"/>
      <c r="Z566" s="6"/>
      <c r="AA566" s="6"/>
      <c r="AB566" s="6"/>
      <c r="AC566" s="9"/>
      <c r="AD566" s="9"/>
      <c r="AE566" s="9"/>
      <c r="AF566" s="9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x14ac:dyDescent="0.3">
      <c r="A567" s="6"/>
      <c r="B567" s="6"/>
      <c r="C567" s="39"/>
      <c r="D567" s="6"/>
      <c r="E567" s="149"/>
      <c r="F567" s="153"/>
      <c r="G567" s="1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12"/>
      <c r="Y567" s="6"/>
      <c r="Z567" s="6"/>
      <c r="AA567" s="6"/>
      <c r="AB567" s="6"/>
      <c r="AC567" s="9"/>
      <c r="AD567" s="9"/>
      <c r="AE567" s="9"/>
      <c r="AF567" s="9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21"/>
      <c r="AS567" s="21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3.5" customHeight="1" x14ac:dyDescent="0.35">
      <c r="A568" s="49"/>
      <c r="B568" s="49"/>
      <c r="C568" s="39"/>
      <c r="D568" s="1"/>
      <c r="E568" s="149"/>
      <c r="F568" s="153"/>
      <c r="G568" s="10"/>
      <c r="H568" s="17"/>
      <c r="I568" s="17"/>
      <c r="J568" s="17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29"/>
      <c r="X568" s="15"/>
      <c r="Y568" s="30"/>
      <c r="Z568" s="30"/>
      <c r="AA568" s="30"/>
      <c r="AB568" s="30"/>
      <c r="AC568" s="17"/>
      <c r="AD568" s="17"/>
      <c r="AE568" s="17"/>
      <c r="AF568" s="17"/>
      <c r="AG568" s="21"/>
      <c r="AH568" s="21"/>
      <c r="AI568" s="21"/>
      <c r="AJ568" s="21"/>
      <c r="AK568" s="21"/>
      <c r="AL568" s="21"/>
      <c r="AM568" s="21"/>
      <c r="AN568" s="21"/>
      <c r="AO568" s="22"/>
      <c r="AP568" s="21"/>
      <c r="AQ568" s="22"/>
      <c r="AR568" s="21"/>
      <c r="AS568" s="21"/>
      <c r="AT568" s="21"/>
      <c r="AU568" s="21"/>
      <c r="AV568" s="21"/>
      <c r="AW568" s="21"/>
      <c r="AX568" s="22"/>
      <c r="AY568" s="21"/>
      <c r="AZ568" s="22"/>
      <c r="BA568" s="21"/>
      <c r="BB568" s="21"/>
      <c r="BC568" s="21"/>
      <c r="BD568" s="21"/>
      <c r="BE568" s="26"/>
      <c r="BF568" s="26"/>
      <c r="BG568" s="62"/>
    </row>
    <row r="569" spans="1:59" x14ac:dyDescent="0.3">
      <c r="A569" s="63"/>
      <c r="B569" s="63"/>
      <c r="C569" s="39"/>
      <c r="D569" s="6"/>
      <c r="E569" s="149"/>
      <c r="F569" s="153"/>
      <c r="G569" s="1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5"/>
      <c r="V569" s="5"/>
      <c r="W569" s="13"/>
      <c r="X569" s="4"/>
      <c r="Y569" s="4"/>
      <c r="Z569" s="4"/>
      <c r="AA569" s="6"/>
      <c r="AB569" s="5"/>
      <c r="AC569" s="9"/>
      <c r="AD569" s="9"/>
      <c r="AE569" s="9"/>
      <c r="AF569" s="9"/>
      <c r="AG569" s="64"/>
      <c r="AH569" s="3"/>
      <c r="AI569" s="2"/>
      <c r="AJ569" s="2"/>
      <c r="AK569" s="2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3.5" customHeight="1" x14ac:dyDescent="0.35">
      <c r="A570" s="49"/>
      <c r="B570" s="49"/>
      <c r="C570" s="14"/>
      <c r="D570" s="1"/>
      <c r="E570" s="149"/>
      <c r="F570" s="153"/>
      <c r="G570" s="10"/>
      <c r="H570" s="17"/>
      <c r="I570" s="17"/>
      <c r="J570" s="17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29"/>
      <c r="X570" s="15"/>
      <c r="Y570" s="30"/>
      <c r="Z570" s="30"/>
      <c r="AA570" s="30"/>
      <c r="AB570" s="30"/>
      <c r="AC570" s="17"/>
      <c r="AD570" s="17"/>
      <c r="AE570" s="17"/>
      <c r="AF570" s="17"/>
      <c r="AG570" s="21"/>
      <c r="AH570" s="21"/>
      <c r="AI570" s="21"/>
      <c r="AJ570" s="21"/>
      <c r="AK570" s="21"/>
      <c r="AL570" s="21"/>
      <c r="AM570" s="21"/>
      <c r="AN570" s="21"/>
      <c r="AO570" s="22"/>
      <c r="AP570" s="21"/>
      <c r="AQ570" s="22"/>
      <c r="AR570" s="21"/>
      <c r="AS570" s="21"/>
      <c r="AT570" s="21"/>
      <c r="AU570" s="21"/>
      <c r="AV570" s="21"/>
      <c r="AW570" s="21"/>
      <c r="AX570" s="22"/>
      <c r="AY570" s="21"/>
      <c r="AZ570" s="22"/>
      <c r="BA570" s="21"/>
      <c r="BB570" s="21"/>
      <c r="BC570" s="21"/>
      <c r="BD570" s="21"/>
      <c r="BE570" s="26"/>
      <c r="BF570" s="26"/>
      <c r="BG570" s="62"/>
    </row>
    <row r="571" spans="1:59" x14ac:dyDescent="0.3">
      <c r="A571" s="63"/>
      <c r="B571" s="63"/>
      <c r="C571" s="39"/>
      <c r="D571" s="6"/>
      <c r="E571" s="149"/>
      <c r="F571" s="153"/>
      <c r="G571" s="1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5"/>
      <c r="V571" s="5"/>
      <c r="W571" s="13"/>
      <c r="X571" s="4"/>
      <c r="Y571" s="4"/>
      <c r="Z571" s="4"/>
      <c r="AA571" s="6"/>
      <c r="AB571" s="5"/>
      <c r="AC571" s="9"/>
      <c r="AD571" s="9"/>
      <c r="AE571" s="9"/>
      <c r="AF571" s="9"/>
      <c r="AG571" s="64"/>
      <c r="AH571" s="3"/>
      <c r="AI571" s="2"/>
      <c r="AJ571" s="2"/>
      <c r="AK571" s="2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x14ac:dyDescent="0.3">
      <c r="A572" s="63"/>
      <c r="B572" s="63"/>
      <c r="C572" s="39"/>
      <c r="D572" s="6"/>
      <c r="E572" s="149"/>
      <c r="F572" s="153"/>
      <c r="G572" s="1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5"/>
      <c r="V572" s="5"/>
      <c r="W572" s="13"/>
      <c r="X572" s="4"/>
      <c r="Y572" s="4"/>
      <c r="Z572" s="4"/>
      <c r="AA572" s="6"/>
      <c r="AB572" s="5"/>
      <c r="AC572" s="9"/>
      <c r="AD572" s="9"/>
      <c r="AE572" s="9"/>
      <c r="AF572" s="9"/>
      <c r="AG572" s="64"/>
      <c r="AH572" s="3"/>
      <c r="AI572" s="2"/>
      <c r="AJ572" s="2"/>
      <c r="AK572" s="2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3.5" customHeight="1" x14ac:dyDescent="0.35">
      <c r="A573" s="49"/>
      <c r="B573" s="49"/>
      <c r="C573" s="14"/>
      <c r="D573" s="1"/>
      <c r="E573" s="149"/>
      <c r="F573" s="153"/>
      <c r="G573" s="10"/>
      <c r="H573" s="17"/>
      <c r="I573" s="17"/>
      <c r="J573" s="17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29"/>
      <c r="X573" s="15"/>
      <c r="Y573" s="30"/>
      <c r="Z573" s="30"/>
      <c r="AA573" s="30"/>
      <c r="AB573" s="30"/>
      <c r="AC573" s="17"/>
      <c r="AD573" s="17"/>
      <c r="AE573" s="17"/>
      <c r="AF573" s="17"/>
      <c r="AG573" s="21"/>
      <c r="AH573" s="21"/>
      <c r="AI573" s="21"/>
      <c r="AJ573" s="21"/>
      <c r="AK573" s="21"/>
      <c r="AL573" s="21"/>
      <c r="AM573" s="21"/>
      <c r="AN573" s="21"/>
      <c r="AO573" s="22"/>
      <c r="AP573" s="21"/>
      <c r="AQ573" s="22"/>
      <c r="AR573" s="21"/>
      <c r="AS573" s="21"/>
      <c r="AT573" s="21"/>
      <c r="AU573" s="21"/>
      <c r="AV573" s="21"/>
      <c r="AW573" s="21"/>
      <c r="AX573" s="22"/>
      <c r="AY573" s="21"/>
      <c r="AZ573" s="22"/>
      <c r="BA573" s="21"/>
      <c r="BB573" s="21"/>
      <c r="BC573" s="21"/>
      <c r="BD573" s="21"/>
      <c r="BE573" s="26"/>
      <c r="BF573" s="26"/>
      <c r="BG573" s="62"/>
    </row>
    <row r="574" spans="1:59" ht="13.5" customHeight="1" x14ac:dyDescent="0.35">
      <c r="A574" s="49"/>
      <c r="B574" s="49"/>
      <c r="C574" s="14"/>
      <c r="D574" s="1"/>
      <c r="E574" s="149"/>
      <c r="F574" s="153"/>
      <c r="G574" s="10"/>
      <c r="H574" s="17"/>
      <c r="I574" s="17"/>
      <c r="J574" s="17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29"/>
      <c r="X574" s="15"/>
      <c r="Y574" s="30"/>
      <c r="Z574" s="30"/>
      <c r="AA574" s="30"/>
      <c r="AB574" s="30"/>
      <c r="AC574" s="17"/>
      <c r="AD574" s="17"/>
      <c r="AE574" s="17"/>
      <c r="AF574" s="17"/>
      <c r="AG574" s="21"/>
      <c r="AH574" s="21"/>
      <c r="AI574" s="21"/>
      <c r="AJ574" s="21"/>
      <c r="AK574" s="21"/>
      <c r="AL574" s="21"/>
      <c r="AM574" s="21"/>
      <c r="AN574" s="21"/>
      <c r="AO574" s="22"/>
      <c r="AP574" s="21"/>
      <c r="AQ574" s="22"/>
      <c r="AR574" s="21"/>
      <c r="AS574" s="21"/>
      <c r="AT574" s="21"/>
      <c r="AU574" s="21"/>
      <c r="AV574" s="21"/>
      <c r="AW574" s="21"/>
      <c r="AX574" s="22"/>
      <c r="AY574" s="21"/>
      <c r="AZ574" s="22"/>
      <c r="BA574" s="21"/>
      <c r="BB574" s="21"/>
      <c r="BC574" s="21"/>
      <c r="BD574" s="21"/>
      <c r="BE574" s="26"/>
      <c r="BF574" s="26"/>
      <c r="BG574" s="62"/>
    </row>
    <row r="575" spans="1:59" x14ac:dyDescent="0.3">
      <c r="A575" s="6"/>
      <c r="B575" s="6"/>
      <c r="C575" s="39"/>
      <c r="D575" s="6"/>
      <c r="E575" s="149"/>
      <c r="F575" s="153"/>
      <c r="G575" s="1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12"/>
      <c r="Y575" s="6"/>
      <c r="Z575" s="6"/>
      <c r="AA575" s="6"/>
      <c r="AB575" s="6"/>
      <c r="AC575" s="9"/>
      <c r="AD575" s="9"/>
      <c r="AE575" s="9"/>
      <c r="AF575" s="9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21"/>
      <c r="AS575" s="21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x14ac:dyDescent="0.3">
      <c r="A576" s="63"/>
      <c r="B576" s="63"/>
      <c r="C576" s="39"/>
      <c r="D576" s="6"/>
      <c r="E576" s="149"/>
      <c r="F576" s="153"/>
      <c r="G576" s="1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5"/>
      <c r="V576" s="5"/>
      <c r="W576" s="13"/>
      <c r="X576" s="4"/>
      <c r="Y576" s="4"/>
      <c r="Z576" s="4"/>
      <c r="AA576" s="6"/>
      <c r="AB576" s="5"/>
      <c r="AC576" s="9"/>
      <c r="AD576" s="9"/>
      <c r="AE576" s="9"/>
      <c r="AF576" s="9"/>
      <c r="AG576" s="64"/>
      <c r="AH576" s="3"/>
      <c r="AI576" s="2"/>
      <c r="AJ576" s="2"/>
      <c r="AK576" s="2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3.5" customHeight="1" x14ac:dyDescent="0.35">
      <c r="A577" s="49"/>
      <c r="B577" s="49"/>
      <c r="C577" s="39"/>
      <c r="D577" s="1"/>
      <c r="E577" s="149"/>
      <c r="F577" s="153"/>
      <c r="G577" s="10"/>
      <c r="H577" s="17"/>
      <c r="I577" s="17"/>
      <c r="J577" s="17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29"/>
      <c r="X577" s="15"/>
      <c r="Y577" s="30"/>
      <c r="Z577" s="30"/>
      <c r="AA577" s="30"/>
      <c r="AB577" s="30"/>
      <c r="AC577" s="17"/>
      <c r="AD577" s="17"/>
      <c r="AE577" s="17"/>
      <c r="AF577" s="17"/>
      <c r="AG577" s="21"/>
      <c r="AH577" s="21"/>
      <c r="AI577" s="21"/>
      <c r="AJ577" s="21"/>
      <c r="AK577" s="21"/>
      <c r="AL577" s="21"/>
      <c r="AM577" s="21"/>
      <c r="AN577" s="21"/>
      <c r="AO577" s="22"/>
      <c r="AP577" s="21"/>
      <c r="AQ577" s="22"/>
      <c r="AR577" s="21"/>
      <c r="AS577" s="21"/>
      <c r="AT577" s="21"/>
      <c r="AU577" s="21"/>
      <c r="AV577" s="21"/>
      <c r="AW577" s="21"/>
      <c r="AX577" s="22"/>
      <c r="AY577" s="21"/>
      <c r="AZ577" s="22"/>
      <c r="BA577" s="21"/>
      <c r="BB577" s="21"/>
      <c r="BC577" s="21"/>
      <c r="BD577" s="21"/>
      <c r="BE577" s="26"/>
      <c r="BF577" s="26"/>
      <c r="BG577" s="62"/>
    </row>
    <row r="578" spans="1:59" x14ac:dyDescent="0.3">
      <c r="A578" s="6"/>
      <c r="B578" s="6"/>
      <c r="C578" s="39"/>
      <c r="D578" s="6"/>
      <c r="E578" s="149"/>
      <c r="F578" s="153"/>
      <c r="G578" s="1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12"/>
      <c r="Y578" s="6"/>
      <c r="Z578" s="6"/>
      <c r="AA578" s="6"/>
      <c r="AB578" s="6"/>
      <c r="AC578" s="9"/>
      <c r="AD578" s="9"/>
      <c r="AE578" s="9"/>
      <c r="AF578" s="9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21"/>
      <c r="AS578" s="21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x14ac:dyDescent="0.3">
      <c r="A579" s="6"/>
      <c r="B579" s="6"/>
      <c r="C579" s="39"/>
      <c r="D579" s="6"/>
      <c r="E579" s="149"/>
      <c r="F579" s="153"/>
      <c r="G579" s="1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12"/>
      <c r="Y579" s="6"/>
      <c r="Z579" s="6"/>
      <c r="AA579" s="6"/>
      <c r="AB579" s="6"/>
      <c r="AC579" s="9"/>
      <c r="AD579" s="9"/>
      <c r="AE579" s="9"/>
      <c r="AF579" s="9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21"/>
      <c r="AS579" s="21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x14ac:dyDescent="0.3">
      <c r="A580" s="6"/>
      <c r="B580" s="6"/>
      <c r="C580" s="39"/>
      <c r="D580" s="6"/>
      <c r="E580" s="149"/>
      <c r="F580" s="153"/>
      <c r="G580" s="1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12"/>
      <c r="Y580" s="6"/>
      <c r="Z580" s="6"/>
      <c r="AA580" s="6"/>
      <c r="AB580" s="6"/>
      <c r="AC580" s="9"/>
      <c r="AD580" s="9"/>
      <c r="AE580" s="9"/>
      <c r="AF580" s="9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21"/>
      <c r="AS580" s="21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x14ac:dyDescent="0.3">
      <c r="A581" s="63"/>
      <c r="B581" s="63"/>
      <c r="C581" s="39"/>
      <c r="D581" s="6"/>
      <c r="E581" s="149"/>
      <c r="F581" s="153"/>
      <c r="G581" s="1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5"/>
      <c r="V581" s="5"/>
      <c r="W581" s="13"/>
      <c r="X581" s="4"/>
      <c r="Y581" s="4"/>
      <c r="Z581" s="4"/>
      <c r="AA581" s="6"/>
      <c r="AB581" s="5"/>
      <c r="AC581" s="9"/>
      <c r="AD581" s="9"/>
      <c r="AE581" s="9"/>
      <c r="AF581" s="9"/>
      <c r="AG581" s="64"/>
      <c r="AH581" s="3"/>
      <c r="AI581" s="2"/>
      <c r="AJ581" s="2"/>
      <c r="AK581" s="2"/>
      <c r="AL581" s="3"/>
      <c r="AM581" s="3"/>
      <c r="AN581" s="3"/>
      <c r="AO581" s="3"/>
      <c r="AP581" s="3"/>
      <c r="AQ581" s="3"/>
      <c r="AR581" s="21"/>
      <c r="AS581" s="21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3.5" customHeight="1" x14ac:dyDescent="0.35">
      <c r="A582" s="49"/>
      <c r="B582" s="49"/>
      <c r="C582" s="39"/>
      <c r="D582" s="1"/>
      <c r="E582" s="149"/>
      <c r="F582" s="153"/>
      <c r="G582" s="10"/>
      <c r="H582" s="17"/>
      <c r="I582" s="17"/>
      <c r="J582" s="17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29"/>
      <c r="X582" s="15"/>
      <c r="Y582" s="30"/>
      <c r="Z582" s="30"/>
      <c r="AA582" s="30"/>
      <c r="AB582" s="30"/>
      <c r="AC582" s="17"/>
      <c r="AD582" s="17"/>
      <c r="AE582" s="17"/>
      <c r="AF582" s="17"/>
      <c r="AG582" s="21"/>
      <c r="AH582" s="21"/>
      <c r="AI582" s="21"/>
      <c r="AJ582" s="21"/>
      <c r="AK582" s="21"/>
      <c r="AL582" s="21"/>
      <c r="AM582" s="21"/>
      <c r="AN582" s="21"/>
      <c r="AO582" s="22"/>
      <c r="AP582" s="21"/>
      <c r="AQ582" s="22"/>
      <c r="AR582" s="21"/>
      <c r="AS582" s="21"/>
      <c r="AT582" s="21"/>
      <c r="AU582" s="21"/>
      <c r="AV582" s="21"/>
      <c r="AW582" s="21"/>
      <c r="AX582" s="22"/>
      <c r="AY582" s="21"/>
      <c r="AZ582" s="22"/>
      <c r="BA582" s="21"/>
      <c r="BB582" s="21"/>
      <c r="BC582" s="21"/>
      <c r="BD582" s="21"/>
      <c r="BE582" s="26"/>
      <c r="BF582" s="26"/>
      <c r="BG582" s="62"/>
    </row>
    <row r="583" spans="1:59" x14ac:dyDescent="0.3">
      <c r="A583" s="6"/>
      <c r="B583" s="6"/>
      <c r="C583" s="39"/>
      <c r="D583" s="6"/>
      <c r="E583" s="149"/>
      <c r="F583" s="153"/>
      <c r="G583" s="1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12"/>
      <c r="Y583" s="6"/>
      <c r="Z583" s="6"/>
      <c r="AA583" s="6"/>
      <c r="AB583" s="6"/>
      <c r="AC583" s="9"/>
      <c r="AD583" s="9"/>
      <c r="AE583" s="9"/>
      <c r="AF583" s="9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21"/>
      <c r="AS583" s="21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x14ac:dyDescent="0.3">
      <c r="A584" s="63"/>
      <c r="B584" s="63"/>
      <c r="C584" s="39"/>
      <c r="D584" s="6"/>
      <c r="E584" s="149"/>
      <c r="F584" s="153"/>
      <c r="G584" s="1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5"/>
      <c r="V584" s="5"/>
      <c r="W584" s="13"/>
      <c r="X584" s="4"/>
      <c r="Y584" s="4"/>
      <c r="Z584" s="4"/>
      <c r="AA584" s="6"/>
      <c r="AB584" s="5"/>
      <c r="AC584" s="9"/>
      <c r="AD584" s="9"/>
      <c r="AE584" s="9"/>
      <c r="AF584" s="9"/>
      <c r="AG584" s="64"/>
      <c r="AH584" s="3"/>
      <c r="AI584" s="2"/>
      <c r="AJ584" s="2"/>
      <c r="AK584" s="2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3.5" customHeight="1" x14ac:dyDescent="0.35">
      <c r="A585" s="49"/>
      <c r="B585" s="49"/>
      <c r="C585" s="14"/>
      <c r="D585" s="1"/>
      <c r="E585" s="149"/>
      <c r="F585" s="153"/>
      <c r="G585" s="10"/>
      <c r="H585" s="17"/>
      <c r="I585" s="17"/>
      <c r="J585" s="17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29"/>
      <c r="X585" s="15"/>
      <c r="Y585" s="30"/>
      <c r="Z585" s="30"/>
      <c r="AA585" s="30"/>
      <c r="AB585" s="30"/>
      <c r="AC585" s="17"/>
      <c r="AD585" s="17"/>
      <c r="AE585" s="17"/>
      <c r="AF585" s="17"/>
      <c r="AG585" s="21"/>
      <c r="AH585" s="21"/>
      <c r="AI585" s="21"/>
      <c r="AJ585" s="21"/>
      <c r="AK585" s="21"/>
      <c r="AL585" s="21"/>
      <c r="AM585" s="21"/>
      <c r="AN585" s="21"/>
      <c r="AO585" s="22"/>
      <c r="AP585" s="21"/>
      <c r="AQ585" s="22"/>
      <c r="AR585" s="21"/>
      <c r="AS585" s="21"/>
      <c r="AT585" s="21"/>
      <c r="AU585" s="21"/>
      <c r="AV585" s="21"/>
      <c r="AW585" s="21"/>
      <c r="AX585" s="22"/>
      <c r="AY585" s="21"/>
      <c r="AZ585" s="22"/>
      <c r="BA585" s="21"/>
      <c r="BB585" s="21"/>
      <c r="BC585" s="21"/>
      <c r="BD585" s="21"/>
      <c r="BE585" s="26"/>
      <c r="BF585" s="26"/>
      <c r="BG585" s="62"/>
    </row>
    <row r="586" spans="1:59" ht="13.5" customHeight="1" x14ac:dyDescent="0.35">
      <c r="A586" s="49"/>
      <c r="B586" s="49"/>
      <c r="C586" s="39"/>
      <c r="D586" s="1"/>
      <c r="E586" s="149"/>
      <c r="F586" s="153"/>
      <c r="G586" s="10"/>
      <c r="H586" s="17"/>
      <c r="I586" s="17"/>
      <c r="J586" s="17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29"/>
      <c r="X586" s="15"/>
      <c r="Y586" s="30"/>
      <c r="Z586" s="30"/>
      <c r="AA586" s="30"/>
      <c r="AB586" s="30"/>
      <c r="AC586" s="17"/>
      <c r="AD586" s="17"/>
      <c r="AE586" s="17"/>
      <c r="AF586" s="17"/>
      <c r="AG586" s="21"/>
      <c r="AH586" s="21"/>
      <c r="AI586" s="21"/>
      <c r="AJ586" s="21"/>
      <c r="AK586" s="21"/>
      <c r="AL586" s="21"/>
      <c r="AM586" s="21"/>
      <c r="AN586" s="21"/>
      <c r="AO586" s="22"/>
      <c r="AP586" s="21"/>
      <c r="AQ586" s="22"/>
      <c r="AR586" s="21"/>
      <c r="AS586" s="21"/>
      <c r="AT586" s="21"/>
      <c r="AU586" s="21"/>
      <c r="AV586" s="21"/>
      <c r="AW586" s="21"/>
      <c r="AX586" s="22"/>
      <c r="AY586" s="21"/>
      <c r="AZ586" s="22"/>
      <c r="BA586" s="21"/>
      <c r="BB586" s="21"/>
      <c r="BC586" s="21"/>
      <c r="BD586" s="21"/>
      <c r="BE586" s="26"/>
      <c r="BF586" s="26"/>
      <c r="BG586" s="62"/>
    </row>
    <row r="587" spans="1:59" ht="13.5" customHeight="1" x14ac:dyDescent="0.35">
      <c r="A587" s="49"/>
      <c r="B587" s="49"/>
      <c r="C587" s="14"/>
      <c r="D587" s="1"/>
      <c r="E587" s="149"/>
      <c r="F587" s="153"/>
      <c r="G587" s="10"/>
      <c r="H587" s="17"/>
      <c r="I587" s="17"/>
      <c r="J587" s="17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29"/>
      <c r="X587" s="15"/>
      <c r="Y587" s="30"/>
      <c r="Z587" s="30"/>
      <c r="AA587" s="30"/>
      <c r="AB587" s="30"/>
      <c r="AC587" s="17"/>
      <c r="AD587" s="17"/>
      <c r="AE587" s="17"/>
      <c r="AF587" s="17"/>
      <c r="AG587" s="21"/>
      <c r="AH587" s="21"/>
      <c r="AI587" s="21"/>
      <c r="AJ587" s="21"/>
      <c r="AK587" s="21"/>
      <c r="AL587" s="21"/>
      <c r="AM587" s="21"/>
      <c r="AN587" s="21"/>
      <c r="AO587" s="22"/>
      <c r="AP587" s="21"/>
      <c r="AQ587" s="22"/>
      <c r="AR587" s="21"/>
      <c r="AS587" s="21"/>
      <c r="AT587" s="21"/>
      <c r="AU587" s="21"/>
      <c r="AV587" s="21"/>
      <c r="AW587" s="21"/>
      <c r="AX587" s="22"/>
      <c r="AY587" s="21"/>
      <c r="AZ587" s="22"/>
      <c r="BA587" s="21"/>
      <c r="BB587" s="21"/>
      <c r="BC587" s="21"/>
      <c r="BD587" s="21"/>
      <c r="BE587" s="26"/>
      <c r="BF587" s="26"/>
      <c r="BG587" s="62"/>
    </row>
    <row r="588" spans="1:59" ht="13.5" customHeight="1" x14ac:dyDescent="0.35">
      <c r="A588" s="49"/>
      <c r="B588" s="49"/>
      <c r="C588" s="14"/>
      <c r="D588" s="1"/>
      <c r="E588" s="149"/>
      <c r="F588" s="153"/>
      <c r="G588" s="10"/>
      <c r="H588" s="17"/>
      <c r="I588" s="17"/>
      <c r="J588" s="17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29"/>
      <c r="X588" s="15"/>
      <c r="Y588" s="30"/>
      <c r="Z588" s="30"/>
      <c r="AA588" s="30"/>
      <c r="AB588" s="30"/>
      <c r="AC588" s="17"/>
      <c r="AD588" s="17"/>
      <c r="AE588" s="17"/>
      <c r="AF588" s="17"/>
      <c r="AG588" s="21"/>
      <c r="AH588" s="21"/>
      <c r="AI588" s="21"/>
      <c r="AJ588" s="21"/>
      <c r="AK588" s="21"/>
      <c r="AL588" s="21"/>
      <c r="AM588" s="21"/>
      <c r="AN588" s="21"/>
      <c r="AO588" s="22"/>
      <c r="AP588" s="21"/>
      <c r="AQ588" s="22"/>
      <c r="AR588" s="21"/>
      <c r="AS588" s="21"/>
      <c r="AT588" s="21"/>
      <c r="AU588" s="21"/>
      <c r="AV588" s="21"/>
      <c r="AW588" s="21"/>
      <c r="AX588" s="22"/>
      <c r="AY588" s="21"/>
      <c r="AZ588" s="22"/>
      <c r="BA588" s="21"/>
      <c r="BB588" s="21"/>
      <c r="BC588" s="21"/>
      <c r="BD588" s="21"/>
      <c r="BE588" s="26"/>
      <c r="BF588" s="26"/>
      <c r="BG588" s="62"/>
    </row>
    <row r="589" spans="1:59" x14ac:dyDescent="0.3">
      <c r="A589" s="6"/>
      <c r="B589" s="6"/>
      <c r="C589" s="39"/>
      <c r="D589" s="6"/>
      <c r="E589" s="149"/>
      <c r="F589" s="153"/>
      <c r="G589" s="1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12"/>
      <c r="Y589" s="6"/>
      <c r="Z589" s="6"/>
      <c r="AA589" s="6"/>
      <c r="AB589" s="6"/>
      <c r="AC589" s="9"/>
      <c r="AD589" s="9"/>
      <c r="AE589" s="9"/>
      <c r="AF589" s="9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21"/>
      <c r="AS589" s="21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3.5" customHeight="1" x14ac:dyDescent="0.35">
      <c r="A590" s="49"/>
      <c r="B590" s="49"/>
      <c r="C590" s="39"/>
      <c r="D590" s="1"/>
      <c r="E590" s="149"/>
      <c r="F590" s="153"/>
      <c r="G590" s="10"/>
      <c r="H590" s="17"/>
      <c r="I590" s="17"/>
      <c r="J590" s="17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29"/>
      <c r="X590" s="15"/>
      <c r="Y590" s="30"/>
      <c r="Z590" s="30"/>
      <c r="AA590" s="30"/>
      <c r="AB590" s="30"/>
      <c r="AC590" s="17"/>
      <c r="AD590" s="17"/>
      <c r="AE590" s="17"/>
      <c r="AF590" s="17"/>
      <c r="AG590" s="21"/>
      <c r="AH590" s="21"/>
      <c r="AI590" s="21"/>
      <c r="AJ590" s="21"/>
      <c r="AK590" s="21"/>
      <c r="AL590" s="21"/>
      <c r="AM590" s="21"/>
      <c r="AN590" s="21"/>
      <c r="AO590" s="22"/>
      <c r="AP590" s="21"/>
      <c r="AQ590" s="22"/>
      <c r="AR590" s="21"/>
      <c r="AS590" s="21"/>
      <c r="AT590" s="21"/>
      <c r="AU590" s="21"/>
      <c r="AV590" s="21"/>
      <c r="AW590" s="21"/>
      <c r="AX590" s="22"/>
      <c r="AY590" s="21"/>
      <c r="AZ590" s="22"/>
      <c r="BA590" s="21"/>
      <c r="BB590" s="21"/>
      <c r="BC590" s="21"/>
      <c r="BD590" s="21"/>
      <c r="BE590" s="26"/>
      <c r="BF590" s="26"/>
      <c r="BG590" s="62"/>
    </row>
    <row r="591" spans="1:59" x14ac:dyDescent="0.3">
      <c r="A591" s="6"/>
      <c r="B591" s="6"/>
      <c r="C591" s="39"/>
      <c r="D591" s="6"/>
      <c r="E591" s="149"/>
      <c r="F591" s="153"/>
      <c r="G591" s="1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12"/>
      <c r="Y591" s="6"/>
      <c r="Z591" s="6"/>
      <c r="AA591" s="6"/>
      <c r="AB591" s="6"/>
      <c r="AC591" s="9"/>
      <c r="AD591" s="9"/>
      <c r="AE591" s="9"/>
      <c r="AF591" s="9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x14ac:dyDescent="0.3">
      <c r="A592" s="6"/>
      <c r="B592" s="6"/>
      <c r="C592" s="39"/>
      <c r="D592" s="6"/>
      <c r="E592" s="149"/>
      <c r="F592" s="153"/>
      <c r="G592" s="1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5"/>
      <c r="V592" s="5"/>
      <c r="W592" s="13"/>
      <c r="X592" s="4"/>
      <c r="Y592" s="4"/>
      <c r="Z592" s="4"/>
      <c r="AA592" s="6"/>
      <c r="AB592" s="5"/>
      <c r="AC592" s="9"/>
      <c r="AD592" s="9"/>
      <c r="AE592" s="9"/>
      <c r="AF592" s="9"/>
      <c r="AG592" s="2"/>
      <c r="AH592" s="3"/>
      <c r="AI592" s="2"/>
      <c r="AJ592" s="2"/>
      <c r="AK592" s="2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x14ac:dyDescent="0.3">
      <c r="A593" s="6"/>
      <c r="B593" s="6"/>
      <c r="C593" s="39"/>
      <c r="D593" s="6"/>
      <c r="E593" s="149"/>
      <c r="F593" s="153"/>
      <c r="G593" s="1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5"/>
      <c r="V593" s="5"/>
      <c r="W593" s="13"/>
      <c r="X593" s="4"/>
      <c r="Y593" s="4"/>
      <c r="Z593" s="4"/>
      <c r="AA593" s="6"/>
      <c r="AB593" s="5"/>
      <c r="AC593" s="9"/>
      <c r="AD593" s="9"/>
      <c r="AE593" s="9"/>
      <c r="AF593" s="9"/>
      <c r="AG593" s="2"/>
      <c r="AH593" s="3"/>
      <c r="AI593" s="2"/>
      <c r="AJ593" s="2"/>
      <c r="AK593" s="2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3.5" customHeight="1" x14ac:dyDescent="0.35">
      <c r="A594" s="49"/>
      <c r="B594" s="49"/>
      <c r="C594" s="14"/>
      <c r="D594" s="1"/>
      <c r="E594" s="149"/>
      <c r="F594" s="153"/>
      <c r="G594" s="10"/>
      <c r="H594" s="17"/>
      <c r="I594" s="17"/>
      <c r="J594" s="17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29"/>
      <c r="X594" s="15"/>
      <c r="Y594" s="30"/>
      <c r="Z594" s="30"/>
      <c r="AA594" s="30"/>
      <c r="AB594" s="30"/>
      <c r="AC594" s="17"/>
      <c r="AD594" s="17"/>
      <c r="AE594" s="17"/>
      <c r="AF594" s="17"/>
      <c r="AG594" s="21"/>
      <c r="AH594" s="21"/>
      <c r="AI594" s="21"/>
      <c r="AJ594" s="21"/>
      <c r="AK594" s="21"/>
      <c r="AL594" s="21"/>
      <c r="AM594" s="21"/>
      <c r="AN594" s="21"/>
      <c r="AO594" s="22"/>
      <c r="AP594" s="21"/>
      <c r="AQ594" s="22"/>
      <c r="AR594" s="21"/>
      <c r="AS594" s="21"/>
      <c r="AT594" s="21"/>
      <c r="AU594" s="21"/>
      <c r="AV594" s="21"/>
      <c r="AW594" s="21"/>
      <c r="AX594" s="22"/>
      <c r="AY594" s="21"/>
      <c r="AZ594" s="22"/>
      <c r="BA594" s="21"/>
      <c r="BB594" s="21"/>
      <c r="BC594" s="21"/>
      <c r="BD594" s="21"/>
      <c r="BE594" s="26"/>
      <c r="BF594" s="26"/>
      <c r="BG594" s="62"/>
    </row>
    <row r="595" spans="1:59" ht="13.5" customHeight="1" x14ac:dyDescent="0.35">
      <c r="A595" s="49"/>
      <c r="B595" s="49"/>
      <c r="C595" s="14"/>
      <c r="D595" s="1"/>
      <c r="E595" s="149"/>
      <c r="F595" s="153"/>
      <c r="G595" s="10"/>
      <c r="H595" s="17"/>
      <c r="I595" s="17"/>
      <c r="J595" s="17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29"/>
      <c r="X595" s="15"/>
      <c r="Y595" s="30"/>
      <c r="Z595" s="30"/>
      <c r="AA595" s="30"/>
      <c r="AB595" s="30"/>
      <c r="AC595" s="17"/>
      <c r="AD595" s="17"/>
      <c r="AE595" s="17"/>
      <c r="AF595" s="17"/>
      <c r="AG595" s="21"/>
      <c r="AH595" s="21"/>
      <c r="AI595" s="21"/>
      <c r="AJ595" s="21"/>
      <c r="AK595" s="21"/>
      <c r="AL595" s="21"/>
      <c r="AM595" s="21"/>
      <c r="AN595" s="21"/>
      <c r="AO595" s="22"/>
      <c r="AP595" s="21"/>
      <c r="AQ595" s="22"/>
      <c r="AR595" s="21"/>
      <c r="AS595" s="21"/>
      <c r="AT595" s="21"/>
      <c r="AU595" s="21"/>
      <c r="AV595" s="21"/>
      <c r="AW595" s="21"/>
      <c r="AX595" s="22"/>
      <c r="AY595" s="21"/>
      <c r="AZ595" s="22"/>
      <c r="BA595" s="21"/>
      <c r="BB595" s="21"/>
      <c r="BC595" s="21"/>
      <c r="BD595" s="21"/>
      <c r="BE595" s="26"/>
      <c r="BF595" s="26"/>
      <c r="BG595" s="62"/>
    </row>
    <row r="596" spans="1:59" x14ac:dyDescent="0.3">
      <c r="A596" s="6"/>
      <c r="B596" s="6"/>
      <c r="C596" s="39"/>
      <c r="D596" s="6"/>
      <c r="E596" s="149"/>
      <c r="F596" s="153"/>
      <c r="G596" s="1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5"/>
      <c r="V596" s="5"/>
      <c r="W596" s="13"/>
      <c r="X596" s="4"/>
      <c r="Y596" s="4"/>
      <c r="Z596" s="4"/>
      <c r="AA596" s="6"/>
      <c r="AB596" s="5"/>
      <c r="AC596" s="9"/>
      <c r="AD596" s="9"/>
      <c r="AE596" s="9"/>
      <c r="AF596" s="9"/>
      <c r="AG596" s="2"/>
      <c r="AH596" s="2"/>
      <c r="AI596" s="2"/>
      <c r="AJ596" s="2"/>
      <c r="AK596" s="2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x14ac:dyDescent="0.3">
      <c r="A597" s="63"/>
      <c r="B597" s="63"/>
      <c r="C597" s="39"/>
      <c r="D597" s="6"/>
      <c r="E597" s="149"/>
      <c r="F597" s="153"/>
      <c r="G597" s="1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5"/>
      <c r="V597" s="5"/>
      <c r="W597" s="13"/>
      <c r="X597" s="4"/>
      <c r="Y597" s="4"/>
      <c r="Z597" s="4"/>
      <c r="AA597" s="6"/>
      <c r="AB597" s="5"/>
      <c r="AC597" s="9"/>
      <c r="AD597" s="9"/>
      <c r="AE597" s="9"/>
      <c r="AF597" s="9"/>
      <c r="AG597" s="64"/>
      <c r="AH597" s="3"/>
      <c r="AI597" s="2"/>
      <c r="AJ597" s="2"/>
      <c r="AK597" s="2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3.5" customHeight="1" x14ac:dyDescent="0.35">
      <c r="A598" s="49"/>
      <c r="B598" s="49"/>
      <c r="C598" s="14"/>
      <c r="D598" s="1"/>
      <c r="E598" s="149"/>
      <c r="F598" s="153"/>
      <c r="G598" s="10"/>
      <c r="H598" s="17"/>
      <c r="I598" s="17"/>
      <c r="J598" s="17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29"/>
      <c r="X598" s="15"/>
      <c r="Y598" s="30"/>
      <c r="Z598" s="30"/>
      <c r="AA598" s="30"/>
      <c r="AB598" s="30"/>
      <c r="AC598" s="17"/>
      <c r="AD598" s="17"/>
      <c r="AE598" s="17"/>
      <c r="AF598" s="17"/>
      <c r="AG598" s="21"/>
      <c r="AH598" s="21"/>
      <c r="AI598" s="21"/>
      <c r="AJ598" s="21"/>
      <c r="AK598" s="21"/>
      <c r="AL598" s="21"/>
      <c r="AM598" s="21"/>
      <c r="AN598" s="21"/>
      <c r="AO598" s="22"/>
      <c r="AP598" s="21"/>
      <c r="AQ598" s="22"/>
      <c r="AR598" s="21"/>
      <c r="AS598" s="21"/>
      <c r="AT598" s="21"/>
      <c r="AU598" s="21"/>
      <c r="AV598" s="21"/>
      <c r="AW598" s="21"/>
      <c r="AX598" s="22"/>
      <c r="AY598" s="21"/>
      <c r="AZ598" s="22"/>
      <c r="BA598" s="21"/>
      <c r="BB598" s="21"/>
      <c r="BC598" s="21"/>
      <c r="BD598" s="21"/>
      <c r="BE598" s="26"/>
      <c r="BF598" s="26"/>
      <c r="BG598" s="62"/>
    </row>
    <row r="599" spans="1:59" x14ac:dyDescent="0.3">
      <c r="A599" s="63"/>
      <c r="B599" s="63"/>
      <c r="C599" s="39"/>
      <c r="D599" s="6"/>
      <c r="E599" s="149"/>
      <c r="F599" s="153"/>
      <c r="G599" s="1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5"/>
      <c r="V599" s="5"/>
      <c r="W599" s="13"/>
      <c r="X599" s="4"/>
      <c r="Y599" s="4"/>
      <c r="Z599" s="4"/>
      <c r="AA599" s="6"/>
      <c r="AB599" s="5"/>
      <c r="AC599" s="9"/>
      <c r="AD599" s="9"/>
      <c r="AE599" s="9"/>
      <c r="AF599" s="9"/>
      <c r="AG599" s="64"/>
      <c r="AH599" s="3"/>
      <c r="AI599" s="2"/>
      <c r="AJ599" s="2"/>
      <c r="AK599" s="2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3.5" customHeight="1" x14ac:dyDescent="0.35">
      <c r="A600" s="49"/>
      <c r="B600" s="49"/>
      <c r="C600" s="14"/>
      <c r="D600" s="1"/>
      <c r="E600" s="149"/>
      <c r="F600" s="153"/>
      <c r="G600" s="10"/>
      <c r="H600" s="17"/>
      <c r="I600" s="17"/>
      <c r="J600" s="17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29"/>
      <c r="X600" s="15"/>
      <c r="Y600" s="30"/>
      <c r="Z600" s="30"/>
      <c r="AA600" s="30"/>
      <c r="AB600" s="30"/>
      <c r="AC600" s="17"/>
      <c r="AD600" s="17"/>
      <c r="AE600" s="17"/>
      <c r="AF600" s="17"/>
      <c r="AG600" s="21"/>
      <c r="AH600" s="21"/>
      <c r="AI600" s="21"/>
      <c r="AJ600" s="21"/>
      <c r="AK600" s="21"/>
      <c r="AL600" s="21"/>
      <c r="AM600" s="21"/>
      <c r="AN600" s="21"/>
      <c r="AO600" s="22"/>
      <c r="AP600" s="21"/>
      <c r="AQ600" s="22"/>
      <c r="AR600" s="21"/>
      <c r="AS600" s="21"/>
      <c r="AT600" s="21"/>
      <c r="AU600" s="21"/>
      <c r="AV600" s="21"/>
      <c r="AW600" s="21"/>
      <c r="AX600" s="22"/>
      <c r="AY600" s="21"/>
      <c r="AZ600" s="22"/>
      <c r="BA600" s="21"/>
      <c r="BB600" s="21"/>
      <c r="BC600" s="21"/>
      <c r="BD600" s="21"/>
      <c r="BE600" s="26"/>
      <c r="BF600" s="26"/>
      <c r="BG600" s="62"/>
    </row>
    <row r="601" spans="1:59" x14ac:dyDescent="0.3">
      <c r="A601" s="63"/>
      <c r="B601" s="63"/>
      <c r="C601" s="39"/>
      <c r="D601" s="6"/>
      <c r="E601" s="149"/>
      <c r="F601" s="153"/>
      <c r="G601" s="1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5"/>
      <c r="V601" s="5"/>
      <c r="W601" s="13"/>
      <c r="X601" s="4"/>
      <c r="Y601" s="4"/>
      <c r="Z601" s="4"/>
      <c r="AA601" s="6"/>
      <c r="AB601" s="5"/>
      <c r="AC601" s="9"/>
      <c r="AD601" s="9"/>
      <c r="AE601" s="9"/>
      <c r="AF601" s="9"/>
      <c r="AG601" s="64"/>
      <c r="AH601" s="3"/>
      <c r="AI601" s="2"/>
      <c r="AJ601" s="2"/>
      <c r="AK601" s="2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x14ac:dyDescent="0.3">
      <c r="A602" s="6"/>
      <c r="B602" s="6"/>
      <c r="C602" s="39"/>
      <c r="D602" s="6"/>
      <c r="E602" s="149"/>
      <c r="F602" s="153"/>
      <c r="G602" s="1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12"/>
      <c r="Y602" s="6"/>
      <c r="Z602" s="6"/>
      <c r="AA602" s="6"/>
      <c r="AB602" s="6"/>
      <c r="AC602" s="9"/>
      <c r="AD602" s="9"/>
      <c r="AE602" s="9"/>
      <c r="AF602" s="9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21"/>
      <c r="AS602" s="21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x14ac:dyDescent="0.3">
      <c r="A603" s="6"/>
      <c r="B603" s="6"/>
      <c r="C603" s="39"/>
      <c r="D603" s="6"/>
      <c r="E603" s="149"/>
      <c r="F603" s="153"/>
      <c r="G603" s="1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12"/>
      <c r="Y603" s="6"/>
      <c r="Z603" s="6"/>
      <c r="AA603" s="6"/>
      <c r="AB603" s="6"/>
      <c r="AC603" s="9"/>
      <c r="AD603" s="9"/>
      <c r="AE603" s="9"/>
      <c r="AF603" s="9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21"/>
      <c r="AS603" s="21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3.5" customHeight="1" x14ac:dyDescent="0.35">
      <c r="A604" s="49"/>
      <c r="B604" s="49"/>
      <c r="C604" s="14"/>
      <c r="D604" s="1"/>
      <c r="E604" s="149"/>
      <c r="F604" s="153"/>
      <c r="G604" s="10"/>
      <c r="H604" s="17"/>
      <c r="I604" s="17"/>
      <c r="J604" s="17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29"/>
      <c r="X604" s="15"/>
      <c r="Y604" s="30"/>
      <c r="Z604" s="30"/>
      <c r="AA604" s="30"/>
      <c r="AB604" s="30"/>
      <c r="AC604" s="17"/>
      <c r="AD604" s="17"/>
      <c r="AE604" s="17"/>
      <c r="AF604" s="17"/>
      <c r="AG604" s="21"/>
      <c r="AH604" s="21"/>
      <c r="AI604" s="21"/>
      <c r="AJ604" s="21"/>
      <c r="AK604" s="21"/>
      <c r="AL604" s="21"/>
      <c r="AM604" s="21"/>
      <c r="AN604" s="21"/>
      <c r="AO604" s="22"/>
      <c r="AP604" s="21"/>
      <c r="AQ604" s="22"/>
      <c r="AR604" s="21"/>
      <c r="AS604" s="21"/>
      <c r="AT604" s="21"/>
      <c r="AU604" s="21"/>
      <c r="AV604" s="21"/>
      <c r="AW604" s="21"/>
      <c r="AX604" s="22"/>
      <c r="AY604" s="21"/>
      <c r="AZ604" s="22"/>
      <c r="BA604" s="21"/>
      <c r="BB604" s="21"/>
      <c r="BC604" s="21"/>
      <c r="BD604" s="21"/>
      <c r="BE604" s="26"/>
      <c r="BF604" s="26"/>
      <c r="BG604" s="62"/>
    </row>
    <row r="605" spans="1:59" x14ac:dyDescent="0.3">
      <c r="A605" s="63"/>
      <c r="B605" s="63"/>
      <c r="C605" s="39"/>
      <c r="D605" s="6"/>
      <c r="E605" s="149"/>
      <c r="F605" s="153"/>
      <c r="G605" s="1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5"/>
      <c r="V605" s="5"/>
      <c r="W605" s="13"/>
      <c r="X605" s="4"/>
      <c r="Y605" s="4"/>
      <c r="Z605" s="4"/>
      <c r="AA605" s="6"/>
      <c r="AB605" s="5"/>
      <c r="AC605" s="9"/>
      <c r="AD605" s="9"/>
      <c r="AE605" s="9"/>
      <c r="AF605" s="9"/>
      <c r="AG605" s="64"/>
      <c r="AH605" s="3"/>
      <c r="AI605" s="2"/>
      <c r="AJ605" s="2"/>
      <c r="AK605" s="2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3.5" customHeight="1" x14ac:dyDescent="0.35">
      <c r="A606" s="49"/>
      <c r="B606" s="49"/>
      <c r="C606" s="39"/>
      <c r="D606" s="1"/>
      <c r="E606" s="149"/>
      <c r="F606" s="153"/>
      <c r="G606" s="10"/>
      <c r="H606" s="17"/>
      <c r="I606" s="17"/>
      <c r="J606" s="17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29"/>
      <c r="X606" s="15"/>
      <c r="Y606" s="30"/>
      <c r="Z606" s="30"/>
      <c r="AA606" s="30"/>
      <c r="AB606" s="30"/>
      <c r="AC606" s="17"/>
      <c r="AD606" s="17"/>
      <c r="AE606" s="17"/>
      <c r="AF606" s="17"/>
      <c r="AG606" s="21"/>
      <c r="AH606" s="21"/>
      <c r="AI606" s="21"/>
      <c r="AJ606" s="21"/>
      <c r="AK606" s="21"/>
      <c r="AL606" s="21"/>
      <c r="AM606" s="21"/>
      <c r="AN606" s="21"/>
      <c r="AO606" s="22"/>
      <c r="AP606" s="21"/>
      <c r="AQ606" s="22"/>
      <c r="AR606" s="21"/>
      <c r="AS606" s="21"/>
      <c r="AT606" s="21"/>
      <c r="AU606" s="21"/>
      <c r="AV606" s="21"/>
      <c r="AW606" s="21"/>
      <c r="AX606" s="22"/>
      <c r="AY606" s="21"/>
      <c r="AZ606" s="22"/>
      <c r="BA606" s="21"/>
      <c r="BB606" s="21"/>
      <c r="BC606" s="21"/>
      <c r="BD606" s="21"/>
      <c r="BE606" s="26"/>
      <c r="BF606" s="26"/>
      <c r="BG606" s="62"/>
    </row>
    <row r="607" spans="1:59" x14ac:dyDescent="0.3">
      <c r="A607" s="63"/>
      <c r="B607" s="63"/>
      <c r="C607" s="39"/>
      <c r="D607" s="6"/>
      <c r="E607" s="149"/>
      <c r="F607" s="153"/>
      <c r="G607" s="1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5"/>
      <c r="V607" s="5"/>
      <c r="W607" s="13"/>
      <c r="X607" s="4"/>
      <c r="Y607" s="4"/>
      <c r="Z607" s="4"/>
      <c r="AA607" s="6"/>
      <c r="AB607" s="5"/>
      <c r="AC607" s="9"/>
      <c r="AD607" s="9"/>
      <c r="AE607" s="9"/>
      <c r="AF607" s="9"/>
      <c r="AG607" s="64"/>
      <c r="AH607" s="3"/>
      <c r="AI607" s="2"/>
      <c r="AJ607" s="2"/>
      <c r="AK607" s="2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3.5" customHeight="1" x14ac:dyDescent="0.35">
      <c r="A608" s="49"/>
      <c r="B608" s="49"/>
      <c r="C608" s="39"/>
      <c r="D608" s="1"/>
      <c r="E608" s="149"/>
      <c r="F608" s="153"/>
      <c r="G608" s="10"/>
      <c r="H608" s="17"/>
      <c r="I608" s="17"/>
      <c r="J608" s="17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29"/>
      <c r="X608" s="15"/>
      <c r="Y608" s="30"/>
      <c r="Z608" s="30"/>
      <c r="AA608" s="30"/>
      <c r="AB608" s="30"/>
      <c r="AC608" s="17"/>
      <c r="AD608" s="17"/>
      <c r="AE608" s="17"/>
      <c r="AF608" s="17"/>
      <c r="AG608" s="21"/>
      <c r="AH608" s="21"/>
      <c r="AI608" s="21"/>
      <c r="AJ608" s="21"/>
      <c r="AK608" s="21"/>
      <c r="AL608" s="21"/>
      <c r="AM608" s="21"/>
      <c r="AN608" s="21"/>
      <c r="AO608" s="22"/>
      <c r="AP608" s="21"/>
      <c r="AQ608" s="22"/>
      <c r="AR608" s="21"/>
      <c r="AS608" s="21"/>
      <c r="AT608" s="21"/>
      <c r="AU608" s="21"/>
      <c r="AV608" s="21"/>
      <c r="AW608" s="21"/>
      <c r="AX608" s="22"/>
      <c r="AY608" s="21"/>
      <c r="AZ608" s="22"/>
      <c r="BA608" s="21"/>
      <c r="BB608" s="21"/>
      <c r="BC608" s="21"/>
      <c r="BD608" s="21"/>
      <c r="BE608" s="26"/>
      <c r="BF608" s="26"/>
      <c r="BG608" s="62"/>
    </row>
    <row r="609" spans="1:59" ht="13.5" customHeight="1" x14ac:dyDescent="0.35">
      <c r="A609" s="49"/>
      <c r="B609" s="49"/>
      <c r="C609" s="14"/>
      <c r="D609" s="1"/>
      <c r="E609" s="149"/>
      <c r="F609" s="153"/>
      <c r="G609" s="10"/>
      <c r="H609" s="17"/>
      <c r="I609" s="17"/>
      <c r="J609" s="17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29"/>
      <c r="X609" s="15"/>
      <c r="Y609" s="30"/>
      <c r="Z609" s="30"/>
      <c r="AA609" s="30"/>
      <c r="AB609" s="30"/>
      <c r="AC609" s="17"/>
      <c r="AD609" s="17"/>
      <c r="AE609" s="17"/>
      <c r="AF609" s="17"/>
      <c r="AG609" s="21"/>
      <c r="AH609" s="21"/>
      <c r="AI609" s="21"/>
      <c r="AJ609" s="21"/>
      <c r="AK609" s="21"/>
      <c r="AL609" s="21"/>
      <c r="AM609" s="21"/>
      <c r="AN609" s="21"/>
      <c r="AO609" s="22"/>
      <c r="AP609" s="21"/>
      <c r="AQ609" s="22"/>
      <c r="AR609" s="21"/>
      <c r="AS609" s="21"/>
      <c r="AT609" s="21"/>
      <c r="AU609" s="21"/>
      <c r="AV609" s="21"/>
      <c r="AW609" s="21"/>
      <c r="AX609" s="22"/>
      <c r="AY609" s="21"/>
      <c r="AZ609" s="22"/>
      <c r="BA609" s="21"/>
      <c r="BB609" s="21"/>
      <c r="BC609" s="21"/>
      <c r="BD609" s="21"/>
      <c r="BE609" s="26"/>
      <c r="BF609" s="26"/>
      <c r="BG609" s="62"/>
    </row>
    <row r="610" spans="1:59" x14ac:dyDescent="0.3">
      <c r="A610" s="63"/>
      <c r="B610" s="63"/>
      <c r="C610" s="39"/>
      <c r="D610" s="6"/>
      <c r="E610" s="149"/>
      <c r="F610" s="153"/>
      <c r="G610" s="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5"/>
      <c r="V610" s="5"/>
      <c r="W610" s="13"/>
      <c r="X610" s="4"/>
      <c r="Y610" s="4"/>
      <c r="Z610" s="4"/>
      <c r="AA610" s="6"/>
      <c r="AB610" s="5"/>
      <c r="AC610" s="9"/>
      <c r="AD610" s="9"/>
      <c r="AE610" s="9"/>
      <c r="AF610" s="9"/>
      <c r="AG610" s="64"/>
      <c r="AH610" s="3"/>
      <c r="AI610" s="2"/>
      <c r="AJ610" s="2"/>
      <c r="AK610" s="2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x14ac:dyDescent="0.3">
      <c r="A611" s="6"/>
      <c r="B611" s="6"/>
      <c r="C611" s="39"/>
      <c r="D611" s="6"/>
      <c r="E611" s="149"/>
      <c r="F611" s="153"/>
      <c r="G611" s="1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5"/>
      <c r="V611" s="5"/>
      <c r="W611" s="13"/>
      <c r="X611" s="4"/>
      <c r="Y611" s="4"/>
      <c r="Z611" s="4"/>
      <c r="AA611" s="6"/>
      <c r="AB611" s="5"/>
      <c r="AC611" s="9"/>
      <c r="AD611" s="9"/>
      <c r="AE611" s="9"/>
      <c r="AF611" s="9"/>
      <c r="AG611" s="2"/>
      <c r="AH611" s="3"/>
      <c r="AI611" s="2"/>
      <c r="AJ611" s="2"/>
      <c r="AK611" s="2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x14ac:dyDescent="0.3">
      <c r="A612" s="6"/>
      <c r="B612" s="6"/>
      <c r="C612" s="39"/>
      <c r="D612" s="6"/>
      <c r="E612" s="149"/>
      <c r="F612" s="153"/>
      <c r="G612" s="1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12"/>
      <c r="Y612" s="6"/>
      <c r="Z612" s="6"/>
      <c r="AA612" s="6"/>
      <c r="AB612" s="6"/>
      <c r="AC612" s="9"/>
      <c r="AD612" s="9"/>
      <c r="AE612" s="9"/>
      <c r="AF612" s="9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3.5" customHeight="1" x14ac:dyDescent="0.35">
      <c r="A613" s="49"/>
      <c r="B613" s="49"/>
      <c r="C613" s="14"/>
      <c r="D613" s="1"/>
      <c r="E613" s="149"/>
      <c r="F613" s="153"/>
      <c r="G613" s="10"/>
      <c r="H613" s="17"/>
      <c r="I613" s="17"/>
      <c r="J613" s="17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29"/>
      <c r="X613" s="15"/>
      <c r="Y613" s="30"/>
      <c r="Z613" s="30"/>
      <c r="AA613" s="30"/>
      <c r="AB613" s="30"/>
      <c r="AC613" s="17"/>
      <c r="AD613" s="17"/>
      <c r="AE613" s="17"/>
      <c r="AF613" s="17"/>
      <c r="AG613" s="21"/>
      <c r="AH613" s="21"/>
      <c r="AI613" s="21"/>
      <c r="AJ613" s="21"/>
      <c r="AK613" s="21"/>
      <c r="AL613" s="21"/>
      <c r="AM613" s="21"/>
      <c r="AN613" s="21"/>
      <c r="AO613" s="22"/>
      <c r="AP613" s="21"/>
      <c r="AQ613" s="22"/>
      <c r="AR613" s="21"/>
      <c r="AS613" s="21"/>
      <c r="AT613" s="21"/>
      <c r="AU613" s="21"/>
      <c r="AV613" s="21"/>
      <c r="AW613" s="21"/>
      <c r="AX613" s="22"/>
      <c r="AY613" s="21"/>
      <c r="AZ613" s="22"/>
      <c r="BA613" s="21"/>
      <c r="BB613" s="21"/>
      <c r="BC613" s="21"/>
      <c r="BD613" s="21"/>
      <c r="BE613" s="26"/>
      <c r="BF613" s="26"/>
      <c r="BG613" s="62"/>
    </row>
    <row r="614" spans="1:59" x14ac:dyDescent="0.3">
      <c r="A614" s="63"/>
      <c r="B614" s="63"/>
      <c r="C614" s="39"/>
      <c r="D614" s="6"/>
      <c r="E614" s="149"/>
      <c r="F614" s="153"/>
      <c r="G614" s="1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5"/>
      <c r="V614" s="5"/>
      <c r="W614" s="13"/>
      <c r="X614" s="4"/>
      <c r="Y614" s="4"/>
      <c r="Z614" s="4"/>
      <c r="AA614" s="6"/>
      <c r="AB614" s="5"/>
      <c r="AC614" s="9"/>
      <c r="AD614" s="9"/>
      <c r="AE614" s="9"/>
      <c r="AF614" s="9"/>
      <c r="AG614" s="64"/>
      <c r="AH614" s="3"/>
      <c r="AI614" s="2"/>
      <c r="AJ614" s="2"/>
      <c r="AK614" s="2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3.5" customHeight="1" x14ac:dyDescent="0.35">
      <c r="A615" s="49"/>
      <c r="B615" s="49"/>
      <c r="C615" s="39"/>
      <c r="D615" s="1"/>
      <c r="E615" s="149"/>
      <c r="F615" s="153"/>
      <c r="G615" s="10"/>
      <c r="H615" s="17"/>
      <c r="I615" s="17"/>
      <c r="J615" s="17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29"/>
      <c r="X615" s="15"/>
      <c r="Y615" s="30"/>
      <c r="Z615" s="30"/>
      <c r="AA615" s="30"/>
      <c r="AB615" s="30"/>
      <c r="AC615" s="17"/>
      <c r="AD615" s="17"/>
      <c r="AE615" s="17"/>
      <c r="AF615" s="17"/>
      <c r="AG615" s="21"/>
      <c r="AH615" s="21"/>
      <c r="AI615" s="21"/>
      <c r="AJ615" s="21"/>
      <c r="AK615" s="21"/>
      <c r="AL615" s="21"/>
      <c r="AM615" s="21"/>
      <c r="AN615" s="21"/>
      <c r="AO615" s="22"/>
      <c r="AP615" s="21"/>
      <c r="AQ615" s="22"/>
      <c r="AR615" s="21"/>
      <c r="AS615" s="21"/>
      <c r="AT615" s="21"/>
      <c r="AU615" s="21"/>
      <c r="AV615" s="21"/>
      <c r="AW615" s="21"/>
      <c r="AX615" s="22"/>
      <c r="AY615" s="21"/>
      <c r="AZ615" s="22"/>
      <c r="BA615" s="21"/>
      <c r="BB615" s="21"/>
      <c r="BC615" s="21"/>
      <c r="BD615" s="21"/>
      <c r="BE615" s="26"/>
      <c r="BF615" s="26"/>
      <c r="BG615" s="62"/>
    </row>
    <row r="616" spans="1:59" x14ac:dyDescent="0.3">
      <c r="A616" s="63"/>
      <c r="B616" s="63"/>
      <c r="C616" s="39"/>
      <c r="D616" s="6"/>
      <c r="E616" s="149"/>
      <c r="F616" s="153"/>
      <c r="G616" s="1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5"/>
      <c r="V616" s="5"/>
      <c r="W616" s="13"/>
      <c r="X616" s="4"/>
      <c r="Y616" s="4"/>
      <c r="Z616" s="4"/>
      <c r="AA616" s="6"/>
      <c r="AB616" s="5"/>
      <c r="AC616" s="9"/>
      <c r="AD616" s="9"/>
      <c r="AE616" s="9"/>
      <c r="AF616" s="9"/>
      <c r="AG616" s="64"/>
      <c r="AH616" s="3"/>
      <c r="AI616" s="2"/>
      <c r="AJ616" s="2"/>
      <c r="AK616" s="2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x14ac:dyDescent="0.3">
      <c r="A617" s="6"/>
      <c r="B617" s="6"/>
      <c r="C617" s="39"/>
      <c r="D617" s="6"/>
      <c r="E617" s="149"/>
      <c r="F617" s="153"/>
      <c r="G617" s="1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5"/>
      <c r="V617" s="5"/>
      <c r="W617" s="13"/>
      <c r="X617" s="4"/>
      <c r="Y617" s="4"/>
      <c r="Z617" s="4"/>
      <c r="AA617" s="6"/>
      <c r="AB617" s="5"/>
      <c r="AC617" s="9"/>
      <c r="AD617" s="9"/>
      <c r="AE617" s="9"/>
      <c r="AF617" s="9"/>
      <c r="AG617" s="2"/>
      <c r="AH617" s="3"/>
      <c r="AI617" s="2"/>
      <c r="AJ617" s="2"/>
      <c r="AK617" s="2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x14ac:dyDescent="0.3">
      <c r="A618" s="6"/>
      <c r="B618" s="6"/>
      <c r="C618" s="39"/>
      <c r="D618" s="6"/>
      <c r="E618" s="149"/>
      <c r="F618" s="153"/>
      <c r="G618" s="1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12"/>
      <c r="Y618" s="6"/>
      <c r="Z618" s="6"/>
      <c r="AA618" s="6"/>
      <c r="AB618" s="6"/>
      <c r="AC618" s="9"/>
      <c r="AD618" s="9"/>
      <c r="AE618" s="9"/>
      <c r="AF618" s="9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21"/>
      <c r="AS618" s="21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x14ac:dyDescent="0.3">
      <c r="A619" s="6"/>
      <c r="B619" s="6"/>
      <c r="C619" s="39"/>
      <c r="D619" s="6"/>
      <c r="E619" s="149"/>
      <c r="F619" s="153"/>
      <c r="G619" s="1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12"/>
      <c r="Y619" s="6"/>
      <c r="Z619" s="6"/>
      <c r="AA619" s="6"/>
      <c r="AB619" s="6"/>
      <c r="AC619" s="9"/>
      <c r="AD619" s="9"/>
      <c r="AE619" s="9"/>
      <c r="AF619" s="9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21"/>
      <c r="AS619" s="21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x14ac:dyDescent="0.3">
      <c r="A620" s="6"/>
      <c r="B620" s="6"/>
      <c r="C620" s="39"/>
      <c r="D620" s="6"/>
      <c r="E620" s="149"/>
      <c r="F620" s="153"/>
      <c r="G620" s="1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12"/>
      <c r="Y620" s="6"/>
      <c r="Z620" s="6"/>
      <c r="AA620" s="6"/>
      <c r="AB620" s="6"/>
      <c r="AC620" s="9"/>
      <c r="AD620" s="9"/>
      <c r="AE620" s="9"/>
      <c r="AF620" s="9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21"/>
      <c r="AS620" s="21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3.5" customHeight="1" x14ac:dyDescent="0.35">
      <c r="A621" s="49"/>
      <c r="B621" s="49"/>
      <c r="C621" s="14"/>
      <c r="D621" s="1"/>
      <c r="E621" s="149"/>
      <c r="F621" s="153"/>
      <c r="G621" s="10"/>
      <c r="H621" s="17"/>
      <c r="I621" s="17"/>
      <c r="J621" s="17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29"/>
      <c r="X621" s="15"/>
      <c r="Y621" s="30"/>
      <c r="Z621" s="30"/>
      <c r="AA621" s="30"/>
      <c r="AB621" s="30"/>
      <c r="AC621" s="17"/>
      <c r="AD621" s="17"/>
      <c r="AE621" s="17"/>
      <c r="AF621" s="17"/>
      <c r="AG621" s="21"/>
      <c r="AH621" s="21"/>
      <c r="AI621" s="21"/>
      <c r="AJ621" s="21"/>
      <c r="AK621" s="21"/>
      <c r="AL621" s="21"/>
      <c r="AM621" s="21"/>
      <c r="AN621" s="21"/>
      <c r="AO621" s="22"/>
      <c r="AP621" s="21"/>
      <c r="AQ621" s="22"/>
      <c r="AR621" s="21"/>
      <c r="AS621" s="21"/>
      <c r="AT621" s="21"/>
      <c r="AU621" s="21"/>
      <c r="AV621" s="21"/>
      <c r="AW621" s="21"/>
      <c r="AX621" s="22"/>
      <c r="AY621" s="21"/>
      <c r="AZ621" s="22"/>
      <c r="BA621" s="21"/>
      <c r="BB621" s="21"/>
      <c r="BC621" s="21"/>
      <c r="BD621" s="21"/>
      <c r="BE621" s="26"/>
      <c r="BF621" s="26"/>
      <c r="BG621" s="62"/>
    </row>
    <row r="622" spans="1:59" x14ac:dyDescent="0.3">
      <c r="A622" s="6"/>
      <c r="B622" s="6"/>
      <c r="C622" s="39"/>
      <c r="D622" s="6"/>
      <c r="E622" s="149"/>
      <c r="F622" s="153"/>
      <c r="G622" s="1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12"/>
      <c r="Y622" s="6"/>
      <c r="Z622" s="6"/>
      <c r="AA622" s="6"/>
      <c r="AB622" s="6"/>
      <c r="AC622" s="9"/>
      <c r="AD622" s="9"/>
      <c r="AE622" s="9"/>
      <c r="AF622" s="9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21"/>
      <c r="AS622" s="21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3.5" customHeight="1" x14ac:dyDescent="0.35">
      <c r="A623" s="49"/>
      <c r="B623" s="49"/>
      <c r="C623" s="14"/>
      <c r="D623" s="1"/>
      <c r="E623" s="149"/>
      <c r="F623" s="153"/>
      <c r="G623" s="10"/>
      <c r="H623" s="17"/>
      <c r="I623" s="17"/>
      <c r="J623" s="17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29"/>
      <c r="X623" s="15"/>
      <c r="Y623" s="30"/>
      <c r="Z623" s="30"/>
      <c r="AA623" s="30"/>
      <c r="AB623" s="30"/>
      <c r="AC623" s="17"/>
      <c r="AD623" s="17"/>
      <c r="AE623" s="17"/>
      <c r="AF623" s="17"/>
      <c r="AG623" s="21"/>
      <c r="AH623" s="21"/>
      <c r="AI623" s="21"/>
      <c r="AJ623" s="21"/>
      <c r="AK623" s="21"/>
      <c r="AL623" s="21"/>
      <c r="AM623" s="21"/>
      <c r="AN623" s="21"/>
      <c r="AO623" s="22"/>
      <c r="AP623" s="21"/>
      <c r="AQ623" s="22"/>
      <c r="AR623" s="21"/>
      <c r="AS623" s="21"/>
      <c r="AT623" s="21"/>
      <c r="AU623" s="21"/>
      <c r="AV623" s="21"/>
      <c r="AW623" s="21"/>
      <c r="AX623" s="22"/>
      <c r="AY623" s="21"/>
      <c r="AZ623" s="22"/>
      <c r="BA623" s="21"/>
      <c r="BB623" s="21"/>
      <c r="BC623" s="21"/>
      <c r="BD623" s="21"/>
      <c r="BE623" s="26"/>
      <c r="BF623" s="26"/>
      <c r="BG623" s="62"/>
    </row>
    <row r="624" spans="1:59" ht="13.5" customHeight="1" x14ac:dyDescent="0.35">
      <c r="A624" s="49"/>
      <c r="B624" s="49"/>
      <c r="C624" s="39"/>
      <c r="D624" s="1"/>
      <c r="E624" s="149"/>
      <c r="F624" s="153"/>
      <c r="G624" s="10"/>
      <c r="H624" s="17"/>
      <c r="I624" s="17"/>
      <c r="J624" s="17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29"/>
      <c r="X624" s="15"/>
      <c r="Y624" s="30"/>
      <c r="Z624" s="30"/>
      <c r="AA624" s="30"/>
      <c r="AB624" s="30"/>
      <c r="AC624" s="17"/>
      <c r="AD624" s="17"/>
      <c r="AE624" s="17"/>
      <c r="AF624" s="17"/>
      <c r="AG624" s="21"/>
      <c r="AH624" s="21"/>
      <c r="AI624" s="21"/>
      <c r="AJ624" s="21"/>
      <c r="AK624" s="21"/>
      <c r="AL624" s="21"/>
      <c r="AM624" s="21"/>
      <c r="AN624" s="21"/>
      <c r="AO624" s="22"/>
      <c r="AP624" s="21"/>
      <c r="AQ624" s="22"/>
      <c r="AR624" s="21"/>
      <c r="AS624" s="21"/>
      <c r="AT624" s="21"/>
      <c r="AU624" s="21"/>
      <c r="AV624" s="21"/>
      <c r="AW624" s="21"/>
      <c r="AX624" s="22"/>
      <c r="AY624" s="21"/>
      <c r="AZ624" s="22"/>
      <c r="BA624" s="21"/>
      <c r="BB624" s="21"/>
      <c r="BC624" s="21"/>
      <c r="BD624" s="21"/>
      <c r="BE624" s="26"/>
      <c r="BF624" s="26"/>
      <c r="BG624" s="62"/>
    </row>
    <row r="625" spans="1:59" x14ac:dyDescent="0.3">
      <c r="A625" s="6"/>
      <c r="B625" s="6"/>
      <c r="C625" s="39"/>
      <c r="D625" s="6"/>
      <c r="E625" s="149"/>
      <c r="F625" s="153"/>
      <c r="G625" s="1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12"/>
      <c r="Y625" s="6"/>
      <c r="Z625" s="6"/>
      <c r="AA625" s="6"/>
      <c r="AB625" s="6"/>
      <c r="AC625" s="9"/>
      <c r="AD625" s="9"/>
      <c r="AE625" s="9"/>
      <c r="AF625" s="9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21"/>
      <c r="AS625" s="21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3.5" customHeight="1" x14ac:dyDescent="0.35">
      <c r="A626" s="49"/>
      <c r="B626" s="49"/>
      <c r="C626" s="39"/>
      <c r="D626" s="1"/>
      <c r="E626" s="149"/>
      <c r="F626" s="153"/>
      <c r="G626" s="10"/>
      <c r="H626" s="17"/>
      <c r="I626" s="17"/>
      <c r="J626" s="17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29"/>
      <c r="X626" s="15"/>
      <c r="Y626" s="30"/>
      <c r="Z626" s="30"/>
      <c r="AA626" s="30"/>
      <c r="AB626" s="30"/>
      <c r="AC626" s="17"/>
      <c r="AD626" s="17"/>
      <c r="AE626" s="17"/>
      <c r="AF626" s="17"/>
      <c r="AG626" s="21"/>
      <c r="AH626" s="21"/>
      <c r="AI626" s="21"/>
      <c r="AJ626" s="21"/>
      <c r="AK626" s="21"/>
      <c r="AL626" s="21"/>
      <c r="AM626" s="21"/>
      <c r="AN626" s="21"/>
      <c r="AO626" s="22"/>
      <c r="AP626" s="21"/>
      <c r="AQ626" s="22"/>
      <c r="AR626" s="21"/>
      <c r="AS626" s="21"/>
      <c r="AT626" s="21"/>
      <c r="AU626" s="21"/>
      <c r="AV626" s="21"/>
      <c r="AW626" s="21"/>
      <c r="AX626" s="22"/>
      <c r="AY626" s="21"/>
      <c r="AZ626" s="22"/>
      <c r="BA626" s="21"/>
      <c r="BB626" s="21"/>
      <c r="BC626" s="21"/>
      <c r="BD626" s="21"/>
      <c r="BE626" s="26"/>
      <c r="BF626" s="26"/>
      <c r="BG626" s="62"/>
    </row>
    <row r="627" spans="1:59" x14ac:dyDescent="0.3">
      <c r="A627" s="6"/>
      <c r="B627" s="6"/>
      <c r="C627" s="39"/>
      <c r="D627" s="6"/>
      <c r="E627" s="149"/>
      <c r="F627" s="153"/>
      <c r="G627" s="1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12"/>
      <c r="Y627" s="6"/>
      <c r="Z627" s="6"/>
      <c r="AA627" s="6"/>
      <c r="AB627" s="6"/>
      <c r="AC627" s="9"/>
      <c r="AD627" s="9"/>
      <c r="AE627" s="9"/>
      <c r="AF627" s="9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21"/>
      <c r="AS627" s="21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3.5" customHeight="1" x14ac:dyDescent="0.35">
      <c r="A628" s="49"/>
      <c r="B628" s="49"/>
      <c r="C628" s="14"/>
      <c r="D628" s="1"/>
      <c r="E628" s="149"/>
      <c r="F628" s="153"/>
      <c r="G628" s="10"/>
      <c r="H628" s="17"/>
      <c r="I628" s="17"/>
      <c r="J628" s="17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29"/>
      <c r="X628" s="15"/>
      <c r="Y628" s="30"/>
      <c r="Z628" s="30"/>
      <c r="AA628" s="30"/>
      <c r="AB628" s="30"/>
      <c r="AC628" s="17"/>
      <c r="AD628" s="17"/>
      <c r="AE628" s="17"/>
      <c r="AF628" s="17"/>
      <c r="AG628" s="21"/>
      <c r="AH628" s="21"/>
      <c r="AI628" s="21"/>
      <c r="AJ628" s="21"/>
      <c r="AK628" s="21"/>
      <c r="AL628" s="21"/>
      <c r="AM628" s="21"/>
      <c r="AN628" s="21"/>
      <c r="AO628" s="22"/>
      <c r="AP628" s="21"/>
      <c r="AQ628" s="22"/>
      <c r="AR628" s="21"/>
      <c r="AS628" s="21"/>
      <c r="AT628" s="21"/>
      <c r="AU628" s="21"/>
      <c r="AV628" s="21"/>
      <c r="AW628" s="21"/>
      <c r="AX628" s="22"/>
      <c r="AY628" s="21"/>
      <c r="AZ628" s="22"/>
      <c r="BA628" s="21"/>
      <c r="BB628" s="21"/>
      <c r="BC628" s="21"/>
      <c r="BD628" s="21"/>
      <c r="BE628" s="26"/>
      <c r="BF628" s="26"/>
      <c r="BG628" s="62"/>
    </row>
    <row r="629" spans="1:59" x14ac:dyDescent="0.3">
      <c r="A629" s="6"/>
      <c r="B629" s="6"/>
      <c r="C629" s="39"/>
      <c r="D629" s="6"/>
      <c r="E629" s="149"/>
      <c r="F629" s="153"/>
      <c r="G629" s="1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12"/>
      <c r="Y629" s="6"/>
      <c r="Z629" s="6"/>
      <c r="AA629" s="6"/>
      <c r="AB629" s="6"/>
      <c r="AC629" s="9"/>
      <c r="AD629" s="9"/>
      <c r="AE629" s="9"/>
      <c r="AF629" s="9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21"/>
      <c r="AS629" s="21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x14ac:dyDescent="0.3">
      <c r="A630" s="63"/>
      <c r="B630" s="63"/>
      <c r="C630" s="39"/>
      <c r="D630" s="6"/>
      <c r="E630" s="149"/>
      <c r="F630" s="153"/>
      <c r="G630" s="1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5"/>
      <c r="V630" s="5"/>
      <c r="W630" s="13"/>
      <c r="X630" s="4"/>
      <c r="Y630" s="4"/>
      <c r="Z630" s="4"/>
      <c r="AA630" s="6"/>
      <c r="AB630" s="5"/>
      <c r="AC630" s="9"/>
      <c r="AD630" s="9"/>
      <c r="AE630" s="9"/>
      <c r="AF630" s="9"/>
      <c r="AG630" s="64"/>
      <c r="AH630" s="3"/>
      <c r="AI630" s="2"/>
      <c r="AJ630" s="2"/>
      <c r="AK630" s="2"/>
      <c r="AL630" s="3"/>
      <c r="AM630" s="3"/>
      <c r="AN630" s="3"/>
      <c r="AO630" s="3"/>
      <c r="AP630" s="3"/>
      <c r="AQ630" s="3"/>
      <c r="AR630" s="21"/>
      <c r="AS630" s="21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3.5" customHeight="1" x14ac:dyDescent="0.35">
      <c r="A631" s="49"/>
      <c r="B631" s="49"/>
      <c r="C631" s="14"/>
      <c r="D631" s="1"/>
      <c r="E631" s="149"/>
      <c r="F631" s="153"/>
      <c r="G631" s="10"/>
      <c r="H631" s="17"/>
      <c r="I631" s="17"/>
      <c r="J631" s="17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29"/>
      <c r="X631" s="15"/>
      <c r="Y631" s="30"/>
      <c r="Z631" s="30"/>
      <c r="AA631" s="30"/>
      <c r="AB631" s="30"/>
      <c r="AC631" s="17"/>
      <c r="AD631" s="17"/>
      <c r="AE631" s="17"/>
      <c r="AF631" s="17"/>
      <c r="AG631" s="21"/>
      <c r="AH631" s="21"/>
      <c r="AI631" s="21"/>
      <c r="AJ631" s="21"/>
      <c r="AK631" s="21"/>
      <c r="AL631" s="21"/>
      <c r="AM631" s="21"/>
      <c r="AN631" s="21"/>
      <c r="AO631" s="22"/>
      <c r="AP631" s="21"/>
      <c r="AQ631" s="22"/>
      <c r="AR631" s="21"/>
      <c r="AS631" s="21"/>
      <c r="AT631" s="21"/>
      <c r="AU631" s="21"/>
      <c r="AV631" s="21"/>
      <c r="AW631" s="21"/>
      <c r="AX631" s="22"/>
      <c r="AY631" s="21"/>
      <c r="AZ631" s="22"/>
      <c r="BA631" s="21"/>
      <c r="BB631" s="21"/>
      <c r="BC631" s="21"/>
      <c r="BD631" s="21"/>
      <c r="BE631" s="26"/>
      <c r="BF631" s="26"/>
      <c r="BG631" s="62"/>
    </row>
    <row r="632" spans="1:59" x14ac:dyDescent="0.3">
      <c r="A632" s="6"/>
      <c r="B632" s="6"/>
      <c r="C632" s="39"/>
      <c r="D632" s="6"/>
      <c r="E632" s="149"/>
      <c r="F632" s="153"/>
      <c r="G632" s="1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12"/>
      <c r="Y632" s="6"/>
      <c r="Z632" s="6"/>
      <c r="AA632" s="6"/>
      <c r="AB632" s="6"/>
      <c r="AC632" s="9"/>
      <c r="AD632" s="9"/>
      <c r="AE632" s="9"/>
      <c r="AF632" s="9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21"/>
      <c r="AS632" s="21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x14ac:dyDescent="0.3">
      <c r="A633" s="6"/>
      <c r="B633" s="6"/>
      <c r="C633" s="39"/>
      <c r="D633" s="6"/>
      <c r="E633" s="149"/>
      <c r="F633" s="153"/>
      <c r="G633" s="1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12"/>
      <c r="Y633" s="6"/>
      <c r="Z633" s="6"/>
      <c r="AA633" s="6"/>
      <c r="AB633" s="6"/>
      <c r="AC633" s="9"/>
      <c r="AD633" s="9"/>
      <c r="AE633" s="9"/>
      <c r="AF633" s="9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21"/>
      <c r="AS633" s="21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x14ac:dyDescent="0.3">
      <c r="A634" s="63"/>
      <c r="B634" s="63"/>
      <c r="C634" s="39"/>
      <c r="D634" s="6"/>
      <c r="E634" s="149"/>
      <c r="F634" s="153"/>
      <c r="G634" s="1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5"/>
      <c r="V634" s="5"/>
      <c r="W634" s="13"/>
      <c r="X634" s="4"/>
      <c r="Y634" s="4"/>
      <c r="Z634" s="4"/>
      <c r="AA634" s="6"/>
      <c r="AB634" s="5"/>
      <c r="AC634" s="9"/>
      <c r="AD634" s="9"/>
      <c r="AE634" s="9"/>
      <c r="AF634" s="9"/>
      <c r="AG634" s="64"/>
      <c r="AH634" s="3"/>
      <c r="AI634" s="2"/>
      <c r="AJ634" s="2"/>
      <c r="AK634" s="2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x14ac:dyDescent="0.3">
      <c r="A635" s="63"/>
      <c r="B635" s="63"/>
      <c r="C635" s="39"/>
      <c r="D635" s="6"/>
      <c r="E635" s="149"/>
      <c r="F635" s="153"/>
      <c r="G635" s="1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5"/>
      <c r="V635" s="5"/>
      <c r="W635" s="13"/>
      <c r="X635" s="4"/>
      <c r="Y635" s="4"/>
      <c r="Z635" s="4"/>
      <c r="AA635" s="6"/>
      <c r="AB635" s="5"/>
      <c r="AC635" s="9"/>
      <c r="AD635" s="9"/>
      <c r="AE635" s="9"/>
      <c r="AF635" s="9"/>
      <c r="AG635" s="64"/>
      <c r="AH635" s="3"/>
      <c r="AI635" s="2"/>
      <c r="AJ635" s="2"/>
      <c r="AK635" s="2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3.5" customHeight="1" x14ac:dyDescent="0.35">
      <c r="A636" s="49"/>
      <c r="B636" s="49"/>
      <c r="C636" s="39"/>
      <c r="D636" s="1"/>
      <c r="E636" s="149"/>
      <c r="F636" s="153"/>
      <c r="G636" s="10"/>
      <c r="H636" s="17"/>
      <c r="I636" s="17"/>
      <c r="J636" s="17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29"/>
      <c r="X636" s="15"/>
      <c r="Y636" s="30"/>
      <c r="Z636" s="30"/>
      <c r="AA636" s="30"/>
      <c r="AB636" s="30"/>
      <c r="AC636" s="17"/>
      <c r="AD636" s="17"/>
      <c r="AE636" s="17"/>
      <c r="AF636" s="17"/>
      <c r="AG636" s="21"/>
      <c r="AH636" s="21"/>
      <c r="AI636" s="21"/>
      <c r="AJ636" s="21"/>
      <c r="AK636" s="21"/>
      <c r="AL636" s="21"/>
      <c r="AM636" s="21"/>
      <c r="AN636" s="21"/>
      <c r="AO636" s="22"/>
      <c r="AP636" s="21"/>
      <c r="AQ636" s="22"/>
      <c r="AR636" s="21"/>
      <c r="AS636" s="21"/>
      <c r="AT636" s="21"/>
      <c r="AU636" s="21"/>
      <c r="AV636" s="21"/>
      <c r="AW636" s="21"/>
      <c r="AX636" s="22"/>
      <c r="AY636" s="21"/>
      <c r="AZ636" s="22"/>
      <c r="BA636" s="21"/>
      <c r="BB636" s="21"/>
      <c r="BC636" s="21"/>
      <c r="BD636" s="21"/>
      <c r="BE636" s="26"/>
      <c r="BF636" s="26"/>
      <c r="BG636" s="62"/>
    </row>
    <row r="637" spans="1:59" s="14" customFormat="1" x14ac:dyDescent="0.3">
      <c r="A637" s="6"/>
      <c r="B637" s="6"/>
      <c r="C637" s="39"/>
      <c r="D637" s="6"/>
      <c r="E637" s="149"/>
      <c r="F637" s="153"/>
      <c r="G637" s="1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12"/>
      <c r="X637" s="33"/>
      <c r="Y637" s="6"/>
      <c r="Z637" s="6"/>
      <c r="AA637" s="6"/>
      <c r="AB637" s="6"/>
      <c r="AC637" s="9"/>
      <c r="AD637" s="9"/>
      <c r="AE637" s="9"/>
      <c r="AF637" s="9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x14ac:dyDescent="0.3">
      <c r="A638" s="63"/>
      <c r="B638" s="63"/>
      <c r="C638" s="39"/>
      <c r="D638" s="6"/>
      <c r="E638" s="149"/>
      <c r="F638" s="153"/>
      <c r="G638" s="1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5"/>
      <c r="V638" s="5"/>
      <c r="W638" s="13"/>
      <c r="X638" s="4"/>
      <c r="Y638" s="4"/>
      <c r="Z638" s="4"/>
      <c r="AA638" s="6"/>
      <c r="AB638" s="5"/>
      <c r="AC638" s="9"/>
      <c r="AD638" s="9"/>
      <c r="AE638" s="9"/>
      <c r="AF638" s="9"/>
      <c r="AG638" s="64"/>
      <c r="AH638" s="3"/>
      <c r="AI638" s="2"/>
      <c r="AJ638" s="2"/>
      <c r="AK638" s="2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x14ac:dyDescent="0.3">
      <c r="A639" s="63"/>
      <c r="B639" s="63"/>
      <c r="C639" s="39"/>
      <c r="D639" s="6"/>
      <c r="E639" s="149"/>
      <c r="F639" s="153"/>
      <c r="G639" s="1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5"/>
      <c r="V639" s="5"/>
      <c r="W639" s="13"/>
      <c r="X639" s="4"/>
      <c r="Y639" s="4"/>
      <c r="Z639" s="4"/>
      <c r="AA639" s="6"/>
      <c r="AB639" s="5"/>
      <c r="AC639" s="9"/>
      <c r="AD639" s="9"/>
      <c r="AE639" s="9"/>
      <c r="AF639" s="9"/>
      <c r="AG639" s="64"/>
      <c r="AH639" s="3"/>
      <c r="AI639" s="2"/>
      <c r="AJ639" s="2"/>
      <c r="AK639" s="2"/>
      <c r="AL639" s="3"/>
      <c r="AM639" s="3"/>
      <c r="AN639" s="3"/>
      <c r="AO639" s="3"/>
      <c r="AP639" s="3"/>
      <c r="AQ639" s="3"/>
      <c r="AR639" s="21"/>
      <c r="AS639" s="21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3.5" customHeight="1" x14ac:dyDescent="0.35">
      <c r="A640" s="49"/>
      <c r="B640" s="49"/>
      <c r="C640" s="14"/>
      <c r="D640" s="1"/>
      <c r="E640" s="149"/>
      <c r="F640" s="153"/>
      <c r="G640" s="10"/>
      <c r="H640" s="17"/>
      <c r="I640" s="17"/>
      <c r="J640" s="17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29"/>
      <c r="X640" s="15"/>
      <c r="Y640" s="30"/>
      <c r="Z640" s="30"/>
      <c r="AA640" s="30"/>
      <c r="AB640" s="30"/>
      <c r="AC640" s="17"/>
      <c r="AD640" s="17"/>
      <c r="AE640" s="17"/>
      <c r="AF640" s="17"/>
      <c r="AG640" s="21"/>
      <c r="AH640" s="21"/>
      <c r="AI640" s="21"/>
      <c r="AJ640" s="21"/>
      <c r="AK640" s="21"/>
      <c r="AL640" s="21"/>
      <c r="AM640" s="21"/>
      <c r="AN640" s="21"/>
      <c r="AO640" s="22"/>
      <c r="AP640" s="21"/>
      <c r="AQ640" s="22"/>
      <c r="AR640" s="21"/>
      <c r="AS640" s="21"/>
      <c r="AT640" s="21"/>
      <c r="AU640" s="21"/>
      <c r="AV640" s="21"/>
      <c r="AW640" s="21"/>
      <c r="AX640" s="22"/>
      <c r="AY640" s="21"/>
      <c r="AZ640" s="22"/>
      <c r="BA640" s="21"/>
      <c r="BB640" s="21"/>
      <c r="BC640" s="21"/>
      <c r="BD640" s="21"/>
      <c r="BE640" s="26"/>
      <c r="BF640" s="26"/>
      <c r="BG640" s="62"/>
    </row>
    <row r="641" spans="1:59" x14ac:dyDescent="0.3">
      <c r="A641" s="63"/>
      <c r="B641" s="63"/>
      <c r="C641" s="39"/>
      <c r="D641" s="6"/>
      <c r="E641" s="149"/>
      <c r="F641" s="153"/>
      <c r="G641" s="1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5"/>
      <c r="V641" s="5"/>
      <c r="W641" s="13"/>
      <c r="X641" s="4"/>
      <c r="Y641" s="4"/>
      <c r="Z641" s="4"/>
      <c r="AA641" s="6"/>
      <c r="AB641" s="5"/>
      <c r="AC641" s="9"/>
      <c r="AD641" s="9"/>
      <c r="AE641" s="9"/>
      <c r="AF641" s="9"/>
      <c r="AG641" s="64"/>
      <c r="AH641" s="3"/>
      <c r="AI641" s="2"/>
      <c r="AJ641" s="2"/>
      <c r="AK641" s="2"/>
      <c r="AL641" s="3"/>
      <c r="AM641" s="3"/>
      <c r="AN641" s="3"/>
      <c r="AO641" s="3"/>
      <c r="AP641" s="3"/>
      <c r="AQ641" s="3"/>
      <c r="AR641" s="21"/>
      <c r="AS641" s="21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x14ac:dyDescent="0.3">
      <c r="A642" s="6"/>
      <c r="B642" s="6"/>
      <c r="C642" s="39"/>
      <c r="D642" s="6"/>
      <c r="E642" s="149"/>
      <c r="F642" s="153"/>
      <c r="G642" s="1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12"/>
      <c r="Y642" s="6"/>
      <c r="Z642" s="6"/>
      <c r="AA642" s="6"/>
      <c r="AB642" s="6"/>
      <c r="AC642" s="9"/>
      <c r="AD642" s="9"/>
      <c r="AE642" s="9"/>
      <c r="AF642" s="9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21"/>
      <c r="AS642" s="21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3.5" customHeight="1" x14ac:dyDescent="0.35">
      <c r="A643" s="49"/>
      <c r="B643" s="49"/>
      <c r="C643" s="14"/>
      <c r="D643" s="1"/>
      <c r="E643" s="149"/>
      <c r="F643" s="153"/>
      <c r="G643" s="10"/>
      <c r="H643" s="17"/>
      <c r="I643" s="17"/>
      <c r="J643" s="17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29"/>
      <c r="X643" s="15"/>
      <c r="Y643" s="30"/>
      <c r="Z643" s="30"/>
      <c r="AA643" s="30"/>
      <c r="AB643" s="30"/>
      <c r="AC643" s="17"/>
      <c r="AD643" s="17"/>
      <c r="AE643" s="17"/>
      <c r="AF643" s="17"/>
      <c r="AG643" s="21"/>
      <c r="AH643" s="21"/>
      <c r="AI643" s="21"/>
      <c r="AJ643" s="21"/>
      <c r="AK643" s="21"/>
      <c r="AL643" s="21"/>
      <c r="AM643" s="21"/>
      <c r="AN643" s="21"/>
      <c r="AO643" s="22"/>
      <c r="AP643" s="21"/>
      <c r="AQ643" s="22"/>
      <c r="AR643" s="21"/>
      <c r="AS643" s="21"/>
      <c r="AT643" s="21"/>
      <c r="AU643" s="21"/>
      <c r="AV643" s="21"/>
      <c r="AW643" s="21"/>
      <c r="AX643" s="22"/>
      <c r="AY643" s="21"/>
      <c r="AZ643" s="22"/>
      <c r="BA643" s="21"/>
      <c r="BB643" s="21"/>
      <c r="BC643" s="21"/>
      <c r="BD643" s="21"/>
      <c r="BE643" s="26"/>
      <c r="BF643" s="26"/>
      <c r="BG643" s="62"/>
    </row>
    <row r="644" spans="1:59" x14ac:dyDescent="0.3">
      <c r="A644" s="6"/>
      <c r="B644" s="6"/>
      <c r="C644" s="39"/>
      <c r="D644" s="6"/>
      <c r="E644" s="149"/>
      <c r="F644" s="153"/>
      <c r="G644" s="1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5"/>
      <c r="V644" s="5"/>
      <c r="W644" s="13"/>
      <c r="X644" s="4"/>
      <c r="Y644" s="4"/>
      <c r="Z644" s="4"/>
      <c r="AA644" s="6"/>
      <c r="AB644" s="5"/>
      <c r="AC644" s="9"/>
      <c r="AD644" s="9"/>
      <c r="AE644" s="9"/>
      <c r="AF644" s="9"/>
      <c r="AG644" s="2"/>
      <c r="AH644" s="3"/>
      <c r="AI644" s="2"/>
      <c r="AJ644" s="2"/>
      <c r="AK644" s="2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3.5" customHeight="1" x14ac:dyDescent="0.35">
      <c r="A645" s="49"/>
      <c r="B645" s="49"/>
      <c r="C645" s="14"/>
      <c r="D645" s="1"/>
      <c r="E645" s="149"/>
      <c r="F645" s="153"/>
      <c r="G645" s="10"/>
      <c r="H645" s="17"/>
      <c r="I645" s="17"/>
      <c r="J645" s="17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29"/>
      <c r="X645" s="15"/>
      <c r="Y645" s="30"/>
      <c r="Z645" s="30"/>
      <c r="AA645" s="30"/>
      <c r="AB645" s="30"/>
      <c r="AC645" s="17"/>
      <c r="AD645" s="17"/>
      <c r="AE645" s="17"/>
      <c r="AF645" s="17"/>
      <c r="AG645" s="21"/>
      <c r="AH645" s="21"/>
      <c r="AI645" s="21"/>
      <c r="AJ645" s="21"/>
      <c r="AK645" s="21"/>
      <c r="AL645" s="21"/>
      <c r="AM645" s="21"/>
      <c r="AN645" s="21"/>
      <c r="AO645" s="22"/>
      <c r="AP645" s="21"/>
      <c r="AQ645" s="22"/>
      <c r="AR645" s="21"/>
      <c r="AS645" s="21"/>
      <c r="AT645" s="21"/>
      <c r="AU645" s="21"/>
      <c r="AV645" s="21"/>
      <c r="AW645" s="21"/>
      <c r="AX645" s="22"/>
      <c r="AY645" s="21"/>
      <c r="AZ645" s="22"/>
      <c r="BA645" s="21"/>
      <c r="BB645" s="21"/>
      <c r="BC645" s="21"/>
      <c r="BD645" s="21"/>
      <c r="BE645" s="26"/>
      <c r="BF645" s="26"/>
      <c r="BG645" s="62"/>
    </row>
    <row r="646" spans="1:59" x14ac:dyDescent="0.3">
      <c r="A646" s="6"/>
      <c r="B646" s="6"/>
      <c r="C646" s="39"/>
      <c r="D646" s="6"/>
      <c r="E646" s="149"/>
      <c r="F646" s="153"/>
      <c r="G646" s="1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12"/>
      <c r="Y646" s="6"/>
      <c r="Z646" s="6"/>
      <c r="AA646" s="6"/>
      <c r="AB646" s="6"/>
      <c r="AC646" s="9"/>
      <c r="AD646" s="9"/>
      <c r="AE646" s="9"/>
      <c r="AF646" s="9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21"/>
      <c r="AS646" s="21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x14ac:dyDescent="0.3">
      <c r="A647" s="6"/>
      <c r="B647" s="6"/>
      <c r="C647" s="39"/>
      <c r="D647" s="6"/>
      <c r="E647" s="149"/>
      <c r="F647" s="153"/>
      <c r="G647" s="1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5"/>
      <c r="V647" s="5"/>
      <c r="W647" s="13"/>
      <c r="X647" s="4"/>
      <c r="Y647" s="4"/>
      <c r="Z647" s="4"/>
      <c r="AA647" s="6"/>
      <c r="AB647" s="5"/>
      <c r="AC647" s="9"/>
      <c r="AD647" s="9"/>
      <c r="AE647" s="9"/>
      <c r="AF647" s="9"/>
      <c r="AG647" s="2"/>
      <c r="AH647" s="3"/>
      <c r="AI647" s="2"/>
      <c r="AJ647" s="2"/>
      <c r="AK647" s="2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x14ac:dyDescent="0.3">
      <c r="A648" s="6"/>
      <c r="B648" s="6"/>
      <c r="C648" s="39"/>
      <c r="D648" s="6"/>
      <c r="E648" s="149"/>
      <c r="F648" s="153"/>
      <c r="G648" s="1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12"/>
      <c r="Y648" s="6"/>
      <c r="Z648" s="6"/>
      <c r="AA648" s="6"/>
      <c r="AB648" s="6"/>
      <c r="AC648" s="9"/>
      <c r="AD648" s="9"/>
      <c r="AE648" s="9"/>
      <c r="AF648" s="9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21"/>
      <c r="AS648" s="21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x14ac:dyDescent="0.3">
      <c r="A649" s="6"/>
      <c r="B649" s="6"/>
      <c r="C649" s="39"/>
      <c r="D649" s="6"/>
      <c r="E649" s="149"/>
      <c r="F649" s="153"/>
      <c r="G649" s="1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12"/>
      <c r="Y649" s="6"/>
      <c r="Z649" s="6"/>
      <c r="AA649" s="6"/>
      <c r="AB649" s="6"/>
      <c r="AC649" s="9"/>
      <c r="AD649" s="9"/>
      <c r="AE649" s="9"/>
      <c r="AF649" s="9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21"/>
      <c r="AS649" s="21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x14ac:dyDescent="0.3">
      <c r="A650" s="6"/>
      <c r="B650" s="6"/>
      <c r="C650" s="39"/>
      <c r="D650" s="6"/>
      <c r="E650" s="149"/>
      <c r="F650" s="153"/>
      <c r="G650" s="1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5"/>
      <c r="V650" s="5"/>
      <c r="W650" s="13"/>
      <c r="X650" s="4"/>
      <c r="Y650" s="4"/>
      <c r="Z650" s="4"/>
      <c r="AA650" s="6"/>
      <c r="AB650" s="5"/>
      <c r="AC650" s="9"/>
      <c r="AD650" s="9"/>
      <c r="AE650" s="9"/>
      <c r="AF650" s="9"/>
      <c r="AG650" s="2"/>
      <c r="AH650" s="3"/>
      <c r="AI650" s="2"/>
      <c r="AJ650" s="2"/>
      <c r="AK650" s="2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x14ac:dyDescent="0.3">
      <c r="A651" s="6"/>
      <c r="B651" s="6"/>
      <c r="C651" s="39"/>
      <c r="D651" s="6"/>
      <c r="E651" s="149"/>
      <c r="F651" s="153"/>
      <c r="G651" s="1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12"/>
      <c r="Y651" s="6"/>
      <c r="Z651" s="6"/>
      <c r="AA651" s="6"/>
      <c r="AB651" s="6"/>
      <c r="AC651" s="9"/>
      <c r="AD651" s="9"/>
      <c r="AE651" s="9"/>
      <c r="AF651" s="9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21"/>
      <c r="AS651" s="21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x14ac:dyDescent="0.3">
      <c r="A652" s="63"/>
      <c r="B652" s="63"/>
      <c r="C652" s="39"/>
      <c r="D652" s="6"/>
      <c r="E652" s="149"/>
      <c r="F652" s="153"/>
      <c r="G652" s="1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5"/>
      <c r="V652" s="5"/>
      <c r="W652" s="13"/>
      <c r="X652" s="4"/>
      <c r="Y652" s="4"/>
      <c r="Z652" s="4"/>
      <c r="AA652" s="6"/>
      <c r="AB652" s="5"/>
      <c r="AC652" s="9"/>
      <c r="AD652" s="9"/>
      <c r="AE652" s="9"/>
      <c r="AF652" s="9"/>
      <c r="AG652" s="64"/>
      <c r="AH652" s="3"/>
      <c r="AI652" s="2"/>
      <c r="AJ652" s="2"/>
      <c r="AK652" s="2"/>
      <c r="AL652" s="3"/>
      <c r="AM652" s="3"/>
      <c r="AN652" s="3"/>
      <c r="AO652" s="3"/>
      <c r="AP652" s="3"/>
      <c r="AQ652" s="3"/>
      <c r="AR652" s="21"/>
      <c r="AS652" s="21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x14ac:dyDescent="0.3">
      <c r="A653" s="63"/>
      <c r="B653" s="63"/>
      <c r="C653" s="39"/>
      <c r="D653" s="6"/>
      <c r="E653" s="149"/>
      <c r="F653" s="153"/>
      <c r="G653" s="1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5"/>
      <c r="V653" s="5"/>
      <c r="W653" s="13"/>
      <c r="X653" s="4"/>
      <c r="Y653" s="4"/>
      <c r="Z653" s="4"/>
      <c r="AA653" s="6"/>
      <c r="AB653" s="5"/>
      <c r="AC653" s="9"/>
      <c r="AD653" s="9"/>
      <c r="AE653" s="9"/>
      <c r="AF653" s="9"/>
      <c r="AG653" s="64"/>
      <c r="AH653" s="3"/>
      <c r="AI653" s="2"/>
      <c r="AJ653" s="2"/>
      <c r="AK653" s="2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x14ac:dyDescent="0.3">
      <c r="A654" s="6"/>
      <c r="B654" s="6"/>
      <c r="C654" s="39"/>
      <c r="D654" s="6"/>
      <c r="E654" s="149"/>
      <c r="F654" s="153"/>
      <c r="G654" s="1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12"/>
      <c r="Y654" s="6"/>
      <c r="Z654" s="6"/>
      <c r="AA654" s="6"/>
      <c r="AB654" s="6"/>
      <c r="AC654" s="9"/>
      <c r="AD654" s="9"/>
      <c r="AE654" s="9"/>
      <c r="AF654" s="9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21"/>
      <c r="AS654" s="21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x14ac:dyDescent="0.3">
      <c r="A655" s="6"/>
      <c r="B655" s="6"/>
      <c r="C655" s="39"/>
      <c r="D655" s="6"/>
      <c r="E655" s="149"/>
      <c r="F655" s="153"/>
      <c r="G655" s="1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12"/>
      <c r="Y655" s="6"/>
      <c r="Z655" s="6"/>
      <c r="AA655" s="6"/>
      <c r="AB655" s="6"/>
      <c r="AC655" s="9"/>
      <c r="AD655" s="9"/>
      <c r="AE655" s="9"/>
      <c r="AF655" s="9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21"/>
      <c r="AS655" s="21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x14ac:dyDescent="0.3">
      <c r="A656" s="6"/>
      <c r="B656" s="6"/>
      <c r="C656" s="39"/>
      <c r="D656" s="6"/>
      <c r="E656" s="149"/>
      <c r="F656" s="153"/>
      <c r="G656" s="1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12"/>
      <c r="Y656" s="6"/>
      <c r="Z656" s="6"/>
      <c r="AA656" s="6"/>
      <c r="AB656" s="6"/>
      <c r="AC656" s="9"/>
      <c r="AD656" s="9"/>
      <c r="AE656" s="9"/>
      <c r="AF656" s="9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21"/>
      <c r="AS656" s="21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x14ac:dyDescent="0.3">
      <c r="A657" s="63"/>
      <c r="B657" s="63"/>
      <c r="C657" s="39"/>
      <c r="D657" s="6"/>
      <c r="E657" s="149"/>
      <c r="F657" s="153"/>
      <c r="G657" s="1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5"/>
      <c r="V657" s="5"/>
      <c r="W657" s="13"/>
      <c r="X657" s="4"/>
      <c r="Y657" s="4"/>
      <c r="Z657" s="4"/>
      <c r="AA657" s="6"/>
      <c r="AB657" s="5"/>
      <c r="AC657" s="9"/>
      <c r="AD657" s="9"/>
      <c r="AE657" s="9"/>
      <c r="AF657" s="9"/>
      <c r="AG657" s="64"/>
      <c r="AH657" s="3"/>
      <c r="AI657" s="2"/>
      <c r="AJ657" s="2"/>
      <c r="AK657" s="2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3.5" customHeight="1" x14ac:dyDescent="0.35">
      <c r="A658" s="49"/>
      <c r="B658" s="49"/>
      <c r="C658" s="14"/>
      <c r="D658" s="1"/>
      <c r="E658" s="149"/>
      <c r="F658" s="153"/>
      <c r="G658" s="10"/>
      <c r="H658" s="17"/>
      <c r="I658" s="17"/>
      <c r="J658" s="17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29"/>
      <c r="X658" s="15"/>
      <c r="Y658" s="30"/>
      <c r="Z658" s="30"/>
      <c r="AA658" s="30"/>
      <c r="AB658" s="30"/>
      <c r="AC658" s="17"/>
      <c r="AD658" s="17"/>
      <c r="AE658" s="17"/>
      <c r="AF658" s="17"/>
      <c r="AG658" s="21"/>
      <c r="AH658" s="21"/>
      <c r="AI658" s="21"/>
      <c r="AJ658" s="21"/>
      <c r="AK658" s="21"/>
      <c r="AL658" s="21"/>
      <c r="AM658" s="21"/>
      <c r="AN658" s="21"/>
      <c r="AO658" s="22"/>
      <c r="AP658" s="21"/>
      <c r="AQ658" s="22"/>
      <c r="AR658" s="21"/>
      <c r="AS658" s="21"/>
      <c r="AT658" s="21"/>
      <c r="AU658" s="21"/>
      <c r="AV658" s="21"/>
      <c r="AW658" s="21"/>
      <c r="AX658" s="22"/>
      <c r="AY658" s="21"/>
      <c r="AZ658" s="22"/>
      <c r="BA658" s="21"/>
      <c r="BB658" s="21"/>
      <c r="BC658" s="21"/>
      <c r="BD658" s="21"/>
      <c r="BE658" s="26"/>
      <c r="BF658" s="26"/>
      <c r="BG658" s="62"/>
    </row>
    <row r="659" spans="1:59" x14ac:dyDescent="0.3">
      <c r="A659" s="6"/>
      <c r="B659" s="6"/>
      <c r="C659" s="39"/>
      <c r="D659" s="6"/>
      <c r="E659" s="149"/>
      <c r="F659" s="153"/>
      <c r="G659" s="1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12"/>
      <c r="Y659" s="6"/>
      <c r="Z659" s="6"/>
      <c r="AA659" s="6"/>
      <c r="AB659" s="6"/>
      <c r="AC659" s="9"/>
      <c r="AD659" s="9"/>
      <c r="AE659" s="9"/>
      <c r="AF659" s="9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21"/>
      <c r="AS659" s="21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x14ac:dyDescent="0.3">
      <c r="A660" s="6"/>
      <c r="B660" s="6"/>
      <c r="C660" s="39"/>
      <c r="D660" s="6"/>
      <c r="E660" s="149"/>
      <c r="F660" s="153"/>
      <c r="G660" s="1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12"/>
      <c r="Y660" s="6"/>
      <c r="Z660" s="6"/>
      <c r="AA660" s="6"/>
      <c r="AB660" s="6"/>
      <c r="AC660" s="9"/>
      <c r="AD660" s="9"/>
      <c r="AE660" s="9"/>
      <c r="AF660" s="9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21"/>
      <c r="AS660" s="21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3.5" customHeight="1" x14ac:dyDescent="0.35">
      <c r="A661" s="52"/>
      <c r="B661" s="52"/>
      <c r="C661" s="39"/>
      <c r="D661" s="1"/>
      <c r="E661" s="149"/>
      <c r="F661" s="153"/>
      <c r="G661" s="10"/>
      <c r="H661" s="17"/>
      <c r="I661" s="17"/>
      <c r="J661" s="17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29"/>
      <c r="X661" s="15"/>
      <c r="Y661" s="30"/>
      <c r="Z661" s="30"/>
      <c r="AA661" s="30"/>
      <c r="AB661" s="30"/>
      <c r="AC661" s="17"/>
      <c r="AD661" s="17"/>
      <c r="AE661" s="17"/>
      <c r="AF661" s="17"/>
      <c r="AG661" s="21"/>
      <c r="AH661" s="21"/>
      <c r="AI661" s="21"/>
      <c r="AJ661" s="21"/>
      <c r="AK661" s="21"/>
      <c r="AL661" s="21"/>
      <c r="AM661" s="21"/>
      <c r="AN661" s="21"/>
      <c r="AO661" s="22"/>
      <c r="AP661" s="21"/>
      <c r="AQ661" s="22"/>
      <c r="AR661" s="21"/>
      <c r="AS661" s="21"/>
      <c r="AT661" s="21"/>
      <c r="AU661" s="21"/>
      <c r="AV661" s="21"/>
      <c r="AW661" s="21"/>
      <c r="AX661" s="22"/>
      <c r="AY661" s="21"/>
      <c r="AZ661" s="22"/>
      <c r="BA661" s="21"/>
      <c r="BB661" s="21"/>
      <c r="BC661" s="21"/>
      <c r="BD661" s="21"/>
      <c r="BE661" s="26"/>
      <c r="BF661" s="26"/>
      <c r="BG661" s="62"/>
    </row>
    <row r="662" spans="1:59" ht="13.5" customHeight="1" x14ac:dyDescent="0.35">
      <c r="A662" s="49"/>
      <c r="B662" s="49"/>
      <c r="C662" s="14"/>
      <c r="D662" s="1"/>
      <c r="E662" s="149"/>
      <c r="F662" s="153"/>
      <c r="G662" s="10"/>
      <c r="H662" s="17"/>
      <c r="I662" s="17"/>
      <c r="J662" s="17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29"/>
      <c r="X662" s="15"/>
      <c r="Y662" s="30"/>
      <c r="Z662" s="30"/>
      <c r="AA662" s="30"/>
      <c r="AB662" s="30"/>
      <c r="AC662" s="17"/>
      <c r="AD662" s="17"/>
      <c r="AE662" s="17"/>
      <c r="AF662" s="17"/>
      <c r="AG662" s="21"/>
      <c r="AH662" s="21"/>
      <c r="AI662" s="21"/>
      <c r="AJ662" s="21"/>
      <c r="AK662" s="21"/>
      <c r="AL662" s="21"/>
      <c r="AM662" s="21"/>
      <c r="AN662" s="21"/>
      <c r="AO662" s="22"/>
      <c r="AP662" s="21"/>
      <c r="AQ662" s="22"/>
      <c r="AR662" s="21"/>
      <c r="AS662" s="21"/>
      <c r="AT662" s="21"/>
      <c r="AU662" s="21"/>
      <c r="AV662" s="21"/>
      <c r="AW662" s="21"/>
      <c r="AX662" s="22"/>
      <c r="AY662" s="21"/>
      <c r="AZ662" s="22"/>
      <c r="BA662" s="21"/>
      <c r="BB662" s="21"/>
      <c r="BC662" s="21"/>
      <c r="BD662" s="21"/>
      <c r="BE662" s="26"/>
      <c r="BF662" s="26"/>
      <c r="BG662" s="62"/>
    </row>
    <row r="663" spans="1:59" x14ac:dyDescent="0.3">
      <c r="A663" s="6"/>
      <c r="B663" s="6"/>
      <c r="C663" s="39"/>
      <c r="D663" s="6"/>
      <c r="E663" s="149"/>
      <c r="F663" s="153"/>
      <c r="G663" s="1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12"/>
      <c r="Y663" s="6"/>
      <c r="Z663" s="6"/>
      <c r="AA663" s="6"/>
      <c r="AB663" s="6"/>
      <c r="AC663" s="9"/>
      <c r="AD663" s="9"/>
      <c r="AE663" s="9"/>
      <c r="AF663" s="9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21"/>
      <c r="AS663" s="21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x14ac:dyDescent="0.3">
      <c r="A664" s="6"/>
      <c r="B664" s="6"/>
      <c r="C664" s="39"/>
      <c r="D664" s="6"/>
      <c r="E664" s="149"/>
      <c r="F664" s="153"/>
      <c r="G664" s="1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12"/>
      <c r="Y664" s="6"/>
      <c r="Z664" s="6"/>
      <c r="AA664" s="6"/>
      <c r="AB664" s="6"/>
      <c r="AC664" s="9"/>
      <c r="AD664" s="9"/>
      <c r="AE664" s="9"/>
      <c r="AF664" s="9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21"/>
      <c r="AS664" s="21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x14ac:dyDescent="0.3">
      <c r="A665" s="6"/>
      <c r="B665" s="6"/>
      <c r="C665" s="39"/>
      <c r="D665" s="6"/>
      <c r="E665" s="149"/>
      <c r="F665" s="153"/>
      <c r="G665" s="1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12"/>
      <c r="Y665" s="6"/>
      <c r="Z665" s="6"/>
      <c r="AA665" s="6"/>
      <c r="AB665" s="6"/>
      <c r="AC665" s="9"/>
      <c r="AD665" s="9"/>
      <c r="AE665" s="9"/>
      <c r="AF665" s="9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21"/>
      <c r="AS665" s="21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x14ac:dyDescent="0.3">
      <c r="A666" s="63"/>
      <c r="B666" s="63"/>
      <c r="C666" s="39"/>
      <c r="D666" s="6"/>
      <c r="E666" s="149"/>
      <c r="F666" s="153"/>
      <c r="G666" s="1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5"/>
      <c r="V666" s="5"/>
      <c r="W666" s="13"/>
      <c r="X666" s="4"/>
      <c r="Y666" s="4"/>
      <c r="Z666" s="4"/>
      <c r="AA666" s="6"/>
      <c r="AB666" s="5"/>
      <c r="AC666" s="9"/>
      <c r="AD666" s="9"/>
      <c r="AE666" s="9"/>
      <c r="AF666" s="9"/>
      <c r="AG666" s="64"/>
      <c r="AH666" s="3"/>
      <c r="AI666" s="2"/>
      <c r="AJ666" s="2"/>
      <c r="AK666" s="2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x14ac:dyDescent="0.3">
      <c r="A667" s="63"/>
      <c r="B667" s="63"/>
      <c r="C667" s="39"/>
      <c r="D667" s="6"/>
      <c r="E667" s="149"/>
      <c r="F667" s="153"/>
      <c r="G667" s="1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5"/>
      <c r="V667" s="5"/>
      <c r="W667" s="13"/>
      <c r="X667" s="4"/>
      <c r="Y667" s="4"/>
      <c r="Z667" s="4"/>
      <c r="AA667" s="6"/>
      <c r="AB667" s="5"/>
      <c r="AC667" s="9"/>
      <c r="AD667" s="9"/>
      <c r="AE667" s="9"/>
      <c r="AF667" s="9"/>
      <c r="AG667" s="64"/>
      <c r="AH667" s="3"/>
      <c r="AI667" s="2"/>
      <c r="AJ667" s="2"/>
      <c r="AK667" s="2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x14ac:dyDescent="0.3">
      <c r="A668" s="6"/>
      <c r="B668" s="6"/>
      <c r="C668" s="39"/>
      <c r="D668" s="6"/>
      <c r="E668" s="149"/>
      <c r="F668" s="153"/>
      <c r="G668" s="1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12"/>
      <c r="Y668" s="6"/>
      <c r="Z668" s="6"/>
      <c r="AA668" s="6"/>
      <c r="AB668" s="6"/>
      <c r="AC668" s="9"/>
      <c r="AD668" s="9"/>
      <c r="AE668" s="9"/>
      <c r="AF668" s="9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21"/>
      <c r="AS668" s="21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x14ac:dyDescent="0.3">
      <c r="A669" s="6"/>
      <c r="B669" s="6"/>
      <c r="C669" s="39"/>
      <c r="D669" s="6"/>
      <c r="E669" s="149"/>
      <c r="F669" s="153"/>
      <c r="G669" s="1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12"/>
      <c r="Y669" s="6"/>
      <c r="Z669" s="6"/>
      <c r="AA669" s="6"/>
      <c r="AB669" s="6"/>
      <c r="AC669" s="9"/>
      <c r="AD669" s="9"/>
      <c r="AE669" s="9"/>
      <c r="AF669" s="9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21"/>
      <c r="AS669" s="21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x14ac:dyDescent="0.3">
      <c r="A670" s="63"/>
      <c r="B670" s="63"/>
      <c r="C670" s="39"/>
      <c r="D670" s="6"/>
      <c r="E670" s="149"/>
      <c r="F670" s="153"/>
      <c r="G670" s="1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5"/>
      <c r="V670" s="5"/>
      <c r="W670" s="13"/>
      <c r="X670" s="4"/>
      <c r="Y670" s="4"/>
      <c r="Z670" s="4"/>
      <c r="AA670" s="6"/>
      <c r="AB670" s="5"/>
      <c r="AC670" s="9"/>
      <c r="AD670" s="9"/>
      <c r="AE670" s="9"/>
      <c r="AF670" s="9"/>
      <c r="AG670" s="64"/>
      <c r="AH670" s="3"/>
      <c r="AI670" s="2"/>
      <c r="AJ670" s="2"/>
      <c r="AK670" s="2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x14ac:dyDescent="0.3">
      <c r="A671" s="6"/>
      <c r="B671" s="6"/>
      <c r="C671" s="39"/>
      <c r="D671" s="6"/>
      <c r="E671" s="149"/>
      <c r="F671" s="153"/>
      <c r="G671" s="1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5"/>
      <c r="V671" s="5"/>
      <c r="W671" s="13"/>
      <c r="X671" s="4"/>
      <c r="Y671" s="4"/>
      <c r="Z671" s="4"/>
      <c r="AA671" s="6"/>
      <c r="AB671" s="5"/>
      <c r="AC671" s="9"/>
      <c r="AD671" s="9"/>
      <c r="AE671" s="9"/>
      <c r="AF671" s="9"/>
      <c r="AG671" s="2"/>
      <c r="AH671" s="3"/>
      <c r="AI671" s="2"/>
      <c r="AJ671" s="2"/>
      <c r="AK671" s="2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x14ac:dyDescent="0.3">
      <c r="A672" s="6"/>
      <c r="B672" s="6"/>
      <c r="C672" s="39"/>
      <c r="D672" s="6"/>
      <c r="E672" s="149"/>
      <c r="F672" s="153"/>
      <c r="G672" s="1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12"/>
      <c r="Y672" s="6"/>
      <c r="Z672" s="6"/>
      <c r="AA672" s="6"/>
      <c r="AB672" s="6"/>
      <c r="AC672" s="9"/>
      <c r="AD672" s="9"/>
      <c r="AE672" s="9"/>
      <c r="AF672" s="9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21"/>
      <c r="AS672" s="21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3.5" customHeight="1" x14ac:dyDescent="0.35">
      <c r="A673" s="49"/>
      <c r="B673" s="49"/>
      <c r="C673" s="14"/>
      <c r="D673" s="1"/>
      <c r="E673" s="149"/>
      <c r="F673" s="153"/>
      <c r="G673" s="10"/>
      <c r="H673" s="17"/>
      <c r="I673" s="17"/>
      <c r="J673" s="17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29"/>
      <c r="X673" s="15"/>
      <c r="Y673" s="30"/>
      <c r="Z673" s="30"/>
      <c r="AA673" s="30"/>
      <c r="AB673" s="30"/>
      <c r="AC673" s="17"/>
      <c r="AD673" s="17"/>
      <c r="AE673" s="17"/>
      <c r="AF673" s="17"/>
      <c r="AG673" s="21"/>
      <c r="AH673" s="21"/>
      <c r="AI673" s="21"/>
      <c r="AJ673" s="21"/>
      <c r="AK673" s="21"/>
      <c r="AL673" s="21"/>
      <c r="AM673" s="21"/>
      <c r="AN673" s="21"/>
      <c r="AO673" s="22"/>
      <c r="AP673" s="21"/>
      <c r="AQ673" s="22"/>
      <c r="AR673" s="21"/>
      <c r="AS673" s="21"/>
      <c r="AT673" s="21"/>
      <c r="AU673" s="21"/>
      <c r="AV673" s="21"/>
      <c r="AW673" s="21"/>
      <c r="AX673" s="22"/>
      <c r="AY673" s="21"/>
      <c r="AZ673" s="22"/>
      <c r="BA673" s="21"/>
      <c r="BB673" s="21"/>
      <c r="BC673" s="21"/>
      <c r="BD673" s="21"/>
      <c r="BE673" s="26"/>
      <c r="BF673" s="26"/>
      <c r="BG673" s="62"/>
    </row>
    <row r="674" spans="1:59" x14ac:dyDescent="0.3">
      <c r="A674" s="6"/>
      <c r="B674" s="6"/>
      <c r="C674" s="39"/>
      <c r="D674" s="6"/>
      <c r="E674" s="149"/>
      <c r="F674" s="153"/>
      <c r="G674" s="1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12"/>
      <c r="Y674" s="6"/>
      <c r="Z674" s="6"/>
      <c r="AA674" s="6"/>
      <c r="AB674" s="6"/>
      <c r="AC674" s="9"/>
      <c r="AD674" s="9"/>
      <c r="AE674" s="9"/>
      <c r="AF674" s="9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21"/>
      <c r="AS674" s="21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x14ac:dyDescent="0.3">
      <c r="A675" s="6"/>
      <c r="B675" s="6"/>
      <c r="C675" s="39"/>
      <c r="D675" s="6"/>
      <c r="E675" s="149"/>
      <c r="F675" s="153"/>
      <c r="G675" s="1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5"/>
      <c r="V675" s="5"/>
      <c r="W675" s="13"/>
      <c r="X675" s="4"/>
      <c r="Y675" s="4"/>
      <c r="Z675" s="4"/>
      <c r="AA675" s="6"/>
      <c r="AB675" s="5"/>
      <c r="AC675" s="9"/>
      <c r="AD675" s="9"/>
      <c r="AE675" s="9"/>
      <c r="AF675" s="9"/>
      <c r="AG675" s="2"/>
      <c r="AH675" s="3"/>
      <c r="AI675" s="2"/>
      <c r="AJ675" s="2"/>
      <c r="AK675" s="2"/>
      <c r="AL675" s="3"/>
      <c r="AM675" s="3"/>
      <c r="AN675" s="3"/>
      <c r="AO675" s="3"/>
      <c r="AP675" s="3"/>
      <c r="AQ675" s="3"/>
      <c r="AR675" s="21"/>
      <c r="AS675" s="21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x14ac:dyDescent="0.3">
      <c r="A676" s="6"/>
      <c r="B676" s="6"/>
      <c r="C676" s="39"/>
      <c r="D676" s="6"/>
      <c r="E676" s="149"/>
      <c r="F676" s="153"/>
      <c r="G676" s="1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12"/>
      <c r="Y676" s="6"/>
      <c r="Z676" s="6"/>
      <c r="AA676" s="6"/>
      <c r="AB676" s="6"/>
      <c r="AC676" s="9"/>
      <c r="AD676" s="9"/>
      <c r="AE676" s="9"/>
      <c r="AF676" s="9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21"/>
      <c r="AS676" s="21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3.5" customHeight="1" x14ac:dyDescent="0.35">
      <c r="A677" s="49"/>
      <c r="B677" s="49"/>
      <c r="C677" s="14"/>
      <c r="D677" s="1"/>
      <c r="E677" s="149"/>
      <c r="F677" s="153"/>
      <c r="G677" s="10"/>
      <c r="H677" s="17"/>
      <c r="I677" s="17"/>
      <c r="J677" s="17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29"/>
      <c r="X677" s="15"/>
      <c r="Y677" s="30"/>
      <c r="Z677" s="30"/>
      <c r="AA677" s="30"/>
      <c r="AB677" s="30"/>
      <c r="AC677" s="17"/>
      <c r="AD677" s="17"/>
      <c r="AE677" s="17"/>
      <c r="AF677" s="17"/>
      <c r="AG677" s="21"/>
      <c r="AH677" s="21"/>
      <c r="AI677" s="21"/>
      <c r="AJ677" s="21"/>
      <c r="AK677" s="21"/>
      <c r="AL677" s="21"/>
      <c r="AM677" s="21"/>
      <c r="AN677" s="21"/>
      <c r="AO677" s="22"/>
      <c r="AP677" s="21"/>
      <c r="AQ677" s="22"/>
      <c r="AR677" s="21"/>
      <c r="AS677" s="21"/>
      <c r="AT677" s="21"/>
      <c r="AU677" s="21"/>
      <c r="AV677" s="21"/>
      <c r="AW677" s="21"/>
      <c r="AX677" s="22"/>
      <c r="AY677" s="21"/>
      <c r="AZ677" s="22"/>
      <c r="BA677" s="21"/>
      <c r="BB677" s="21"/>
      <c r="BC677" s="21"/>
      <c r="BD677" s="21"/>
      <c r="BE677" s="26"/>
      <c r="BF677" s="26"/>
      <c r="BG677" s="62"/>
    </row>
    <row r="678" spans="1:59" ht="13.5" customHeight="1" x14ac:dyDescent="0.35">
      <c r="A678" s="49"/>
      <c r="B678" s="49"/>
      <c r="C678" s="14"/>
      <c r="D678" s="1"/>
      <c r="E678" s="149"/>
      <c r="F678" s="153"/>
      <c r="G678" s="10"/>
      <c r="H678" s="17"/>
      <c r="I678" s="17"/>
      <c r="J678" s="17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29"/>
      <c r="X678" s="15"/>
      <c r="Y678" s="30"/>
      <c r="Z678" s="30"/>
      <c r="AA678" s="30"/>
      <c r="AB678" s="30"/>
      <c r="AC678" s="17"/>
      <c r="AD678" s="17"/>
      <c r="AE678" s="17"/>
      <c r="AF678" s="17"/>
      <c r="AG678" s="21"/>
      <c r="AH678" s="21"/>
      <c r="AI678" s="21"/>
      <c r="AJ678" s="21"/>
      <c r="AK678" s="21"/>
      <c r="AL678" s="21"/>
      <c r="AM678" s="21"/>
      <c r="AN678" s="21"/>
      <c r="AO678" s="22"/>
      <c r="AP678" s="21"/>
      <c r="AQ678" s="22"/>
      <c r="AR678" s="21"/>
      <c r="AS678" s="21"/>
      <c r="AT678" s="21"/>
      <c r="AU678" s="21"/>
      <c r="AV678" s="21"/>
      <c r="AW678" s="21"/>
      <c r="AX678" s="22"/>
      <c r="AY678" s="21"/>
      <c r="AZ678" s="22"/>
      <c r="BA678" s="21"/>
      <c r="BB678" s="21"/>
      <c r="BC678" s="21"/>
      <c r="BD678" s="21"/>
      <c r="BE678" s="26"/>
      <c r="BF678" s="26"/>
      <c r="BG678" s="62"/>
    </row>
    <row r="679" spans="1:59" x14ac:dyDescent="0.3">
      <c r="A679" s="63"/>
      <c r="B679" s="63"/>
      <c r="C679" s="39"/>
      <c r="D679" s="6"/>
      <c r="E679" s="149"/>
      <c r="F679" s="153"/>
      <c r="G679" s="1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5"/>
      <c r="V679" s="5"/>
      <c r="W679" s="13"/>
      <c r="X679" s="4"/>
      <c r="Y679" s="4"/>
      <c r="Z679" s="4"/>
      <c r="AA679" s="6"/>
      <c r="AB679" s="5"/>
      <c r="AC679" s="9"/>
      <c r="AD679" s="9"/>
      <c r="AE679" s="9"/>
      <c r="AF679" s="9"/>
      <c r="AG679" s="64"/>
      <c r="AH679" s="3"/>
      <c r="AI679" s="2"/>
      <c r="AJ679" s="2"/>
      <c r="AK679" s="2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x14ac:dyDescent="0.3">
      <c r="A680" s="6"/>
      <c r="B680" s="6"/>
      <c r="C680" s="39"/>
      <c r="D680" s="6"/>
      <c r="E680" s="149"/>
      <c r="F680" s="153"/>
      <c r="G680" s="1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12"/>
      <c r="Y680" s="6"/>
      <c r="Z680" s="6"/>
      <c r="AA680" s="6"/>
      <c r="AB680" s="6"/>
      <c r="AC680" s="9"/>
      <c r="AD680" s="9"/>
      <c r="AE680" s="9"/>
      <c r="AF680" s="9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21"/>
      <c r="AS680" s="21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x14ac:dyDescent="0.3">
      <c r="A681" s="63"/>
      <c r="B681" s="63"/>
      <c r="C681" s="39"/>
      <c r="D681" s="6"/>
      <c r="E681" s="149"/>
      <c r="F681" s="153"/>
      <c r="G681" s="1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5"/>
      <c r="V681" s="5"/>
      <c r="W681" s="13"/>
      <c r="X681" s="4"/>
      <c r="Y681" s="4"/>
      <c r="Z681" s="4"/>
      <c r="AA681" s="6"/>
      <c r="AB681" s="5"/>
      <c r="AC681" s="9"/>
      <c r="AD681" s="9"/>
      <c r="AE681" s="9"/>
      <c r="AF681" s="9"/>
      <c r="AG681" s="64"/>
      <c r="AH681" s="3"/>
      <c r="AI681" s="2"/>
      <c r="AJ681" s="2"/>
      <c r="AK681" s="2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3.5" customHeight="1" x14ac:dyDescent="0.35">
      <c r="A682" s="49"/>
      <c r="B682" s="49"/>
      <c r="C682" s="14"/>
      <c r="D682" s="1"/>
      <c r="E682" s="149"/>
      <c r="F682" s="153"/>
      <c r="G682" s="10"/>
      <c r="H682" s="17"/>
      <c r="I682" s="17"/>
      <c r="J682" s="17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29"/>
      <c r="X682" s="15"/>
      <c r="Y682" s="30"/>
      <c r="Z682" s="30"/>
      <c r="AA682" s="30"/>
      <c r="AB682" s="30"/>
      <c r="AC682" s="17"/>
      <c r="AD682" s="17"/>
      <c r="AE682" s="17"/>
      <c r="AF682" s="17"/>
      <c r="AG682" s="21"/>
      <c r="AH682" s="21"/>
      <c r="AI682" s="21"/>
      <c r="AJ682" s="21"/>
      <c r="AK682" s="21"/>
      <c r="AL682" s="21"/>
      <c r="AM682" s="21"/>
      <c r="AN682" s="21"/>
      <c r="AO682" s="22"/>
      <c r="AP682" s="21"/>
      <c r="AQ682" s="22"/>
      <c r="AR682" s="21"/>
      <c r="AS682" s="21"/>
      <c r="AT682" s="21"/>
      <c r="AU682" s="21"/>
      <c r="AV682" s="21"/>
      <c r="AW682" s="21"/>
      <c r="AX682" s="22"/>
      <c r="AY682" s="21"/>
      <c r="AZ682" s="22"/>
      <c r="BA682" s="21"/>
      <c r="BB682" s="21"/>
      <c r="BC682" s="21"/>
      <c r="BD682" s="21"/>
      <c r="BE682" s="26"/>
      <c r="BF682" s="26"/>
      <c r="BG682" s="62"/>
    </row>
    <row r="683" spans="1:59" ht="13.5" customHeight="1" x14ac:dyDescent="0.35">
      <c r="A683" s="49"/>
      <c r="B683" s="49"/>
      <c r="C683" s="14"/>
      <c r="D683" s="1"/>
      <c r="E683" s="149"/>
      <c r="F683" s="153"/>
      <c r="G683" s="10"/>
      <c r="H683" s="17"/>
      <c r="I683" s="17"/>
      <c r="J683" s="17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29"/>
      <c r="X683" s="15"/>
      <c r="Y683" s="30"/>
      <c r="Z683" s="30"/>
      <c r="AA683" s="30"/>
      <c r="AB683" s="30"/>
      <c r="AC683" s="17"/>
      <c r="AD683" s="17"/>
      <c r="AE683" s="17"/>
      <c r="AF683" s="17"/>
      <c r="AG683" s="21"/>
      <c r="AH683" s="21"/>
      <c r="AI683" s="21"/>
      <c r="AJ683" s="21"/>
      <c r="AK683" s="21"/>
      <c r="AL683" s="21"/>
      <c r="AM683" s="21"/>
      <c r="AN683" s="21"/>
      <c r="AO683" s="22"/>
      <c r="AP683" s="21"/>
      <c r="AQ683" s="22"/>
      <c r="AR683" s="21"/>
      <c r="AS683" s="21"/>
      <c r="AT683" s="21"/>
      <c r="AU683" s="21"/>
      <c r="AV683" s="21"/>
      <c r="AW683" s="21"/>
      <c r="AX683" s="22"/>
      <c r="AY683" s="21"/>
      <c r="AZ683" s="22"/>
      <c r="BA683" s="21"/>
      <c r="BB683" s="21"/>
      <c r="BC683" s="21"/>
      <c r="BD683" s="21"/>
      <c r="BE683" s="26"/>
      <c r="BF683" s="26"/>
      <c r="BG683" s="62"/>
    </row>
    <row r="684" spans="1:59" x14ac:dyDescent="0.3">
      <c r="A684" s="6"/>
      <c r="B684" s="6"/>
      <c r="C684" s="39"/>
      <c r="D684" s="6"/>
      <c r="E684" s="149"/>
      <c r="F684" s="153"/>
      <c r="G684" s="1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5"/>
      <c r="V684" s="5"/>
      <c r="W684" s="13"/>
      <c r="X684" s="4"/>
      <c r="Y684" s="4"/>
      <c r="Z684" s="4"/>
      <c r="AA684" s="6"/>
      <c r="AB684" s="5"/>
      <c r="AC684" s="9"/>
      <c r="AD684" s="9"/>
      <c r="AE684" s="9"/>
      <c r="AF684" s="9"/>
      <c r="AG684" s="2"/>
      <c r="AH684" s="3"/>
      <c r="AI684" s="2"/>
      <c r="AJ684" s="2"/>
      <c r="AK684" s="2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3.5" customHeight="1" x14ac:dyDescent="0.35">
      <c r="A685" s="49"/>
      <c r="B685" s="49"/>
      <c r="C685" s="14"/>
      <c r="D685" s="1"/>
      <c r="E685" s="149"/>
      <c r="F685" s="153"/>
      <c r="G685" s="10"/>
      <c r="H685" s="17"/>
      <c r="I685" s="17"/>
      <c r="J685" s="17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29"/>
      <c r="X685" s="15"/>
      <c r="Y685" s="30"/>
      <c r="Z685" s="30"/>
      <c r="AA685" s="30"/>
      <c r="AB685" s="30"/>
      <c r="AC685" s="17"/>
      <c r="AD685" s="17"/>
      <c r="AE685" s="17"/>
      <c r="AF685" s="17"/>
      <c r="AG685" s="21"/>
      <c r="AH685" s="21"/>
      <c r="AI685" s="21"/>
      <c r="AJ685" s="21"/>
      <c r="AK685" s="21"/>
      <c r="AL685" s="21"/>
      <c r="AM685" s="21"/>
      <c r="AN685" s="21"/>
      <c r="AO685" s="22"/>
      <c r="AP685" s="21"/>
      <c r="AQ685" s="22"/>
      <c r="AR685" s="21"/>
      <c r="AS685" s="21"/>
      <c r="AT685" s="21"/>
      <c r="AU685" s="21"/>
      <c r="AV685" s="21"/>
      <c r="AW685" s="21"/>
      <c r="AX685" s="22"/>
      <c r="AY685" s="21"/>
      <c r="AZ685" s="22"/>
      <c r="BA685" s="21"/>
      <c r="BB685" s="21"/>
      <c r="BC685" s="21"/>
      <c r="BD685" s="21"/>
      <c r="BE685" s="26"/>
      <c r="BF685" s="26"/>
      <c r="BG685" s="62"/>
    </row>
    <row r="686" spans="1:59" ht="13.5" customHeight="1" x14ac:dyDescent="0.35">
      <c r="A686" s="49"/>
      <c r="B686" s="49"/>
      <c r="C686" s="14"/>
      <c r="D686" s="1"/>
      <c r="E686" s="149"/>
      <c r="F686" s="153"/>
      <c r="G686" s="10"/>
      <c r="H686" s="17"/>
      <c r="I686" s="17"/>
      <c r="J686" s="17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29"/>
      <c r="X686" s="15"/>
      <c r="Y686" s="30"/>
      <c r="Z686" s="30"/>
      <c r="AA686" s="30"/>
      <c r="AB686" s="30"/>
      <c r="AC686" s="17"/>
      <c r="AD686" s="17"/>
      <c r="AE686" s="17"/>
      <c r="AF686" s="17"/>
      <c r="AG686" s="21"/>
      <c r="AH686" s="21"/>
      <c r="AI686" s="21"/>
      <c r="AJ686" s="21"/>
      <c r="AK686" s="21"/>
      <c r="AL686" s="21"/>
      <c r="AM686" s="21"/>
      <c r="AN686" s="21"/>
      <c r="AO686" s="22"/>
      <c r="AP686" s="21"/>
      <c r="AQ686" s="22"/>
      <c r="AR686" s="21"/>
      <c r="AS686" s="21"/>
      <c r="AT686" s="21"/>
      <c r="AU686" s="21"/>
      <c r="AV686" s="21"/>
      <c r="AW686" s="21"/>
      <c r="AX686" s="22"/>
      <c r="AY686" s="21"/>
      <c r="AZ686" s="22"/>
      <c r="BA686" s="21"/>
      <c r="BB686" s="21"/>
      <c r="BC686" s="21"/>
      <c r="BD686" s="21"/>
      <c r="BE686" s="26"/>
      <c r="BF686" s="26"/>
      <c r="BG686" s="62"/>
    </row>
    <row r="687" spans="1:59" x14ac:dyDescent="0.3">
      <c r="A687" s="63"/>
      <c r="B687" s="63"/>
      <c r="C687" s="39"/>
      <c r="D687" s="6"/>
      <c r="E687" s="149"/>
      <c r="F687" s="153"/>
      <c r="G687" s="1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5"/>
      <c r="V687" s="5"/>
      <c r="W687" s="13"/>
      <c r="X687" s="4"/>
      <c r="Y687" s="4"/>
      <c r="Z687" s="4"/>
      <c r="AA687" s="6"/>
      <c r="AB687" s="5"/>
      <c r="AC687" s="9"/>
      <c r="AD687" s="9"/>
      <c r="AE687" s="9"/>
      <c r="AF687" s="9"/>
      <c r="AG687" s="64"/>
      <c r="AH687" s="3"/>
      <c r="AI687" s="2"/>
      <c r="AJ687" s="2"/>
      <c r="AK687" s="2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x14ac:dyDescent="0.3">
      <c r="A688" s="63"/>
      <c r="B688" s="63"/>
      <c r="C688" s="39"/>
      <c r="D688" s="6"/>
      <c r="E688" s="149"/>
      <c r="F688" s="153"/>
      <c r="G688" s="1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5"/>
      <c r="V688" s="5"/>
      <c r="W688" s="13"/>
      <c r="X688" s="4"/>
      <c r="Y688" s="4"/>
      <c r="Z688" s="4"/>
      <c r="AA688" s="6"/>
      <c r="AB688" s="5"/>
      <c r="AC688" s="9"/>
      <c r="AD688" s="9"/>
      <c r="AE688" s="9"/>
      <c r="AF688" s="9"/>
      <c r="AG688" s="64"/>
      <c r="AH688" s="3"/>
      <c r="AI688" s="2"/>
      <c r="AJ688" s="2"/>
      <c r="AK688" s="2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x14ac:dyDescent="0.3">
      <c r="A689" s="6"/>
      <c r="B689" s="6"/>
      <c r="C689" s="39"/>
      <c r="D689" s="6"/>
      <c r="E689" s="149"/>
      <c r="F689" s="153"/>
      <c r="G689" s="1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12"/>
      <c r="Y689" s="6"/>
      <c r="Z689" s="6"/>
      <c r="AA689" s="6"/>
      <c r="AB689" s="6"/>
      <c r="AC689" s="9"/>
      <c r="AD689" s="9"/>
      <c r="AE689" s="9"/>
      <c r="AF689" s="9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21"/>
      <c r="AS689" s="21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3.5" customHeight="1" x14ac:dyDescent="0.35">
      <c r="A690" s="49"/>
      <c r="B690" s="49"/>
      <c r="C690" s="14"/>
      <c r="D690" s="1"/>
      <c r="E690" s="149"/>
      <c r="F690" s="153"/>
      <c r="G690" s="10"/>
      <c r="H690" s="17"/>
      <c r="I690" s="17"/>
      <c r="J690" s="17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29"/>
      <c r="X690" s="15"/>
      <c r="Y690" s="30"/>
      <c r="Z690" s="30"/>
      <c r="AA690" s="30"/>
      <c r="AB690" s="30"/>
      <c r="AC690" s="17"/>
      <c r="AD690" s="17"/>
      <c r="AE690" s="17"/>
      <c r="AF690" s="17"/>
      <c r="AG690" s="21"/>
      <c r="AH690" s="21"/>
      <c r="AI690" s="21"/>
      <c r="AJ690" s="21"/>
      <c r="AK690" s="21"/>
      <c r="AL690" s="21"/>
      <c r="AM690" s="21"/>
      <c r="AN690" s="21"/>
      <c r="AO690" s="22"/>
      <c r="AP690" s="21"/>
      <c r="AQ690" s="22"/>
      <c r="AR690" s="21"/>
      <c r="AS690" s="21"/>
      <c r="AT690" s="21"/>
      <c r="AU690" s="21"/>
      <c r="AV690" s="21"/>
      <c r="AW690" s="21"/>
      <c r="AX690" s="22"/>
      <c r="AY690" s="21"/>
      <c r="AZ690" s="22"/>
      <c r="BA690" s="21"/>
      <c r="BB690" s="21"/>
      <c r="BC690" s="21"/>
      <c r="BD690" s="21"/>
      <c r="BE690" s="26"/>
      <c r="BF690" s="26"/>
      <c r="BG690" s="62"/>
    </row>
    <row r="691" spans="1:59" x14ac:dyDescent="0.3">
      <c r="A691" s="63"/>
      <c r="B691" s="63"/>
      <c r="C691" s="39"/>
      <c r="D691" s="6"/>
      <c r="E691" s="149"/>
      <c r="F691" s="153"/>
      <c r="G691" s="1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5"/>
      <c r="V691" s="5"/>
      <c r="W691" s="13"/>
      <c r="X691" s="4"/>
      <c r="Y691" s="4"/>
      <c r="Z691" s="4"/>
      <c r="AA691" s="6"/>
      <c r="AB691" s="5"/>
      <c r="AC691" s="9"/>
      <c r="AD691" s="9"/>
      <c r="AE691" s="9"/>
      <c r="AF691" s="9"/>
      <c r="AG691" s="64"/>
      <c r="AH691" s="3"/>
      <c r="AI691" s="2"/>
      <c r="AJ691" s="2"/>
      <c r="AK691" s="2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x14ac:dyDescent="0.3">
      <c r="A692" s="63"/>
      <c r="B692" s="63"/>
      <c r="C692" s="39"/>
      <c r="D692" s="6"/>
      <c r="E692" s="149"/>
      <c r="F692" s="153"/>
      <c r="G692" s="1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5"/>
      <c r="V692" s="5"/>
      <c r="W692" s="13"/>
      <c r="X692" s="4"/>
      <c r="Y692" s="4"/>
      <c r="Z692" s="4"/>
      <c r="AA692" s="6"/>
      <c r="AB692" s="5"/>
      <c r="AC692" s="9"/>
      <c r="AD692" s="9"/>
      <c r="AE692" s="9"/>
      <c r="AF692" s="9"/>
      <c r="AG692" s="64"/>
      <c r="AH692" s="3"/>
      <c r="AI692" s="2"/>
      <c r="AJ692" s="2"/>
      <c r="AK692" s="2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3.5" customHeight="1" x14ac:dyDescent="0.35">
      <c r="A693" s="49"/>
      <c r="B693" s="49"/>
      <c r="C693" s="14"/>
      <c r="D693" s="1"/>
      <c r="E693" s="149"/>
      <c r="F693" s="153"/>
      <c r="G693" s="10"/>
      <c r="H693" s="17"/>
      <c r="I693" s="17"/>
      <c r="J693" s="17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29"/>
      <c r="X693" s="15"/>
      <c r="Y693" s="30"/>
      <c r="Z693" s="30"/>
      <c r="AA693" s="30"/>
      <c r="AB693" s="30"/>
      <c r="AC693" s="17"/>
      <c r="AD693" s="17"/>
      <c r="AE693" s="17"/>
      <c r="AF693" s="17"/>
      <c r="AG693" s="21"/>
      <c r="AH693" s="21"/>
      <c r="AI693" s="21"/>
      <c r="AJ693" s="21"/>
      <c r="AK693" s="21"/>
      <c r="AL693" s="21"/>
      <c r="AM693" s="21"/>
      <c r="AN693" s="21"/>
      <c r="AO693" s="22"/>
      <c r="AP693" s="21"/>
      <c r="AQ693" s="22"/>
      <c r="AR693" s="21"/>
      <c r="AS693" s="21"/>
      <c r="AT693" s="21"/>
      <c r="AU693" s="21"/>
      <c r="AV693" s="21"/>
      <c r="AW693" s="21"/>
      <c r="AX693" s="22"/>
      <c r="AY693" s="21"/>
      <c r="AZ693" s="22"/>
      <c r="BA693" s="21"/>
      <c r="BB693" s="21"/>
      <c r="BC693" s="21"/>
      <c r="BD693" s="21"/>
      <c r="BE693" s="26"/>
      <c r="BF693" s="26"/>
      <c r="BG693" s="62"/>
    </row>
    <row r="694" spans="1:59" x14ac:dyDescent="0.3">
      <c r="A694" s="63"/>
      <c r="B694" s="63"/>
      <c r="C694" s="39"/>
      <c r="D694" s="6"/>
      <c r="E694" s="149"/>
      <c r="F694" s="153"/>
      <c r="G694" s="1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5"/>
      <c r="V694" s="5"/>
      <c r="W694" s="13"/>
      <c r="X694" s="4"/>
      <c r="Y694" s="4"/>
      <c r="Z694" s="4"/>
      <c r="AA694" s="6"/>
      <c r="AB694" s="5"/>
      <c r="AC694" s="9"/>
      <c r="AD694" s="9"/>
      <c r="AE694" s="9"/>
      <c r="AF694" s="9"/>
      <c r="AG694" s="64"/>
      <c r="AH694" s="3"/>
      <c r="AI694" s="2"/>
      <c r="AJ694" s="2"/>
      <c r="AK694" s="2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x14ac:dyDescent="0.3">
      <c r="A695" s="63"/>
      <c r="B695" s="63"/>
      <c r="C695" s="39"/>
      <c r="D695" s="6"/>
      <c r="E695" s="149"/>
      <c r="F695" s="153"/>
      <c r="G695" s="1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5"/>
      <c r="V695" s="5"/>
      <c r="W695" s="13"/>
      <c r="X695" s="4"/>
      <c r="Y695" s="4"/>
      <c r="Z695" s="4"/>
      <c r="AA695" s="6"/>
      <c r="AB695" s="5"/>
      <c r="AC695" s="9"/>
      <c r="AD695" s="9"/>
      <c r="AE695" s="9"/>
      <c r="AF695" s="9"/>
      <c r="AG695" s="64"/>
      <c r="AH695" s="3"/>
      <c r="AI695" s="2"/>
      <c r="AJ695" s="2"/>
      <c r="AK695" s="2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3.5" customHeight="1" x14ac:dyDescent="0.35">
      <c r="A696" s="49"/>
      <c r="B696" s="49"/>
      <c r="C696" s="14"/>
      <c r="D696" s="1"/>
      <c r="E696" s="149"/>
      <c r="F696" s="153"/>
      <c r="G696" s="10"/>
      <c r="H696" s="17"/>
      <c r="I696" s="17"/>
      <c r="J696" s="17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29"/>
      <c r="X696" s="15"/>
      <c r="Y696" s="30"/>
      <c r="Z696" s="30"/>
      <c r="AA696" s="30"/>
      <c r="AB696" s="30"/>
      <c r="AC696" s="17"/>
      <c r="AD696" s="17"/>
      <c r="AE696" s="17"/>
      <c r="AF696" s="17"/>
      <c r="AG696" s="21"/>
      <c r="AH696" s="21"/>
      <c r="AI696" s="21"/>
      <c r="AJ696" s="21"/>
      <c r="AK696" s="21"/>
      <c r="AL696" s="21"/>
      <c r="AM696" s="21"/>
      <c r="AN696" s="21"/>
      <c r="AO696" s="22"/>
      <c r="AP696" s="21"/>
      <c r="AQ696" s="22"/>
      <c r="AR696" s="21"/>
      <c r="AS696" s="21"/>
      <c r="AT696" s="21"/>
      <c r="AU696" s="21"/>
      <c r="AV696" s="21"/>
      <c r="AW696" s="21"/>
      <c r="AX696" s="22"/>
      <c r="AY696" s="21"/>
      <c r="AZ696" s="22"/>
      <c r="BA696" s="21"/>
      <c r="BB696" s="21"/>
      <c r="BC696" s="21"/>
      <c r="BD696" s="21"/>
      <c r="BE696" s="26"/>
      <c r="BF696" s="26"/>
      <c r="BG696" s="62"/>
    </row>
    <row r="697" spans="1:59" ht="13.5" customHeight="1" x14ac:dyDescent="0.35">
      <c r="A697" s="49"/>
      <c r="B697" s="49"/>
      <c r="C697" s="14"/>
      <c r="D697" s="1"/>
      <c r="E697" s="149"/>
      <c r="F697" s="153"/>
      <c r="G697" s="10"/>
      <c r="H697" s="17"/>
      <c r="I697" s="17"/>
      <c r="J697" s="17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29"/>
      <c r="X697" s="15"/>
      <c r="Y697" s="30"/>
      <c r="Z697" s="30"/>
      <c r="AA697" s="30"/>
      <c r="AB697" s="30"/>
      <c r="AC697" s="17"/>
      <c r="AD697" s="17"/>
      <c r="AE697" s="17"/>
      <c r="AF697" s="17"/>
      <c r="AG697" s="21"/>
      <c r="AH697" s="21"/>
      <c r="AI697" s="21"/>
      <c r="AJ697" s="21"/>
      <c r="AK697" s="21"/>
      <c r="AL697" s="21"/>
      <c r="AM697" s="21"/>
      <c r="AN697" s="21"/>
      <c r="AO697" s="22"/>
      <c r="AP697" s="21"/>
      <c r="AQ697" s="22"/>
      <c r="AR697" s="21"/>
      <c r="AS697" s="21"/>
      <c r="AT697" s="21"/>
      <c r="AU697" s="21"/>
      <c r="AV697" s="21"/>
      <c r="AW697" s="21"/>
      <c r="AX697" s="22"/>
      <c r="AY697" s="21"/>
      <c r="AZ697" s="22"/>
      <c r="BA697" s="21"/>
      <c r="BB697" s="21"/>
      <c r="BC697" s="21"/>
      <c r="BD697" s="21"/>
      <c r="BE697" s="26"/>
      <c r="BF697" s="26"/>
      <c r="BG697" s="62"/>
    </row>
    <row r="698" spans="1:59" ht="13.5" customHeight="1" x14ac:dyDescent="0.35">
      <c r="A698" s="49"/>
      <c r="B698" s="49"/>
      <c r="C698" s="14"/>
      <c r="D698" s="1"/>
      <c r="E698" s="149"/>
      <c r="F698" s="153"/>
      <c r="G698" s="10"/>
      <c r="H698" s="17"/>
      <c r="I698" s="17"/>
      <c r="J698" s="17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29"/>
      <c r="X698" s="15"/>
      <c r="Y698" s="30"/>
      <c r="Z698" s="30"/>
      <c r="AA698" s="30"/>
      <c r="AB698" s="30"/>
      <c r="AC698" s="17"/>
      <c r="AD698" s="17"/>
      <c r="AE698" s="17"/>
      <c r="AF698" s="17"/>
      <c r="AG698" s="21"/>
      <c r="AH698" s="21"/>
      <c r="AI698" s="21"/>
      <c r="AJ698" s="21"/>
      <c r="AK698" s="21"/>
      <c r="AL698" s="21"/>
      <c r="AM698" s="21"/>
      <c r="AN698" s="21"/>
      <c r="AO698" s="22"/>
      <c r="AP698" s="21"/>
      <c r="AQ698" s="22"/>
      <c r="AR698" s="21"/>
      <c r="AS698" s="21"/>
      <c r="AT698" s="21"/>
      <c r="AU698" s="21"/>
      <c r="AV698" s="21"/>
      <c r="AW698" s="21"/>
      <c r="AX698" s="22"/>
      <c r="AY698" s="21"/>
      <c r="AZ698" s="22"/>
      <c r="BA698" s="21"/>
      <c r="BB698" s="21"/>
      <c r="BC698" s="21"/>
      <c r="BD698" s="21"/>
      <c r="BE698" s="26"/>
      <c r="BF698" s="26"/>
      <c r="BG698" s="62"/>
    </row>
    <row r="699" spans="1:59" x14ac:dyDescent="0.3">
      <c r="A699" s="63"/>
      <c r="B699" s="63"/>
      <c r="C699" s="39"/>
      <c r="D699" s="6"/>
      <c r="E699" s="149"/>
      <c r="F699" s="153"/>
      <c r="G699" s="1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5"/>
      <c r="V699" s="5"/>
      <c r="W699" s="13"/>
      <c r="X699" s="4"/>
      <c r="Y699" s="4"/>
      <c r="Z699" s="4"/>
      <c r="AA699" s="6"/>
      <c r="AB699" s="5"/>
      <c r="AC699" s="9"/>
      <c r="AD699" s="9"/>
      <c r="AE699" s="9"/>
      <c r="AF699" s="9"/>
      <c r="AG699" s="64"/>
      <c r="AH699" s="3"/>
      <c r="AI699" s="2"/>
      <c r="AJ699" s="2"/>
      <c r="AK699" s="2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x14ac:dyDescent="0.3">
      <c r="A700" s="6"/>
      <c r="B700" s="6"/>
      <c r="C700" s="39"/>
      <c r="D700" s="6"/>
      <c r="E700" s="149"/>
      <c r="F700" s="153"/>
      <c r="G700" s="1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5"/>
      <c r="V700" s="5"/>
      <c r="W700" s="13"/>
      <c r="X700" s="4"/>
      <c r="Y700" s="4"/>
      <c r="Z700" s="4"/>
      <c r="AA700" s="6"/>
      <c r="AB700" s="5"/>
      <c r="AC700" s="9"/>
      <c r="AD700" s="9"/>
      <c r="AE700" s="9"/>
      <c r="AF700" s="9"/>
      <c r="AG700" s="2"/>
      <c r="AH700" s="3"/>
      <c r="AI700" s="2"/>
      <c r="AJ700" s="2"/>
      <c r="AK700" s="2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3.5" customHeight="1" x14ac:dyDescent="0.35">
      <c r="A701" s="49"/>
      <c r="B701" s="49"/>
      <c r="C701" s="39"/>
      <c r="D701" s="1"/>
      <c r="E701" s="149"/>
      <c r="F701" s="153"/>
      <c r="G701" s="10"/>
      <c r="H701" s="17"/>
      <c r="I701" s="17"/>
      <c r="J701" s="17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29"/>
      <c r="X701" s="15"/>
      <c r="Y701" s="30"/>
      <c r="Z701" s="30"/>
      <c r="AA701" s="30"/>
      <c r="AB701" s="30"/>
      <c r="AC701" s="17"/>
      <c r="AD701" s="17"/>
      <c r="AE701" s="17"/>
      <c r="AF701" s="17"/>
      <c r="AG701" s="21"/>
      <c r="AH701" s="21"/>
      <c r="AI701" s="21"/>
      <c r="AJ701" s="21"/>
      <c r="AK701" s="21"/>
      <c r="AL701" s="21"/>
      <c r="AM701" s="21"/>
      <c r="AN701" s="21"/>
      <c r="AO701" s="22"/>
      <c r="AP701" s="21"/>
      <c r="AQ701" s="22"/>
      <c r="AR701" s="21"/>
      <c r="AS701" s="21"/>
      <c r="AT701" s="21"/>
      <c r="AU701" s="21"/>
      <c r="AV701" s="21"/>
      <c r="AW701" s="21"/>
      <c r="AX701" s="22"/>
      <c r="AY701" s="21"/>
      <c r="AZ701" s="22"/>
      <c r="BA701" s="21"/>
      <c r="BB701" s="21"/>
      <c r="BC701" s="21"/>
      <c r="BD701" s="21"/>
      <c r="BE701" s="26"/>
      <c r="BF701" s="26"/>
      <c r="BG701" s="62"/>
    </row>
    <row r="702" spans="1:59" x14ac:dyDescent="0.3">
      <c r="A702" s="6"/>
      <c r="B702" s="6"/>
      <c r="C702" s="39"/>
      <c r="D702" s="6"/>
      <c r="E702" s="149"/>
      <c r="F702" s="153"/>
      <c r="G702" s="1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12"/>
      <c r="Y702" s="6"/>
      <c r="Z702" s="6"/>
      <c r="AA702" s="6"/>
      <c r="AB702" s="6"/>
      <c r="AC702" s="9"/>
      <c r="AD702" s="9"/>
      <c r="AE702" s="9"/>
      <c r="AF702" s="9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21"/>
      <c r="AS702" s="21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x14ac:dyDescent="0.3">
      <c r="A703" s="6"/>
      <c r="B703" s="6"/>
      <c r="C703" s="39"/>
      <c r="D703" s="6"/>
      <c r="E703" s="149"/>
      <c r="F703" s="153"/>
      <c r="G703" s="1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12"/>
      <c r="Y703" s="6"/>
      <c r="Z703" s="6"/>
      <c r="AA703" s="6"/>
      <c r="AB703" s="6"/>
      <c r="AC703" s="9"/>
      <c r="AD703" s="9"/>
      <c r="AE703" s="9"/>
      <c r="AF703" s="9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21"/>
      <c r="AS703" s="21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x14ac:dyDescent="0.3">
      <c r="A704" s="6"/>
      <c r="B704" s="6"/>
      <c r="C704" s="39"/>
      <c r="D704" s="6"/>
      <c r="E704" s="149"/>
      <c r="F704" s="153"/>
      <c r="G704" s="1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12"/>
      <c r="Y704" s="6"/>
      <c r="Z704" s="6"/>
      <c r="AA704" s="6"/>
      <c r="AB704" s="6"/>
      <c r="AC704" s="9"/>
      <c r="AD704" s="9"/>
      <c r="AE704" s="9"/>
      <c r="AF704" s="9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21"/>
      <c r="AS704" s="21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x14ac:dyDescent="0.3">
      <c r="A705" s="6"/>
      <c r="B705" s="6"/>
      <c r="C705" s="39"/>
      <c r="D705" s="6"/>
      <c r="E705" s="149"/>
      <c r="F705" s="153"/>
      <c r="G705" s="1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12"/>
      <c r="Y705" s="6"/>
      <c r="Z705" s="6"/>
      <c r="AA705" s="6"/>
      <c r="AB705" s="6"/>
      <c r="AC705" s="9"/>
      <c r="AD705" s="9"/>
      <c r="AE705" s="9"/>
      <c r="AF705" s="9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21"/>
      <c r="AS705" s="21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x14ac:dyDescent="0.3">
      <c r="A706" s="6"/>
      <c r="B706" s="6"/>
      <c r="C706" s="39"/>
      <c r="D706" s="6"/>
      <c r="E706" s="149"/>
      <c r="F706" s="153"/>
      <c r="G706" s="1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12"/>
      <c r="Y706" s="6"/>
      <c r="Z706" s="6"/>
      <c r="AA706" s="6"/>
      <c r="AB706" s="6"/>
      <c r="AC706" s="9"/>
      <c r="AD706" s="9"/>
      <c r="AE706" s="9"/>
      <c r="AF706" s="9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21"/>
      <c r="AS706" s="21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x14ac:dyDescent="0.3">
      <c r="A707" s="63"/>
      <c r="B707" s="63"/>
      <c r="C707" s="39"/>
      <c r="D707" s="6"/>
      <c r="E707" s="149"/>
      <c r="F707" s="153"/>
      <c r="G707" s="1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5"/>
      <c r="V707" s="5"/>
      <c r="W707" s="13"/>
      <c r="X707" s="4"/>
      <c r="Y707" s="4"/>
      <c r="Z707" s="4"/>
      <c r="AA707" s="6"/>
      <c r="AB707" s="5"/>
      <c r="AC707" s="9"/>
      <c r="AD707" s="9"/>
      <c r="AE707" s="9"/>
      <c r="AF707" s="9"/>
      <c r="AG707" s="64"/>
      <c r="AH707" s="3"/>
      <c r="AI707" s="2"/>
      <c r="AJ707" s="2"/>
      <c r="AK707" s="2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3.5" customHeight="1" x14ac:dyDescent="0.35">
      <c r="A708" s="49"/>
      <c r="B708" s="49"/>
      <c r="C708" s="14"/>
      <c r="D708" s="1"/>
      <c r="E708" s="149"/>
      <c r="F708" s="153"/>
      <c r="G708" s="10"/>
      <c r="H708" s="17"/>
      <c r="I708" s="17"/>
      <c r="J708" s="17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29"/>
      <c r="X708" s="15"/>
      <c r="Y708" s="30"/>
      <c r="Z708" s="30"/>
      <c r="AA708" s="30"/>
      <c r="AB708" s="30"/>
      <c r="AC708" s="17"/>
      <c r="AD708" s="17"/>
      <c r="AE708" s="17"/>
      <c r="AF708" s="17"/>
      <c r="AG708" s="21"/>
      <c r="AH708" s="21"/>
      <c r="AI708" s="21"/>
      <c r="AJ708" s="21"/>
      <c r="AK708" s="21"/>
      <c r="AL708" s="21"/>
      <c r="AM708" s="21"/>
      <c r="AN708" s="21"/>
      <c r="AO708" s="22"/>
      <c r="AP708" s="21"/>
      <c r="AQ708" s="22"/>
      <c r="AR708" s="21"/>
      <c r="AS708" s="21"/>
      <c r="AT708" s="21"/>
      <c r="AU708" s="21"/>
      <c r="AV708" s="21"/>
      <c r="AW708" s="21"/>
      <c r="AX708" s="22"/>
      <c r="AY708" s="21"/>
      <c r="AZ708" s="22"/>
      <c r="BA708" s="21"/>
      <c r="BB708" s="21"/>
      <c r="BC708" s="21"/>
      <c r="BD708" s="21"/>
      <c r="BE708" s="26"/>
      <c r="BF708" s="26"/>
      <c r="BG708" s="62"/>
    </row>
    <row r="709" spans="1:59" ht="15" x14ac:dyDescent="0.35">
      <c r="A709" s="6"/>
      <c r="B709" s="6"/>
      <c r="C709" s="39"/>
      <c r="D709" s="6"/>
      <c r="E709" s="149"/>
      <c r="F709" s="153"/>
      <c r="G709" s="1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12"/>
      <c r="Y709" s="6"/>
      <c r="Z709" s="6"/>
      <c r="AA709" s="6"/>
      <c r="AB709" s="6"/>
      <c r="AC709" s="9"/>
      <c r="AD709" s="9"/>
      <c r="AE709" s="9"/>
      <c r="AF709" s="9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21"/>
      <c r="AS709" s="21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65"/>
    </row>
    <row r="710" spans="1:59" x14ac:dyDescent="0.3">
      <c r="A710" s="6"/>
      <c r="B710" s="6"/>
      <c r="C710" s="39"/>
      <c r="D710" s="6"/>
      <c r="E710" s="149"/>
      <c r="F710" s="153"/>
      <c r="G710" s="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12"/>
      <c r="Y710" s="6"/>
      <c r="Z710" s="6"/>
      <c r="AA710" s="6"/>
      <c r="AB710" s="6"/>
      <c r="AC710" s="9"/>
      <c r="AD710" s="9"/>
      <c r="AE710" s="9"/>
      <c r="AF710" s="9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21"/>
      <c r="AS710" s="21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" x14ac:dyDescent="0.35">
      <c r="A711" s="63"/>
      <c r="B711" s="63"/>
      <c r="C711" s="39"/>
      <c r="D711" s="6"/>
      <c r="E711" s="149"/>
      <c r="F711" s="153"/>
      <c r="G711" s="1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5"/>
      <c r="V711" s="5"/>
      <c r="W711" s="13"/>
      <c r="X711" s="4"/>
      <c r="Y711" s="4"/>
      <c r="Z711" s="4"/>
      <c r="AA711" s="6"/>
      <c r="AB711" s="5"/>
      <c r="AC711" s="9"/>
      <c r="AD711" s="9"/>
      <c r="AE711" s="9"/>
      <c r="AF711" s="9"/>
      <c r="AG711" s="64"/>
      <c r="AH711" s="3"/>
      <c r="AI711" s="2"/>
      <c r="AJ711" s="2"/>
      <c r="AK711" s="2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65"/>
    </row>
    <row r="712" spans="1:59" x14ac:dyDescent="0.3">
      <c r="A712" s="6"/>
      <c r="B712" s="6"/>
      <c r="C712" s="39"/>
      <c r="D712" s="6"/>
      <c r="E712" s="149"/>
      <c r="F712" s="153"/>
      <c r="G712" s="1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12"/>
      <c r="Y712" s="6"/>
      <c r="Z712" s="6"/>
      <c r="AA712" s="6"/>
      <c r="AB712" s="6"/>
      <c r="AC712" s="9"/>
      <c r="AD712" s="9"/>
      <c r="AE712" s="9"/>
      <c r="AF712" s="9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21"/>
      <c r="AS712" s="21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x14ac:dyDescent="0.3">
      <c r="A713" s="6"/>
      <c r="B713" s="6"/>
      <c r="C713" s="39"/>
      <c r="D713" s="6"/>
      <c r="E713" s="149"/>
      <c r="F713" s="153"/>
      <c r="G713" s="1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12"/>
      <c r="Y713" s="6"/>
      <c r="Z713" s="6"/>
      <c r="AA713" s="6"/>
      <c r="AB713" s="6"/>
      <c r="AC713" s="9"/>
      <c r="AD713" s="9"/>
      <c r="AE713" s="9"/>
      <c r="AF713" s="9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21"/>
      <c r="AS713" s="21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3.5" customHeight="1" x14ac:dyDescent="0.35">
      <c r="A714" s="49"/>
      <c r="B714" s="49"/>
      <c r="C714" s="14"/>
      <c r="D714" s="1"/>
      <c r="E714" s="149"/>
      <c r="F714" s="153"/>
      <c r="G714" s="10"/>
      <c r="H714" s="17"/>
      <c r="I714" s="17"/>
      <c r="J714" s="17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29"/>
      <c r="X714" s="15"/>
      <c r="Y714" s="30"/>
      <c r="Z714" s="30"/>
      <c r="AA714" s="30"/>
      <c r="AB714" s="30"/>
      <c r="AC714" s="17"/>
      <c r="AD714" s="17"/>
      <c r="AE714" s="17"/>
      <c r="AF714" s="17"/>
      <c r="AG714" s="21"/>
      <c r="AH714" s="21"/>
      <c r="AI714" s="21"/>
      <c r="AJ714" s="21"/>
      <c r="AK714" s="21"/>
      <c r="AL714" s="21"/>
      <c r="AM714" s="21"/>
      <c r="AN714" s="21"/>
      <c r="AO714" s="22"/>
      <c r="AP714" s="21"/>
      <c r="AQ714" s="22"/>
      <c r="AR714" s="21"/>
      <c r="AS714" s="21"/>
      <c r="AT714" s="21"/>
      <c r="AU714" s="21"/>
      <c r="AV714" s="21"/>
      <c r="AW714" s="21"/>
      <c r="AX714" s="22"/>
      <c r="AY714" s="21"/>
      <c r="AZ714" s="22"/>
      <c r="BA714" s="21"/>
      <c r="BB714" s="21"/>
      <c r="BC714" s="21"/>
      <c r="BD714" s="21"/>
      <c r="BE714" s="26"/>
      <c r="BF714" s="26"/>
      <c r="BG714" s="62"/>
    </row>
    <row r="715" spans="1:59" x14ac:dyDescent="0.3">
      <c r="A715" s="6"/>
      <c r="B715" s="6"/>
      <c r="C715" s="39"/>
      <c r="D715" s="6"/>
      <c r="E715" s="149"/>
      <c r="F715" s="153"/>
      <c r="G715" s="1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12"/>
      <c r="Y715" s="6"/>
      <c r="Z715" s="6"/>
      <c r="AA715" s="6"/>
      <c r="AB715" s="6"/>
      <c r="AC715" s="9"/>
      <c r="AD715" s="9"/>
      <c r="AE715" s="9"/>
      <c r="AF715" s="9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21"/>
      <c r="AS715" s="21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x14ac:dyDescent="0.3">
      <c r="A716" s="63"/>
      <c r="B716" s="63"/>
      <c r="C716" s="39"/>
      <c r="D716" s="6"/>
      <c r="E716" s="149"/>
      <c r="F716" s="153"/>
      <c r="G716" s="1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5"/>
      <c r="V716" s="5"/>
      <c r="W716" s="13"/>
      <c r="X716" s="4"/>
      <c r="Y716" s="4"/>
      <c r="Z716" s="4"/>
      <c r="AA716" s="6"/>
      <c r="AB716" s="5"/>
      <c r="AC716" s="9"/>
      <c r="AD716" s="9"/>
      <c r="AE716" s="9"/>
      <c r="AF716" s="9"/>
      <c r="AG716" s="64"/>
      <c r="AH716" s="3"/>
      <c r="AI716" s="2"/>
      <c r="AJ716" s="2"/>
      <c r="AK716" s="2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x14ac:dyDescent="0.3">
      <c r="A717" s="63"/>
      <c r="B717" s="63"/>
      <c r="C717" s="39"/>
      <c r="D717" s="6"/>
      <c r="E717" s="149"/>
      <c r="F717" s="153"/>
      <c r="G717" s="1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5"/>
      <c r="V717" s="5"/>
      <c r="W717" s="13"/>
      <c r="X717" s="4"/>
      <c r="Y717" s="4"/>
      <c r="Z717" s="4"/>
      <c r="AA717" s="6"/>
      <c r="AB717" s="5"/>
      <c r="AC717" s="9"/>
      <c r="AD717" s="9"/>
      <c r="AE717" s="9"/>
      <c r="AF717" s="9"/>
      <c r="AG717" s="64"/>
      <c r="AH717" s="3"/>
      <c r="AI717" s="2"/>
      <c r="AJ717" s="2"/>
      <c r="AK717" s="2"/>
      <c r="AL717" s="3"/>
      <c r="AM717" s="3"/>
      <c r="AN717" s="3"/>
      <c r="AO717" s="3"/>
      <c r="AP717" s="3"/>
      <c r="AQ717" s="3"/>
      <c r="AR717" s="21"/>
      <c r="AS717" s="21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3.5" customHeight="1" x14ac:dyDescent="0.35">
      <c r="A718" s="49"/>
      <c r="B718" s="49"/>
      <c r="C718" s="14"/>
      <c r="D718" s="1"/>
      <c r="E718" s="149"/>
      <c r="F718" s="153"/>
      <c r="G718" s="10"/>
      <c r="H718" s="17"/>
      <c r="I718" s="17"/>
      <c r="J718" s="17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29"/>
      <c r="X718" s="15"/>
      <c r="Y718" s="30"/>
      <c r="Z718" s="30"/>
      <c r="AA718" s="30"/>
      <c r="AB718" s="30"/>
      <c r="AC718" s="17"/>
      <c r="AD718" s="17"/>
      <c r="AE718" s="17"/>
      <c r="AF718" s="17"/>
      <c r="AG718" s="21"/>
      <c r="AH718" s="21"/>
      <c r="AI718" s="21"/>
      <c r="AJ718" s="21"/>
      <c r="AK718" s="21"/>
      <c r="AL718" s="21"/>
      <c r="AM718" s="21"/>
      <c r="AN718" s="21"/>
      <c r="AO718" s="22"/>
      <c r="AP718" s="21"/>
      <c r="AQ718" s="22"/>
      <c r="AR718" s="21"/>
      <c r="AS718" s="21"/>
      <c r="AT718" s="21"/>
      <c r="AU718" s="21"/>
      <c r="AV718" s="21"/>
      <c r="AW718" s="21"/>
      <c r="AX718" s="22"/>
      <c r="AY718" s="21"/>
      <c r="AZ718" s="22"/>
      <c r="BA718" s="21"/>
      <c r="BB718" s="21"/>
      <c r="BC718" s="21"/>
      <c r="BD718" s="21"/>
      <c r="BE718" s="26"/>
      <c r="BF718" s="26"/>
      <c r="BG718" s="62"/>
    </row>
    <row r="719" spans="1:59" ht="13.5" customHeight="1" x14ac:dyDescent="0.35">
      <c r="A719" s="49"/>
      <c r="B719" s="49"/>
      <c r="C719" s="14"/>
      <c r="D719" s="1"/>
      <c r="E719" s="149"/>
      <c r="F719" s="153"/>
      <c r="G719" s="10"/>
      <c r="H719" s="17"/>
      <c r="I719" s="17"/>
      <c r="J719" s="17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29"/>
      <c r="X719" s="15"/>
      <c r="Y719" s="30"/>
      <c r="Z719" s="30"/>
      <c r="AA719" s="30"/>
      <c r="AB719" s="30"/>
      <c r="AC719" s="17"/>
      <c r="AD719" s="17"/>
      <c r="AE719" s="17"/>
      <c r="AF719" s="17"/>
      <c r="AG719" s="21"/>
      <c r="AH719" s="21"/>
      <c r="AI719" s="21"/>
      <c r="AJ719" s="21"/>
      <c r="AK719" s="21"/>
      <c r="AL719" s="21"/>
      <c r="AM719" s="21"/>
      <c r="AN719" s="21"/>
      <c r="AO719" s="22"/>
      <c r="AP719" s="21"/>
      <c r="AQ719" s="22"/>
      <c r="AR719" s="21"/>
      <c r="AS719" s="21"/>
      <c r="AT719" s="21"/>
      <c r="AU719" s="21"/>
      <c r="AV719" s="21"/>
      <c r="AW719" s="21"/>
      <c r="AX719" s="22"/>
      <c r="AY719" s="21"/>
      <c r="AZ719" s="22"/>
      <c r="BA719" s="21"/>
      <c r="BB719" s="21"/>
      <c r="BC719" s="21"/>
      <c r="BD719" s="21"/>
      <c r="BE719" s="26"/>
      <c r="BF719" s="26"/>
      <c r="BG719" s="62"/>
    </row>
    <row r="720" spans="1:59" x14ac:dyDescent="0.3">
      <c r="A720" s="6"/>
      <c r="B720" s="6"/>
      <c r="C720" s="39"/>
      <c r="D720" s="6"/>
      <c r="E720" s="149"/>
      <c r="F720" s="153"/>
      <c r="G720" s="1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12"/>
      <c r="Y720" s="6"/>
      <c r="Z720" s="6"/>
      <c r="AA720" s="6"/>
      <c r="AB720" s="6"/>
      <c r="AC720" s="9"/>
      <c r="AD720" s="9"/>
      <c r="AE720" s="9"/>
      <c r="AF720" s="9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21"/>
      <c r="AS720" s="21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x14ac:dyDescent="0.3">
      <c r="A721" s="6"/>
      <c r="B721" s="6"/>
      <c r="C721" s="39"/>
      <c r="D721" s="6"/>
      <c r="E721" s="149"/>
      <c r="F721" s="153"/>
      <c r="G721" s="1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12"/>
      <c r="Y721" s="6"/>
      <c r="Z721" s="6"/>
      <c r="AA721" s="6"/>
      <c r="AB721" s="6"/>
      <c r="AC721" s="9"/>
      <c r="AD721" s="9"/>
      <c r="AE721" s="9"/>
      <c r="AF721" s="9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21"/>
      <c r="AS721" s="21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x14ac:dyDescent="0.3">
      <c r="A722" s="63"/>
      <c r="B722" s="63"/>
      <c r="C722" s="39"/>
      <c r="D722" s="6"/>
      <c r="E722" s="149"/>
      <c r="F722" s="153"/>
      <c r="G722" s="1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5"/>
      <c r="V722" s="5"/>
      <c r="W722" s="13"/>
      <c r="X722" s="4"/>
      <c r="Y722" s="4"/>
      <c r="Z722" s="4"/>
      <c r="AA722" s="6"/>
      <c r="AB722" s="5"/>
      <c r="AC722" s="9"/>
      <c r="AD722" s="9"/>
      <c r="AE722" s="9"/>
      <c r="AF722" s="9"/>
      <c r="AG722" s="64"/>
      <c r="AH722" s="3"/>
      <c r="AI722" s="2"/>
      <c r="AJ722" s="2"/>
      <c r="AK722" s="2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x14ac:dyDescent="0.3">
      <c r="A723" s="6"/>
      <c r="B723" s="6"/>
      <c r="C723" s="39"/>
      <c r="D723" s="6"/>
      <c r="E723" s="149"/>
      <c r="F723" s="153"/>
      <c r="G723" s="1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5"/>
      <c r="V723" s="5"/>
      <c r="W723" s="13"/>
      <c r="X723" s="4"/>
      <c r="Y723" s="4"/>
      <c r="Z723" s="4"/>
      <c r="AA723" s="6"/>
      <c r="AB723" s="5"/>
      <c r="AC723" s="9"/>
      <c r="AD723" s="9"/>
      <c r="AE723" s="9"/>
      <c r="AF723" s="9"/>
      <c r="AG723" s="2"/>
      <c r="AH723" s="3"/>
      <c r="AI723" s="2"/>
      <c r="AJ723" s="2"/>
      <c r="AK723" s="2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3.5" customHeight="1" x14ac:dyDescent="0.35">
      <c r="A724" s="49"/>
      <c r="B724" s="49"/>
      <c r="C724" s="14"/>
      <c r="D724" s="1"/>
      <c r="E724" s="149"/>
      <c r="F724" s="153"/>
      <c r="G724" s="10"/>
      <c r="H724" s="17"/>
      <c r="I724" s="17"/>
      <c r="J724" s="17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29"/>
      <c r="X724" s="15"/>
      <c r="Y724" s="30"/>
      <c r="Z724" s="30"/>
      <c r="AA724" s="30"/>
      <c r="AB724" s="30"/>
      <c r="AC724" s="17"/>
      <c r="AD724" s="17"/>
      <c r="AE724" s="17"/>
      <c r="AF724" s="17"/>
      <c r="AG724" s="21"/>
      <c r="AH724" s="21"/>
      <c r="AI724" s="21"/>
      <c r="AJ724" s="21"/>
      <c r="AK724" s="21"/>
      <c r="AL724" s="21"/>
      <c r="AM724" s="21"/>
      <c r="AN724" s="21"/>
      <c r="AO724" s="22"/>
      <c r="AP724" s="21"/>
      <c r="AQ724" s="22"/>
      <c r="AR724" s="21"/>
      <c r="AS724" s="21"/>
      <c r="AT724" s="21"/>
      <c r="AU724" s="21"/>
      <c r="AV724" s="21"/>
      <c r="AW724" s="21"/>
      <c r="AX724" s="22"/>
      <c r="AY724" s="21"/>
      <c r="AZ724" s="22"/>
      <c r="BA724" s="21"/>
      <c r="BB724" s="21"/>
      <c r="BC724" s="21"/>
      <c r="BD724" s="21"/>
      <c r="BE724" s="26"/>
      <c r="BF724" s="26"/>
      <c r="BG724" s="62"/>
    </row>
    <row r="725" spans="1:59" x14ac:dyDescent="0.3">
      <c r="A725" s="6"/>
      <c r="B725" s="6"/>
      <c r="C725" s="39"/>
      <c r="D725" s="6"/>
      <c r="E725" s="149"/>
      <c r="F725" s="153"/>
      <c r="G725" s="1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12"/>
      <c r="Y725" s="6"/>
      <c r="Z725" s="6"/>
      <c r="AA725" s="6"/>
      <c r="AB725" s="6"/>
      <c r="AC725" s="9"/>
      <c r="AD725" s="9"/>
      <c r="AE725" s="9"/>
      <c r="AF725" s="9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21"/>
      <c r="AS725" s="21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x14ac:dyDescent="0.3">
      <c r="A726" s="6"/>
      <c r="B726" s="6"/>
      <c r="C726" s="39"/>
      <c r="D726" s="6"/>
      <c r="E726" s="149"/>
      <c r="F726" s="153"/>
      <c r="G726" s="1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12"/>
      <c r="Y726" s="6"/>
      <c r="Z726" s="6"/>
      <c r="AA726" s="6"/>
      <c r="AB726" s="6"/>
      <c r="AC726" s="9"/>
      <c r="AD726" s="9"/>
      <c r="AE726" s="9"/>
      <c r="AF726" s="9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21"/>
      <c r="AS726" s="21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x14ac:dyDescent="0.3">
      <c r="A727" s="6"/>
      <c r="B727" s="6"/>
      <c r="C727" s="39"/>
      <c r="D727" s="6"/>
      <c r="E727" s="149"/>
      <c r="F727" s="153"/>
      <c r="G727" s="1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5"/>
      <c r="V727" s="5"/>
      <c r="W727" s="13"/>
      <c r="X727" s="4"/>
      <c r="Y727" s="4"/>
      <c r="Z727" s="4"/>
      <c r="AA727" s="6"/>
      <c r="AB727" s="5"/>
      <c r="AC727" s="9"/>
      <c r="AD727" s="9"/>
      <c r="AE727" s="9"/>
      <c r="AF727" s="9"/>
      <c r="AG727" s="2"/>
      <c r="AH727" s="3"/>
      <c r="AI727" s="2"/>
      <c r="AJ727" s="2"/>
      <c r="AK727" s="2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3.5" customHeight="1" x14ac:dyDescent="0.35">
      <c r="A728" s="49"/>
      <c r="B728" s="49"/>
      <c r="C728" s="39"/>
      <c r="D728" s="1"/>
      <c r="E728" s="149"/>
      <c r="F728" s="153"/>
      <c r="G728" s="10"/>
      <c r="H728" s="17"/>
      <c r="I728" s="17"/>
      <c r="J728" s="17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29"/>
      <c r="X728" s="15"/>
      <c r="Y728" s="30"/>
      <c r="Z728" s="30"/>
      <c r="AA728" s="30"/>
      <c r="AB728" s="30"/>
      <c r="AC728" s="17"/>
      <c r="AD728" s="17"/>
      <c r="AE728" s="17"/>
      <c r="AF728" s="17"/>
      <c r="AG728" s="21"/>
      <c r="AH728" s="21"/>
      <c r="AI728" s="21"/>
      <c r="AJ728" s="21"/>
      <c r="AK728" s="21"/>
      <c r="AL728" s="21"/>
      <c r="AM728" s="21"/>
      <c r="AN728" s="21"/>
      <c r="AO728" s="22"/>
      <c r="AP728" s="21"/>
      <c r="AQ728" s="22"/>
      <c r="AR728" s="21"/>
      <c r="AS728" s="21"/>
      <c r="AT728" s="21"/>
      <c r="AU728" s="21"/>
      <c r="AV728" s="21"/>
      <c r="AW728" s="21"/>
      <c r="AX728" s="22"/>
      <c r="AY728" s="21"/>
      <c r="AZ728" s="22"/>
      <c r="BA728" s="21"/>
      <c r="BB728" s="21"/>
      <c r="BC728" s="21"/>
      <c r="BD728" s="21"/>
      <c r="BE728" s="26"/>
      <c r="BF728" s="26"/>
      <c r="BG728" s="62"/>
    </row>
    <row r="729" spans="1:59" ht="13.5" customHeight="1" x14ac:dyDescent="0.35">
      <c r="A729" s="49"/>
      <c r="B729" s="49"/>
      <c r="C729" s="14"/>
      <c r="D729" s="1"/>
      <c r="E729" s="149"/>
      <c r="F729" s="153"/>
      <c r="G729" s="10"/>
      <c r="H729" s="17"/>
      <c r="I729" s="17"/>
      <c r="J729" s="17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29"/>
      <c r="X729" s="15"/>
      <c r="Y729" s="30"/>
      <c r="Z729" s="30"/>
      <c r="AA729" s="30"/>
      <c r="AB729" s="30"/>
      <c r="AC729" s="17"/>
      <c r="AD729" s="17"/>
      <c r="AE729" s="17"/>
      <c r="AF729" s="17"/>
      <c r="AG729" s="21"/>
      <c r="AH729" s="21"/>
      <c r="AI729" s="21"/>
      <c r="AJ729" s="21"/>
      <c r="AK729" s="21"/>
      <c r="AL729" s="21"/>
      <c r="AM729" s="21"/>
      <c r="AN729" s="21"/>
      <c r="AO729" s="22"/>
      <c r="AP729" s="21"/>
      <c r="AQ729" s="22"/>
      <c r="AR729" s="21"/>
      <c r="AS729" s="21"/>
      <c r="AT729" s="21"/>
      <c r="AU729" s="21"/>
      <c r="AV729" s="21"/>
      <c r="AW729" s="21"/>
      <c r="AX729" s="22"/>
      <c r="AY729" s="21"/>
      <c r="AZ729" s="22"/>
      <c r="BA729" s="21"/>
      <c r="BB729" s="21"/>
      <c r="BC729" s="21"/>
      <c r="BD729" s="21"/>
      <c r="BE729" s="26"/>
      <c r="BF729" s="26"/>
      <c r="BG729" s="62"/>
    </row>
    <row r="730" spans="1:59" ht="13.5" customHeight="1" x14ac:dyDescent="0.35">
      <c r="A730" s="49"/>
      <c r="B730" s="49"/>
      <c r="C730" s="14"/>
      <c r="D730" s="1"/>
      <c r="E730" s="149"/>
      <c r="F730" s="153"/>
      <c r="G730" s="10"/>
      <c r="H730" s="17"/>
      <c r="I730" s="17"/>
      <c r="J730" s="17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29"/>
      <c r="X730" s="15"/>
      <c r="Y730" s="30"/>
      <c r="Z730" s="30"/>
      <c r="AA730" s="30"/>
      <c r="AB730" s="30"/>
      <c r="AC730" s="17"/>
      <c r="AD730" s="17"/>
      <c r="AE730" s="17"/>
      <c r="AF730" s="17"/>
      <c r="AG730" s="21"/>
      <c r="AH730" s="21"/>
      <c r="AI730" s="21"/>
      <c r="AJ730" s="21"/>
      <c r="AK730" s="21"/>
      <c r="AL730" s="21"/>
      <c r="AM730" s="21"/>
      <c r="AN730" s="21"/>
      <c r="AO730" s="22"/>
      <c r="AP730" s="21"/>
      <c r="AQ730" s="22"/>
      <c r="AR730" s="21"/>
      <c r="AS730" s="21"/>
      <c r="AT730" s="21"/>
      <c r="AU730" s="21"/>
      <c r="AV730" s="21"/>
      <c r="AW730" s="21"/>
      <c r="AX730" s="22"/>
      <c r="AY730" s="21"/>
      <c r="AZ730" s="22"/>
      <c r="BA730" s="21"/>
      <c r="BB730" s="21"/>
      <c r="BC730" s="21"/>
      <c r="BD730" s="21"/>
      <c r="BE730" s="26"/>
      <c r="BF730" s="26"/>
      <c r="BG730" s="62"/>
    </row>
    <row r="731" spans="1:59" ht="13.5" customHeight="1" x14ac:dyDescent="0.35">
      <c r="A731" s="49"/>
      <c r="B731" s="49"/>
      <c r="C731" s="14"/>
      <c r="D731" s="1"/>
      <c r="E731" s="149"/>
      <c r="F731" s="153"/>
      <c r="G731" s="10"/>
      <c r="H731" s="17"/>
      <c r="I731" s="17"/>
      <c r="J731" s="17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29"/>
      <c r="X731" s="15"/>
      <c r="Y731" s="30"/>
      <c r="Z731" s="30"/>
      <c r="AA731" s="30"/>
      <c r="AB731" s="30"/>
      <c r="AC731" s="17"/>
      <c r="AD731" s="17"/>
      <c r="AE731" s="17"/>
      <c r="AF731" s="17"/>
      <c r="AG731" s="21"/>
      <c r="AH731" s="21"/>
      <c r="AI731" s="21"/>
      <c r="AJ731" s="21"/>
      <c r="AK731" s="21"/>
      <c r="AL731" s="21"/>
      <c r="AM731" s="21"/>
      <c r="AN731" s="21"/>
      <c r="AO731" s="22"/>
      <c r="AP731" s="21"/>
      <c r="AQ731" s="22"/>
      <c r="AR731" s="21"/>
      <c r="AS731" s="21"/>
      <c r="AT731" s="21"/>
      <c r="AU731" s="21"/>
      <c r="AV731" s="21"/>
      <c r="AW731" s="21"/>
      <c r="AX731" s="22"/>
      <c r="AY731" s="21"/>
      <c r="AZ731" s="22"/>
      <c r="BA731" s="21"/>
      <c r="BB731" s="21"/>
      <c r="BC731" s="21"/>
      <c r="BD731" s="21"/>
      <c r="BE731" s="26"/>
      <c r="BF731" s="26"/>
      <c r="BG731" s="62"/>
    </row>
    <row r="732" spans="1:59" x14ac:dyDescent="0.3">
      <c r="A732" s="63"/>
      <c r="B732" s="63"/>
      <c r="C732" s="39"/>
      <c r="D732" s="6"/>
      <c r="E732" s="149"/>
      <c r="F732" s="153"/>
      <c r="G732" s="1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5"/>
      <c r="V732" s="5"/>
      <c r="W732" s="13"/>
      <c r="X732" s="4"/>
      <c r="Y732" s="4"/>
      <c r="Z732" s="4"/>
      <c r="AA732" s="6"/>
      <c r="AB732" s="5"/>
      <c r="AC732" s="9"/>
      <c r="AD732" s="9"/>
      <c r="AE732" s="9"/>
      <c r="AF732" s="9"/>
      <c r="AG732" s="64"/>
      <c r="AH732" s="3"/>
      <c r="AI732" s="2"/>
      <c r="AJ732" s="2"/>
      <c r="AK732" s="2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x14ac:dyDescent="0.3">
      <c r="A733" s="6"/>
      <c r="B733" s="6"/>
      <c r="C733" s="39"/>
      <c r="D733" s="6"/>
      <c r="E733" s="149"/>
      <c r="F733" s="153"/>
      <c r="G733" s="1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12"/>
      <c r="Y733" s="6"/>
      <c r="Z733" s="6"/>
      <c r="AA733" s="6"/>
      <c r="AB733" s="6"/>
      <c r="AC733" s="9"/>
      <c r="AD733" s="9"/>
      <c r="AE733" s="9"/>
      <c r="AF733" s="9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21"/>
      <c r="AS733" s="21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x14ac:dyDescent="0.3">
      <c r="A734" s="6"/>
      <c r="B734" s="6"/>
      <c r="C734" s="39"/>
      <c r="D734" s="6"/>
      <c r="E734" s="149"/>
      <c r="F734" s="153"/>
      <c r="G734" s="1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12"/>
      <c r="Y734" s="6"/>
      <c r="Z734" s="6"/>
      <c r="AA734" s="6"/>
      <c r="AB734" s="6"/>
      <c r="AC734" s="9"/>
      <c r="AD734" s="9"/>
      <c r="AE734" s="9"/>
      <c r="AF734" s="9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21"/>
      <c r="AS734" s="21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3.5" customHeight="1" x14ac:dyDescent="0.35">
      <c r="A735" s="49"/>
      <c r="B735" s="49"/>
      <c r="C735" s="14"/>
      <c r="D735" s="1"/>
      <c r="E735" s="149"/>
      <c r="F735" s="153"/>
      <c r="G735" s="10"/>
      <c r="H735" s="17"/>
      <c r="I735" s="17"/>
      <c r="J735" s="17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29"/>
      <c r="X735" s="15"/>
      <c r="Y735" s="30"/>
      <c r="Z735" s="30"/>
      <c r="AA735" s="30"/>
      <c r="AB735" s="30"/>
      <c r="AC735" s="17"/>
      <c r="AD735" s="17"/>
      <c r="AE735" s="17"/>
      <c r="AF735" s="17"/>
      <c r="AG735" s="21"/>
      <c r="AH735" s="21"/>
      <c r="AI735" s="21"/>
      <c r="AJ735" s="21"/>
      <c r="AK735" s="21"/>
      <c r="AL735" s="21"/>
      <c r="AM735" s="21"/>
      <c r="AN735" s="21"/>
      <c r="AO735" s="22"/>
      <c r="AP735" s="21"/>
      <c r="AQ735" s="22"/>
      <c r="AR735" s="21"/>
      <c r="AS735" s="21"/>
      <c r="AT735" s="21"/>
      <c r="AU735" s="21"/>
      <c r="AV735" s="21"/>
      <c r="AW735" s="21"/>
      <c r="AX735" s="22"/>
      <c r="AY735" s="21"/>
      <c r="AZ735" s="22"/>
      <c r="BA735" s="21"/>
      <c r="BB735" s="21"/>
      <c r="BC735" s="21"/>
      <c r="BD735" s="21"/>
      <c r="BE735" s="26"/>
      <c r="BF735" s="26"/>
      <c r="BG735" s="62"/>
    </row>
    <row r="736" spans="1:59" x14ac:dyDescent="0.3">
      <c r="A736" s="6"/>
      <c r="B736" s="6"/>
      <c r="C736" s="39"/>
      <c r="D736" s="6"/>
      <c r="E736" s="149"/>
      <c r="F736" s="153"/>
      <c r="G736" s="1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12"/>
      <c r="Y736" s="6"/>
      <c r="Z736" s="6"/>
      <c r="AA736" s="6"/>
      <c r="AB736" s="6"/>
      <c r="AC736" s="9"/>
      <c r="AD736" s="9"/>
      <c r="AE736" s="9"/>
      <c r="AF736" s="9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21"/>
      <c r="AS736" s="21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3.5" customHeight="1" x14ac:dyDescent="0.35">
      <c r="A737" s="49"/>
      <c r="B737" s="49"/>
      <c r="C737" s="14"/>
      <c r="D737" s="1"/>
      <c r="E737" s="149"/>
      <c r="F737" s="153"/>
      <c r="G737" s="10"/>
      <c r="H737" s="17"/>
      <c r="I737" s="17"/>
      <c r="J737" s="17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29"/>
      <c r="X737" s="15"/>
      <c r="Y737" s="30"/>
      <c r="Z737" s="30"/>
      <c r="AA737" s="30"/>
      <c r="AB737" s="30"/>
      <c r="AC737" s="17"/>
      <c r="AD737" s="17"/>
      <c r="AE737" s="17"/>
      <c r="AF737" s="17"/>
      <c r="AG737" s="21"/>
      <c r="AH737" s="21"/>
      <c r="AI737" s="21"/>
      <c r="AJ737" s="21"/>
      <c r="AK737" s="21"/>
      <c r="AL737" s="21"/>
      <c r="AM737" s="21"/>
      <c r="AN737" s="21"/>
      <c r="AO737" s="22"/>
      <c r="AP737" s="21"/>
      <c r="AQ737" s="22"/>
      <c r="AR737" s="21"/>
      <c r="AS737" s="21"/>
      <c r="AT737" s="21"/>
      <c r="AU737" s="21"/>
      <c r="AV737" s="21"/>
      <c r="AW737" s="21"/>
      <c r="AX737" s="22"/>
      <c r="AY737" s="21"/>
      <c r="AZ737" s="22"/>
      <c r="BA737" s="21"/>
      <c r="BB737" s="21"/>
      <c r="BC737" s="21"/>
      <c r="BD737" s="21"/>
      <c r="BE737" s="26"/>
      <c r="BF737" s="26"/>
      <c r="BG737" s="62"/>
    </row>
    <row r="738" spans="1:59" x14ac:dyDescent="0.3">
      <c r="A738" s="63"/>
      <c r="B738" s="63"/>
      <c r="C738" s="39"/>
      <c r="D738" s="6"/>
      <c r="E738" s="149"/>
      <c r="F738" s="153"/>
      <c r="G738" s="1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5"/>
      <c r="V738" s="5"/>
      <c r="W738" s="13"/>
      <c r="X738" s="4"/>
      <c r="Y738" s="4"/>
      <c r="Z738" s="4"/>
      <c r="AA738" s="6"/>
      <c r="AB738" s="5"/>
      <c r="AC738" s="9"/>
      <c r="AD738" s="9"/>
      <c r="AE738" s="9"/>
      <c r="AF738" s="9"/>
      <c r="AG738" s="64"/>
      <c r="AH738" s="3"/>
      <c r="AI738" s="2"/>
      <c r="AJ738" s="2"/>
      <c r="AK738" s="2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x14ac:dyDescent="0.3">
      <c r="A739" s="6"/>
      <c r="B739" s="6"/>
      <c r="C739" s="39"/>
      <c r="D739" s="6"/>
      <c r="E739" s="149"/>
      <c r="F739" s="153"/>
      <c r="G739" s="1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12"/>
      <c r="Y739" s="6"/>
      <c r="Z739" s="6"/>
      <c r="AA739" s="6"/>
      <c r="AB739" s="6"/>
      <c r="AC739" s="9"/>
      <c r="AD739" s="9"/>
      <c r="AE739" s="9"/>
      <c r="AF739" s="9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21"/>
      <c r="AS739" s="21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x14ac:dyDescent="0.3">
      <c r="A740" s="6"/>
      <c r="B740" s="6"/>
      <c r="C740" s="39"/>
      <c r="D740" s="6"/>
      <c r="E740" s="149"/>
      <c r="F740" s="153"/>
      <c r="G740" s="1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12"/>
      <c r="Y740" s="6"/>
      <c r="Z740" s="6"/>
      <c r="AA740" s="6"/>
      <c r="AB740" s="6"/>
      <c r="AC740" s="9"/>
      <c r="AD740" s="9"/>
      <c r="AE740" s="9"/>
      <c r="AF740" s="9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21"/>
      <c r="AS740" s="21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x14ac:dyDescent="0.3">
      <c r="A741" s="6"/>
      <c r="B741" s="6"/>
      <c r="C741" s="39"/>
      <c r="D741" s="6"/>
      <c r="E741" s="149"/>
      <c r="F741" s="153"/>
      <c r="G741" s="1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12"/>
      <c r="Y741" s="6"/>
      <c r="Z741" s="6"/>
      <c r="AA741" s="6"/>
      <c r="AB741" s="6"/>
      <c r="AC741" s="9"/>
      <c r="AD741" s="9"/>
      <c r="AE741" s="9"/>
      <c r="AF741" s="9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21"/>
      <c r="AS741" s="21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3.5" customHeight="1" x14ac:dyDescent="0.35">
      <c r="A742" s="49"/>
      <c r="B742" s="49"/>
      <c r="C742" s="14"/>
      <c r="D742" s="1"/>
      <c r="E742" s="149"/>
      <c r="F742" s="153"/>
      <c r="G742" s="10"/>
      <c r="H742" s="17"/>
      <c r="I742" s="17"/>
      <c r="J742" s="17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29"/>
      <c r="X742" s="15"/>
      <c r="Y742" s="30"/>
      <c r="Z742" s="30"/>
      <c r="AA742" s="30"/>
      <c r="AB742" s="30"/>
      <c r="AC742" s="17"/>
      <c r="AD742" s="17"/>
      <c r="AE742" s="17"/>
      <c r="AF742" s="17"/>
      <c r="AG742" s="21"/>
      <c r="AH742" s="21"/>
      <c r="AI742" s="21"/>
      <c r="AJ742" s="21"/>
      <c r="AK742" s="21"/>
      <c r="AL742" s="21"/>
      <c r="AM742" s="21"/>
      <c r="AN742" s="21"/>
      <c r="AO742" s="22"/>
      <c r="AP742" s="21"/>
      <c r="AQ742" s="22"/>
      <c r="AR742" s="21"/>
      <c r="AS742" s="21"/>
      <c r="AT742" s="21"/>
      <c r="AU742" s="21"/>
      <c r="AV742" s="21"/>
      <c r="AW742" s="21"/>
      <c r="AX742" s="22"/>
      <c r="AY742" s="21"/>
      <c r="AZ742" s="22"/>
      <c r="BA742" s="21"/>
      <c r="BB742" s="21"/>
      <c r="BC742" s="21"/>
      <c r="BD742" s="21"/>
      <c r="BE742" s="26"/>
      <c r="BF742" s="26"/>
      <c r="BG742" s="62"/>
    </row>
    <row r="743" spans="1:59" x14ac:dyDescent="0.3">
      <c r="A743" s="6"/>
      <c r="B743" s="6"/>
      <c r="C743" s="39"/>
      <c r="D743" s="6"/>
      <c r="E743" s="149"/>
      <c r="F743" s="153"/>
      <c r="G743" s="1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12"/>
      <c r="Y743" s="6"/>
      <c r="Z743" s="6"/>
      <c r="AA743" s="6"/>
      <c r="AB743" s="6"/>
      <c r="AC743" s="9"/>
      <c r="AD743" s="9"/>
      <c r="AE743" s="9"/>
      <c r="AF743" s="9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21"/>
      <c r="AS743" s="21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x14ac:dyDescent="0.3">
      <c r="A744" s="6"/>
      <c r="B744" s="6"/>
      <c r="C744" s="39"/>
      <c r="D744" s="6"/>
      <c r="E744" s="149"/>
      <c r="F744" s="153"/>
      <c r="G744" s="1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12"/>
      <c r="Y744" s="6"/>
      <c r="Z744" s="6"/>
      <c r="AA744" s="6"/>
      <c r="AB744" s="6"/>
      <c r="AC744" s="9"/>
      <c r="AD744" s="9"/>
      <c r="AE744" s="9"/>
      <c r="AF744" s="9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21"/>
      <c r="AS744" s="21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x14ac:dyDescent="0.3">
      <c r="A745" s="6"/>
      <c r="B745" s="6"/>
      <c r="C745" s="39"/>
      <c r="D745" s="6"/>
      <c r="E745" s="149"/>
      <c r="F745" s="153"/>
      <c r="G745" s="1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5"/>
      <c r="V745" s="5"/>
      <c r="W745" s="13"/>
      <c r="X745" s="4"/>
      <c r="Y745" s="4"/>
      <c r="Z745" s="4"/>
      <c r="AA745" s="6"/>
      <c r="AB745" s="5"/>
      <c r="AC745" s="9"/>
      <c r="AD745" s="9"/>
      <c r="AE745" s="9"/>
      <c r="AF745" s="9"/>
      <c r="AG745" s="2"/>
      <c r="AH745" s="3"/>
      <c r="AI745" s="2"/>
      <c r="AJ745" s="2"/>
      <c r="AK745" s="2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3.5" customHeight="1" x14ac:dyDescent="0.35">
      <c r="A746" s="49"/>
      <c r="B746" s="49"/>
      <c r="C746" s="39"/>
      <c r="D746" s="1"/>
      <c r="E746" s="149"/>
      <c r="F746" s="153"/>
      <c r="G746" s="10"/>
      <c r="H746" s="17"/>
      <c r="I746" s="17"/>
      <c r="J746" s="17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29"/>
      <c r="X746" s="15"/>
      <c r="Y746" s="30"/>
      <c r="Z746" s="30"/>
      <c r="AA746" s="30"/>
      <c r="AB746" s="30"/>
      <c r="AC746" s="17"/>
      <c r="AD746" s="17"/>
      <c r="AE746" s="17"/>
      <c r="AF746" s="17"/>
      <c r="AG746" s="21"/>
      <c r="AH746" s="21"/>
      <c r="AI746" s="21"/>
      <c r="AJ746" s="21"/>
      <c r="AK746" s="21"/>
      <c r="AL746" s="21"/>
      <c r="AM746" s="21"/>
      <c r="AN746" s="21"/>
      <c r="AO746" s="22"/>
      <c r="AP746" s="21"/>
      <c r="AQ746" s="22"/>
      <c r="AR746" s="21"/>
      <c r="AS746" s="21"/>
      <c r="AT746" s="21"/>
      <c r="AU746" s="21"/>
      <c r="AV746" s="21"/>
      <c r="AW746" s="21"/>
      <c r="AX746" s="22"/>
      <c r="AY746" s="21"/>
      <c r="AZ746" s="22"/>
      <c r="BA746" s="21"/>
      <c r="BB746" s="21"/>
      <c r="BC746" s="21"/>
      <c r="BD746" s="21"/>
      <c r="BE746" s="26"/>
      <c r="BF746" s="26"/>
      <c r="BG746" s="62"/>
    </row>
    <row r="747" spans="1:59" x14ac:dyDescent="0.3">
      <c r="A747" s="6"/>
      <c r="B747" s="6"/>
      <c r="C747" s="39"/>
      <c r="D747" s="6"/>
      <c r="E747" s="149"/>
      <c r="F747" s="153"/>
      <c r="G747" s="1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12"/>
      <c r="Y747" s="6"/>
      <c r="Z747" s="6"/>
      <c r="AA747" s="6"/>
      <c r="AB747" s="6"/>
      <c r="AC747" s="9"/>
      <c r="AD747" s="9"/>
      <c r="AE747" s="9"/>
      <c r="AF747" s="9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21"/>
      <c r="AS747" s="21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x14ac:dyDescent="0.3">
      <c r="A748" s="63"/>
      <c r="B748" s="63"/>
      <c r="C748" s="39"/>
      <c r="D748" s="6"/>
      <c r="E748" s="149"/>
      <c r="F748" s="153"/>
      <c r="G748" s="1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5"/>
      <c r="V748" s="5"/>
      <c r="W748" s="13"/>
      <c r="X748" s="4"/>
      <c r="Y748" s="4"/>
      <c r="Z748" s="4"/>
      <c r="AA748" s="6"/>
      <c r="AB748" s="5"/>
      <c r="AC748" s="9"/>
      <c r="AD748" s="9"/>
      <c r="AE748" s="9"/>
      <c r="AF748" s="9"/>
      <c r="AG748" s="64"/>
      <c r="AH748" s="3"/>
      <c r="AI748" s="2"/>
      <c r="AJ748" s="2"/>
      <c r="AK748" s="2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3.5" customHeight="1" x14ac:dyDescent="0.35">
      <c r="A749" s="49"/>
      <c r="B749" s="49"/>
      <c r="C749" s="14"/>
      <c r="D749" s="1"/>
      <c r="E749" s="149"/>
      <c r="F749" s="153"/>
      <c r="G749" s="10"/>
      <c r="H749" s="17"/>
      <c r="I749" s="17"/>
      <c r="J749" s="17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29"/>
      <c r="X749" s="15"/>
      <c r="Y749" s="30"/>
      <c r="Z749" s="30"/>
      <c r="AA749" s="30"/>
      <c r="AB749" s="30"/>
      <c r="AC749" s="17"/>
      <c r="AD749" s="17"/>
      <c r="AE749" s="17"/>
      <c r="AF749" s="17"/>
      <c r="AG749" s="21"/>
      <c r="AH749" s="21"/>
      <c r="AI749" s="21"/>
      <c r="AJ749" s="21"/>
      <c r="AK749" s="21"/>
      <c r="AL749" s="21"/>
      <c r="AM749" s="21"/>
      <c r="AN749" s="21"/>
      <c r="AO749" s="22"/>
      <c r="AP749" s="21"/>
      <c r="AQ749" s="22"/>
      <c r="AR749" s="21"/>
      <c r="AS749" s="21"/>
      <c r="AT749" s="21"/>
      <c r="AU749" s="21"/>
      <c r="AV749" s="21"/>
      <c r="AW749" s="21"/>
      <c r="AX749" s="22"/>
      <c r="AY749" s="21"/>
      <c r="AZ749" s="22"/>
      <c r="BA749" s="21"/>
      <c r="BB749" s="21"/>
      <c r="BC749" s="21"/>
      <c r="BD749" s="21"/>
      <c r="BE749" s="26"/>
      <c r="BF749" s="26"/>
      <c r="BG749" s="62"/>
    </row>
    <row r="750" spans="1:59" ht="13.5" customHeight="1" x14ac:dyDescent="0.35">
      <c r="A750" s="49"/>
      <c r="B750" s="49"/>
      <c r="C750" s="14"/>
      <c r="D750" s="1"/>
      <c r="E750" s="149"/>
      <c r="F750" s="153"/>
      <c r="G750" s="10"/>
      <c r="H750" s="17"/>
      <c r="I750" s="17"/>
      <c r="J750" s="17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29"/>
      <c r="X750" s="15"/>
      <c r="Y750" s="30"/>
      <c r="Z750" s="30"/>
      <c r="AA750" s="30"/>
      <c r="AB750" s="30"/>
      <c r="AC750" s="17"/>
      <c r="AD750" s="17"/>
      <c r="AE750" s="17"/>
      <c r="AF750" s="17"/>
      <c r="AG750" s="21"/>
      <c r="AH750" s="21"/>
      <c r="AI750" s="21"/>
      <c r="AJ750" s="21"/>
      <c r="AK750" s="21"/>
      <c r="AL750" s="21"/>
      <c r="AM750" s="21"/>
      <c r="AN750" s="21"/>
      <c r="AO750" s="22"/>
      <c r="AP750" s="21"/>
      <c r="AQ750" s="22"/>
      <c r="AR750" s="21"/>
      <c r="AS750" s="21"/>
      <c r="AT750" s="21"/>
      <c r="AU750" s="21"/>
      <c r="AV750" s="21"/>
      <c r="AW750" s="21"/>
      <c r="AX750" s="22"/>
      <c r="AY750" s="21"/>
      <c r="AZ750" s="22"/>
      <c r="BA750" s="21"/>
      <c r="BB750" s="21"/>
      <c r="BC750" s="21"/>
      <c r="BD750" s="21"/>
      <c r="BE750" s="26"/>
      <c r="BF750" s="26"/>
      <c r="BG750" s="62"/>
    </row>
    <row r="751" spans="1:59" ht="13.5" customHeight="1" x14ac:dyDescent="0.35">
      <c r="A751" s="49"/>
      <c r="B751" s="49"/>
      <c r="C751" s="14"/>
      <c r="D751" s="1"/>
      <c r="E751" s="149"/>
      <c r="F751" s="153"/>
      <c r="G751" s="10"/>
      <c r="H751" s="17"/>
      <c r="I751" s="17"/>
      <c r="J751" s="17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29"/>
      <c r="X751" s="15"/>
      <c r="Y751" s="30"/>
      <c r="Z751" s="30"/>
      <c r="AA751" s="30"/>
      <c r="AB751" s="30"/>
      <c r="AC751" s="17"/>
      <c r="AD751" s="17"/>
      <c r="AE751" s="17"/>
      <c r="AF751" s="17"/>
      <c r="AG751" s="21"/>
      <c r="AH751" s="21"/>
      <c r="AI751" s="21"/>
      <c r="AJ751" s="21"/>
      <c r="AK751" s="21"/>
      <c r="AL751" s="21"/>
      <c r="AM751" s="21"/>
      <c r="AN751" s="21"/>
      <c r="AO751" s="22"/>
      <c r="AP751" s="21"/>
      <c r="AQ751" s="22"/>
      <c r="AR751" s="21"/>
      <c r="AS751" s="21"/>
      <c r="AT751" s="21"/>
      <c r="AU751" s="21"/>
      <c r="AV751" s="21"/>
      <c r="AW751" s="21"/>
      <c r="AX751" s="22"/>
      <c r="AY751" s="21"/>
      <c r="AZ751" s="22"/>
      <c r="BA751" s="21"/>
      <c r="BB751" s="21"/>
      <c r="BC751" s="21"/>
      <c r="BD751" s="21"/>
      <c r="BE751" s="26"/>
      <c r="BF751" s="26"/>
      <c r="BG751" s="62"/>
    </row>
    <row r="752" spans="1:59" x14ac:dyDescent="0.3">
      <c r="A752" s="6"/>
      <c r="B752" s="6"/>
      <c r="C752" s="39"/>
      <c r="D752" s="6"/>
      <c r="E752" s="149"/>
      <c r="F752" s="153"/>
      <c r="G752" s="1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12"/>
      <c r="Y752" s="6"/>
      <c r="Z752" s="6"/>
      <c r="AA752" s="6"/>
      <c r="AB752" s="6"/>
      <c r="AC752" s="9"/>
      <c r="AD752" s="9"/>
      <c r="AE752" s="9"/>
      <c r="AF752" s="9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21"/>
      <c r="AS752" s="21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3.5" customHeight="1" x14ac:dyDescent="0.35">
      <c r="A753" s="49"/>
      <c r="B753" s="49"/>
      <c r="C753" s="14"/>
      <c r="D753" s="1"/>
      <c r="E753" s="149"/>
      <c r="F753" s="153"/>
      <c r="G753" s="10"/>
      <c r="H753" s="17"/>
      <c r="I753" s="17"/>
      <c r="J753" s="17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29"/>
      <c r="X753" s="15"/>
      <c r="Y753" s="30"/>
      <c r="Z753" s="30"/>
      <c r="AA753" s="30"/>
      <c r="AB753" s="30"/>
      <c r="AC753" s="17"/>
      <c r="AD753" s="17"/>
      <c r="AE753" s="17"/>
      <c r="AF753" s="17"/>
      <c r="AG753" s="21"/>
      <c r="AH753" s="21"/>
      <c r="AI753" s="21"/>
      <c r="AJ753" s="21"/>
      <c r="AK753" s="21"/>
      <c r="AL753" s="21"/>
      <c r="AM753" s="21"/>
      <c r="AN753" s="21"/>
      <c r="AO753" s="22"/>
      <c r="AP753" s="21"/>
      <c r="AQ753" s="22"/>
      <c r="AR753" s="21"/>
      <c r="AS753" s="21"/>
      <c r="AT753" s="21"/>
      <c r="AU753" s="21"/>
      <c r="AV753" s="21"/>
      <c r="AW753" s="21"/>
      <c r="AX753" s="22"/>
      <c r="AY753" s="21"/>
      <c r="AZ753" s="22"/>
      <c r="BA753" s="21"/>
      <c r="BB753" s="21"/>
      <c r="BC753" s="21"/>
      <c r="BD753" s="21"/>
      <c r="BE753" s="26"/>
      <c r="BF753" s="26"/>
      <c r="BG753" s="62"/>
    </row>
    <row r="754" spans="1:59" ht="13.5" customHeight="1" x14ac:dyDescent="0.35">
      <c r="A754" s="49"/>
      <c r="B754" s="49"/>
      <c r="C754" s="39"/>
      <c r="D754" s="1"/>
      <c r="E754" s="149"/>
      <c r="F754" s="153"/>
      <c r="G754" s="10"/>
      <c r="H754" s="17"/>
      <c r="I754" s="17"/>
      <c r="J754" s="17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29"/>
      <c r="X754" s="15"/>
      <c r="Y754" s="30"/>
      <c r="Z754" s="30"/>
      <c r="AA754" s="30"/>
      <c r="AB754" s="30"/>
      <c r="AC754" s="17"/>
      <c r="AD754" s="17"/>
      <c r="AE754" s="17"/>
      <c r="AF754" s="17"/>
      <c r="AG754" s="21"/>
      <c r="AH754" s="21"/>
      <c r="AI754" s="21"/>
      <c r="AJ754" s="21"/>
      <c r="AK754" s="21"/>
      <c r="AL754" s="21"/>
      <c r="AM754" s="21"/>
      <c r="AN754" s="21"/>
      <c r="AO754" s="22"/>
      <c r="AP754" s="21"/>
      <c r="AQ754" s="22"/>
      <c r="AR754" s="21"/>
      <c r="AS754" s="21"/>
      <c r="AT754" s="21"/>
      <c r="AU754" s="21"/>
      <c r="AV754" s="21"/>
      <c r="AW754" s="21"/>
      <c r="AX754" s="22"/>
      <c r="AY754" s="21"/>
      <c r="AZ754" s="22"/>
      <c r="BA754" s="21"/>
      <c r="BB754" s="21"/>
      <c r="BC754" s="21"/>
      <c r="BD754" s="21"/>
      <c r="BE754" s="26"/>
      <c r="BF754" s="26"/>
      <c r="BG754" s="62"/>
    </row>
    <row r="755" spans="1:59" x14ac:dyDescent="0.3">
      <c r="A755" s="6"/>
      <c r="B755" s="6"/>
      <c r="C755" s="39"/>
      <c r="D755" s="6"/>
      <c r="E755" s="149"/>
      <c r="F755" s="153"/>
      <c r="G755" s="1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12"/>
      <c r="Y755" s="6"/>
      <c r="Z755" s="6"/>
      <c r="AA755" s="6"/>
      <c r="AB755" s="6"/>
      <c r="AC755" s="9"/>
      <c r="AD755" s="9"/>
      <c r="AE755" s="9"/>
      <c r="AF755" s="9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21"/>
      <c r="AS755" s="21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3.5" customHeight="1" x14ac:dyDescent="0.35">
      <c r="A756" s="49"/>
      <c r="B756" s="49"/>
      <c r="C756" s="14"/>
      <c r="D756" s="1"/>
      <c r="E756" s="149"/>
      <c r="F756" s="153"/>
      <c r="G756" s="10"/>
      <c r="H756" s="17"/>
      <c r="I756" s="17"/>
      <c r="J756" s="17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29"/>
      <c r="X756" s="15"/>
      <c r="Y756" s="30"/>
      <c r="Z756" s="30"/>
      <c r="AA756" s="30"/>
      <c r="AB756" s="30"/>
      <c r="AC756" s="17"/>
      <c r="AD756" s="17"/>
      <c r="AE756" s="17"/>
      <c r="AF756" s="17"/>
      <c r="AG756" s="21"/>
      <c r="AH756" s="21"/>
      <c r="AI756" s="21"/>
      <c r="AJ756" s="21"/>
      <c r="AK756" s="21"/>
      <c r="AL756" s="21"/>
      <c r="AM756" s="21"/>
      <c r="AN756" s="21"/>
      <c r="AO756" s="22"/>
      <c r="AP756" s="21"/>
      <c r="AQ756" s="22"/>
      <c r="AR756" s="21"/>
      <c r="AS756" s="21"/>
      <c r="AT756" s="21"/>
      <c r="AU756" s="21"/>
      <c r="AV756" s="21"/>
      <c r="AW756" s="21"/>
      <c r="AX756" s="22"/>
      <c r="AY756" s="21"/>
      <c r="AZ756" s="22"/>
      <c r="BA756" s="21"/>
      <c r="BB756" s="21"/>
      <c r="BC756" s="21"/>
      <c r="BD756" s="21"/>
      <c r="BE756" s="26"/>
      <c r="BF756" s="26"/>
      <c r="BG756" s="62"/>
    </row>
    <row r="757" spans="1:59" ht="13.5" customHeight="1" x14ac:dyDescent="0.35">
      <c r="A757" s="49"/>
      <c r="B757" s="49"/>
      <c r="C757" s="14"/>
      <c r="D757" s="1"/>
      <c r="E757" s="149"/>
      <c r="F757" s="153"/>
      <c r="G757" s="10"/>
      <c r="H757" s="17"/>
      <c r="I757" s="17"/>
      <c r="J757" s="17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29"/>
      <c r="X757" s="15"/>
      <c r="Y757" s="30"/>
      <c r="Z757" s="30"/>
      <c r="AA757" s="30"/>
      <c r="AB757" s="30"/>
      <c r="AC757" s="17"/>
      <c r="AD757" s="17"/>
      <c r="AE757" s="17"/>
      <c r="AF757" s="17"/>
      <c r="AG757" s="21"/>
      <c r="AH757" s="21"/>
      <c r="AI757" s="21"/>
      <c r="AJ757" s="21"/>
      <c r="AK757" s="21"/>
      <c r="AL757" s="21"/>
      <c r="AM757" s="21"/>
      <c r="AN757" s="21"/>
      <c r="AO757" s="22"/>
      <c r="AP757" s="21"/>
      <c r="AQ757" s="22"/>
      <c r="AR757" s="21"/>
      <c r="AS757" s="21"/>
      <c r="AT757" s="21"/>
      <c r="AU757" s="21"/>
      <c r="AV757" s="21"/>
      <c r="AW757" s="21"/>
      <c r="AX757" s="22"/>
      <c r="AY757" s="21"/>
      <c r="AZ757" s="22"/>
      <c r="BA757" s="21"/>
      <c r="BB757" s="21"/>
      <c r="BC757" s="21"/>
      <c r="BD757" s="21"/>
      <c r="BE757" s="26"/>
      <c r="BF757" s="26"/>
      <c r="BG757" s="62"/>
    </row>
    <row r="758" spans="1:59" x14ac:dyDescent="0.3">
      <c r="A758" s="63"/>
      <c r="B758" s="63"/>
      <c r="C758" s="39"/>
      <c r="D758" s="6"/>
      <c r="E758" s="149"/>
      <c r="F758" s="153"/>
      <c r="G758" s="1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5"/>
      <c r="V758" s="5"/>
      <c r="W758" s="13"/>
      <c r="X758" s="4"/>
      <c r="Y758" s="4"/>
      <c r="Z758" s="4"/>
      <c r="AA758" s="6"/>
      <c r="AB758" s="5"/>
      <c r="AC758" s="9"/>
      <c r="AD758" s="9"/>
      <c r="AE758" s="9"/>
      <c r="AF758" s="9"/>
      <c r="AG758" s="64"/>
      <c r="AH758" s="3"/>
      <c r="AI758" s="2"/>
      <c r="AJ758" s="2"/>
      <c r="AK758" s="2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3.5" customHeight="1" x14ac:dyDescent="0.35">
      <c r="A759" s="49"/>
      <c r="B759" s="49"/>
      <c r="C759" s="39"/>
      <c r="D759" s="1"/>
      <c r="E759" s="149"/>
      <c r="F759" s="153"/>
      <c r="G759" s="10"/>
      <c r="H759" s="17"/>
      <c r="I759" s="17"/>
      <c r="J759" s="17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29"/>
      <c r="X759" s="15"/>
      <c r="Y759" s="30"/>
      <c r="Z759" s="30"/>
      <c r="AA759" s="30"/>
      <c r="AB759" s="30"/>
      <c r="AC759" s="17"/>
      <c r="AD759" s="17"/>
      <c r="AE759" s="17"/>
      <c r="AF759" s="17"/>
      <c r="AG759" s="21"/>
      <c r="AH759" s="21"/>
      <c r="AI759" s="21"/>
      <c r="AJ759" s="21"/>
      <c r="AK759" s="21"/>
      <c r="AL759" s="21"/>
      <c r="AM759" s="21"/>
      <c r="AN759" s="21"/>
      <c r="AO759" s="22"/>
      <c r="AP759" s="21"/>
      <c r="AQ759" s="22"/>
      <c r="AR759" s="21"/>
      <c r="AS759" s="21"/>
      <c r="AT759" s="21"/>
      <c r="AU759" s="21"/>
      <c r="AV759" s="21"/>
      <c r="AW759" s="21"/>
      <c r="AX759" s="22"/>
      <c r="AY759" s="21"/>
      <c r="AZ759" s="22"/>
      <c r="BA759" s="21"/>
      <c r="BB759" s="21"/>
      <c r="BC759" s="21"/>
      <c r="BD759" s="21"/>
      <c r="BE759" s="26"/>
      <c r="BF759" s="26"/>
      <c r="BG759" s="62"/>
    </row>
    <row r="760" spans="1:59" ht="13.5" customHeight="1" x14ac:dyDescent="0.35">
      <c r="A760" s="49"/>
      <c r="B760" s="49"/>
      <c r="C760" s="14"/>
      <c r="D760" s="1"/>
      <c r="E760" s="149"/>
      <c r="F760" s="153"/>
      <c r="G760" s="10"/>
      <c r="H760" s="17"/>
      <c r="I760" s="17"/>
      <c r="J760" s="17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29"/>
      <c r="X760" s="15"/>
      <c r="Y760" s="30"/>
      <c r="Z760" s="30"/>
      <c r="AA760" s="30"/>
      <c r="AB760" s="30"/>
      <c r="AC760" s="17"/>
      <c r="AD760" s="17"/>
      <c r="AE760" s="17"/>
      <c r="AF760" s="17"/>
      <c r="AG760" s="21"/>
      <c r="AH760" s="21"/>
      <c r="AI760" s="21"/>
      <c r="AJ760" s="21"/>
      <c r="AK760" s="21"/>
      <c r="AL760" s="21"/>
      <c r="AM760" s="21"/>
      <c r="AN760" s="21"/>
      <c r="AO760" s="22"/>
      <c r="AP760" s="21"/>
      <c r="AQ760" s="22"/>
      <c r="AR760" s="21"/>
      <c r="AS760" s="21"/>
      <c r="AT760" s="21"/>
      <c r="AU760" s="21"/>
      <c r="AV760" s="21"/>
      <c r="AW760" s="21"/>
      <c r="AX760" s="22"/>
      <c r="AY760" s="21"/>
      <c r="AZ760" s="22"/>
      <c r="BA760" s="21"/>
      <c r="BB760" s="21"/>
      <c r="BC760" s="21"/>
      <c r="BD760" s="21"/>
      <c r="BE760" s="26"/>
      <c r="BF760" s="26"/>
      <c r="BG760" s="62"/>
    </row>
    <row r="761" spans="1:59" x14ac:dyDescent="0.3">
      <c r="A761" s="6"/>
      <c r="B761" s="6"/>
      <c r="C761" s="39"/>
      <c r="D761" s="6"/>
      <c r="E761" s="149"/>
      <c r="F761" s="153"/>
      <c r="G761" s="1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5"/>
      <c r="V761" s="5"/>
      <c r="W761" s="13"/>
      <c r="X761" s="4"/>
      <c r="Y761" s="4"/>
      <c r="Z761" s="4"/>
      <c r="AA761" s="6"/>
      <c r="AB761" s="11"/>
      <c r="AC761" s="9"/>
      <c r="AD761" s="9"/>
      <c r="AE761" s="9"/>
      <c r="AF761" s="9"/>
      <c r="AG761" s="2"/>
      <c r="AH761" s="3"/>
      <c r="AI761" s="2"/>
      <c r="AJ761" s="2"/>
      <c r="AK761" s="2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12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x14ac:dyDescent="0.3">
      <c r="A762" s="6"/>
      <c r="B762" s="6"/>
      <c r="C762" s="39"/>
      <c r="D762" s="6"/>
      <c r="E762" s="149"/>
      <c r="F762" s="153"/>
      <c r="G762" s="1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5"/>
      <c r="V762" s="5"/>
      <c r="W762" s="13"/>
      <c r="X762" s="4"/>
      <c r="Y762" s="4"/>
      <c r="Z762" s="4"/>
      <c r="AA762" s="6"/>
      <c r="AB762" s="5"/>
      <c r="AC762" s="9"/>
      <c r="AD762" s="9"/>
      <c r="AE762" s="9"/>
      <c r="AF762" s="9"/>
      <c r="AG762" s="2"/>
      <c r="AH762" s="3"/>
      <c r="AI762" s="2"/>
      <c r="AJ762" s="2"/>
      <c r="AK762" s="2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x14ac:dyDescent="0.3">
      <c r="A763" s="6"/>
      <c r="B763" s="6"/>
      <c r="C763" s="39"/>
      <c r="D763" s="6"/>
      <c r="E763" s="149"/>
      <c r="F763" s="153"/>
      <c r="G763" s="1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12"/>
      <c r="Y763" s="6"/>
      <c r="Z763" s="6"/>
      <c r="AA763" s="6"/>
      <c r="AB763" s="6"/>
      <c r="AC763" s="9"/>
      <c r="AD763" s="9"/>
      <c r="AE763" s="9"/>
      <c r="AF763" s="9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21"/>
      <c r="AS763" s="21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x14ac:dyDescent="0.3">
      <c r="A764" s="63"/>
      <c r="B764" s="63"/>
      <c r="C764" s="39"/>
      <c r="D764" s="6"/>
      <c r="E764" s="149"/>
      <c r="F764" s="153"/>
      <c r="G764" s="1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5"/>
      <c r="V764" s="5"/>
      <c r="W764" s="13"/>
      <c r="X764" s="4"/>
      <c r="Y764" s="4"/>
      <c r="Z764" s="4"/>
      <c r="AA764" s="6"/>
      <c r="AB764" s="5"/>
      <c r="AC764" s="9"/>
      <c r="AD764" s="9"/>
      <c r="AE764" s="9"/>
      <c r="AF764" s="9"/>
      <c r="AG764" s="64"/>
      <c r="AH764" s="3"/>
      <c r="AI764" s="2"/>
      <c r="AJ764" s="2"/>
      <c r="AK764" s="2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3.5" customHeight="1" x14ac:dyDescent="0.35">
      <c r="A765" s="49"/>
      <c r="B765" s="49"/>
      <c r="C765" s="14"/>
      <c r="D765" s="1"/>
      <c r="E765" s="149"/>
      <c r="F765" s="153"/>
      <c r="G765" s="10"/>
      <c r="H765" s="17"/>
      <c r="I765" s="17"/>
      <c r="J765" s="17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29"/>
      <c r="X765" s="15"/>
      <c r="Y765" s="30"/>
      <c r="Z765" s="30"/>
      <c r="AA765" s="30"/>
      <c r="AB765" s="30"/>
      <c r="AC765" s="17"/>
      <c r="AD765" s="17"/>
      <c r="AE765" s="17"/>
      <c r="AF765" s="17"/>
      <c r="AG765" s="21"/>
      <c r="AH765" s="21"/>
      <c r="AI765" s="21"/>
      <c r="AJ765" s="21"/>
      <c r="AK765" s="21"/>
      <c r="AL765" s="21"/>
      <c r="AM765" s="21"/>
      <c r="AN765" s="21"/>
      <c r="AO765" s="22"/>
      <c r="AP765" s="21"/>
      <c r="AQ765" s="22"/>
      <c r="AR765" s="21"/>
      <c r="AS765" s="21"/>
      <c r="AT765" s="21"/>
      <c r="AU765" s="21"/>
      <c r="AV765" s="21"/>
      <c r="AW765" s="21"/>
      <c r="AX765" s="22"/>
      <c r="AY765" s="21"/>
      <c r="AZ765" s="22"/>
      <c r="BA765" s="21"/>
      <c r="BB765" s="21"/>
      <c r="BC765" s="21"/>
      <c r="BD765" s="21"/>
      <c r="BE765" s="26"/>
      <c r="BF765" s="26"/>
      <c r="BG765" s="62"/>
    </row>
    <row r="766" spans="1:59" ht="13.5" customHeight="1" x14ac:dyDescent="0.35">
      <c r="A766" s="49"/>
      <c r="B766" s="49"/>
      <c r="C766" s="14"/>
      <c r="D766" s="1"/>
      <c r="E766" s="149"/>
      <c r="F766" s="153"/>
      <c r="G766" s="10"/>
      <c r="H766" s="17"/>
      <c r="I766" s="17"/>
      <c r="J766" s="17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29"/>
      <c r="X766" s="15"/>
      <c r="Y766" s="30"/>
      <c r="Z766" s="30"/>
      <c r="AA766" s="30"/>
      <c r="AB766" s="30"/>
      <c r="AC766" s="17"/>
      <c r="AD766" s="17"/>
      <c r="AE766" s="17"/>
      <c r="AF766" s="17"/>
      <c r="AG766" s="21"/>
      <c r="AH766" s="21"/>
      <c r="AI766" s="21"/>
      <c r="AJ766" s="21"/>
      <c r="AK766" s="21"/>
      <c r="AL766" s="21"/>
      <c r="AM766" s="21"/>
      <c r="AN766" s="21"/>
      <c r="AO766" s="22"/>
      <c r="AP766" s="21"/>
      <c r="AQ766" s="22"/>
      <c r="AR766" s="21"/>
      <c r="AS766" s="21"/>
      <c r="AT766" s="21"/>
      <c r="AU766" s="21"/>
      <c r="AV766" s="21"/>
      <c r="AW766" s="21"/>
      <c r="AX766" s="22"/>
      <c r="AY766" s="21"/>
      <c r="AZ766" s="22"/>
      <c r="BA766" s="21"/>
      <c r="BB766" s="21"/>
      <c r="BC766" s="21"/>
      <c r="BD766" s="21"/>
      <c r="BE766" s="26"/>
      <c r="BF766" s="26"/>
      <c r="BG766" s="62"/>
    </row>
    <row r="767" spans="1:59" x14ac:dyDescent="0.3">
      <c r="A767" s="63"/>
      <c r="B767" s="63"/>
      <c r="C767" s="39"/>
      <c r="D767" s="6"/>
      <c r="E767" s="149"/>
      <c r="F767" s="153"/>
      <c r="G767" s="1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5"/>
      <c r="V767" s="5"/>
      <c r="W767" s="13"/>
      <c r="X767" s="4"/>
      <c r="Y767" s="4"/>
      <c r="Z767" s="4"/>
      <c r="AA767" s="6"/>
      <c r="AB767" s="5"/>
      <c r="AC767" s="9"/>
      <c r="AD767" s="9"/>
      <c r="AE767" s="9"/>
      <c r="AF767" s="9"/>
      <c r="AG767" s="64"/>
      <c r="AH767" s="3"/>
      <c r="AI767" s="2"/>
      <c r="AJ767" s="2"/>
      <c r="AK767" s="2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3.5" customHeight="1" x14ac:dyDescent="0.35">
      <c r="A768" s="49"/>
      <c r="B768" s="49"/>
      <c r="C768" s="39"/>
      <c r="D768" s="1"/>
      <c r="E768" s="149"/>
      <c r="F768" s="153"/>
      <c r="G768" s="10"/>
      <c r="H768" s="17"/>
      <c r="I768" s="17"/>
      <c r="J768" s="17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29"/>
      <c r="X768" s="15"/>
      <c r="Y768" s="30"/>
      <c r="Z768" s="30"/>
      <c r="AA768" s="30"/>
      <c r="AB768" s="30"/>
      <c r="AC768" s="17"/>
      <c r="AD768" s="17"/>
      <c r="AE768" s="17"/>
      <c r="AF768" s="17"/>
      <c r="AG768" s="21"/>
      <c r="AH768" s="21"/>
      <c r="AI768" s="21"/>
      <c r="AJ768" s="21"/>
      <c r="AK768" s="21"/>
      <c r="AL768" s="21"/>
      <c r="AM768" s="21"/>
      <c r="AN768" s="21"/>
      <c r="AO768" s="22"/>
      <c r="AP768" s="21"/>
      <c r="AQ768" s="22"/>
      <c r="AR768" s="21"/>
      <c r="AS768" s="21"/>
      <c r="AT768" s="21"/>
      <c r="AU768" s="21"/>
      <c r="AV768" s="21"/>
      <c r="AW768" s="21"/>
      <c r="AX768" s="22"/>
      <c r="AY768" s="21"/>
      <c r="AZ768" s="22"/>
      <c r="BA768" s="21"/>
      <c r="BB768" s="21"/>
      <c r="BC768" s="21"/>
      <c r="BD768" s="21"/>
      <c r="BE768" s="26"/>
      <c r="BF768" s="26"/>
      <c r="BG768" s="62"/>
    </row>
    <row r="769" spans="1:59" ht="13.5" customHeight="1" x14ac:dyDescent="0.35">
      <c r="A769" s="49"/>
      <c r="B769" s="49"/>
      <c r="C769" s="14"/>
      <c r="D769" s="1"/>
      <c r="E769" s="149"/>
      <c r="F769" s="153"/>
      <c r="G769" s="10"/>
      <c r="H769" s="17"/>
      <c r="I769" s="17"/>
      <c r="J769" s="17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29"/>
      <c r="X769" s="15"/>
      <c r="Y769" s="30"/>
      <c r="Z769" s="30"/>
      <c r="AA769" s="30"/>
      <c r="AB769" s="30"/>
      <c r="AC769" s="17"/>
      <c r="AD769" s="17"/>
      <c r="AE769" s="17"/>
      <c r="AF769" s="17"/>
      <c r="AG769" s="21"/>
      <c r="AH769" s="21"/>
      <c r="AI769" s="21"/>
      <c r="AJ769" s="21"/>
      <c r="AK769" s="21"/>
      <c r="AL769" s="21"/>
      <c r="AM769" s="21"/>
      <c r="AN769" s="21"/>
      <c r="AO769" s="22"/>
      <c r="AP769" s="21"/>
      <c r="AQ769" s="22"/>
      <c r="AR769" s="21"/>
      <c r="AS769" s="21"/>
      <c r="AT769" s="21"/>
      <c r="AU769" s="21"/>
      <c r="AV769" s="21"/>
      <c r="AW769" s="21"/>
      <c r="AX769" s="22"/>
      <c r="AY769" s="21"/>
      <c r="AZ769" s="22"/>
      <c r="BA769" s="21"/>
      <c r="BB769" s="21"/>
      <c r="BC769" s="21"/>
      <c r="BD769" s="21"/>
      <c r="BE769" s="26"/>
      <c r="BF769" s="26"/>
      <c r="BG769" s="62"/>
    </row>
    <row r="770" spans="1:59" x14ac:dyDescent="0.3">
      <c r="A770" s="6"/>
      <c r="B770" s="6"/>
      <c r="C770" s="39"/>
      <c r="D770" s="6"/>
      <c r="E770" s="149"/>
      <c r="F770" s="153"/>
      <c r="G770" s="1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12"/>
      <c r="Y770" s="6"/>
      <c r="Z770" s="6"/>
      <c r="AA770" s="6"/>
      <c r="AB770" s="6"/>
      <c r="AC770" s="9"/>
      <c r="AD770" s="9"/>
      <c r="AE770" s="9"/>
      <c r="AF770" s="9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21"/>
      <c r="AS770" s="21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3.5" customHeight="1" x14ac:dyDescent="0.35">
      <c r="A771" s="49"/>
      <c r="B771" s="49"/>
      <c r="C771" s="14"/>
      <c r="D771" s="1"/>
      <c r="E771" s="149"/>
      <c r="F771" s="153"/>
      <c r="G771" s="10"/>
      <c r="H771" s="17"/>
      <c r="I771" s="17"/>
      <c r="J771" s="17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29"/>
      <c r="X771" s="15"/>
      <c r="Y771" s="30"/>
      <c r="Z771" s="30"/>
      <c r="AA771" s="30"/>
      <c r="AB771" s="30"/>
      <c r="AC771" s="17"/>
      <c r="AD771" s="17"/>
      <c r="AE771" s="17"/>
      <c r="AF771" s="17"/>
      <c r="AG771" s="21"/>
      <c r="AH771" s="21"/>
      <c r="AI771" s="21"/>
      <c r="AJ771" s="21"/>
      <c r="AK771" s="21"/>
      <c r="AL771" s="21"/>
      <c r="AM771" s="21"/>
      <c r="AN771" s="21"/>
      <c r="AO771" s="22"/>
      <c r="AP771" s="21"/>
      <c r="AQ771" s="22"/>
      <c r="AR771" s="21"/>
      <c r="AS771" s="21"/>
      <c r="AT771" s="21"/>
      <c r="AU771" s="21"/>
      <c r="AV771" s="21"/>
      <c r="AW771" s="21"/>
      <c r="AX771" s="22"/>
      <c r="AY771" s="21"/>
      <c r="AZ771" s="22"/>
      <c r="BA771" s="21"/>
      <c r="BB771" s="21"/>
      <c r="BC771" s="21"/>
      <c r="BD771" s="21"/>
      <c r="BE771" s="26"/>
      <c r="BF771" s="26"/>
      <c r="BG771" s="62"/>
    </row>
    <row r="772" spans="1:59" ht="13.5" customHeight="1" x14ac:dyDescent="0.35">
      <c r="A772" s="49"/>
      <c r="B772" s="49"/>
      <c r="C772" s="39"/>
      <c r="D772" s="1"/>
      <c r="E772" s="149"/>
      <c r="F772" s="153"/>
      <c r="G772" s="10"/>
      <c r="H772" s="17"/>
      <c r="I772" s="17"/>
      <c r="J772" s="17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29"/>
      <c r="X772" s="15"/>
      <c r="Y772" s="30"/>
      <c r="Z772" s="30"/>
      <c r="AA772" s="30"/>
      <c r="AB772" s="30"/>
      <c r="AC772" s="17"/>
      <c r="AD772" s="17"/>
      <c r="AE772" s="17"/>
      <c r="AF772" s="17"/>
      <c r="AG772" s="21"/>
      <c r="AH772" s="21"/>
      <c r="AI772" s="21"/>
      <c r="AJ772" s="21"/>
      <c r="AK772" s="21"/>
      <c r="AL772" s="21"/>
      <c r="AM772" s="21"/>
      <c r="AN772" s="21"/>
      <c r="AO772" s="22"/>
      <c r="AP772" s="21"/>
      <c r="AQ772" s="22"/>
      <c r="AR772" s="21"/>
      <c r="AS772" s="21"/>
      <c r="AT772" s="21"/>
      <c r="AU772" s="21"/>
      <c r="AV772" s="21"/>
      <c r="AW772" s="21"/>
      <c r="AX772" s="22"/>
      <c r="AY772" s="21"/>
      <c r="AZ772" s="22"/>
      <c r="BA772" s="21"/>
      <c r="BB772" s="21"/>
      <c r="BC772" s="21"/>
      <c r="BD772" s="21"/>
      <c r="BE772" s="26"/>
      <c r="BF772" s="26"/>
      <c r="BG772" s="65"/>
    </row>
    <row r="773" spans="1:59" x14ac:dyDescent="0.3">
      <c r="A773" s="6"/>
      <c r="B773" s="6"/>
      <c r="C773" s="39"/>
      <c r="D773" s="6"/>
      <c r="E773" s="149"/>
      <c r="F773" s="153"/>
      <c r="G773" s="1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5"/>
      <c r="V773" s="5"/>
      <c r="W773" s="13"/>
      <c r="X773" s="4"/>
      <c r="Y773" s="4"/>
      <c r="Z773" s="4"/>
      <c r="AA773" s="6"/>
      <c r="AB773" s="5"/>
      <c r="AC773" s="9"/>
      <c r="AD773" s="9"/>
      <c r="AE773" s="9"/>
      <c r="AF773" s="9"/>
      <c r="AG773" s="2"/>
      <c r="AH773" s="3"/>
      <c r="AI773" s="2"/>
      <c r="AJ773" s="2"/>
      <c r="AK773" s="2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3.5" customHeight="1" x14ac:dyDescent="0.35">
      <c r="A774" s="49"/>
      <c r="B774" s="49"/>
      <c r="C774" s="14"/>
      <c r="D774" s="1"/>
      <c r="E774" s="149"/>
      <c r="F774" s="153"/>
      <c r="G774" s="10"/>
      <c r="H774" s="17"/>
      <c r="I774" s="17"/>
      <c r="J774" s="17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29"/>
      <c r="X774" s="15"/>
      <c r="Y774" s="30"/>
      <c r="Z774" s="30"/>
      <c r="AA774" s="30"/>
      <c r="AB774" s="30"/>
      <c r="AC774" s="17"/>
      <c r="AD774" s="17"/>
      <c r="AE774" s="17"/>
      <c r="AF774" s="17"/>
      <c r="AG774" s="21"/>
      <c r="AH774" s="21"/>
      <c r="AI774" s="21"/>
      <c r="AJ774" s="21"/>
      <c r="AK774" s="21"/>
      <c r="AL774" s="21"/>
      <c r="AM774" s="21"/>
      <c r="AN774" s="21"/>
      <c r="AO774" s="22"/>
      <c r="AP774" s="21"/>
      <c r="AQ774" s="22"/>
      <c r="AR774" s="21"/>
      <c r="AS774" s="21"/>
      <c r="AT774" s="21"/>
      <c r="AU774" s="21"/>
      <c r="AV774" s="21"/>
      <c r="AW774" s="21"/>
      <c r="AX774" s="22"/>
      <c r="AY774" s="21"/>
      <c r="AZ774" s="22"/>
      <c r="BA774" s="21"/>
      <c r="BB774" s="21"/>
      <c r="BC774" s="21"/>
      <c r="BD774" s="21"/>
      <c r="BE774" s="26"/>
      <c r="BF774" s="26"/>
      <c r="BG774" s="62"/>
    </row>
    <row r="775" spans="1:59" x14ac:dyDescent="0.3">
      <c r="A775" s="6"/>
      <c r="B775" s="6"/>
      <c r="C775" s="39"/>
      <c r="D775" s="6"/>
      <c r="E775" s="149"/>
      <c r="F775" s="153"/>
      <c r="G775" s="1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12"/>
      <c r="Y775" s="6"/>
      <c r="Z775" s="6"/>
      <c r="AA775" s="6"/>
      <c r="AB775" s="6"/>
      <c r="AC775" s="9"/>
      <c r="AD775" s="9"/>
      <c r="AE775" s="9"/>
      <c r="AF775" s="9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21"/>
      <c r="AS775" s="21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x14ac:dyDescent="0.3">
      <c r="A776" s="63"/>
      <c r="B776" s="63"/>
      <c r="C776" s="39"/>
      <c r="D776" s="6"/>
      <c r="E776" s="149"/>
      <c r="F776" s="153"/>
      <c r="G776" s="1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5"/>
      <c r="V776" s="5"/>
      <c r="W776" s="13"/>
      <c r="X776" s="4"/>
      <c r="Y776" s="4"/>
      <c r="Z776" s="4"/>
      <c r="AA776" s="6"/>
      <c r="AB776" s="5"/>
      <c r="AC776" s="9"/>
      <c r="AD776" s="9"/>
      <c r="AE776" s="9"/>
      <c r="AF776" s="9"/>
      <c r="AG776" s="64"/>
      <c r="AH776" s="3"/>
      <c r="AI776" s="2"/>
      <c r="AJ776" s="2"/>
      <c r="AK776" s="2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x14ac:dyDescent="0.3">
      <c r="A777" s="6"/>
      <c r="B777" s="6"/>
      <c r="C777" s="39"/>
      <c r="D777" s="6"/>
      <c r="E777" s="149"/>
      <c r="F777" s="153"/>
      <c r="G777" s="1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12"/>
      <c r="Y777" s="6"/>
      <c r="Z777" s="6"/>
      <c r="AA777" s="6"/>
      <c r="AB777" s="6"/>
      <c r="AC777" s="9"/>
      <c r="AD777" s="9"/>
      <c r="AE777" s="9"/>
      <c r="AF777" s="9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21"/>
      <c r="AS777" s="21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3.5" customHeight="1" x14ac:dyDescent="0.35">
      <c r="A778" s="49"/>
      <c r="B778" s="49"/>
      <c r="C778" s="14"/>
      <c r="D778" s="1"/>
      <c r="E778" s="149"/>
      <c r="F778" s="153"/>
      <c r="G778" s="10"/>
      <c r="H778" s="17"/>
      <c r="I778" s="17"/>
      <c r="J778" s="17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29"/>
      <c r="X778" s="15"/>
      <c r="Y778" s="30"/>
      <c r="Z778" s="30"/>
      <c r="AA778" s="30"/>
      <c r="AB778" s="30"/>
      <c r="AC778" s="17"/>
      <c r="AD778" s="17"/>
      <c r="AE778" s="17"/>
      <c r="AF778" s="17"/>
      <c r="AG778" s="21"/>
      <c r="AH778" s="21"/>
      <c r="AI778" s="21"/>
      <c r="AJ778" s="21"/>
      <c r="AK778" s="21"/>
      <c r="AL778" s="21"/>
      <c r="AM778" s="21"/>
      <c r="AN778" s="21"/>
      <c r="AO778" s="22"/>
      <c r="AP778" s="21"/>
      <c r="AQ778" s="22"/>
      <c r="AR778" s="21"/>
      <c r="AS778" s="21"/>
      <c r="AT778" s="21"/>
      <c r="AU778" s="21"/>
      <c r="AV778" s="21"/>
      <c r="AW778" s="21"/>
      <c r="AX778" s="22"/>
      <c r="AY778" s="21"/>
      <c r="AZ778" s="22"/>
      <c r="BA778" s="21"/>
      <c r="BB778" s="21"/>
      <c r="BC778" s="21"/>
      <c r="BD778" s="21"/>
      <c r="BE778" s="26"/>
      <c r="BF778" s="26"/>
      <c r="BG778" s="62"/>
    </row>
    <row r="779" spans="1:59" x14ac:dyDescent="0.3">
      <c r="A779" s="63"/>
      <c r="B779" s="63"/>
      <c r="C779" s="39"/>
      <c r="D779" s="6"/>
      <c r="E779" s="149"/>
      <c r="F779" s="153"/>
      <c r="G779" s="1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5"/>
      <c r="V779" s="5"/>
      <c r="W779" s="13"/>
      <c r="X779" s="4"/>
      <c r="Y779" s="4"/>
      <c r="Z779" s="4"/>
      <c r="AA779" s="6"/>
      <c r="AB779" s="5"/>
      <c r="AC779" s="9"/>
      <c r="AD779" s="9"/>
      <c r="AE779" s="9"/>
      <c r="AF779" s="9"/>
      <c r="AG779" s="64"/>
      <c r="AH779" s="3"/>
      <c r="AI779" s="2"/>
      <c r="AJ779" s="2"/>
      <c r="AK779" s="2"/>
      <c r="AL779" s="3"/>
      <c r="AM779" s="3"/>
      <c r="AN779" s="3"/>
      <c r="AO779" s="3"/>
      <c r="AP779" s="3"/>
      <c r="AQ779" s="3"/>
      <c r="AR779" s="21"/>
      <c r="AS779" s="21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x14ac:dyDescent="0.3">
      <c r="A780" s="63"/>
      <c r="B780" s="63"/>
      <c r="C780" s="39"/>
      <c r="D780" s="6"/>
      <c r="E780" s="149"/>
      <c r="F780" s="153"/>
      <c r="G780" s="1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5"/>
      <c r="V780" s="5"/>
      <c r="W780" s="13"/>
      <c r="X780" s="4"/>
      <c r="Y780" s="4"/>
      <c r="Z780" s="4"/>
      <c r="AA780" s="6"/>
      <c r="AB780" s="5"/>
      <c r="AC780" s="9"/>
      <c r="AD780" s="9"/>
      <c r="AE780" s="9"/>
      <c r="AF780" s="9"/>
      <c r="AG780" s="64"/>
      <c r="AH780" s="3"/>
      <c r="AI780" s="2"/>
      <c r="AJ780" s="2"/>
      <c r="AK780" s="2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x14ac:dyDescent="0.3">
      <c r="A781" s="63"/>
      <c r="B781" s="63"/>
      <c r="C781" s="39"/>
      <c r="D781" s="6"/>
      <c r="E781" s="149"/>
      <c r="F781" s="153"/>
      <c r="G781" s="1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5"/>
      <c r="V781" s="5"/>
      <c r="W781" s="13"/>
      <c r="X781" s="4"/>
      <c r="Y781" s="4"/>
      <c r="Z781" s="4"/>
      <c r="AA781" s="6"/>
      <c r="AB781" s="5"/>
      <c r="AC781" s="9"/>
      <c r="AD781" s="9"/>
      <c r="AE781" s="9"/>
      <c r="AF781" s="9"/>
      <c r="AG781" s="64"/>
      <c r="AH781" s="3"/>
      <c r="AI781" s="2"/>
      <c r="AJ781" s="2"/>
      <c r="AK781" s="2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x14ac:dyDescent="0.3">
      <c r="A782" s="6"/>
      <c r="B782" s="6"/>
      <c r="C782" s="39"/>
      <c r="D782" s="6"/>
      <c r="E782" s="149"/>
      <c r="F782" s="153"/>
      <c r="G782" s="1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5"/>
      <c r="V782" s="5"/>
      <c r="W782" s="13"/>
      <c r="X782" s="4"/>
      <c r="Y782" s="4"/>
      <c r="Z782" s="4"/>
      <c r="AA782" s="6"/>
      <c r="AB782" s="5"/>
      <c r="AC782" s="9"/>
      <c r="AD782" s="9"/>
      <c r="AE782" s="9"/>
      <c r="AF782" s="9"/>
      <c r="AG782" s="2"/>
      <c r="AH782" s="3"/>
      <c r="AI782" s="2"/>
      <c r="AJ782" s="2"/>
      <c r="AK782" s="2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3.5" customHeight="1" x14ac:dyDescent="0.35">
      <c r="A783" s="49"/>
      <c r="B783" s="49"/>
      <c r="C783" s="39"/>
      <c r="D783" s="1"/>
      <c r="E783" s="149"/>
      <c r="F783" s="153"/>
      <c r="G783" s="10"/>
      <c r="H783" s="17"/>
      <c r="I783" s="17"/>
      <c r="J783" s="17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29"/>
      <c r="X783" s="15"/>
      <c r="Y783" s="30"/>
      <c r="Z783" s="30"/>
      <c r="AA783" s="30"/>
      <c r="AB783" s="30"/>
      <c r="AC783" s="17"/>
      <c r="AD783" s="17"/>
      <c r="AE783" s="17"/>
      <c r="AF783" s="17"/>
      <c r="AG783" s="21"/>
      <c r="AH783" s="21"/>
      <c r="AI783" s="21"/>
      <c r="AJ783" s="21"/>
      <c r="AK783" s="21"/>
      <c r="AL783" s="21"/>
      <c r="AM783" s="21"/>
      <c r="AN783" s="21"/>
      <c r="AO783" s="22"/>
      <c r="AP783" s="21"/>
      <c r="AQ783" s="22"/>
      <c r="AR783" s="21"/>
      <c r="AS783" s="21"/>
      <c r="AT783" s="21"/>
      <c r="AU783" s="21"/>
      <c r="AV783" s="21"/>
      <c r="AW783" s="21"/>
      <c r="AX783" s="22"/>
      <c r="AY783" s="21"/>
      <c r="AZ783" s="22"/>
      <c r="BA783" s="21"/>
      <c r="BB783" s="21"/>
      <c r="BC783" s="21"/>
      <c r="BD783" s="21"/>
      <c r="BE783" s="26"/>
      <c r="BF783" s="26"/>
      <c r="BG783" s="62"/>
    </row>
    <row r="784" spans="1:59" x14ac:dyDescent="0.3">
      <c r="A784" s="6"/>
      <c r="B784" s="6"/>
      <c r="C784" s="39"/>
      <c r="D784" s="6"/>
      <c r="E784" s="149"/>
      <c r="F784" s="153"/>
      <c r="G784" s="1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12"/>
      <c r="Y784" s="6"/>
      <c r="Z784" s="6"/>
      <c r="AA784" s="6"/>
      <c r="AB784" s="6"/>
      <c r="AC784" s="9"/>
      <c r="AD784" s="9"/>
      <c r="AE784" s="9"/>
      <c r="AF784" s="9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21"/>
      <c r="AS784" s="21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3.5" customHeight="1" x14ac:dyDescent="0.35">
      <c r="A785" s="49"/>
      <c r="B785" s="49"/>
      <c r="C785" s="14"/>
      <c r="D785" s="1"/>
      <c r="E785" s="149"/>
      <c r="F785" s="153"/>
      <c r="G785" s="10"/>
      <c r="H785" s="17"/>
      <c r="I785" s="17"/>
      <c r="J785" s="17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29"/>
      <c r="X785" s="15"/>
      <c r="Y785" s="30"/>
      <c r="Z785" s="30"/>
      <c r="AA785" s="30"/>
      <c r="AB785" s="30"/>
      <c r="AC785" s="17"/>
      <c r="AD785" s="17"/>
      <c r="AE785" s="17"/>
      <c r="AF785" s="17"/>
      <c r="AG785" s="21"/>
      <c r="AH785" s="21"/>
      <c r="AI785" s="21"/>
      <c r="AJ785" s="21"/>
      <c r="AK785" s="21"/>
      <c r="AL785" s="21"/>
      <c r="AM785" s="21"/>
      <c r="AN785" s="21"/>
      <c r="AO785" s="22"/>
      <c r="AP785" s="21"/>
      <c r="AQ785" s="22"/>
      <c r="AR785" s="21"/>
      <c r="AS785" s="21"/>
      <c r="AT785" s="21"/>
      <c r="AU785" s="21"/>
      <c r="AV785" s="21"/>
      <c r="AW785" s="21"/>
      <c r="AX785" s="22"/>
      <c r="AY785" s="21"/>
      <c r="AZ785" s="22"/>
      <c r="BA785" s="21"/>
      <c r="BB785" s="21"/>
      <c r="BC785" s="21"/>
      <c r="BD785" s="21"/>
      <c r="BE785" s="26"/>
      <c r="BF785" s="26"/>
      <c r="BG785" s="62"/>
    </row>
    <row r="786" spans="1:59" x14ac:dyDescent="0.3">
      <c r="A786" s="63"/>
      <c r="B786" s="63"/>
      <c r="C786" s="39"/>
      <c r="D786" s="6"/>
      <c r="E786" s="149"/>
      <c r="F786" s="153"/>
      <c r="G786" s="1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5"/>
      <c r="V786" s="5"/>
      <c r="W786" s="13"/>
      <c r="X786" s="4"/>
      <c r="Y786" s="4"/>
      <c r="Z786" s="4"/>
      <c r="AA786" s="6"/>
      <c r="AB786" s="5"/>
      <c r="AC786" s="9"/>
      <c r="AD786" s="9"/>
      <c r="AE786" s="9"/>
      <c r="AF786" s="9"/>
      <c r="AG786" s="64"/>
      <c r="AH786" s="3"/>
      <c r="AI786" s="2"/>
      <c r="AJ786" s="2"/>
      <c r="AK786" s="2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x14ac:dyDescent="0.3">
      <c r="A787" s="63"/>
      <c r="B787" s="63"/>
      <c r="C787" s="39"/>
      <c r="D787" s="6"/>
      <c r="E787" s="149"/>
      <c r="F787" s="153"/>
      <c r="G787" s="1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12"/>
      <c r="Y787" s="6"/>
      <c r="Z787" s="6"/>
      <c r="AA787" s="6"/>
      <c r="AB787" s="6"/>
      <c r="AC787" s="9"/>
      <c r="AD787" s="9"/>
      <c r="AE787" s="9"/>
      <c r="AF787" s="9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21"/>
      <c r="AS787" s="21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x14ac:dyDescent="0.3">
      <c r="A788" s="6"/>
      <c r="B788" s="6"/>
      <c r="C788" s="39"/>
      <c r="D788" s="6"/>
      <c r="E788" s="149"/>
      <c r="F788" s="153"/>
      <c r="G788" s="1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12"/>
      <c r="Y788" s="6"/>
      <c r="Z788" s="6"/>
      <c r="AA788" s="6"/>
      <c r="AB788" s="6"/>
      <c r="AC788" s="9"/>
      <c r="AD788" s="9"/>
      <c r="AE788" s="9"/>
      <c r="AF788" s="9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21"/>
      <c r="AS788" s="21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x14ac:dyDescent="0.3">
      <c r="A789" s="63"/>
      <c r="B789" s="63"/>
      <c r="C789" s="39"/>
      <c r="D789" s="6"/>
      <c r="E789" s="149"/>
      <c r="F789" s="153"/>
      <c r="G789" s="1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5"/>
      <c r="V789" s="5"/>
      <c r="W789" s="13"/>
      <c r="X789" s="4"/>
      <c r="Y789" s="4"/>
      <c r="Z789" s="4"/>
      <c r="AA789" s="6"/>
      <c r="AB789" s="5"/>
      <c r="AC789" s="9"/>
      <c r="AD789" s="9"/>
      <c r="AE789" s="9"/>
      <c r="AF789" s="9"/>
      <c r="AG789" s="64"/>
      <c r="AH789" s="3"/>
      <c r="AI789" s="2"/>
      <c r="AJ789" s="2"/>
      <c r="AK789" s="2"/>
      <c r="AL789" s="3"/>
      <c r="AM789" s="3"/>
      <c r="AN789" s="3"/>
      <c r="AO789" s="3"/>
      <c r="AP789" s="3"/>
      <c r="AQ789" s="3"/>
      <c r="AR789" s="21"/>
      <c r="AS789" s="21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x14ac:dyDescent="0.3">
      <c r="A790" s="63"/>
      <c r="B790" s="63"/>
      <c r="C790" s="39"/>
      <c r="D790" s="6"/>
      <c r="E790" s="149"/>
      <c r="F790" s="153"/>
      <c r="G790" s="1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5"/>
      <c r="V790" s="5"/>
      <c r="W790" s="13"/>
      <c r="X790" s="4"/>
      <c r="Y790" s="4"/>
      <c r="Z790" s="4"/>
      <c r="AA790" s="6"/>
      <c r="AB790" s="5"/>
      <c r="AC790" s="9"/>
      <c r="AD790" s="9"/>
      <c r="AE790" s="9"/>
      <c r="AF790" s="9"/>
      <c r="AG790" s="64"/>
      <c r="AH790" s="3"/>
      <c r="AI790" s="2"/>
      <c r="AJ790" s="2"/>
      <c r="AK790" s="2"/>
      <c r="AL790" s="3"/>
      <c r="AM790" s="3"/>
      <c r="AN790" s="3"/>
      <c r="AO790" s="3"/>
      <c r="AP790" s="3"/>
      <c r="AQ790" s="3"/>
      <c r="AR790" s="21"/>
      <c r="AS790" s="21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x14ac:dyDescent="0.3">
      <c r="A791" s="63"/>
      <c r="B791" s="63"/>
      <c r="C791" s="39"/>
      <c r="D791" s="6"/>
      <c r="E791" s="149"/>
      <c r="F791" s="153"/>
      <c r="G791" s="1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5"/>
      <c r="V791" s="5"/>
      <c r="W791" s="13"/>
      <c r="X791" s="4"/>
      <c r="Y791" s="4"/>
      <c r="Z791" s="4"/>
      <c r="AA791" s="6"/>
      <c r="AB791" s="5"/>
      <c r="AC791" s="9"/>
      <c r="AD791" s="9"/>
      <c r="AE791" s="9"/>
      <c r="AF791" s="9"/>
      <c r="AG791" s="64"/>
      <c r="AH791" s="3"/>
      <c r="AI791" s="2"/>
      <c r="AJ791" s="2"/>
      <c r="AK791" s="2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x14ac:dyDescent="0.3">
      <c r="A792" s="6"/>
      <c r="B792" s="6"/>
      <c r="C792" s="39"/>
      <c r="D792" s="6"/>
      <c r="E792" s="149"/>
      <c r="F792" s="153"/>
      <c r="G792" s="1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12"/>
      <c r="Y792" s="6"/>
      <c r="Z792" s="6"/>
      <c r="AA792" s="6"/>
      <c r="AB792" s="6"/>
      <c r="AC792" s="9"/>
      <c r="AD792" s="9"/>
      <c r="AE792" s="9"/>
      <c r="AF792" s="9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21"/>
      <c r="AS792" s="21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3.5" customHeight="1" x14ac:dyDescent="0.35">
      <c r="A793" s="49"/>
      <c r="B793" s="49"/>
      <c r="C793" s="14"/>
      <c r="D793" s="1"/>
      <c r="E793" s="149"/>
      <c r="F793" s="153"/>
      <c r="G793" s="10"/>
      <c r="H793" s="17"/>
      <c r="I793" s="17"/>
      <c r="J793" s="17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29"/>
      <c r="X793" s="15"/>
      <c r="Y793" s="30"/>
      <c r="Z793" s="30"/>
      <c r="AA793" s="30"/>
      <c r="AB793" s="30"/>
      <c r="AC793" s="17"/>
      <c r="AD793" s="17"/>
      <c r="AE793" s="17"/>
      <c r="AF793" s="17"/>
      <c r="AG793" s="21"/>
      <c r="AH793" s="21"/>
      <c r="AI793" s="21"/>
      <c r="AJ793" s="21"/>
      <c r="AK793" s="21"/>
      <c r="AL793" s="21"/>
      <c r="AM793" s="21"/>
      <c r="AN793" s="21"/>
      <c r="AO793" s="22"/>
      <c r="AP793" s="21"/>
      <c r="AQ793" s="22"/>
      <c r="AR793" s="21"/>
      <c r="AS793" s="21"/>
      <c r="AT793" s="21"/>
      <c r="AU793" s="21"/>
      <c r="AV793" s="21"/>
      <c r="AW793" s="21"/>
      <c r="AX793" s="22"/>
      <c r="AY793" s="21"/>
      <c r="AZ793" s="22"/>
      <c r="BA793" s="21"/>
      <c r="BB793" s="21"/>
      <c r="BC793" s="21"/>
      <c r="BD793" s="21"/>
      <c r="BE793" s="26"/>
      <c r="BF793" s="26"/>
      <c r="BG793" s="62"/>
    </row>
    <row r="794" spans="1:59" ht="13.5" customHeight="1" x14ac:dyDescent="0.3">
      <c r="A794" s="49"/>
      <c r="B794" s="49"/>
      <c r="C794" s="14"/>
      <c r="D794" s="6"/>
      <c r="E794" s="149"/>
      <c r="F794" s="153"/>
      <c r="G794" s="10"/>
      <c r="H794" s="17"/>
      <c r="I794" s="17"/>
      <c r="J794" s="17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29"/>
      <c r="X794" s="15"/>
      <c r="Y794" s="30"/>
      <c r="Z794" s="30"/>
      <c r="AA794" s="30"/>
      <c r="AB794" s="30"/>
      <c r="AC794" s="17"/>
      <c r="AD794" s="17"/>
      <c r="AE794" s="17"/>
      <c r="AF794" s="17"/>
      <c r="AG794" s="21"/>
      <c r="AH794" s="21"/>
      <c r="AI794" s="21"/>
      <c r="AJ794" s="21"/>
      <c r="AK794" s="21"/>
      <c r="AL794" s="21"/>
      <c r="AM794" s="21"/>
      <c r="AN794" s="21"/>
      <c r="AO794" s="22"/>
      <c r="AP794" s="21"/>
      <c r="AQ794" s="22"/>
      <c r="AR794" s="21"/>
      <c r="AS794" s="21"/>
      <c r="AT794" s="21"/>
      <c r="AU794" s="21"/>
      <c r="AV794" s="21"/>
      <c r="AW794" s="21"/>
      <c r="AX794" s="22"/>
      <c r="AY794" s="21"/>
      <c r="AZ794" s="22"/>
      <c r="BA794" s="21"/>
      <c r="BB794" s="21"/>
      <c r="BC794" s="21"/>
      <c r="BD794" s="21"/>
      <c r="BE794" s="26"/>
      <c r="BF794" s="26"/>
      <c r="BG794" s="62"/>
    </row>
    <row r="795" spans="1:59" ht="13.5" customHeight="1" x14ac:dyDescent="0.35">
      <c r="A795" s="49"/>
      <c r="B795" s="49"/>
      <c r="C795" s="14"/>
      <c r="D795" s="1"/>
      <c r="E795" s="149"/>
      <c r="F795" s="153"/>
      <c r="G795" s="10"/>
      <c r="H795" s="17"/>
      <c r="I795" s="17"/>
      <c r="J795" s="17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29"/>
      <c r="X795" s="15"/>
      <c r="Y795" s="30"/>
      <c r="Z795" s="30"/>
      <c r="AA795" s="30"/>
      <c r="AB795" s="30"/>
      <c r="AC795" s="17"/>
      <c r="AD795" s="17"/>
      <c r="AE795" s="17"/>
      <c r="AF795" s="17"/>
      <c r="AG795" s="21"/>
      <c r="AH795" s="21"/>
      <c r="AI795" s="21"/>
      <c r="AJ795" s="21"/>
      <c r="AK795" s="21"/>
      <c r="AL795" s="21"/>
      <c r="AM795" s="21"/>
      <c r="AN795" s="21"/>
      <c r="AO795" s="22"/>
      <c r="AP795" s="21"/>
      <c r="AQ795" s="22"/>
      <c r="AR795" s="21"/>
      <c r="AS795" s="21"/>
      <c r="AT795" s="21"/>
      <c r="AU795" s="21"/>
      <c r="AV795" s="21"/>
      <c r="AW795" s="21"/>
      <c r="AX795" s="22"/>
      <c r="AY795" s="21"/>
      <c r="AZ795" s="22"/>
      <c r="BA795" s="21"/>
      <c r="BB795" s="21"/>
      <c r="BC795" s="21"/>
      <c r="BD795" s="21"/>
      <c r="BE795" s="26"/>
      <c r="BF795" s="26"/>
      <c r="BG795" s="62"/>
    </row>
    <row r="796" spans="1:59" x14ac:dyDescent="0.3">
      <c r="A796" s="6"/>
      <c r="B796" s="6"/>
      <c r="C796" s="39"/>
      <c r="D796" s="6"/>
      <c r="E796" s="149"/>
      <c r="F796" s="153"/>
      <c r="G796" s="1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12"/>
      <c r="Y796" s="6"/>
      <c r="Z796" s="6"/>
      <c r="AA796" s="6"/>
      <c r="AB796" s="6"/>
      <c r="AC796" s="9"/>
      <c r="AD796" s="9"/>
      <c r="AE796" s="9"/>
      <c r="AF796" s="9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21"/>
      <c r="AS796" s="21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x14ac:dyDescent="0.3">
      <c r="A797" s="63"/>
      <c r="B797" s="63"/>
      <c r="C797" s="39"/>
      <c r="D797" s="6"/>
      <c r="E797" s="149"/>
      <c r="F797" s="153"/>
      <c r="G797" s="1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5"/>
      <c r="V797" s="5"/>
      <c r="W797" s="13"/>
      <c r="X797" s="4"/>
      <c r="Y797" s="4"/>
      <c r="Z797" s="4"/>
      <c r="AA797" s="6"/>
      <c r="AB797" s="5"/>
      <c r="AC797" s="9"/>
      <c r="AD797" s="9"/>
      <c r="AE797" s="9"/>
      <c r="AF797" s="9"/>
      <c r="AG797" s="64"/>
      <c r="AH797" s="3"/>
      <c r="AI797" s="2"/>
      <c r="AJ797" s="2"/>
      <c r="AK797" s="2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x14ac:dyDescent="0.3">
      <c r="A798" s="6"/>
      <c r="B798" s="6"/>
      <c r="C798" s="39"/>
      <c r="D798" s="6"/>
      <c r="E798" s="149"/>
      <c r="F798" s="153"/>
      <c r="G798" s="1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12"/>
      <c r="Y798" s="6"/>
      <c r="Z798" s="6"/>
      <c r="AA798" s="6"/>
      <c r="AB798" s="6"/>
      <c r="AC798" s="9"/>
      <c r="AD798" s="9"/>
      <c r="AE798" s="9"/>
      <c r="AF798" s="9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x14ac:dyDescent="0.3">
      <c r="A799" s="6"/>
      <c r="B799" s="6"/>
      <c r="C799" s="39"/>
      <c r="D799" s="6"/>
      <c r="E799" s="149"/>
      <c r="F799" s="153"/>
      <c r="G799" s="1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12"/>
      <c r="Y799" s="6"/>
      <c r="Z799" s="6"/>
      <c r="AA799" s="6"/>
      <c r="AB799" s="6"/>
      <c r="AC799" s="9"/>
      <c r="AD799" s="9"/>
      <c r="AE799" s="9"/>
      <c r="AF799" s="9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21"/>
      <c r="AS799" s="21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3.5" customHeight="1" x14ac:dyDescent="0.35">
      <c r="A800" s="49"/>
      <c r="B800" s="49"/>
      <c r="C800" s="14"/>
      <c r="D800" s="1"/>
      <c r="E800" s="149"/>
      <c r="F800" s="153"/>
      <c r="G800" s="10"/>
      <c r="H800" s="17"/>
      <c r="I800" s="17"/>
      <c r="J800" s="17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29"/>
      <c r="X800" s="15"/>
      <c r="Y800" s="30"/>
      <c r="Z800" s="30"/>
      <c r="AA800" s="30"/>
      <c r="AB800" s="30"/>
      <c r="AC800" s="17"/>
      <c r="AD800" s="17"/>
      <c r="AE800" s="17"/>
      <c r="AF800" s="17"/>
      <c r="AG800" s="21"/>
      <c r="AH800" s="21"/>
      <c r="AI800" s="21"/>
      <c r="AJ800" s="21"/>
      <c r="AK800" s="21"/>
      <c r="AL800" s="21"/>
      <c r="AM800" s="21"/>
      <c r="AN800" s="21"/>
      <c r="AO800" s="22"/>
      <c r="AP800" s="21"/>
      <c r="AQ800" s="22"/>
      <c r="AR800" s="21"/>
      <c r="AS800" s="21"/>
      <c r="AT800" s="21"/>
      <c r="AU800" s="21"/>
      <c r="AV800" s="21"/>
      <c r="AW800" s="21"/>
      <c r="AX800" s="22"/>
      <c r="AY800" s="21"/>
      <c r="AZ800" s="22"/>
      <c r="BA800" s="21"/>
      <c r="BB800" s="21"/>
      <c r="BC800" s="21"/>
      <c r="BD800" s="21"/>
      <c r="BE800" s="26"/>
      <c r="BF800" s="26"/>
      <c r="BG800" s="62"/>
    </row>
    <row r="801" spans="1:59" x14ac:dyDescent="0.3">
      <c r="A801" s="6"/>
      <c r="B801" s="6"/>
      <c r="C801" s="39"/>
      <c r="D801" s="6"/>
      <c r="E801" s="149"/>
      <c r="F801" s="153"/>
      <c r="G801" s="1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5"/>
      <c r="V801" s="5"/>
      <c r="W801" s="13"/>
      <c r="X801" s="4"/>
      <c r="Y801" s="4"/>
      <c r="Z801" s="4"/>
      <c r="AA801" s="6"/>
      <c r="AB801" s="5"/>
      <c r="AC801" s="9"/>
      <c r="AD801" s="9"/>
      <c r="AE801" s="9"/>
      <c r="AF801" s="9"/>
      <c r="AG801" s="2"/>
      <c r="AH801" s="3"/>
      <c r="AI801" s="2"/>
      <c r="AJ801" s="2"/>
      <c r="AK801" s="2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3.5" customHeight="1" x14ac:dyDescent="0.35">
      <c r="A802" s="49"/>
      <c r="B802" s="49"/>
      <c r="C802" s="14"/>
      <c r="D802" s="1"/>
      <c r="E802" s="149"/>
      <c r="F802" s="153"/>
      <c r="G802" s="10"/>
      <c r="H802" s="17"/>
      <c r="I802" s="17"/>
      <c r="J802" s="17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29"/>
      <c r="X802" s="15"/>
      <c r="Y802" s="30"/>
      <c r="Z802" s="30"/>
      <c r="AA802" s="30"/>
      <c r="AB802" s="30"/>
      <c r="AC802" s="17"/>
      <c r="AD802" s="17"/>
      <c r="AE802" s="17"/>
      <c r="AF802" s="17"/>
      <c r="AG802" s="21"/>
      <c r="AH802" s="21"/>
      <c r="AI802" s="21"/>
      <c r="AJ802" s="21"/>
      <c r="AK802" s="21"/>
      <c r="AL802" s="21"/>
      <c r="AM802" s="21"/>
      <c r="AN802" s="21"/>
      <c r="AO802" s="22"/>
      <c r="AP802" s="21"/>
      <c r="AQ802" s="22"/>
      <c r="AR802" s="21"/>
      <c r="AS802" s="21"/>
      <c r="AT802" s="21"/>
      <c r="AU802" s="21"/>
      <c r="AV802" s="21"/>
      <c r="AW802" s="21"/>
      <c r="AX802" s="22"/>
      <c r="AY802" s="21"/>
      <c r="AZ802" s="22"/>
      <c r="BA802" s="21"/>
      <c r="BB802" s="21"/>
      <c r="BC802" s="21"/>
      <c r="BD802" s="21"/>
      <c r="BE802" s="26"/>
      <c r="BF802" s="26"/>
      <c r="BG802" s="62"/>
    </row>
    <row r="803" spans="1:59" x14ac:dyDescent="0.3">
      <c r="A803" s="6"/>
      <c r="B803" s="6"/>
      <c r="C803" s="39"/>
      <c r="D803" s="6"/>
      <c r="E803" s="149"/>
      <c r="F803" s="153"/>
      <c r="G803" s="1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12"/>
      <c r="Y803" s="6"/>
      <c r="Z803" s="6"/>
      <c r="AA803" s="6"/>
      <c r="AB803" s="6"/>
      <c r="AC803" s="9"/>
      <c r="AD803" s="9"/>
      <c r="AE803" s="9"/>
      <c r="AF803" s="9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21"/>
      <c r="AS803" s="21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3.5" customHeight="1" x14ac:dyDescent="0.35">
      <c r="A804" s="49"/>
      <c r="B804" s="49"/>
      <c r="C804" s="14"/>
      <c r="D804" s="1"/>
      <c r="E804" s="149"/>
      <c r="F804" s="153"/>
      <c r="G804" s="10"/>
      <c r="H804" s="17"/>
      <c r="I804" s="17"/>
      <c r="J804" s="17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29"/>
      <c r="X804" s="15"/>
      <c r="Y804" s="30"/>
      <c r="Z804" s="30"/>
      <c r="AA804" s="30"/>
      <c r="AB804" s="30"/>
      <c r="AC804" s="17"/>
      <c r="AD804" s="17"/>
      <c r="AE804" s="17"/>
      <c r="AF804" s="17"/>
      <c r="AG804" s="21"/>
      <c r="AH804" s="21"/>
      <c r="AI804" s="21"/>
      <c r="AJ804" s="21"/>
      <c r="AK804" s="21"/>
      <c r="AL804" s="21"/>
      <c r="AM804" s="21"/>
      <c r="AN804" s="21"/>
      <c r="AO804" s="22"/>
      <c r="AP804" s="21"/>
      <c r="AQ804" s="22"/>
      <c r="AR804" s="21"/>
      <c r="AS804" s="21"/>
      <c r="AT804" s="21"/>
      <c r="AU804" s="21"/>
      <c r="AV804" s="21"/>
      <c r="AW804" s="21"/>
      <c r="AX804" s="22"/>
      <c r="AY804" s="21"/>
      <c r="AZ804" s="22"/>
      <c r="BA804" s="21"/>
      <c r="BB804" s="21"/>
      <c r="BC804" s="21"/>
      <c r="BD804" s="21"/>
      <c r="BE804" s="26"/>
      <c r="BF804" s="26"/>
      <c r="BG804" s="62"/>
    </row>
    <row r="805" spans="1:59" x14ac:dyDescent="0.3">
      <c r="A805" s="6"/>
      <c r="B805" s="6"/>
      <c r="C805" s="39"/>
      <c r="D805" s="6"/>
      <c r="E805" s="149"/>
      <c r="F805" s="153"/>
      <c r="G805" s="1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12"/>
      <c r="Y805" s="6"/>
      <c r="Z805" s="6"/>
      <c r="AA805" s="6"/>
      <c r="AB805" s="6"/>
      <c r="AC805" s="9"/>
      <c r="AD805" s="9"/>
      <c r="AE805" s="9"/>
      <c r="AF805" s="9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21"/>
      <c r="AS805" s="21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3.5" customHeight="1" x14ac:dyDescent="0.35">
      <c r="A806" s="49"/>
      <c r="B806" s="49"/>
      <c r="C806" s="39"/>
      <c r="D806" s="1"/>
      <c r="E806" s="149"/>
      <c r="F806" s="153"/>
      <c r="G806" s="10"/>
      <c r="H806" s="17"/>
      <c r="I806" s="17"/>
      <c r="J806" s="17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29"/>
      <c r="X806" s="15"/>
      <c r="Y806" s="30"/>
      <c r="Z806" s="30"/>
      <c r="AA806" s="30"/>
      <c r="AB806" s="30"/>
      <c r="AC806" s="17"/>
      <c r="AD806" s="17"/>
      <c r="AE806" s="17"/>
      <c r="AF806" s="17"/>
      <c r="AG806" s="21"/>
      <c r="AH806" s="21"/>
      <c r="AI806" s="21"/>
      <c r="AJ806" s="21"/>
      <c r="AK806" s="21"/>
      <c r="AL806" s="21"/>
      <c r="AM806" s="21"/>
      <c r="AN806" s="21"/>
      <c r="AO806" s="22"/>
      <c r="AP806" s="21"/>
      <c r="AQ806" s="22"/>
      <c r="AR806" s="21"/>
      <c r="AS806" s="21"/>
      <c r="AT806" s="21"/>
      <c r="AU806" s="21"/>
      <c r="AV806" s="21"/>
      <c r="AW806" s="21"/>
      <c r="AX806" s="22"/>
      <c r="AY806" s="21"/>
      <c r="AZ806" s="22"/>
      <c r="BA806" s="21"/>
      <c r="BB806" s="21"/>
      <c r="BC806" s="21"/>
      <c r="BD806" s="21"/>
      <c r="BE806" s="26"/>
      <c r="BF806" s="26"/>
      <c r="BG806" s="62"/>
    </row>
    <row r="807" spans="1:59" x14ac:dyDescent="0.3">
      <c r="A807" s="6"/>
      <c r="B807" s="6"/>
      <c r="C807" s="39"/>
      <c r="D807" s="6"/>
      <c r="E807" s="149"/>
      <c r="F807" s="153"/>
      <c r="G807" s="1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12"/>
      <c r="Y807" s="6"/>
      <c r="Z807" s="6"/>
      <c r="AA807" s="6"/>
      <c r="AB807" s="6"/>
      <c r="AC807" s="9"/>
      <c r="AD807" s="9"/>
      <c r="AE807" s="9"/>
      <c r="AF807" s="9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21"/>
      <c r="AS807" s="21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x14ac:dyDescent="0.3">
      <c r="A808" s="6"/>
      <c r="B808" s="6"/>
      <c r="C808" s="39"/>
      <c r="D808" s="6"/>
      <c r="E808" s="149"/>
      <c r="F808" s="153"/>
      <c r="G808" s="1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5"/>
      <c r="V808" s="5"/>
      <c r="W808" s="13"/>
      <c r="X808" s="4"/>
      <c r="Y808" s="4"/>
      <c r="Z808" s="4"/>
      <c r="AA808" s="6"/>
      <c r="AB808" s="5"/>
      <c r="AC808" s="9"/>
      <c r="AD808" s="9"/>
      <c r="AE808" s="9"/>
      <c r="AF808" s="9"/>
      <c r="AG808" s="2"/>
      <c r="AH808" s="3"/>
      <c r="AI808" s="2"/>
      <c r="AJ808" s="2"/>
      <c r="AK808" s="2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x14ac:dyDescent="0.3">
      <c r="A809" s="6"/>
      <c r="B809" s="6"/>
      <c r="C809" s="39"/>
      <c r="D809" s="6"/>
      <c r="E809" s="149"/>
      <c r="F809" s="153"/>
      <c r="G809" s="1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12"/>
      <c r="Y809" s="6"/>
      <c r="Z809" s="6"/>
      <c r="AA809" s="6"/>
      <c r="AB809" s="6"/>
      <c r="AC809" s="9"/>
      <c r="AD809" s="9"/>
      <c r="AE809" s="9"/>
      <c r="AF809" s="9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21"/>
      <c r="AS809" s="21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3.5" customHeight="1" x14ac:dyDescent="0.35">
      <c r="A810" s="49"/>
      <c r="B810" s="49"/>
      <c r="C810" s="14"/>
      <c r="D810" s="1"/>
      <c r="E810" s="149"/>
      <c r="F810" s="153"/>
      <c r="G810" s="10"/>
      <c r="H810" s="17"/>
      <c r="I810" s="17"/>
      <c r="J810" s="17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29"/>
      <c r="X810" s="15"/>
      <c r="Y810" s="30"/>
      <c r="Z810" s="30"/>
      <c r="AA810" s="30"/>
      <c r="AB810" s="30"/>
      <c r="AC810" s="17"/>
      <c r="AD810" s="17"/>
      <c r="AE810" s="17"/>
      <c r="AF810" s="17"/>
      <c r="AG810" s="21"/>
      <c r="AH810" s="21"/>
      <c r="AI810" s="21"/>
      <c r="AJ810" s="21"/>
      <c r="AK810" s="21"/>
      <c r="AL810" s="21"/>
      <c r="AM810" s="21"/>
      <c r="AN810" s="21"/>
      <c r="AO810" s="22"/>
      <c r="AP810" s="21"/>
      <c r="AQ810" s="22"/>
      <c r="AR810" s="21"/>
      <c r="AS810" s="21"/>
      <c r="AT810" s="21"/>
      <c r="AU810" s="21"/>
      <c r="AV810" s="21"/>
      <c r="AW810" s="21"/>
      <c r="AX810" s="22"/>
      <c r="AY810" s="21"/>
      <c r="AZ810" s="22"/>
      <c r="BA810" s="21"/>
      <c r="BB810" s="21"/>
      <c r="BC810" s="21"/>
      <c r="BD810" s="21"/>
      <c r="BE810" s="26"/>
      <c r="BF810" s="26"/>
      <c r="BG810" s="62"/>
    </row>
    <row r="811" spans="1:59" x14ac:dyDescent="0.3">
      <c r="A811" s="6"/>
      <c r="B811" s="6"/>
      <c r="C811" s="39"/>
      <c r="D811" s="6"/>
      <c r="E811" s="149"/>
      <c r="F811" s="153"/>
      <c r="G811" s="1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5"/>
      <c r="V811" s="5"/>
      <c r="W811" s="13"/>
      <c r="X811" s="4"/>
      <c r="Y811" s="4"/>
      <c r="Z811" s="4"/>
      <c r="AA811" s="6"/>
      <c r="AB811" s="11"/>
      <c r="AC811" s="9"/>
      <c r="AD811" s="9"/>
      <c r="AE811" s="9"/>
      <c r="AF811" s="9"/>
      <c r="AG811" s="2"/>
      <c r="AH811" s="3"/>
      <c r="AI811" s="2"/>
      <c r="AJ811" s="2"/>
      <c r="AK811" s="2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12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x14ac:dyDescent="0.3">
      <c r="A812" s="6"/>
      <c r="B812" s="6"/>
      <c r="C812" s="39"/>
      <c r="D812" s="6"/>
      <c r="E812" s="149"/>
      <c r="F812" s="153"/>
      <c r="G812" s="1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12"/>
      <c r="Y812" s="6"/>
      <c r="Z812" s="6"/>
      <c r="AA812" s="6"/>
      <c r="AB812" s="6"/>
      <c r="AC812" s="9"/>
      <c r="AD812" s="9"/>
      <c r="AE812" s="9"/>
      <c r="AF812" s="9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21"/>
      <c r="AS812" s="21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x14ac:dyDescent="0.3">
      <c r="A813" s="6"/>
      <c r="B813" s="6"/>
      <c r="C813" s="39"/>
      <c r="D813" s="6"/>
      <c r="E813" s="149"/>
      <c r="F813" s="153"/>
      <c r="G813" s="1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12"/>
      <c r="Y813" s="6"/>
      <c r="Z813" s="6"/>
      <c r="AA813" s="6"/>
      <c r="AB813" s="6"/>
      <c r="AC813" s="9"/>
      <c r="AD813" s="9"/>
      <c r="AE813" s="9"/>
      <c r="AF813" s="9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21"/>
      <c r="AS813" s="21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x14ac:dyDescent="0.3">
      <c r="A814" s="6"/>
      <c r="B814" s="6"/>
      <c r="C814" s="39"/>
      <c r="D814" s="6"/>
      <c r="E814" s="149"/>
      <c r="F814" s="153"/>
      <c r="G814" s="1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12"/>
      <c r="Y814" s="6"/>
      <c r="Z814" s="6"/>
      <c r="AA814" s="6"/>
      <c r="AB814" s="6"/>
      <c r="AC814" s="9"/>
      <c r="AD814" s="9"/>
      <c r="AE814" s="9"/>
      <c r="AF814" s="9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21"/>
      <c r="AS814" s="21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x14ac:dyDescent="0.3">
      <c r="A815" s="63"/>
      <c r="B815" s="63"/>
      <c r="C815" s="39"/>
      <c r="D815" s="6"/>
      <c r="E815" s="149"/>
      <c r="F815" s="153"/>
      <c r="G815" s="1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5"/>
      <c r="V815" s="5"/>
      <c r="W815" s="13"/>
      <c r="X815" s="4"/>
      <c r="Y815" s="4"/>
      <c r="Z815" s="4"/>
      <c r="AA815" s="6"/>
      <c r="AB815" s="5"/>
      <c r="AC815" s="9"/>
      <c r="AD815" s="9"/>
      <c r="AE815" s="9"/>
      <c r="AF815" s="9"/>
      <c r="AG815" s="64"/>
      <c r="AH815" s="3"/>
      <c r="AI815" s="2"/>
      <c r="AJ815" s="2"/>
      <c r="AK815" s="2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x14ac:dyDescent="0.3">
      <c r="A816" s="6"/>
      <c r="B816" s="6"/>
      <c r="C816" s="39"/>
      <c r="D816" s="6"/>
      <c r="E816" s="149"/>
      <c r="F816" s="153"/>
      <c r="G816" s="1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12"/>
      <c r="Y816" s="6"/>
      <c r="Z816" s="6"/>
      <c r="AA816" s="6"/>
      <c r="AB816" s="6"/>
      <c r="AC816" s="9"/>
      <c r="AD816" s="9"/>
      <c r="AE816" s="9"/>
      <c r="AF816" s="9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21"/>
      <c r="AS816" s="21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x14ac:dyDescent="0.3">
      <c r="A817" s="6"/>
      <c r="B817" s="6"/>
      <c r="C817" s="39"/>
      <c r="D817" s="6"/>
      <c r="E817" s="149"/>
      <c r="F817" s="153"/>
      <c r="G817" s="1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5"/>
      <c r="V817" s="5"/>
      <c r="W817" s="13"/>
      <c r="X817" s="4"/>
      <c r="Y817" s="4"/>
      <c r="Z817" s="4"/>
      <c r="AA817" s="6"/>
      <c r="AB817" s="5"/>
      <c r="AC817" s="9"/>
      <c r="AD817" s="9"/>
      <c r="AE817" s="9"/>
      <c r="AF817" s="9"/>
      <c r="AG817" s="2"/>
      <c r="AH817" s="3"/>
      <c r="AI817" s="2"/>
      <c r="AJ817" s="2"/>
      <c r="AK817" s="2"/>
      <c r="AL817" s="3"/>
      <c r="AM817" s="3"/>
      <c r="AN817" s="3"/>
      <c r="AO817" s="3"/>
      <c r="AP817" s="3"/>
      <c r="AQ817" s="3"/>
      <c r="AR817" s="21"/>
      <c r="AS817" s="21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x14ac:dyDescent="0.3">
      <c r="A818" s="6"/>
      <c r="B818" s="6"/>
      <c r="C818" s="39"/>
      <c r="D818" s="6"/>
      <c r="E818" s="149"/>
      <c r="F818" s="153"/>
      <c r="G818" s="1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12"/>
      <c r="Y818" s="6"/>
      <c r="Z818" s="6"/>
      <c r="AA818" s="6"/>
      <c r="AB818" s="6"/>
      <c r="AC818" s="9"/>
      <c r="AD818" s="9"/>
      <c r="AE818" s="9"/>
      <c r="AF818" s="9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21"/>
      <c r="AS818" s="21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3.5" customHeight="1" x14ac:dyDescent="0.35">
      <c r="A819" s="49"/>
      <c r="B819" s="49"/>
      <c r="C819" s="14"/>
      <c r="D819" s="1"/>
      <c r="E819" s="149"/>
      <c r="F819" s="153"/>
      <c r="G819" s="10"/>
      <c r="H819" s="17"/>
      <c r="I819" s="17"/>
      <c r="J819" s="17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29"/>
      <c r="X819" s="15"/>
      <c r="Y819" s="30"/>
      <c r="Z819" s="30"/>
      <c r="AA819" s="30"/>
      <c r="AB819" s="30"/>
      <c r="AC819" s="17"/>
      <c r="AD819" s="17"/>
      <c r="AE819" s="17"/>
      <c r="AF819" s="17"/>
      <c r="AG819" s="21"/>
      <c r="AH819" s="21"/>
      <c r="AI819" s="21"/>
      <c r="AJ819" s="21"/>
      <c r="AK819" s="21"/>
      <c r="AL819" s="21"/>
      <c r="AM819" s="21"/>
      <c r="AN819" s="21"/>
      <c r="AO819" s="22"/>
      <c r="AP819" s="21"/>
      <c r="AQ819" s="22"/>
      <c r="AR819" s="21"/>
      <c r="AS819" s="21"/>
      <c r="AT819" s="21"/>
      <c r="AU819" s="21"/>
      <c r="AV819" s="21"/>
      <c r="AW819" s="21"/>
      <c r="AX819" s="22"/>
      <c r="AY819" s="21"/>
      <c r="AZ819" s="22"/>
      <c r="BA819" s="21"/>
      <c r="BB819" s="21"/>
      <c r="BC819" s="21"/>
      <c r="BD819" s="21"/>
      <c r="BE819" s="26"/>
      <c r="BF819" s="26"/>
      <c r="BG819" s="62"/>
    </row>
    <row r="820" spans="1:59" x14ac:dyDescent="0.3">
      <c r="A820" s="63"/>
      <c r="B820" s="63"/>
      <c r="C820" s="39"/>
      <c r="D820" s="6"/>
      <c r="E820" s="149"/>
      <c r="F820" s="153"/>
      <c r="G820" s="1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5"/>
      <c r="V820" s="5"/>
      <c r="W820" s="13"/>
      <c r="X820" s="4"/>
      <c r="Y820" s="4"/>
      <c r="Z820" s="4"/>
      <c r="AA820" s="6"/>
      <c r="AB820" s="5"/>
      <c r="AC820" s="9"/>
      <c r="AD820" s="9"/>
      <c r="AE820" s="9"/>
      <c r="AF820" s="9"/>
      <c r="AG820" s="64"/>
      <c r="AH820" s="3"/>
      <c r="AI820" s="2"/>
      <c r="AJ820" s="2"/>
      <c r="AK820" s="2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x14ac:dyDescent="0.3">
      <c r="A821" s="63"/>
      <c r="B821" s="63"/>
      <c r="C821" s="39"/>
      <c r="D821" s="6"/>
      <c r="E821" s="149"/>
      <c r="F821" s="153"/>
      <c r="G821" s="1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5"/>
      <c r="V821" s="5"/>
      <c r="W821" s="13"/>
      <c r="X821" s="4"/>
      <c r="Y821" s="4"/>
      <c r="Z821" s="4"/>
      <c r="AA821" s="6"/>
      <c r="AB821" s="5"/>
      <c r="AC821" s="9"/>
      <c r="AD821" s="9"/>
      <c r="AE821" s="9"/>
      <c r="AF821" s="9"/>
      <c r="AG821" s="64"/>
      <c r="AH821" s="3"/>
      <c r="AI821" s="2"/>
      <c r="AJ821" s="2"/>
      <c r="AK821" s="2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x14ac:dyDescent="0.3">
      <c r="A822" s="6"/>
      <c r="B822" s="6"/>
      <c r="C822" s="39"/>
      <c r="D822" s="6"/>
      <c r="E822" s="149"/>
      <c r="F822" s="153"/>
      <c r="G822" s="1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5"/>
      <c r="V822" s="5"/>
      <c r="W822" s="13"/>
      <c r="X822" s="4"/>
      <c r="Y822" s="4"/>
      <c r="Z822" s="4"/>
      <c r="AA822" s="6"/>
      <c r="AB822" s="5"/>
      <c r="AC822" s="9"/>
      <c r="AD822" s="9"/>
      <c r="AE822" s="9"/>
      <c r="AF822" s="9"/>
      <c r="AG822" s="2"/>
      <c r="AH822" s="3"/>
      <c r="AI822" s="2"/>
      <c r="AJ822" s="2"/>
      <c r="AK822" s="2"/>
      <c r="AL822" s="3"/>
      <c r="AM822" s="3"/>
      <c r="AN822" s="3"/>
      <c r="AO822" s="3"/>
      <c r="AP822" s="3"/>
      <c r="AQ822" s="3"/>
      <c r="AR822" s="21"/>
      <c r="AS822" s="21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x14ac:dyDescent="0.3">
      <c r="A823" s="63"/>
      <c r="B823" s="63"/>
      <c r="C823" s="39"/>
      <c r="D823" s="6"/>
      <c r="E823" s="149"/>
      <c r="F823" s="153"/>
      <c r="G823" s="1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5"/>
      <c r="V823" s="5"/>
      <c r="W823" s="13"/>
      <c r="X823" s="4"/>
      <c r="Y823" s="4"/>
      <c r="Z823" s="4"/>
      <c r="AA823" s="6"/>
      <c r="AB823" s="5"/>
      <c r="AC823" s="9"/>
      <c r="AD823" s="9"/>
      <c r="AE823" s="9"/>
      <c r="AF823" s="9"/>
      <c r="AG823" s="64"/>
      <c r="AH823" s="3"/>
      <c r="AI823" s="2"/>
      <c r="AJ823" s="2"/>
      <c r="AK823" s="2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3.5" customHeight="1" x14ac:dyDescent="0.35">
      <c r="A824" s="49"/>
      <c r="B824" s="49"/>
      <c r="C824" s="39"/>
      <c r="D824" s="1"/>
      <c r="E824" s="149"/>
      <c r="F824" s="153"/>
      <c r="G824" s="10"/>
      <c r="H824" s="17"/>
      <c r="I824" s="17"/>
      <c r="J824" s="17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29"/>
      <c r="X824" s="15"/>
      <c r="Y824" s="30"/>
      <c r="Z824" s="30"/>
      <c r="AA824" s="30"/>
      <c r="AB824" s="30"/>
      <c r="AC824" s="17"/>
      <c r="AD824" s="17"/>
      <c r="AE824" s="17"/>
      <c r="AF824" s="17"/>
      <c r="AG824" s="21"/>
      <c r="AH824" s="21"/>
      <c r="AI824" s="21"/>
      <c r="AJ824" s="21"/>
      <c r="AK824" s="21"/>
      <c r="AL824" s="21"/>
      <c r="AM824" s="21"/>
      <c r="AN824" s="21"/>
      <c r="AO824" s="22"/>
      <c r="AP824" s="21"/>
      <c r="AQ824" s="22"/>
      <c r="AR824" s="21"/>
      <c r="AS824" s="21"/>
      <c r="AT824" s="21"/>
      <c r="AU824" s="21"/>
      <c r="AV824" s="21"/>
      <c r="AW824" s="21"/>
      <c r="AX824" s="22"/>
      <c r="AY824" s="21"/>
      <c r="AZ824" s="22"/>
      <c r="BA824" s="21"/>
      <c r="BB824" s="21"/>
      <c r="BC824" s="21"/>
      <c r="BD824" s="21"/>
      <c r="BE824" s="26"/>
      <c r="BF824" s="26"/>
      <c r="BG824" s="62"/>
    </row>
    <row r="825" spans="1:59" x14ac:dyDescent="0.3">
      <c r="A825" s="6"/>
      <c r="B825" s="6"/>
      <c r="C825" s="39"/>
      <c r="D825" s="6"/>
      <c r="E825" s="149"/>
      <c r="F825" s="153"/>
      <c r="G825" s="1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12"/>
      <c r="Y825" s="6"/>
      <c r="Z825" s="6"/>
      <c r="AA825" s="6"/>
      <c r="AB825" s="6"/>
      <c r="AC825" s="9"/>
      <c r="AD825" s="9"/>
      <c r="AE825" s="9"/>
      <c r="AF825" s="9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21"/>
      <c r="AS825" s="21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x14ac:dyDescent="0.3">
      <c r="A826" s="63"/>
      <c r="B826" s="63"/>
      <c r="C826" s="39"/>
      <c r="D826" s="6"/>
      <c r="E826" s="149"/>
      <c r="F826" s="153"/>
      <c r="G826" s="1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5"/>
      <c r="V826" s="5"/>
      <c r="W826" s="13"/>
      <c r="X826" s="4"/>
      <c r="Y826" s="4"/>
      <c r="Z826" s="4"/>
      <c r="AA826" s="6"/>
      <c r="AB826" s="5"/>
      <c r="AC826" s="9"/>
      <c r="AD826" s="9"/>
      <c r="AE826" s="9"/>
      <c r="AF826" s="9"/>
      <c r="AG826" s="64"/>
      <c r="AH826" s="3"/>
      <c r="AI826" s="2"/>
      <c r="AJ826" s="2"/>
      <c r="AK826" s="2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x14ac:dyDescent="0.3">
      <c r="A827" s="6"/>
      <c r="B827" s="6"/>
      <c r="C827" s="39"/>
      <c r="D827" s="6"/>
      <c r="E827" s="149"/>
      <c r="F827" s="153"/>
      <c r="G827" s="1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12"/>
      <c r="Y827" s="6"/>
      <c r="Z827" s="6"/>
      <c r="AA827" s="6"/>
      <c r="AB827" s="6"/>
      <c r="AC827" s="9"/>
      <c r="AD827" s="9"/>
      <c r="AE827" s="9"/>
      <c r="AF827" s="9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21"/>
      <c r="AS827" s="21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x14ac:dyDescent="0.3">
      <c r="A828" s="6"/>
      <c r="B828" s="6"/>
      <c r="C828" s="39"/>
      <c r="D828" s="6"/>
      <c r="E828" s="149"/>
      <c r="F828" s="153"/>
      <c r="G828" s="1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12"/>
      <c r="Y828" s="6"/>
      <c r="Z828" s="6"/>
      <c r="AA828" s="6"/>
      <c r="AB828" s="6"/>
      <c r="AC828" s="9"/>
      <c r="AD828" s="9"/>
      <c r="AE828" s="9"/>
      <c r="AF828" s="9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21"/>
      <c r="AS828" s="21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x14ac:dyDescent="0.3">
      <c r="A829" s="6"/>
      <c r="B829" s="6"/>
      <c r="C829" s="39"/>
      <c r="D829" s="6"/>
      <c r="E829" s="149"/>
      <c r="F829" s="153"/>
      <c r="G829" s="1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5"/>
      <c r="V829" s="5"/>
      <c r="W829" s="13"/>
      <c r="X829" s="4"/>
      <c r="Y829" s="4"/>
      <c r="Z829" s="4"/>
      <c r="AA829" s="6"/>
      <c r="AB829" s="5"/>
      <c r="AC829" s="9"/>
      <c r="AD829" s="9"/>
      <c r="AE829" s="9"/>
      <c r="AF829" s="9"/>
      <c r="AG829" s="2"/>
      <c r="AH829" s="3"/>
      <c r="AI829" s="2"/>
      <c r="AJ829" s="2"/>
      <c r="AK829" s="2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x14ac:dyDescent="0.3">
      <c r="A830" s="6"/>
      <c r="B830" s="6"/>
      <c r="C830" s="39"/>
      <c r="D830" s="6"/>
      <c r="E830" s="149"/>
      <c r="F830" s="153"/>
      <c r="G830" s="1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12"/>
      <c r="Y830" s="6"/>
      <c r="Z830" s="6"/>
      <c r="AA830" s="6"/>
      <c r="AB830" s="6"/>
      <c r="AC830" s="9"/>
      <c r="AD830" s="9"/>
      <c r="AE830" s="9"/>
      <c r="AF830" s="9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21"/>
      <c r="AS830" s="21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3.5" customHeight="1" x14ac:dyDescent="0.35">
      <c r="A831" s="49"/>
      <c r="B831" s="49"/>
      <c r="C831" s="14"/>
      <c r="D831" s="1"/>
      <c r="E831" s="149"/>
      <c r="F831" s="153"/>
      <c r="G831" s="10"/>
      <c r="H831" s="17"/>
      <c r="I831" s="17"/>
      <c r="J831" s="17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29"/>
      <c r="X831" s="15"/>
      <c r="Y831" s="30"/>
      <c r="Z831" s="30"/>
      <c r="AA831" s="30"/>
      <c r="AB831" s="30"/>
      <c r="AC831" s="17"/>
      <c r="AD831" s="17"/>
      <c r="AE831" s="17"/>
      <c r="AF831" s="17"/>
      <c r="AG831" s="21"/>
      <c r="AH831" s="21"/>
      <c r="AI831" s="21"/>
      <c r="AJ831" s="21"/>
      <c r="AK831" s="21"/>
      <c r="AL831" s="21"/>
      <c r="AM831" s="21"/>
      <c r="AN831" s="21"/>
      <c r="AO831" s="22"/>
      <c r="AP831" s="21"/>
      <c r="AQ831" s="22"/>
      <c r="AR831" s="21"/>
      <c r="AS831" s="21"/>
      <c r="AT831" s="21"/>
      <c r="AU831" s="21"/>
      <c r="AV831" s="21"/>
      <c r="AW831" s="21"/>
      <c r="AX831" s="22"/>
      <c r="AY831" s="21"/>
      <c r="AZ831" s="22"/>
      <c r="BA831" s="21"/>
      <c r="BB831" s="21"/>
      <c r="BC831" s="21"/>
      <c r="BD831" s="21"/>
      <c r="BE831" s="26"/>
      <c r="BF831" s="26"/>
      <c r="BG831" s="62"/>
    </row>
    <row r="832" spans="1:59" x14ac:dyDescent="0.3">
      <c r="A832" s="63"/>
      <c r="B832" s="63"/>
      <c r="C832" s="39"/>
      <c r="D832" s="6"/>
      <c r="E832" s="149"/>
      <c r="F832" s="153"/>
      <c r="G832" s="1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5"/>
      <c r="V832" s="5"/>
      <c r="W832" s="13"/>
      <c r="X832" s="4"/>
      <c r="Y832" s="4"/>
      <c r="Z832" s="4"/>
      <c r="AA832" s="6"/>
      <c r="AB832" s="5"/>
      <c r="AC832" s="9"/>
      <c r="AD832" s="9"/>
      <c r="AE832" s="9"/>
      <c r="AF832" s="9"/>
      <c r="AG832" s="64"/>
      <c r="AH832" s="3"/>
      <c r="AI832" s="2"/>
      <c r="AJ832" s="2"/>
      <c r="AK832" s="2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3.5" customHeight="1" x14ac:dyDescent="0.35">
      <c r="A833" s="49"/>
      <c r="B833" s="49"/>
      <c r="C833" s="14"/>
      <c r="D833" s="1"/>
      <c r="E833" s="149"/>
      <c r="F833" s="153"/>
      <c r="G833" s="10"/>
      <c r="H833" s="17"/>
      <c r="I833" s="17"/>
      <c r="J833" s="17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29"/>
      <c r="X833" s="15"/>
      <c r="Y833" s="30"/>
      <c r="Z833" s="30"/>
      <c r="AA833" s="30"/>
      <c r="AB833" s="30"/>
      <c r="AC833" s="17"/>
      <c r="AD833" s="17"/>
      <c r="AE833" s="17"/>
      <c r="AF833" s="17"/>
      <c r="AG833" s="21"/>
      <c r="AH833" s="21"/>
      <c r="AI833" s="21"/>
      <c r="AJ833" s="21"/>
      <c r="AK833" s="21"/>
      <c r="AL833" s="21"/>
      <c r="AM833" s="21"/>
      <c r="AN833" s="21"/>
      <c r="AO833" s="22"/>
      <c r="AP833" s="21"/>
      <c r="AQ833" s="22"/>
      <c r="AR833" s="21"/>
      <c r="AS833" s="21"/>
      <c r="AT833" s="21"/>
      <c r="AU833" s="21"/>
      <c r="AV833" s="21"/>
      <c r="AW833" s="21"/>
      <c r="AX833" s="22"/>
      <c r="AY833" s="21"/>
      <c r="AZ833" s="22"/>
      <c r="BA833" s="21"/>
      <c r="BB833" s="21"/>
      <c r="BC833" s="21"/>
      <c r="BD833" s="21"/>
      <c r="BE833" s="26"/>
      <c r="BF833" s="26"/>
      <c r="BG833" s="62"/>
    </row>
    <row r="834" spans="1:59" ht="13.5" customHeight="1" x14ac:dyDescent="0.35">
      <c r="A834" s="49"/>
      <c r="B834" s="49"/>
      <c r="C834" s="14"/>
      <c r="D834" s="1"/>
      <c r="E834" s="149"/>
      <c r="F834" s="153"/>
      <c r="G834" s="10"/>
      <c r="H834" s="17"/>
      <c r="I834" s="17"/>
      <c r="J834" s="17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29"/>
      <c r="X834" s="15"/>
      <c r="Y834" s="30"/>
      <c r="Z834" s="30"/>
      <c r="AA834" s="30"/>
      <c r="AB834" s="30"/>
      <c r="AC834" s="17"/>
      <c r="AD834" s="17"/>
      <c r="AE834" s="17"/>
      <c r="AF834" s="17"/>
      <c r="AG834" s="21"/>
      <c r="AH834" s="21"/>
      <c r="AI834" s="21"/>
      <c r="AJ834" s="21"/>
      <c r="AK834" s="21"/>
      <c r="AL834" s="21"/>
      <c r="AM834" s="21"/>
      <c r="AN834" s="21"/>
      <c r="AO834" s="22"/>
      <c r="AP834" s="21"/>
      <c r="AQ834" s="22"/>
      <c r="AR834" s="21"/>
      <c r="AS834" s="21"/>
      <c r="AT834" s="21"/>
      <c r="AU834" s="21"/>
      <c r="AV834" s="21"/>
      <c r="AW834" s="21"/>
      <c r="AX834" s="22"/>
      <c r="AY834" s="21"/>
      <c r="AZ834" s="22"/>
      <c r="BA834" s="21"/>
      <c r="BB834" s="21"/>
      <c r="BC834" s="21"/>
      <c r="BD834" s="21"/>
      <c r="BE834" s="26"/>
      <c r="BF834" s="26"/>
      <c r="BG834" s="62"/>
    </row>
    <row r="835" spans="1:59" ht="13.5" customHeight="1" x14ac:dyDescent="0.35">
      <c r="A835" s="49"/>
      <c r="B835" s="49"/>
      <c r="C835" s="39"/>
      <c r="D835" s="1"/>
      <c r="E835" s="149"/>
      <c r="F835" s="153"/>
      <c r="G835" s="10"/>
      <c r="H835" s="17"/>
      <c r="I835" s="17"/>
      <c r="J835" s="17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29"/>
      <c r="X835" s="15"/>
      <c r="Y835" s="30"/>
      <c r="Z835" s="30"/>
      <c r="AA835" s="30"/>
      <c r="AB835" s="30"/>
      <c r="AC835" s="17"/>
      <c r="AD835" s="17"/>
      <c r="AE835" s="17"/>
      <c r="AF835" s="17"/>
      <c r="AG835" s="21"/>
      <c r="AH835" s="21"/>
      <c r="AI835" s="21"/>
      <c r="AJ835" s="21"/>
      <c r="AK835" s="21"/>
      <c r="AL835" s="21"/>
      <c r="AM835" s="21"/>
      <c r="AN835" s="21"/>
      <c r="AO835" s="22"/>
      <c r="AP835" s="21"/>
      <c r="AQ835" s="22"/>
      <c r="AR835" s="21"/>
      <c r="AS835" s="21"/>
      <c r="AT835" s="21"/>
      <c r="AU835" s="21"/>
      <c r="AV835" s="21"/>
      <c r="AW835" s="21"/>
      <c r="AX835" s="22"/>
      <c r="AY835" s="21"/>
      <c r="AZ835" s="22"/>
      <c r="BA835" s="21"/>
      <c r="BB835" s="21"/>
      <c r="BC835" s="21"/>
      <c r="BD835" s="21"/>
      <c r="BE835" s="26"/>
      <c r="BF835" s="26"/>
      <c r="BG835" s="62"/>
    </row>
    <row r="836" spans="1:59" x14ac:dyDescent="0.3">
      <c r="A836" s="6"/>
      <c r="B836" s="6"/>
      <c r="C836" s="39"/>
      <c r="D836" s="6"/>
      <c r="E836" s="149"/>
      <c r="F836" s="153"/>
      <c r="G836" s="1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12"/>
      <c r="Y836" s="6"/>
      <c r="Z836" s="6"/>
      <c r="AA836" s="6"/>
      <c r="AB836" s="6"/>
      <c r="AC836" s="9"/>
      <c r="AD836" s="9"/>
      <c r="AE836" s="9"/>
      <c r="AF836" s="9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21"/>
      <c r="AS836" s="21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x14ac:dyDescent="0.3">
      <c r="A837" s="63"/>
      <c r="B837" s="63"/>
      <c r="C837" s="39"/>
      <c r="D837" s="6"/>
      <c r="E837" s="149"/>
      <c r="F837" s="153"/>
      <c r="G837" s="1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5"/>
      <c r="V837" s="5"/>
      <c r="W837" s="13"/>
      <c r="X837" s="4"/>
      <c r="Y837" s="4"/>
      <c r="Z837" s="4"/>
      <c r="AA837" s="6"/>
      <c r="AB837" s="5"/>
      <c r="AC837" s="9"/>
      <c r="AD837" s="9"/>
      <c r="AE837" s="9"/>
      <c r="AF837" s="9"/>
      <c r="AG837" s="64"/>
      <c r="AH837" s="3"/>
      <c r="AI837" s="2"/>
      <c r="AJ837" s="2"/>
      <c r="AK837" s="2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x14ac:dyDescent="0.3">
      <c r="A838" s="63"/>
      <c r="B838" s="63"/>
      <c r="C838" s="39"/>
      <c r="D838" s="6"/>
      <c r="E838" s="149"/>
      <c r="F838" s="153"/>
      <c r="G838" s="1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5"/>
      <c r="V838" s="5"/>
      <c r="W838" s="13"/>
      <c r="X838" s="4"/>
      <c r="Y838" s="4"/>
      <c r="Z838" s="4"/>
      <c r="AA838" s="6"/>
      <c r="AB838" s="5"/>
      <c r="AC838" s="9"/>
      <c r="AD838" s="9"/>
      <c r="AE838" s="9"/>
      <c r="AF838" s="9"/>
      <c r="AG838" s="64"/>
      <c r="AH838" s="3"/>
      <c r="AI838" s="2"/>
      <c r="AJ838" s="2"/>
      <c r="AK838" s="2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x14ac:dyDescent="0.3">
      <c r="A839" s="63"/>
      <c r="B839" s="63"/>
      <c r="C839" s="39"/>
      <c r="D839" s="6"/>
      <c r="E839" s="149"/>
      <c r="F839" s="153"/>
      <c r="G839" s="1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5"/>
      <c r="V839" s="5"/>
      <c r="W839" s="13"/>
      <c r="X839" s="4"/>
      <c r="Y839" s="4"/>
      <c r="Z839" s="4"/>
      <c r="AA839" s="6"/>
      <c r="AB839" s="5"/>
      <c r="AC839" s="9"/>
      <c r="AD839" s="9"/>
      <c r="AE839" s="9"/>
      <c r="AF839" s="9"/>
      <c r="AG839" s="64"/>
      <c r="AH839" s="3"/>
      <c r="AI839" s="2"/>
      <c r="AJ839" s="2"/>
      <c r="AK839" s="2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x14ac:dyDescent="0.3">
      <c r="A840" s="63"/>
      <c r="B840" s="63"/>
      <c r="C840" s="39"/>
      <c r="D840" s="6"/>
      <c r="E840" s="149"/>
      <c r="F840" s="153"/>
      <c r="G840" s="1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5"/>
      <c r="V840" s="5"/>
      <c r="W840" s="13"/>
      <c r="X840" s="4"/>
      <c r="Y840" s="4"/>
      <c r="Z840" s="4"/>
      <c r="AA840" s="6"/>
      <c r="AB840" s="5"/>
      <c r="AC840" s="9"/>
      <c r="AD840" s="9"/>
      <c r="AE840" s="9"/>
      <c r="AF840" s="9"/>
      <c r="AG840" s="64"/>
      <c r="AH840" s="3"/>
      <c r="AI840" s="2"/>
      <c r="AJ840" s="2"/>
      <c r="AK840" s="2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x14ac:dyDescent="0.3">
      <c r="A841" s="6"/>
      <c r="B841" s="6"/>
      <c r="C841" s="39"/>
      <c r="D841" s="6"/>
      <c r="E841" s="149"/>
      <c r="F841" s="153"/>
      <c r="G841" s="1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12"/>
      <c r="Y841" s="6"/>
      <c r="Z841" s="6"/>
      <c r="AA841" s="6"/>
      <c r="AB841" s="6"/>
      <c r="AC841" s="9"/>
      <c r="AD841" s="9"/>
      <c r="AE841" s="9"/>
      <c r="AF841" s="9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21"/>
      <c r="AS841" s="21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3.5" customHeight="1" x14ac:dyDescent="0.35">
      <c r="A842" s="49"/>
      <c r="B842" s="49"/>
      <c r="C842" s="14"/>
      <c r="D842" s="1"/>
      <c r="E842" s="149"/>
      <c r="F842" s="153"/>
      <c r="G842" s="10"/>
      <c r="H842" s="17"/>
      <c r="I842" s="17"/>
      <c r="J842" s="17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29"/>
      <c r="X842" s="15"/>
      <c r="Y842" s="30"/>
      <c r="Z842" s="30"/>
      <c r="AA842" s="30"/>
      <c r="AB842" s="30"/>
      <c r="AC842" s="17"/>
      <c r="AD842" s="17"/>
      <c r="AE842" s="17"/>
      <c r="AF842" s="17"/>
      <c r="AG842" s="21"/>
      <c r="AH842" s="21"/>
      <c r="AI842" s="21"/>
      <c r="AJ842" s="21"/>
      <c r="AK842" s="21"/>
      <c r="AL842" s="21"/>
      <c r="AM842" s="21"/>
      <c r="AN842" s="21"/>
      <c r="AO842" s="22"/>
      <c r="AP842" s="21"/>
      <c r="AQ842" s="22"/>
      <c r="AR842" s="21"/>
      <c r="AS842" s="21"/>
      <c r="AT842" s="21"/>
      <c r="AU842" s="21"/>
      <c r="AV842" s="21"/>
      <c r="AW842" s="21"/>
      <c r="AX842" s="22"/>
      <c r="AY842" s="21"/>
      <c r="AZ842" s="22"/>
      <c r="BA842" s="21"/>
      <c r="BB842" s="21"/>
      <c r="BC842" s="21"/>
      <c r="BD842" s="21"/>
      <c r="BE842" s="26"/>
      <c r="BF842" s="26"/>
      <c r="BG842" s="62"/>
    </row>
    <row r="843" spans="1:59" ht="13.5" customHeight="1" x14ac:dyDescent="0.35">
      <c r="A843" s="49"/>
      <c r="B843" s="49"/>
      <c r="C843" s="14"/>
      <c r="D843" s="1"/>
      <c r="E843" s="149"/>
      <c r="F843" s="153"/>
      <c r="G843" s="10"/>
      <c r="H843" s="17"/>
      <c r="I843" s="17"/>
      <c r="J843" s="17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29"/>
      <c r="X843" s="15"/>
      <c r="Y843" s="30"/>
      <c r="Z843" s="30"/>
      <c r="AA843" s="30"/>
      <c r="AB843" s="30"/>
      <c r="AC843" s="17"/>
      <c r="AD843" s="17"/>
      <c r="AE843" s="17"/>
      <c r="AF843" s="17"/>
      <c r="AG843" s="21"/>
      <c r="AH843" s="21"/>
      <c r="AI843" s="21"/>
      <c r="AJ843" s="21"/>
      <c r="AK843" s="21"/>
      <c r="AL843" s="21"/>
      <c r="AM843" s="21"/>
      <c r="AN843" s="21"/>
      <c r="AO843" s="22"/>
      <c r="AP843" s="21"/>
      <c r="AQ843" s="22"/>
      <c r="AR843" s="21"/>
      <c r="AS843" s="21"/>
      <c r="AT843" s="21"/>
      <c r="AU843" s="21"/>
      <c r="AV843" s="21"/>
      <c r="AW843" s="21"/>
      <c r="AX843" s="22"/>
      <c r="AY843" s="21"/>
      <c r="AZ843" s="22"/>
      <c r="BA843" s="21"/>
      <c r="BB843" s="21"/>
      <c r="BC843" s="21"/>
      <c r="BD843" s="21"/>
      <c r="BE843" s="26"/>
      <c r="BF843" s="26"/>
      <c r="BG843" s="62"/>
    </row>
    <row r="844" spans="1:59" ht="13.5" customHeight="1" x14ac:dyDescent="0.35">
      <c r="A844" s="49"/>
      <c r="B844" s="49"/>
      <c r="C844" s="14"/>
      <c r="D844" s="1"/>
      <c r="E844" s="149"/>
      <c r="F844" s="153"/>
      <c r="G844" s="10"/>
      <c r="H844" s="17"/>
      <c r="I844" s="17"/>
      <c r="J844" s="17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29"/>
      <c r="X844" s="15"/>
      <c r="Y844" s="30"/>
      <c r="Z844" s="30"/>
      <c r="AA844" s="30"/>
      <c r="AB844" s="30"/>
      <c r="AC844" s="17"/>
      <c r="AD844" s="17"/>
      <c r="AE844" s="17"/>
      <c r="AF844" s="17"/>
      <c r="AG844" s="21"/>
      <c r="AH844" s="21"/>
      <c r="AI844" s="21"/>
      <c r="AJ844" s="21"/>
      <c r="AK844" s="21"/>
      <c r="AL844" s="21"/>
      <c r="AM844" s="21"/>
      <c r="AN844" s="21"/>
      <c r="AO844" s="22"/>
      <c r="AP844" s="21"/>
      <c r="AQ844" s="22"/>
      <c r="AR844" s="21"/>
      <c r="AS844" s="21"/>
      <c r="AT844" s="21"/>
      <c r="AU844" s="21"/>
      <c r="AV844" s="21"/>
      <c r="AW844" s="21"/>
      <c r="AX844" s="22"/>
      <c r="AY844" s="21"/>
      <c r="AZ844" s="22"/>
      <c r="BA844" s="21"/>
      <c r="BB844" s="21"/>
      <c r="BC844" s="21"/>
      <c r="BD844" s="21"/>
      <c r="BE844" s="26"/>
      <c r="BF844" s="26"/>
      <c r="BG844" s="62"/>
    </row>
    <row r="845" spans="1:59" ht="13.5" customHeight="1" x14ac:dyDescent="0.35">
      <c r="A845" s="49"/>
      <c r="B845" s="49"/>
      <c r="C845" s="14"/>
      <c r="D845" s="1"/>
      <c r="E845" s="149"/>
      <c r="F845" s="153"/>
      <c r="G845" s="10"/>
      <c r="H845" s="17"/>
      <c r="I845" s="17"/>
      <c r="J845" s="17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29"/>
      <c r="X845" s="15"/>
      <c r="Y845" s="30"/>
      <c r="Z845" s="30"/>
      <c r="AA845" s="30"/>
      <c r="AB845" s="30"/>
      <c r="AC845" s="17"/>
      <c r="AD845" s="17"/>
      <c r="AE845" s="17"/>
      <c r="AF845" s="17"/>
      <c r="AG845" s="21"/>
      <c r="AH845" s="21"/>
      <c r="AI845" s="21"/>
      <c r="AJ845" s="21"/>
      <c r="AK845" s="21"/>
      <c r="AL845" s="21"/>
      <c r="AM845" s="21"/>
      <c r="AN845" s="21"/>
      <c r="AO845" s="22"/>
      <c r="AP845" s="21"/>
      <c r="AQ845" s="22"/>
      <c r="AR845" s="21"/>
      <c r="AS845" s="21"/>
      <c r="AT845" s="21"/>
      <c r="AU845" s="21"/>
      <c r="AV845" s="21"/>
      <c r="AW845" s="21"/>
      <c r="AX845" s="22"/>
      <c r="AY845" s="21"/>
      <c r="AZ845" s="22"/>
      <c r="BA845" s="21"/>
      <c r="BB845" s="21"/>
      <c r="BC845" s="21"/>
      <c r="BD845" s="21"/>
      <c r="BE845" s="26"/>
      <c r="BF845" s="26"/>
      <c r="BG845" s="62"/>
    </row>
    <row r="846" spans="1:59" x14ac:dyDescent="0.3">
      <c r="A846" s="6"/>
      <c r="B846" s="6"/>
      <c r="C846" s="39"/>
      <c r="D846" s="6"/>
      <c r="E846" s="149"/>
      <c r="F846" s="153"/>
      <c r="G846" s="1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12"/>
      <c r="Y846" s="6"/>
      <c r="Z846" s="6"/>
      <c r="AA846" s="6"/>
      <c r="AB846" s="6"/>
      <c r="AC846" s="9"/>
      <c r="AD846" s="9"/>
      <c r="AE846" s="9"/>
      <c r="AF846" s="9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21"/>
      <c r="AS846" s="21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x14ac:dyDescent="0.3">
      <c r="A847" s="6"/>
      <c r="B847" s="6"/>
      <c r="C847" s="39"/>
      <c r="D847" s="6"/>
      <c r="E847" s="149"/>
      <c r="F847" s="153"/>
      <c r="G847" s="1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5"/>
      <c r="V847" s="5"/>
      <c r="W847" s="13"/>
      <c r="X847" s="4"/>
      <c r="Y847" s="4"/>
      <c r="Z847" s="4"/>
      <c r="AA847" s="6"/>
      <c r="AB847" s="5"/>
      <c r="AC847" s="9"/>
      <c r="AD847" s="9"/>
      <c r="AE847" s="9"/>
      <c r="AF847" s="9"/>
      <c r="AG847" s="2"/>
      <c r="AH847" s="3"/>
      <c r="AI847" s="2"/>
      <c r="AJ847" s="2"/>
      <c r="AK847" s="2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x14ac:dyDescent="0.3">
      <c r="A848" s="6"/>
      <c r="B848" s="6"/>
      <c r="C848" s="39"/>
      <c r="D848" s="6"/>
      <c r="E848" s="149"/>
      <c r="F848" s="153"/>
      <c r="G848" s="1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12"/>
      <c r="Y848" s="6"/>
      <c r="Z848" s="6"/>
      <c r="AA848" s="6"/>
      <c r="AB848" s="6"/>
      <c r="AC848" s="9"/>
      <c r="AD848" s="9"/>
      <c r="AE848" s="9"/>
      <c r="AF848" s="9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21"/>
      <c r="AS848" s="21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3.5" customHeight="1" x14ac:dyDescent="0.35">
      <c r="A849" s="49"/>
      <c r="B849" s="49"/>
      <c r="C849" s="14"/>
      <c r="D849" s="1"/>
      <c r="E849" s="149"/>
      <c r="F849" s="153"/>
      <c r="G849" s="10"/>
      <c r="H849" s="17"/>
      <c r="I849" s="17"/>
      <c r="J849" s="17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29"/>
      <c r="X849" s="15"/>
      <c r="Y849" s="30"/>
      <c r="Z849" s="30"/>
      <c r="AA849" s="30"/>
      <c r="AB849" s="30"/>
      <c r="AC849" s="17"/>
      <c r="AD849" s="17"/>
      <c r="AE849" s="17"/>
      <c r="AF849" s="17"/>
      <c r="AG849" s="21"/>
      <c r="AH849" s="21"/>
      <c r="AI849" s="21"/>
      <c r="AJ849" s="21"/>
      <c r="AK849" s="21"/>
      <c r="AL849" s="21"/>
      <c r="AM849" s="21"/>
      <c r="AN849" s="21"/>
      <c r="AO849" s="22"/>
      <c r="AP849" s="21"/>
      <c r="AQ849" s="22"/>
      <c r="AR849" s="21"/>
      <c r="AS849" s="21"/>
      <c r="AT849" s="21"/>
      <c r="AU849" s="21"/>
      <c r="AV849" s="21"/>
      <c r="AW849" s="21"/>
      <c r="AX849" s="22"/>
      <c r="AY849" s="21"/>
      <c r="AZ849" s="22"/>
      <c r="BA849" s="21"/>
      <c r="BB849" s="21"/>
      <c r="BC849" s="21"/>
      <c r="BD849" s="21"/>
      <c r="BE849" s="26"/>
      <c r="BF849" s="26"/>
      <c r="BG849" s="62"/>
    </row>
    <row r="850" spans="1:59" ht="13.5" customHeight="1" x14ac:dyDescent="0.35">
      <c r="A850" s="49"/>
      <c r="B850" s="49"/>
      <c r="C850" s="14"/>
      <c r="D850" s="1"/>
      <c r="E850" s="149"/>
      <c r="F850" s="153"/>
      <c r="G850" s="10"/>
      <c r="H850" s="17"/>
      <c r="I850" s="17"/>
      <c r="J850" s="17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29"/>
      <c r="X850" s="15"/>
      <c r="Y850" s="30"/>
      <c r="Z850" s="30"/>
      <c r="AA850" s="30"/>
      <c r="AB850" s="30"/>
      <c r="AC850" s="17"/>
      <c r="AD850" s="17"/>
      <c r="AE850" s="17"/>
      <c r="AF850" s="17"/>
      <c r="AG850" s="21"/>
      <c r="AH850" s="21"/>
      <c r="AI850" s="21"/>
      <c r="AJ850" s="21"/>
      <c r="AK850" s="21"/>
      <c r="AL850" s="21"/>
      <c r="AM850" s="21"/>
      <c r="AN850" s="21"/>
      <c r="AO850" s="22"/>
      <c r="AP850" s="21"/>
      <c r="AQ850" s="22"/>
      <c r="AR850" s="21"/>
      <c r="AS850" s="21"/>
      <c r="AT850" s="21"/>
      <c r="AU850" s="21"/>
      <c r="AV850" s="21"/>
      <c r="AW850" s="21"/>
      <c r="AX850" s="22"/>
      <c r="AY850" s="21"/>
      <c r="AZ850" s="22"/>
      <c r="BA850" s="21"/>
      <c r="BB850" s="21"/>
      <c r="BC850" s="21"/>
      <c r="BD850" s="21"/>
      <c r="BE850" s="26"/>
      <c r="BF850" s="26"/>
      <c r="BG850" s="62"/>
    </row>
    <row r="851" spans="1:59" ht="13.5" customHeight="1" x14ac:dyDescent="0.35">
      <c r="A851" s="49"/>
      <c r="B851" s="49"/>
      <c r="C851" s="14"/>
      <c r="D851" s="1"/>
      <c r="E851" s="149"/>
      <c r="F851" s="153"/>
      <c r="G851" s="10"/>
      <c r="H851" s="17"/>
      <c r="I851" s="17"/>
      <c r="J851" s="17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29"/>
      <c r="X851" s="15"/>
      <c r="Y851" s="30"/>
      <c r="Z851" s="30"/>
      <c r="AA851" s="30"/>
      <c r="AB851" s="30"/>
      <c r="AC851" s="17"/>
      <c r="AD851" s="17"/>
      <c r="AE851" s="17"/>
      <c r="AF851" s="17"/>
      <c r="AG851" s="21"/>
      <c r="AH851" s="21"/>
      <c r="AI851" s="21"/>
      <c r="AJ851" s="21"/>
      <c r="AK851" s="21"/>
      <c r="AL851" s="21"/>
      <c r="AM851" s="21"/>
      <c r="AN851" s="21"/>
      <c r="AO851" s="22"/>
      <c r="AP851" s="21"/>
      <c r="AQ851" s="22"/>
      <c r="AR851" s="21"/>
      <c r="AS851" s="21"/>
      <c r="AT851" s="21"/>
      <c r="AU851" s="21"/>
      <c r="AV851" s="21"/>
      <c r="AW851" s="21"/>
      <c r="AX851" s="22"/>
      <c r="AY851" s="21"/>
      <c r="AZ851" s="22"/>
      <c r="BA851" s="21"/>
      <c r="BB851" s="21"/>
      <c r="BC851" s="21"/>
      <c r="BD851" s="21"/>
      <c r="BE851" s="26"/>
      <c r="BF851" s="26"/>
      <c r="BG851" s="62"/>
    </row>
    <row r="852" spans="1:59" ht="13.5" customHeight="1" x14ac:dyDescent="0.35">
      <c r="A852" s="49"/>
      <c r="B852" s="49"/>
      <c r="C852" s="14"/>
      <c r="D852" s="1"/>
      <c r="E852" s="149"/>
      <c r="F852" s="153"/>
      <c r="G852" s="10"/>
      <c r="H852" s="17"/>
      <c r="I852" s="17"/>
      <c r="J852" s="17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29"/>
      <c r="X852" s="15"/>
      <c r="Y852" s="30"/>
      <c r="Z852" s="30"/>
      <c r="AA852" s="30"/>
      <c r="AB852" s="30"/>
      <c r="AC852" s="17"/>
      <c r="AD852" s="17"/>
      <c r="AE852" s="17"/>
      <c r="AF852" s="17"/>
      <c r="AG852" s="21"/>
      <c r="AH852" s="21"/>
      <c r="AI852" s="21"/>
      <c r="AJ852" s="21"/>
      <c r="AK852" s="21"/>
      <c r="AL852" s="21"/>
      <c r="AM852" s="21"/>
      <c r="AN852" s="21"/>
      <c r="AO852" s="22"/>
      <c r="AP852" s="21"/>
      <c r="AQ852" s="22"/>
      <c r="AR852" s="21"/>
      <c r="AS852" s="21"/>
      <c r="AT852" s="21"/>
      <c r="AU852" s="21"/>
      <c r="AV852" s="21"/>
      <c r="AW852" s="21"/>
      <c r="AX852" s="22"/>
      <c r="AY852" s="21"/>
      <c r="AZ852" s="22"/>
      <c r="BA852" s="21"/>
      <c r="BB852" s="21"/>
      <c r="BC852" s="21"/>
      <c r="BD852" s="21"/>
      <c r="BE852" s="26"/>
      <c r="BF852" s="26"/>
      <c r="BG852" s="62"/>
    </row>
    <row r="853" spans="1:59" x14ac:dyDescent="0.3">
      <c r="A853" s="63"/>
      <c r="B853" s="63"/>
      <c r="C853" s="39"/>
      <c r="D853" s="6"/>
      <c r="E853" s="149"/>
      <c r="F853" s="153"/>
      <c r="G853" s="1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5"/>
      <c r="V853" s="5"/>
      <c r="W853" s="13"/>
      <c r="X853" s="4"/>
      <c r="Y853" s="4"/>
      <c r="Z853" s="4"/>
      <c r="AA853" s="6"/>
      <c r="AB853" s="5"/>
      <c r="AC853" s="9"/>
      <c r="AD853" s="9"/>
      <c r="AE853" s="9"/>
      <c r="AF853" s="9"/>
      <c r="AG853" s="64"/>
      <c r="AH853" s="3"/>
      <c r="AI853" s="2"/>
      <c r="AJ853" s="2"/>
      <c r="AK853" s="2"/>
      <c r="AL853" s="3"/>
      <c r="AM853" s="3"/>
      <c r="AN853" s="3"/>
      <c r="AO853" s="3"/>
      <c r="AP853" s="3"/>
      <c r="AQ853" s="3"/>
      <c r="AR853" s="21"/>
      <c r="AS853" s="21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x14ac:dyDescent="0.3">
      <c r="A854" s="63"/>
      <c r="B854" s="63"/>
      <c r="C854" s="39"/>
      <c r="D854" s="6"/>
      <c r="E854" s="149"/>
      <c r="F854" s="153"/>
      <c r="G854" s="1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5"/>
      <c r="V854" s="5"/>
      <c r="W854" s="13"/>
      <c r="X854" s="4"/>
      <c r="Y854" s="4"/>
      <c r="Z854" s="4"/>
      <c r="AA854" s="6"/>
      <c r="AB854" s="5"/>
      <c r="AC854" s="9"/>
      <c r="AD854" s="9"/>
      <c r="AE854" s="9"/>
      <c r="AF854" s="9"/>
      <c r="AG854" s="64"/>
      <c r="AH854" s="3"/>
      <c r="AI854" s="2"/>
      <c r="AJ854" s="2"/>
      <c r="AK854" s="2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3.5" customHeight="1" x14ac:dyDescent="0.35">
      <c r="A855" s="49"/>
      <c r="B855" s="49"/>
      <c r="C855" s="14"/>
      <c r="D855" s="1"/>
      <c r="E855" s="149"/>
      <c r="F855" s="153"/>
      <c r="G855" s="10"/>
      <c r="H855" s="17"/>
      <c r="I855" s="17"/>
      <c r="J855" s="17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29"/>
      <c r="X855" s="15"/>
      <c r="Y855" s="30"/>
      <c r="Z855" s="30"/>
      <c r="AA855" s="30"/>
      <c r="AB855" s="30"/>
      <c r="AC855" s="17"/>
      <c r="AD855" s="17"/>
      <c r="AE855" s="17"/>
      <c r="AF855" s="17"/>
      <c r="AG855" s="21"/>
      <c r="AH855" s="21"/>
      <c r="AI855" s="21"/>
      <c r="AJ855" s="21"/>
      <c r="AK855" s="21"/>
      <c r="AL855" s="21"/>
      <c r="AM855" s="21"/>
      <c r="AN855" s="21"/>
      <c r="AO855" s="22"/>
      <c r="AP855" s="21"/>
      <c r="AQ855" s="22"/>
      <c r="AR855" s="21"/>
      <c r="AS855" s="21"/>
      <c r="AT855" s="21"/>
      <c r="AU855" s="21"/>
      <c r="AV855" s="21"/>
      <c r="AW855" s="21"/>
      <c r="AX855" s="22"/>
      <c r="AY855" s="21"/>
      <c r="AZ855" s="22"/>
      <c r="BA855" s="21"/>
      <c r="BB855" s="21"/>
      <c r="BC855" s="21"/>
      <c r="BD855" s="21"/>
      <c r="BE855" s="26"/>
      <c r="BF855" s="26"/>
      <c r="BG855" s="62"/>
    </row>
    <row r="856" spans="1:59" x14ac:dyDescent="0.3">
      <c r="A856" s="6"/>
      <c r="B856" s="6"/>
      <c r="C856" s="39"/>
      <c r="D856" s="6"/>
      <c r="E856" s="149"/>
      <c r="F856" s="153"/>
      <c r="G856" s="1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12"/>
      <c r="Y856" s="6"/>
      <c r="Z856" s="6"/>
      <c r="AA856" s="6"/>
      <c r="AB856" s="6"/>
      <c r="AC856" s="9"/>
      <c r="AD856" s="9"/>
      <c r="AE856" s="9"/>
      <c r="AF856" s="9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21"/>
      <c r="AS856" s="21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x14ac:dyDescent="0.3">
      <c r="A857" s="6"/>
      <c r="B857" s="6"/>
      <c r="C857" s="39"/>
      <c r="D857" s="6"/>
      <c r="E857" s="149"/>
      <c r="F857" s="153"/>
      <c r="G857" s="1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12"/>
      <c r="Y857" s="6"/>
      <c r="Z857" s="6"/>
      <c r="AA857" s="6"/>
      <c r="AB857" s="6"/>
      <c r="AC857" s="9"/>
      <c r="AD857" s="9"/>
      <c r="AE857" s="9"/>
      <c r="AF857" s="9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21"/>
      <c r="AS857" s="21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x14ac:dyDescent="0.3">
      <c r="A858" s="6"/>
      <c r="B858" s="6"/>
      <c r="C858" s="39"/>
      <c r="D858" s="6"/>
      <c r="E858" s="149"/>
      <c r="F858" s="153"/>
      <c r="G858" s="1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5"/>
      <c r="V858" s="5"/>
      <c r="W858" s="13"/>
      <c r="X858" s="4"/>
      <c r="Y858" s="4"/>
      <c r="Z858" s="4"/>
      <c r="AA858" s="6"/>
      <c r="AB858" s="5"/>
      <c r="AC858" s="9"/>
      <c r="AD858" s="9"/>
      <c r="AE858" s="9"/>
      <c r="AF858" s="9"/>
      <c r="AG858" s="2"/>
      <c r="AH858" s="3"/>
      <c r="AI858" s="2"/>
      <c r="AJ858" s="2"/>
      <c r="AK858" s="2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x14ac:dyDescent="0.3">
      <c r="A859" s="6"/>
      <c r="B859" s="6"/>
      <c r="C859" s="39"/>
      <c r="D859" s="6"/>
      <c r="E859" s="149"/>
      <c r="F859" s="153"/>
      <c r="G859" s="1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12"/>
      <c r="Y859" s="6"/>
      <c r="Z859" s="6"/>
      <c r="AA859" s="6"/>
      <c r="AB859" s="6"/>
      <c r="AC859" s="9"/>
      <c r="AD859" s="9"/>
      <c r="AE859" s="9"/>
      <c r="AF859" s="9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21"/>
      <c r="AS859" s="21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x14ac:dyDescent="0.3">
      <c r="A860" s="6"/>
      <c r="B860" s="6"/>
      <c r="C860" s="39"/>
      <c r="D860" s="6"/>
      <c r="E860" s="149"/>
      <c r="F860" s="153"/>
      <c r="G860" s="1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5"/>
      <c r="V860" s="5"/>
      <c r="W860" s="13"/>
      <c r="X860" s="4"/>
      <c r="Y860" s="4"/>
      <c r="Z860" s="4"/>
      <c r="AA860" s="6"/>
      <c r="AB860" s="5"/>
      <c r="AC860" s="9"/>
      <c r="AD860" s="9"/>
      <c r="AE860" s="9"/>
      <c r="AF860" s="9"/>
      <c r="AG860" s="2"/>
      <c r="AH860" s="3"/>
      <c r="AI860" s="2"/>
      <c r="AJ860" s="2"/>
      <c r="AK860" s="2"/>
      <c r="AL860" s="3"/>
      <c r="AM860" s="3"/>
      <c r="AN860" s="3"/>
      <c r="AO860" s="3"/>
      <c r="AP860" s="3"/>
      <c r="AQ860" s="3"/>
      <c r="AR860" s="21"/>
      <c r="AS860" s="21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3.5" customHeight="1" x14ac:dyDescent="0.35">
      <c r="A861" s="49"/>
      <c r="B861" s="49"/>
      <c r="C861" s="14"/>
      <c r="D861" s="6"/>
      <c r="E861" s="149"/>
      <c r="F861" s="153"/>
      <c r="G861" s="10"/>
      <c r="H861" s="17"/>
      <c r="I861" s="17"/>
      <c r="J861" s="17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29"/>
      <c r="X861" s="15"/>
      <c r="Y861" s="30"/>
      <c r="Z861" s="30"/>
      <c r="AA861" s="30"/>
      <c r="AB861" s="30"/>
      <c r="AC861" s="17"/>
      <c r="AD861" s="17"/>
      <c r="AE861" s="17"/>
      <c r="AF861" s="17"/>
      <c r="AG861" s="21"/>
      <c r="AH861" s="21"/>
      <c r="AI861" s="21"/>
      <c r="AJ861" s="21"/>
      <c r="AK861" s="21"/>
      <c r="AL861" s="21"/>
      <c r="AM861" s="21"/>
      <c r="AN861" s="21"/>
      <c r="AO861" s="22"/>
      <c r="AP861" s="21"/>
      <c r="AQ861" s="22"/>
      <c r="AR861" s="21"/>
      <c r="AS861" s="21"/>
      <c r="AT861" s="21"/>
      <c r="AU861" s="21"/>
      <c r="AV861" s="21"/>
      <c r="AW861" s="21"/>
      <c r="AX861" s="22"/>
      <c r="AY861" s="21"/>
      <c r="AZ861" s="22"/>
      <c r="BA861" s="21"/>
      <c r="BB861" s="21"/>
      <c r="BC861" s="21"/>
      <c r="BD861" s="21"/>
      <c r="BE861" s="26"/>
      <c r="BF861" s="26"/>
      <c r="BG861" s="65"/>
    </row>
    <row r="862" spans="1:59" x14ac:dyDescent="0.3">
      <c r="A862" s="6"/>
      <c r="B862" s="6"/>
      <c r="C862" s="39"/>
      <c r="D862" s="6"/>
      <c r="E862" s="149"/>
      <c r="F862" s="153"/>
      <c r="G862" s="1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12"/>
      <c r="Y862" s="6"/>
      <c r="Z862" s="6"/>
      <c r="AA862" s="6"/>
      <c r="AB862" s="6"/>
      <c r="AC862" s="9"/>
      <c r="AD862" s="9"/>
      <c r="AE862" s="9"/>
      <c r="AF862" s="9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21"/>
      <c r="AS862" s="21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x14ac:dyDescent="0.3">
      <c r="A863" s="6"/>
      <c r="B863" s="6"/>
      <c r="C863" s="39"/>
      <c r="D863" s="6"/>
      <c r="E863" s="149"/>
      <c r="F863" s="153"/>
      <c r="G863" s="1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12"/>
      <c r="Y863" s="6"/>
      <c r="Z863" s="6"/>
      <c r="AA863" s="6"/>
      <c r="AB863" s="6"/>
      <c r="AC863" s="9"/>
      <c r="AD863" s="9"/>
      <c r="AE863" s="9"/>
      <c r="AF863" s="9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21"/>
      <c r="AS863" s="21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3.5" customHeight="1" x14ac:dyDescent="0.35">
      <c r="A864" s="49"/>
      <c r="B864" s="49"/>
      <c r="C864" s="39"/>
      <c r="D864" s="1"/>
      <c r="E864" s="149"/>
      <c r="F864" s="153"/>
      <c r="G864" s="10"/>
      <c r="H864" s="17"/>
      <c r="I864" s="17"/>
      <c r="J864" s="17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29"/>
      <c r="X864" s="15"/>
      <c r="Y864" s="30"/>
      <c r="Z864" s="30"/>
      <c r="AA864" s="30"/>
      <c r="AB864" s="30"/>
      <c r="AC864" s="17"/>
      <c r="AD864" s="17"/>
      <c r="AE864" s="17"/>
      <c r="AF864" s="17"/>
      <c r="AG864" s="21"/>
      <c r="AH864" s="21"/>
      <c r="AI864" s="21"/>
      <c r="AJ864" s="21"/>
      <c r="AK864" s="21"/>
      <c r="AL864" s="21"/>
      <c r="AM864" s="21"/>
      <c r="AN864" s="21"/>
      <c r="AO864" s="22"/>
      <c r="AP864" s="21"/>
      <c r="AQ864" s="22"/>
      <c r="AR864" s="21"/>
      <c r="AS864" s="21"/>
      <c r="AT864" s="21"/>
      <c r="AU864" s="21"/>
      <c r="AV864" s="21"/>
      <c r="AW864" s="21"/>
      <c r="AX864" s="22"/>
      <c r="AY864" s="21"/>
      <c r="AZ864" s="22"/>
      <c r="BA864" s="21"/>
      <c r="BB864" s="21"/>
      <c r="BC864" s="21"/>
      <c r="BD864" s="21"/>
      <c r="BE864" s="26"/>
      <c r="BF864" s="26"/>
      <c r="BG864" s="62"/>
    </row>
    <row r="865" spans="1:59" x14ac:dyDescent="0.3">
      <c r="A865" s="42"/>
      <c r="B865" s="42"/>
      <c r="C865" s="43"/>
      <c r="D865" s="42"/>
      <c r="E865" s="150"/>
      <c r="F865" s="154"/>
      <c r="G865" s="15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8"/>
      <c r="X865" s="14"/>
      <c r="Y865" s="42"/>
      <c r="Z865" s="42"/>
      <c r="AA865" s="42"/>
      <c r="AB865" s="42"/>
      <c r="AC865" s="46"/>
      <c r="AD865" s="46"/>
      <c r="AE865" s="46"/>
      <c r="AF865" s="46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21"/>
      <c r="AS865" s="21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</row>
    <row r="866" spans="1:59" x14ac:dyDescent="0.3">
      <c r="A866" s="63"/>
      <c r="B866" s="63"/>
      <c r="C866" s="39"/>
      <c r="D866" s="6"/>
      <c r="E866" s="149"/>
      <c r="F866" s="153"/>
      <c r="G866" s="1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5"/>
      <c r="V866" s="5"/>
      <c r="W866" s="13"/>
      <c r="X866" s="4"/>
      <c r="Y866" s="4"/>
      <c r="Z866" s="4"/>
      <c r="AA866" s="6"/>
      <c r="AB866" s="5"/>
      <c r="AC866" s="9"/>
      <c r="AD866" s="9"/>
      <c r="AE866" s="9"/>
      <c r="AF866" s="9"/>
      <c r="AG866" s="64"/>
      <c r="AH866" s="3"/>
      <c r="AI866" s="2"/>
      <c r="AJ866" s="2"/>
      <c r="AK866" s="2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x14ac:dyDescent="0.3">
      <c r="A867" s="6"/>
      <c r="B867" s="6"/>
      <c r="C867" s="39"/>
      <c r="D867" s="6"/>
      <c r="E867" s="149"/>
      <c r="F867" s="153"/>
      <c r="G867" s="1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12"/>
      <c r="Y867" s="6"/>
      <c r="Z867" s="6"/>
      <c r="AA867" s="6"/>
      <c r="AB867" s="6"/>
      <c r="AC867" s="9"/>
      <c r="AD867" s="9"/>
      <c r="AE867" s="9"/>
      <c r="AF867" s="9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21"/>
      <c r="AS867" s="21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3.5" customHeight="1" x14ac:dyDescent="0.35">
      <c r="A868" s="49"/>
      <c r="B868" s="49"/>
      <c r="C868" s="14"/>
      <c r="D868" s="1"/>
      <c r="E868" s="149"/>
      <c r="F868" s="153"/>
      <c r="G868" s="10"/>
      <c r="H868" s="17"/>
      <c r="I868" s="17"/>
      <c r="J868" s="17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29"/>
      <c r="X868" s="15"/>
      <c r="Y868" s="30"/>
      <c r="Z868" s="30"/>
      <c r="AA868" s="30"/>
      <c r="AB868" s="30"/>
      <c r="AC868" s="17"/>
      <c r="AD868" s="17"/>
      <c r="AE868" s="17"/>
      <c r="AF868" s="17"/>
      <c r="AG868" s="21"/>
      <c r="AH868" s="21"/>
      <c r="AI868" s="21"/>
      <c r="AJ868" s="21"/>
      <c r="AK868" s="21"/>
      <c r="AL868" s="21"/>
      <c r="AM868" s="21"/>
      <c r="AN868" s="21"/>
      <c r="AO868" s="22"/>
      <c r="AP868" s="21"/>
      <c r="AQ868" s="22"/>
      <c r="AR868" s="21"/>
      <c r="AS868" s="21"/>
      <c r="AT868" s="21"/>
      <c r="AU868" s="21"/>
      <c r="AV868" s="21"/>
      <c r="AW868" s="21"/>
      <c r="AX868" s="22"/>
      <c r="AY868" s="21"/>
      <c r="AZ868" s="22"/>
      <c r="BA868" s="21"/>
      <c r="BB868" s="21"/>
      <c r="BC868" s="21"/>
      <c r="BD868" s="21"/>
      <c r="BE868" s="26"/>
      <c r="BF868" s="26"/>
      <c r="BG868" s="62"/>
    </row>
    <row r="869" spans="1:59" x14ac:dyDescent="0.3">
      <c r="A869" s="63"/>
      <c r="B869" s="63"/>
      <c r="C869" s="39"/>
      <c r="D869" s="6"/>
      <c r="E869" s="149"/>
      <c r="F869" s="153"/>
      <c r="G869" s="1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5"/>
      <c r="V869" s="5"/>
      <c r="W869" s="13"/>
      <c r="X869" s="4"/>
      <c r="Y869" s="4"/>
      <c r="Z869" s="4"/>
      <c r="AA869" s="6"/>
      <c r="AB869" s="5"/>
      <c r="AC869" s="9"/>
      <c r="AD869" s="9"/>
      <c r="AE869" s="9"/>
      <c r="AF869" s="9"/>
      <c r="AG869" s="64"/>
      <c r="AH869" s="3"/>
      <c r="AI869" s="2"/>
      <c r="AJ869" s="2"/>
      <c r="AK869" s="2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x14ac:dyDescent="0.3">
      <c r="A870" s="6"/>
      <c r="B870" s="6"/>
      <c r="C870" s="39"/>
      <c r="D870" s="6"/>
      <c r="E870" s="149"/>
      <c r="F870" s="153"/>
      <c r="G870" s="1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5"/>
      <c r="V870" s="5"/>
      <c r="W870" s="13"/>
      <c r="X870" s="4"/>
      <c r="Y870" s="4"/>
      <c r="Z870" s="4"/>
      <c r="AA870" s="6"/>
      <c r="AB870" s="5"/>
      <c r="AC870" s="9"/>
      <c r="AD870" s="9"/>
      <c r="AE870" s="9"/>
      <c r="AF870" s="9"/>
      <c r="AG870" s="2"/>
      <c r="AH870" s="3"/>
      <c r="AI870" s="2"/>
      <c r="AJ870" s="2"/>
      <c r="AK870" s="2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3.5" customHeight="1" x14ac:dyDescent="0.35">
      <c r="A871" s="49"/>
      <c r="B871" s="49"/>
      <c r="C871" s="14"/>
      <c r="D871" s="1"/>
      <c r="E871" s="149"/>
      <c r="F871" s="153"/>
      <c r="G871" s="10"/>
      <c r="H871" s="17"/>
      <c r="I871" s="17"/>
      <c r="J871" s="17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29"/>
      <c r="X871" s="15"/>
      <c r="Y871" s="30"/>
      <c r="Z871" s="30"/>
      <c r="AA871" s="30"/>
      <c r="AB871" s="30"/>
      <c r="AC871" s="17"/>
      <c r="AD871" s="17"/>
      <c r="AE871" s="17"/>
      <c r="AF871" s="17"/>
      <c r="AG871" s="21"/>
      <c r="AH871" s="21"/>
      <c r="AI871" s="21"/>
      <c r="AJ871" s="21"/>
      <c r="AK871" s="21"/>
      <c r="AL871" s="21"/>
      <c r="AM871" s="21"/>
      <c r="AN871" s="21"/>
      <c r="AO871" s="22"/>
      <c r="AP871" s="21"/>
      <c r="AQ871" s="22"/>
      <c r="AR871" s="21"/>
      <c r="AS871" s="21"/>
      <c r="AT871" s="21"/>
      <c r="AU871" s="21"/>
      <c r="AV871" s="21"/>
      <c r="AW871" s="21"/>
      <c r="AX871" s="22"/>
      <c r="AY871" s="21"/>
      <c r="AZ871" s="22"/>
      <c r="BA871" s="21"/>
      <c r="BB871" s="21"/>
      <c r="BC871" s="21"/>
      <c r="BD871" s="21"/>
      <c r="BE871" s="26"/>
      <c r="BF871" s="26"/>
      <c r="BG871" s="62"/>
    </row>
    <row r="872" spans="1:59" ht="13.5" customHeight="1" x14ac:dyDescent="0.35">
      <c r="A872" s="49"/>
      <c r="B872" s="49"/>
      <c r="C872" s="14"/>
      <c r="D872" s="1"/>
      <c r="E872" s="149"/>
      <c r="F872" s="153"/>
      <c r="G872" s="10"/>
      <c r="H872" s="17"/>
      <c r="I872" s="17"/>
      <c r="J872" s="17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29"/>
      <c r="X872" s="15"/>
      <c r="Y872" s="30"/>
      <c r="Z872" s="30"/>
      <c r="AA872" s="30"/>
      <c r="AB872" s="30"/>
      <c r="AC872" s="17"/>
      <c r="AD872" s="17"/>
      <c r="AE872" s="17"/>
      <c r="AF872" s="17"/>
      <c r="AG872" s="21"/>
      <c r="AH872" s="21"/>
      <c r="AI872" s="21"/>
      <c r="AJ872" s="21"/>
      <c r="AK872" s="21"/>
      <c r="AL872" s="21"/>
      <c r="AM872" s="21"/>
      <c r="AN872" s="21"/>
      <c r="AO872" s="22"/>
      <c r="AP872" s="21"/>
      <c r="AQ872" s="22"/>
      <c r="AR872" s="21"/>
      <c r="AS872" s="21"/>
      <c r="AT872" s="21"/>
      <c r="AU872" s="21"/>
      <c r="AV872" s="21"/>
      <c r="AW872" s="21"/>
      <c r="AX872" s="22"/>
      <c r="AY872" s="21"/>
      <c r="AZ872" s="22"/>
      <c r="BA872" s="21"/>
      <c r="BB872" s="21"/>
      <c r="BC872" s="21"/>
      <c r="BD872" s="21"/>
      <c r="BE872" s="26"/>
      <c r="BF872" s="26"/>
      <c r="BG872" s="62"/>
    </row>
    <row r="873" spans="1:59" x14ac:dyDescent="0.3">
      <c r="A873" s="6"/>
      <c r="B873" s="6"/>
      <c r="C873" s="39"/>
      <c r="D873" s="6"/>
      <c r="E873" s="149"/>
      <c r="F873" s="153"/>
      <c r="G873" s="1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5"/>
      <c r="V873" s="5"/>
      <c r="W873" s="13"/>
      <c r="X873" s="4"/>
      <c r="Y873" s="4"/>
      <c r="Z873" s="4"/>
      <c r="AA873" s="6"/>
      <c r="AB873" s="5"/>
      <c r="AC873" s="9"/>
      <c r="AD873" s="9"/>
      <c r="AE873" s="9"/>
      <c r="AF873" s="9"/>
      <c r="AG873" s="2"/>
      <c r="AH873" s="3"/>
      <c r="AI873" s="2"/>
      <c r="AJ873" s="2"/>
      <c r="AK873" s="2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3.5" customHeight="1" x14ac:dyDescent="0.35">
      <c r="A874" s="49"/>
      <c r="B874" s="49"/>
      <c r="C874" s="14"/>
      <c r="D874" s="1"/>
      <c r="E874" s="149"/>
      <c r="F874" s="153"/>
      <c r="G874" s="10"/>
      <c r="H874" s="17"/>
      <c r="I874" s="17"/>
      <c r="J874" s="17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29"/>
      <c r="X874" s="15"/>
      <c r="Y874" s="30"/>
      <c r="Z874" s="30"/>
      <c r="AA874" s="30"/>
      <c r="AB874" s="30"/>
      <c r="AC874" s="17"/>
      <c r="AD874" s="17"/>
      <c r="AE874" s="17"/>
      <c r="AF874" s="17"/>
      <c r="AG874" s="21"/>
      <c r="AH874" s="21"/>
      <c r="AI874" s="21"/>
      <c r="AJ874" s="21"/>
      <c r="AK874" s="21"/>
      <c r="AL874" s="21"/>
      <c r="AM874" s="21"/>
      <c r="AN874" s="21"/>
      <c r="AO874" s="22"/>
      <c r="AP874" s="21"/>
      <c r="AQ874" s="22"/>
      <c r="AR874" s="21"/>
      <c r="AS874" s="21"/>
      <c r="AT874" s="21"/>
      <c r="AU874" s="21"/>
      <c r="AV874" s="21"/>
      <c r="AW874" s="21"/>
      <c r="AX874" s="22"/>
      <c r="AY874" s="21"/>
      <c r="AZ874" s="22"/>
      <c r="BA874" s="21"/>
      <c r="BB874" s="21"/>
      <c r="BC874" s="21"/>
      <c r="BD874" s="21"/>
      <c r="BE874" s="26"/>
      <c r="BF874" s="26"/>
      <c r="BG874" s="62"/>
    </row>
    <row r="875" spans="1:59" x14ac:dyDescent="0.3">
      <c r="A875" s="6"/>
      <c r="B875" s="6"/>
      <c r="C875" s="39"/>
      <c r="D875" s="6"/>
      <c r="E875" s="149"/>
      <c r="F875" s="153"/>
      <c r="G875" s="1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12"/>
      <c r="Y875" s="6"/>
      <c r="Z875" s="6"/>
      <c r="AA875" s="6"/>
      <c r="AB875" s="6"/>
      <c r="AC875" s="9"/>
      <c r="AD875" s="9"/>
      <c r="AE875" s="9"/>
      <c r="AF875" s="9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21"/>
      <c r="AS875" s="21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x14ac:dyDescent="0.3">
      <c r="A876" s="6"/>
      <c r="B876" s="6"/>
      <c r="C876" s="39"/>
      <c r="D876" s="6"/>
      <c r="E876" s="149"/>
      <c r="F876" s="153"/>
      <c r="G876" s="1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12"/>
      <c r="Y876" s="6"/>
      <c r="Z876" s="6"/>
      <c r="AA876" s="6"/>
      <c r="AB876" s="6"/>
      <c r="AC876" s="9"/>
      <c r="AD876" s="9"/>
      <c r="AE876" s="9"/>
      <c r="AF876" s="9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21"/>
      <c r="AS876" s="21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3.5" customHeight="1" x14ac:dyDescent="0.35">
      <c r="A877" s="49"/>
      <c r="B877" s="49"/>
      <c r="C877" s="14"/>
      <c r="D877" s="1"/>
      <c r="E877" s="149"/>
      <c r="F877" s="153"/>
      <c r="G877" s="10"/>
      <c r="H877" s="17"/>
      <c r="I877" s="17"/>
      <c r="J877" s="17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29"/>
      <c r="X877" s="15"/>
      <c r="Y877" s="30"/>
      <c r="Z877" s="30"/>
      <c r="AA877" s="30"/>
      <c r="AB877" s="30"/>
      <c r="AC877" s="17"/>
      <c r="AD877" s="17"/>
      <c r="AE877" s="17"/>
      <c r="AF877" s="17"/>
      <c r="AG877" s="21"/>
      <c r="AH877" s="21"/>
      <c r="AI877" s="21"/>
      <c r="AJ877" s="21"/>
      <c r="AK877" s="21"/>
      <c r="AL877" s="21"/>
      <c r="AM877" s="21"/>
      <c r="AN877" s="21"/>
      <c r="AO877" s="22"/>
      <c r="AP877" s="21"/>
      <c r="AQ877" s="22"/>
      <c r="AR877" s="21"/>
      <c r="AS877" s="21"/>
      <c r="AT877" s="21"/>
      <c r="AU877" s="21"/>
      <c r="AV877" s="21"/>
      <c r="AW877" s="21"/>
      <c r="AX877" s="22"/>
      <c r="AY877" s="21"/>
      <c r="AZ877" s="22"/>
      <c r="BA877" s="21"/>
      <c r="BB877" s="21"/>
      <c r="BC877" s="21"/>
      <c r="BD877" s="21"/>
      <c r="BE877" s="26"/>
      <c r="BF877" s="26"/>
      <c r="BG877" s="62"/>
    </row>
    <row r="878" spans="1:59" x14ac:dyDescent="0.3">
      <c r="A878" s="6"/>
      <c r="B878" s="6"/>
      <c r="C878" s="39"/>
      <c r="D878" s="6"/>
      <c r="E878" s="149"/>
      <c r="F878" s="153"/>
      <c r="G878" s="1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12"/>
      <c r="Y878" s="6"/>
      <c r="Z878" s="6"/>
      <c r="AA878" s="6"/>
      <c r="AB878" s="6"/>
      <c r="AC878" s="9"/>
      <c r="AD878" s="9"/>
      <c r="AE878" s="9"/>
      <c r="AF878" s="9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21"/>
      <c r="AS878" s="21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x14ac:dyDescent="0.3">
      <c r="A879" s="6"/>
      <c r="B879" s="6"/>
      <c r="C879" s="39"/>
      <c r="D879" s="6"/>
      <c r="E879" s="149"/>
      <c r="F879" s="153"/>
      <c r="G879" s="1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5"/>
      <c r="V879" s="5"/>
      <c r="W879" s="13"/>
      <c r="X879" s="4"/>
      <c r="Y879" s="4"/>
      <c r="Z879" s="4"/>
      <c r="AA879" s="6"/>
      <c r="AB879" s="5"/>
      <c r="AC879" s="9"/>
      <c r="AD879" s="9"/>
      <c r="AE879" s="9"/>
      <c r="AF879" s="9"/>
      <c r="AG879" s="2"/>
      <c r="AH879" s="3"/>
      <c r="AI879" s="2"/>
      <c r="AJ879" s="2"/>
      <c r="AK879" s="2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x14ac:dyDescent="0.3">
      <c r="A880" s="63"/>
      <c r="B880" s="63"/>
      <c r="C880" s="39"/>
      <c r="D880" s="6"/>
      <c r="E880" s="149"/>
      <c r="F880" s="153"/>
      <c r="G880" s="1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5"/>
      <c r="V880" s="5"/>
      <c r="W880" s="13"/>
      <c r="X880" s="4"/>
      <c r="Y880" s="4"/>
      <c r="Z880" s="4"/>
      <c r="AA880" s="6"/>
      <c r="AB880" s="5"/>
      <c r="AC880" s="9"/>
      <c r="AD880" s="9"/>
      <c r="AE880" s="9"/>
      <c r="AF880" s="9"/>
      <c r="AG880" s="64"/>
      <c r="AH880" s="3"/>
      <c r="AI880" s="2"/>
      <c r="AJ880" s="2"/>
      <c r="AK880" s="2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3.5" customHeight="1" x14ac:dyDescent="0.35">
      <c r="A881" s="49"/>
      <c r="B881" s="49"/>
      <c r="C881" s="39"/>
      <c r="D881" s="1"/>
      <c r="E881" s="149"/>
      <c r="F881" s="153"/>
      <c r="G881" s="10"/>
      <c r="H881" s="17"/>
      <c r="I881" s="17"/>
      <c r="J881" s="17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29"/>
      <c r="X881" s="15"/>
      <c r="Y881" s="30"/>
      <c r="Z881" s="30"/>
      <c r="AA881" s="30"/>
      <c r="AB881" s="30"/>
      <c r="AC881" s="17"/>
      <c r="AD881" s="17"/>
      <c r="AE881" s="17"/>
      <c r="AF881" s="17"/>
      <c r="AG881" s="21"/>
      <c r="AH881" s="21"/>
      <c r="AI881" s="21"/>
      <c r="AJ881" s="21"/>
      <c r="AK881" s="21"/>
      <c r="AL881" s="21"/>
      <c r="AM881" s="21"/>
      <c r="AN881" s="21"/>
      <c r="AO881" s="22"/>
      <c r="AP881" s="21"/>
      <c r="AQ881" s="22"/>
      <c r="AR881" s="21"/>
      <c r="AS881" s="21"/>
      <c r="AT881" s="21"/>
      <c r="AU881" s="21"/>
      <c r="AV881" s="21"/>
      <c r="AW881" s="21"/>
      <c r="AX881" s="22"/>
      <c r="AY881" s="21"/>
      <c r="AZ881" s="22"/>
      <c r="BA881" s="21"/>
      <c r="BB881" s="21"/>
      <c r="BC881" s="21"/>
      <c r="BD881" s="21"/>
      <c r="BE881" s="26"/>
      <c r="BF881" s="26"/>
      <c r="BG881" s="62"/>
    </row>
    <row r="882" spans="1:59" x14ac:dyDescent="0.3">
      <c r="A882" s="63"/>
      <c r="B882" s="63"/>
      <c r="C882" s="39"/>
      <c r="D882" s="6"/>
      <c r="E882" s="149"/>
      <c r="F882" s="153"/>
      <c r="G882" s="1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5"/>
      <c r="V882" s="5"/>
      <c r="W882" s="13"/>
      <c r="X882" s="4"/>
      <c r="Y882" s="4"/>
      <c r="Z882" s="4"/>
      <c r="AA882" s="6"/>
      <c r="AB882" s="5"/>
      <c r="AC882" s="9"/>
      <c r="AD882" s="9"/>
      <c r="AE882" s="9"/>
      <c r="AF882" s="9"/>
      <c r="AG882" s="64"/>
      <c r="AH882" s="3"/>
      <c r="AI882" s="2"/>
      <c r="AJ882" s="2"/>
      <c r="AK882" s="2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3.5" customHeight="1" x14ac:dyDescent="0.35">
      <c r="A883" s="49"/>
      <c r="B883" s="49"/>
      <c r="C883" s="14"/>
      <c r="D883" s="1"/>
      <c r="E883" s="149"/>
      <c r="F883" s="153"/>
      <c r="G883" s="10"/>
      <c r="H883" s="17"/>
      <c r="I883" s="17"/>
      <c r="J883" s="17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29"/>
      <c r="X883" s="15"/>
      <c r="Y883" s="30"/>
      <c r="Z883" s="30"/>
      <c r="AA883" s="30"/>
      <c r="AB883" s="30"/>
      <c r="AC883" s="17"/>
      <c r="AD883" s="17"/>
      <c r="AE883" s="17"/>
      <c r="AF883" s="17"/>
      <c r="AG883" s="21"/>
      <c r="AH883" s="21"/>
      <c r="AI883" s="21"/>
      <c r="AJ883" s="21"/>
      <c r="AK883" s="21"/>
      <c r="AL883" s="21"/>
      <c r="AM883" s="21"/>
      <c r="AN883" s="21"/>
      <c r="AO883" s="22"/>
      <c r="AP883" s="21"/>
      <c r="AQ883" s="22"/>
      <c r="AR883" s="21"/>
      <c r="AS883" s="21"/>
      <c r="AT883" s="21"/>
      <c r="AU883" s="21"/>
      <c r="AV883" s="21"/>
      <c r="AW883" s="21"/>
      <c r="AX883" s="22"/>
      <c r="AY883" s="21"/>
      <c r="AZ883" s="22"/>
      <c r="BA883" s="21"/>
      <c r="BB883" s="21"/>
      <c r="BC883" s="21"/>
      <c r="BD883" s="21"/>
      <c r="BE883" s="26"/>
      <c r="BF883" s="26"/>
      <c r="BG883" s="62"/>
    </row>
    <row r="884" spans="1:59" x14ac:dyDescent="0.3">
      <c r="A884" s="6"/>
      <c r="B884" s="6"/>
      <c r="C884" s="39"/>
      <c r="D884" s="6"/>
      <c r="E884" s="149"/>
      <c r="F884" s="153"/>
      <c r="G884" s="1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12"/>
      <c r="Y884" s="6"/>
      <c r="Z884" s="6"/>
      <c r="AA884" s="6"/>
      <c r="AB884" s="6"/>
      <c r="AC884" s="9"/>
      <c r="AD884" s="9"/>
      <c r="AE884" s="9"/>
      <c r="AF884" s="9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21"/>
      <c r="AS884" s="21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x14ac:dyDescent="0.3">
      <c r="A885" s="6"/>
      <c r="B885" s="6"/>
      <c r="C885" s="39"/>
      <c r="D885" s="6"/>
      <c r="E885" s="149"/>
      <c r="F885" s="153"/>
      <c r="G885" s="1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12"/>
      <c r="Y885" s="6"/>
      <c r="Z885" s="6"/>
      <c r="AA885" s="6"/>
      <c r="AB885" s="6"/>
      <c r="AC885" s="9"/>
      <c r="AD885" s="9"/>
      <c r="AE885" s="9"/>
      <c r="AF885" s="9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21"/>
      <c r="AS885" s="21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x14ac:dyDescent="0.3">
      <c r="A886" s="63"/>
      <c r="B886" s="63"/>
      <c r="C886" s="39"/>
      <c r="D886" s="6"/>
      <c r="E886" s="149"/>
      <c r="F886" s="153"/>
      <c r="G886" s="1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5"/>
      <c r="V886" s="5"/>
      <c r="W886" s="13"/>
      <c r="X886" s="4"/>
      <c r="Y886" s="4"/>
      <c r="Z886" s="4"/>
      <c r="AA886" s="6"/>
      <c r="AB886" s="5"/>
      <c r="AC886" s="9"/>
      <c r="AD886" s="9"/>
      <c r="AE886" s="9"/>
      <c r="AF886" s="9"/>
      <c r="AG886" s="64"/>
      <c r="AH886" s="3"/>
      <c r="AI886" s="2"/>
      <c r="AJ886" s="2"/>
      <c r="AK886" s="2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x14ac:dyDescent="0.3">
      <c r="A887" s="6"/>
      <c r="B887" s="6"/>
      <c r="C887" s="39"/>
      <c r="D887" s="6"/>
      <c r="E887" s="149"/>
      <c r="F887" s="153"/>
      <c r="G887" s="1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12"/>
      <c r="Y887" s="6"/>
      <c r="Z887" s="6"/>
      <c r="AA887" s="6"/>
      <c r="AB887" s="6"/>
      <c r="AC887" s="9"/>
      <c r="AD887" s="9"/>
      <c r="AE887" s="9"/>
      <c r="AF887" s="9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21"/>
      <c r="AS887" s="21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3.5" customHeight="1" x14ac:dyDescent="0.35">
      <c r="A888" s="49"/>
      <c r="B888" s="49"/>
      <c r="C888" s="14"/>
      <c r="D888" s="1"/>
      <c r="E888" s="149"/>
      <c r="F888" s="153"/>
      <c r="G888" s="10"/>
      <c r="H888" s="17"/>
      <c r="I888" s="17"/>
      <c r="J888" s="17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29"/>
      <c r="X888" s="15"/>
      <c r="Y888" s="30"/>
      <c r="Z888" s="30"/>
      <c r="AA888" s="30"/>
      <c r="AB888" s="30"/>
      <c r="AC888" s="17"/>
      <c r="AD888" s="17"/>
      <c r="AE888" s="17"/>
      <c r="AF888" s="17"/>
      <c r="AG888" s="21"/>
      <c r="AH888" s="21"/>
      <c r="AI888" s="21"/>
      <c r="AJ888" s="21"/>
      <c r="AK888" s="21"/>
      <c r="AL888" s="21"/>
      <c r="AM888" s="21"/>
      <c r="AN888" s="21"/>
      <c r="AO888" s="22"/>
      <c r="AP888" s="21"/>
      <c r="AQ888" s="22"/>
      <c r="AR888" s="21"/>
      <c r="AS888" s="21"/>
      <c r="AT888" s="21"/>
      <c r="AU888" s="21"/>
      <c r="AV888" s="21"/>
      <c r="AW888" s="21"/>
      <c r="AX888" s="22"/>
      <c r="AY888" s="21"/>
      <c r="AZ888" s="22"/>
      <c r="BA888" s="21"/>
      <c r="BB888" s="21"/>
      <c r="BC888" s="21"/>
      <c r="BD888" s="21"/>
      <c r="BE888" s="26"/>
      <c r="BF888" s="26"/>
      <c r="BG888" s="62"/>
    </row>
    <row r="889" spans="1:59" x14ac:dyDescent="0.3">
      <c r="A889" s="63"/>
      <c r="B889" s="63"/>
      <c r="C889" s="39"/>
      <c r="D889" s="6"/>
      <c r="E889" s="149"/>
      <c r="F889" s="153"/>
      <c r="G889" s="1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5"/>
      <c r="V889" s="5"/>
      <c r="W889" s="13"/>
      <c r="X889" s="4"/>
      <c r="Y889" s="4"/>
      <c r="Z889" s="4"/>
      <c r="AA889" s="6"/>
      <c r="AB889" s="5"/>
      <c r="AC889" s="9"/>
      <c r="AD889" s="9"/>
      <c r="AE889" s="9"/>
      <c r="AF889" s="9"/>
      <c r="AG889" s="64"/>
      <c r="AH889" s="3"/>
      <c r="AI889" s="2"/>
      <c r="AJ889" s="2"/>
      <c r="AK889" s="2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3.5" customHeight="1" x14ac:dyDescent="0.35">
      <c r="A890" s="49"/>
      <c r="B890" s="49"/>
      <c r="C890" s="14"/>
      <c r="D890" s="1"/>
      <c r="E890" s="149"/>
      <c r="F890" s="153"/>
      <c r="G890" s="10"/>
      <c r="H890" s="17"/>
      <c r="I890" s="17"/>
      <c r="J890" s="17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29"/>
      <c r="X890" s="15"/>
      <c r="Y890" s="30"/>
      <c r="Z890" s="30"/>
      <c r="AA890" s="30"/>
      <c r="AB890" s="30"/>
      <c r="AC890" s="17"/>
      <c r="AD890" s="17"/>
      <c r="AE890" s="17"/>
      <c r="AF890" s="17"/>
      <c r="AG890" s="21"/>
      <c r="AH890" s="21"/>
      <c r="AI890" s="21"/>
      <c r="AJ890" s="21"/>
      <c r="AK890" s="21"/>
      <c r="AL890" s="21"/>
      <c r="AM890" s="21"/>
      <c r="AN890" s="21"/>
      <c r="AO890" s="22"/>
      <c r="AP890" s="21"/>
      <c r="AQ890" s="22"/>
      <c r="AR890" s="21"/>
      <c r="AS890" s="21"/>
      <c r="AT890" s="21"/>
      <c r="AU890" s="21"/>
      <c r="AV890" s="21"/>
      <c r="AW890" s="21"/>
      <c r="AX890" s="22"/>
      <c r="AY890" s="21"/>
      <c r="AZ890" s="22"/>
      <c r="BA890" s="21"/>
      <c r="BB890" s="21"/>
      <c r="BC890" s="21"/>
      <c r="BD890" s="21"/>
      <c r="BE890" s="26"/>
      <c r="BF890" s="26"/>
      <c r="BG890" s="62"/>
    </row>
    <row r="891" spans="1:59" x14ac:dyDescent="0.3">
      <c r="A891" s="6"/>
      <c r="B891" s="6"/>
      <c r="C891" s="39"/>
      <c r="D891" s="6"/>
      <c r="E891" s="149"/>
      <c r="F891" s="153"/>
      <c r="G891" s="1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12"/>
      <c r="Y891" s="6"/>
      <c r="Z891" s="6"/>
      <c r="AA891" s="6"/>
      <c r="AB891" s="6"/>
      <c r="AC891" s="9"/>
      <c r="AD891" s="9"/>
      <c r="AE891" s="9"/>
      <c r="AF891" s="9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21"/>
      <c r="AS891" s="21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3.5" customHeight="1" x14ac:dyDescent="0.35">
      <c r="A892" s="49"/>
      <c r="B892" s="49"/>
      <c r="C892" s="39"/>
      <c r="D892" s="1"/>
      <c r="E892" s="149"/>
      <c r="F892" s="153"/>
      <c r="G892" s="10"/>
      <c r="H892" s="17"/>
      <c r="I892" s="17"/>
      <c r="J892" s="17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29"/>
      <c r="X892" s="15"/>
      <c r="Y892" s="30"/>
      <c r="Z892" s="30"/>
      <c r="AA892" s="30"/>
      <c r="AB892" s="30"/>
      <c r="AC892" s="17"/>
      <c r="AD892" s="17"/>
      <c r="AE892" s="17"/>
      <c r="AF892" s="17"/>
      <c r="AG892" s="21"/>
      <c r="AH892" s="21"/>
      <c r="AI892" s="21"/>
      <c r="AJ892" s="21"/>
      <c r="AK892" s="21"/>
      <c r="AL892" s="21"/>
      <c r="AM892" s="21"/>
      <c r="AN892" s="21"/>
      <c r="AO892" s="22"/>
      <c r="AP892" s="21"/>
      <c r="AQ892" s="22"/>
      <c r="AR892" s="21"/>
      <c r="AS892" s="21"/>
      <c r="AT892" s="21"/>
      <c r="AU892" s="21"/>
      <c r="AV892" s="21"/>
      <c r="AW892" s="21"/>
      <c r="AX892" s="22"/>
      <c r="AY892" s="21"/>
      <c r="AZ892" s="22"/>
      <c r="BA892" s="21"/>
      <c r="BB892" s="21"/>
      <c r="BC892" s="21"/>
      <c r="BD892" s="21"/>
      <c r="BE892" s="26"/>
      <c r="BF892" s="26"/>
      <c r="BG892" s="62"/>
    </row>
    <row r="893" spans="1:59" x14ac:dyDescent="0.3">
      <c r="A893" s="63"/>
      <c r="B893" s="63"/>
      <c r="C893" s="39"/>
      <c r="D893" s="6"/>
      <c r="E893" s="149"/>
      <c r="F893" s="153"/>
      <c r="G893" s="1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5"/>
      <c r="V893" s="5"/>
      <c r="W893" s="13"/>
      <c r="X893" s="4"/>
      <c r="Y893" s="4"/>
      <c r="Z893" s="4"/>
      <c r="AA893" s="6"/>
      <c r="AB893" s="5"/>
      <c r="AC893" s="9"/>
      <c r="AD893" s="9"/>
      <c r="AE893" s="9"/>
      <c r="AF893" s="9"/>
      <c r="AG893" s="64"/>
      <c r="AH893" s="3"/>
      <c r="AI893" s="2"/>
      <c r="AJ893" s="2"/>
      <c r="AK893" s="2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3.5" customHeight="1" x14ac:dyDescent="0.35">
      <c r="A894" s="49"/>
      <c r="B894" s="49"/>
      <c r="C894" s="14"/>
      <c r="D894" s="1"/>
      <c r="E894" s="149"/>
      <c r="F894" s="153"/>
      <c r="G894" s="10"/>
      <c r="H894" s="17"/>
      <c r="I894" s="17"/>
      <c r="J894" s="17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29"/>
      <c r="X894" s="15"/>
      <c r="Y894" s="30"/>
      <c r="Z894" s="30"/>
      <c r="AA894" s="30"/>
      <c r="AB894" s="30"/>
      <c r="AC894" s="17"/>
      <c r="AD894" s="17"/>
      <c r="AE894" s="17"/>
      <c r="AF894" s="17"/>
      <c r="AG894" s="21"/>
      <c r="AH894" s="21"/>
      <c r="AI894" s="21"/>
      <c r="AJ894" s="21"/>
      <c r="AK894" s="21"/>
      <c r="AL894" s="21"/>
      <c r="AM894" s="21"/>
      <c r="AN894" s="21"/>
      <c r="AO894" s="22"/>
      <c r="AP894" s="21"/>
      <c r="AQ894" s="22"/>
      <c r="AR894" s="21"/>
      <c r="AS894" s="21"/>
      <c r="AT894" s="21"/>
      <c r="AU894" s="21"/>
      <c r="AV894" s="21"/>
      <c r="AW894" s="21"/>
      <c r="AX894" s="22"/>
      <c r="AY894" s="21"/>
      <c r="AZ894" s="22"/>
      <c r="BA894" s="21"/>
      <c r="BB894" s="21"/>
      <c r="BC894" s="21"/>
      <c r="BD894" s="21"/>
      <c r="BE894" s="26"/>
      <c r="BF894" s="26"/>
      <c r="BG894" s="62"/>
    </row>
    <row r="895" spans="1:59" ht="13.5" customHeight="1" x14ac:dyDescent="0.35">
      <c r="A895" s="49"/>
      <c r="B895" s="49"/>
      <c r="C895" s="14"/>
      <c r="D895" s="1"/>
      <c r="E895" s="149"/>
      <c r="F895" s="153"/>
      <c r="G895" s="10"/>
      <c r="H895" s="17"/>
      <c r="I895" s="17"/>
      <c r="J895" s="17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29"/>
      <c r="X895" s="15"/>
      <c r="Y895" s="30"/>
      <c r="Z895" s="30"/>
      <c r="AA895" s="30"/>
      <c r="AB895" s="30"/>
      <c r="AC895" s="17"/>
      <c r="AD895" s="17"/>
      <c r="AE895" s="17"/>
      <c r="AF895" s="17"/>
      <c r="AG895" s="21"/>
      <c r="AH895" s="21"/>
      <c r="AI895" s="21"/>
      <c r="AJ895" s="21"/>
      <c r="AK895" s="21"/>
      <c r="AL895" s="21"/>
      <c r="AM895" s="21"/>
      <c r="AN895" s="21"/>
      <c r="AO895" s="22"/>
      <c r="AP895" s="21"/>
      <c r="AQ895" s="22"/>
      <c r="AR895" s="21"/>
      <c r="AS895" s="21"/>
      <c r="AT895" s="21"/>
      <c r="AU895" s="21"/>
      <c r="AV895" s="21"/>
      <c r="AW895" s="21"/>
      <c r="AX895" s="22"/>
      <c r="AY895" s="21"/>
      <c r="AZ895" s="22"/>
      <c r="BA895" s="21"/>
      <c r="BB895" s="21"/>
      <c r="BC895" s="21"/>
      <c r="BD895" s="21"/>
      <c r="BE895" s="26"/>
      <c r="BF895" s="26"/>
      <c r="BG895" s="62"/>
    </row>
    <row r="896" spans="1:59" x14ac:dyDescent="0.3">
      <c r="A896" s="6"/>
      <c r="B896" s="6"/>
      <c r="C896" s="39"/>
      <c r="D896" s="6"/>
      <c r="E896" s="149"/>
      <c r="F896" s="153"/>
      <c r="G896" s="1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5"/>
      <c r="V896" s="5"/>
      <c r="W896" s="13"/>
      <c r="X896" s="4"/>
      <c r="Y896" s="4"/>
      <c r="Z896" s="4"/>
      <c r="AA896" s="6"/>
      <c r="AB896" s="5"/>
      <c r="AC896" s="9"/>
      <c r="AD896" s="9"/>
      <c r="AE896" s="9"/>
      <c r="AF896" s="9"/>
      <c r="AG896" s="2"/>
      <c r="AH896" s="3"/>
      <c r="AI896" s="2"/>
      <c r="AJ896" s="2"/>
      <c r="AK896" s="2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x14ac:dyDescent="0.3">
      <c r="A897" s="6"/>
      <c r="B897" s="6"/>
      <c r="C897" s="39"/>
      <c r="D897" s="6"/>
      <c r="E897" s="149"/>
      <c r="F897" s="153"/>
      <c r="G897" s="1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12"/>
      <c r="Y897" s="6"/>
      <c r="Z897" s="6"/>
      <c r="AA897" s="6"/>
      <c r="AB897" s="6"/>
      <c r="AC897" s="9"/>
      <c r="AD897" s="9"/>
      <c r="AE897" s="9"/>
      <c r="AF897" s="9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21"/>
      <c r="AS897" s="21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3.5" customHeight="1" x14ac:dyDescent="0.35">
      <c r="A898" s="49"/>
      <c r="B898" s="49"/>
      <c r="C898" s="14"/>
      <c r="D898" s="1"/>
      <c r="E898" s="149"/>
      <c r="F898" s="153"/>
      <c r="G898" s="10"/>
      <c r="H898" s="17"/>
      <c r="I898" s="17"/>
      <c r="J898" s="17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29"/>
      <c r="X898" s="15"/>
      <c r="Y898" s="30"/>
      <c r="Z898" s="30"/>
      <c r="AA898" s="30"/>
      <c r="AB898" s="30"/>
      <c r="AC898" s="17"/>
      <c r="AD898" s="17"/>
      <c r="AE898" s="17"/>
      <c r="AF898" s="17"/>
      <c r="AG898" s="21"/>
      <c r="AH898" s="21"/>
      <c r="AI898" s="21"/>
      <c r="AJ898" s="21"/>
      <c r="AK898" s="21"/>
      <c r="AL898" s="21"/>
      <c r="AM898" s="21"/>
      <c r="AN898" s="21"/>
      <c r="AO898" s="22"/>
      <c r="AP898" s="21"/>
      <c r="AQ898" s="22"/>
      <c r="AR898" s="21"/>
      <c r="AS898" s="21"/>
      <c r="AT898" s="21"/>
      <c r="AU898" s="21"/>
      <c r="AV898" s="21"/>
      <c r="AW898" s="21"/>
      <c r="AX898" s="22"/>
      <c r="AY898" s="21"/>
      <c r="AZ898" s="22"/>
      <c r="BA898" s="21"/>
      <c r="BB898" s="21"/>
      <c r="BC898" s="21"/>
      <c r="BD898" s="21"/>
      <c r="BE898" s="26"/>
      <c r="BF898" s="26"/>
      <c r="BG898" s="62"/>
    </row>
    <row r="899" spans="1:59" x14ac:dyDescent="0.3">
      <c r="A899" s="6"/>
      <c r="B899" s="6"/>
      <c r="C899" s="39"/>
      <c r="D899" s="6"/>
      <c r="E899" s="149"/>
      <c r="F899" s="153"/>
      <c r="G899" s="1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12"/>
      <c r="Y899" s="6"/>
      <c r="Z899" s="6"/>
      <c r="AA899" s="6"/>
      <c r="AB899" s="6"/>
      <c r="AC899" s="9"/>
      <c r="AD899" s="9"/>
      <c r="AE899" s="9"/>
      <c r="AF899" s="9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21"/>
      <c r="AS899" s="21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x14ac:dyDescent="0.3">
      <c r="A900" s="63"/>
      <c r="B900" s="63"/>
      <c r="C900" s="39"/>
      <c r="D900" s="6"/>
      <c r="E900" s="149"/>
      <c r="F900" s="153"/>
      <c r="G900" s="1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5"/>
      <c r="V900" s="5"/>
      <c r="W900" s="13"/>
      <c r="X900" s="4"/>
      <c r="Y900" s="4"/>
      <c r="Z900" s="4"/>
      <c r="AA900" s="6"/>
      <c r="AB900" s="5"/>
      <c r="AC900" s="9"/>
      <c r="AD900" s="9"/>
      <c r="AE900" s="9"/>
      <c r="AF900" s="9"/>
      <c r="AG900" s="64"/>
      <c r="AH900" s="3"/>
      <c r="AI900" s="2"/>
      <c r="AJ900" s="2"/>
      <c r="AK900" s="2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x14ac:dyDescent="0.3">
      <c r="A901" s="63"/>
      <c r="B901" s="63"/>
      <c r="C901" s="39"/>
      <c r="D901" s="6"/>
      <c r="E901" s="149"/>
      <c r="F901" s="153"/>
      <c r="G901" s="1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5"/>
      <c r="V901" s="5"/>
      <c r="W901" s="13"/>
      <c r="X901" s="4"/>
      <c r="Y901" s="4"/>
      <c r="Z901" s="4"/>
      <c r="AA901" s="6"/>
      <c r="AB901" s="5"/>
      <c r="AC901" s="9"/>
      <c r="AD901" s="9"/>
      <c r="AE901" s="9"/>
      <c r="AF901" s="9"/>
      <c r="AG901" s="64"/>
      <c r="AH901" s="3"/>
      <c r="AI901" s="2"/>
      <c r="AJ901" s="2"/>
      <c r="AK901" s="2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x14ac:dyDescent="0.3">
      <c r="A902" s="6"/>
      <c r="B902" s="6"/>
      <c r="C902" s="39"/>
      <c r="D902" s="6"/>
      <c r="E902" s="149"/>
      <c r="F902" s="153"/>
      <c r="G902" s="1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12"/>
      <c r="Y902" s="6"/>
      <c r="Z902" s="6"/>
      <c r="AA902" s="6"/>
      <c r="AB902" s="6"/>
      <c r="AC902" s="9"/>
      <c r="AD902" s="9"/>
      <c r="AE902" s="9"/>
      <c r="AF902" s="9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21"/>
      <c r="AS902" s="21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x14ac:dyDescent="0.3">
      <c r="A903" s="6"/>
      <c r="B903" s="6"/>
      <c r="C903" s="39"/>
      <c r="D903" s="6"/>
      <c r="E903" s="149"/>
      <c r="F903" s="153"/>
      <c r="G903" s="1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12"/>
      <c r="Y903" s="6"/>
      <c r="Z903" s="6"/>
      <c r="AA903" s="6"/>
      <c r="AB903" s="6"/>
      <c r="AC903" s="9"/>
      <c r="AD903" s="9"/>
      <c r="AE903" s="9"/>
      <c r="AF903" s="9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21"/>
      <c r="AS903" s="21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x14ac:dyDescent="0.3">
      <c r="A904" s="6"/>
      <c r="B904" s="6"/>
      <c r="C904" s="39"/>
      <c r="D904" s="6"/>
      <c r="E904" s="149"/>
      <c r="F904" s="153"/>
      <c r="G904" s="1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5"/>
      <c r="V904" s="5"/>
      <c r="W904" s="13"/>
      <c r="X904" s="4"/>
      <c r="Y904" s="4"/>
      <c r="Z904" s="4"/>
      <c r="AA904" s="6"/>
      <c r="AB904" s="5"/>
      <c r="AC904" s="9"/>
      <c r="AD904" s="9"/>
      <c r="AE904" s="9"/>
      <c r="AF904" s="9"/>
      <c r="AG904" s="2"/>
      <c r="AH904" s="3"/>
      <c r="AI904" s="2"/>
      <c r="AJ904" s="2"/>
      <c r="AK904" s="2"/>
      <c r="AL904" s="3"/>
      <c r="AM904" s="3"/>
      <c r="AN904" s="3"/>
      <c r="AO904" s="3"/>
      <c r="AP904" s="3"/>
      <c r="AQ904" s="3"/>
      <c r="AR904" s="21"/>
      <c r="AS904" s="21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3.5" customHeight="1" x14ac:dyDescent="0.35">
      <c r="A905" s="49"/>
      <c r="B905" s="49"/>
      <c r="C905" s="39"/>
      <c r="D905" s="1"/>
      <c r="E905" s="149"/>
      <c r="F905" s="153"/>
      <c r="G905" s="10"/>
      <c r="H905" s="17"/>
      <c r="I905" s="17"/>
      <c r="J905" s="17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29"/>
      <c r="X905" s="15"/>
      <c r="Y905" s="30"/>
      <c r="Z905" s="30"/>
      <c r="AA905" s="30"/>
      <c r="AB905" s="30"/>
      <c r="AC905" s="17"/>
      <c r="AD905" s="17"/>
      <c r="AE905" s="17"/>
      <c r="AF905" s="17"/>
      <c r="AG905" s="21"/>
      <c r="AH905" s="21"/>
      <c r="AI905" s="21"/>
      <c r="AJ905" s="21"/>
      <c r="AK905" s="21"/>
      <c r="AL905" s="21"/>
      <c r="AM905" s="21"/>
      <c r="AN905" s="21"/>
      <c r="AO905" s="22"/>
      <c r="AP905" s="21"/>
      <c r="AQ905" s="22"/>
      <c r="AR905" s="21"/>
      <c r="AS905" s="21"/>
      <c r="AT905" s="21"/>
      <c r="AU905" s="21"/>
      <c r="AV905" s="21"/>
      <c r="AW905" s="21"/>
      <c r="AX905" s="22"/>
      <c r="AY905" s="21"/>
      <c r="AZ905" s="22"/>
      <c r="BA905" s="21"/>
      <c r="BB905" s="21"/>
      <c r="BC905" s="21"/>
      <c r="BD905" s="21"/>
      <c r="BE905" s="26"/>
      <c r="BF905" s="26"/>
      <c r="BG905" s="62"/>
    </row>
    <row r="906" spans="1:59" x14ac:dyDescent="0.3">
      <c r="A906" s="6"/>
      <c r="B906" s="6"/>
      <c r="C906" s="39"/>
      <c r="D906" s="6"/>
      <c r="E906" s="149"/>
      <c r="F906" s="153"/>
      <c r="G906" s="1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12"/>
      <c r="Y906" s="6"/>
      <c r="Z906" s="6"/>
      <c r="AA906" s="6"/>
      <c r="AB906" s="6"/>
      <c r="AC906" s="9"/>
      <c r="AD906" s="9"/>
      <c r="AE906" s="9"/>
      <c r="AF906" s="9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21"/>
      <c r="AS906" s="21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3.5" customHeight="1" x14ac:dyDescent="0.35">
      <c r="A907" s="49"/>
      <c r="B907" s="49"/>
      <c r="C907" s="14"/>
      <c r="D907" s="1"/>
      <c r="E907" s="149"/>
      <c r="F907" s="153"/>
      <c r="G907" s="10"/>
      <c r="H907" s="17"/>
      <c r="I907" s="17"/>
      <c r="J907" s="17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29"/>
      <c r="X907" s="15"/>
      <c r="Y907" s="30"/>
      <c r="Z907" s="30"/>
      <c r="AA907" s="30"/>
      <c r="AB907" s="30"/>
      <c r="AC907" s="17"/>
      <c r="AD907" s="17"/>
      <c r="AE907" s="17"/>
      <c r="AF907" s="17"/>
      <c r="AG907" s="21"/>
      <c r="AH907" s="21"/>
      <c r="AI907" s="21"/>
      <c r="AJ907" s="21"/>
      <c r="AK907" s="21"/>
      <c r="AL907" s="21"/>
      <c r="AM907" s="21"/>
      <c r="AN907" s="21"/>
      <c r="AO907" s="22"/>
      <c r="AP907" s="21"/>
      <c r="AQ907" s="22"/>
      <c r="AR907" s="21"/>
      <c r="AS907" s="21"/>
      <c r="AT907" s="21"/>
      <c r="AU907" s="21"/>
      <c r="AV907" s="21"/>
      <c r="AW907" s="21"/>
      <c r="AX907" s="22"/>
      <c r="AY907" s="21"/>
      <c r="AZ907" s="22"/>
      <c r="BA907" s="21"/>
      <c r="BB907" s="21"/>
      <c r="BC907" s="21"/>
      <c r="BD907" s="21"/>
      <c r="BE907" s="26"/>
      <c r="BF907" s="26"/>
      <c r="BG907" s="62"/>
    </row>
    <row r="908" spans="1:59" x14ac:dyDescent="0.3">
      <c r="A908" s="6"/>
      <c r="B908" s="6"/>
      <c r="C908" s="39"/>
      <c r="D908" s="6"/>
      <c r="E908" s="149"/>
      <c r="F908" s="153"/>
      <c r="G908" s="1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12"/>
      <c r="Y908" s="6"/>
      <c r="Z908" s="6"/>
      <c r="AA908" s="6"/>
      <c r="AB908" s="6"/>
      <c r="AC908" s="9"/>
      <c r="AD908" s="9"/>
      <c r="AE908" s="9"/>
      <c r="AF908" s="9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21"/>
      <c r="AS908" s="21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x14ac:dyDescent="0.3">
      <c r="A909" s="6"/>
      <c r="B909" s="6"/>
      <c r="C909" s="39"/>
      <c r="D909" s="6"/>
      <c r="E909" s="149"/>
      <c r="F909" s="153"/>
      <c r="G909" s="1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12"/>
      <c r="Y909" s="6"/>
      <c r="Z909" s="6"/>
      <c r="AA909" s="6"/>
      <c r="AB909" s="6"/>
      <c r="AC909" s="9"/>
      <c r="AD909" s="9"/>
      <c r="AE909" s="9"/>
      <c r="AF909" s="9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21"/>
      <c r="AS909" s="21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3.5" customHeight="1" x14ac:dyDescent="0.35">
      <c r="A910" s="49"/>
      <c r="B910" s="49"/>
      <c r="C910" s="39"/>
      <c r="D910" s="1"/>
      <c r="E910" s="149"/>
      <c r="F910" s="153"/>
      <c r="G910" s="10"/>
      <c r="H910" s="17"/>
      <c r="I910" s="17"/>
      <c r="J910" s="17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29"/>
      <c r="X910" s="15"/>
      <c r="Y910" s="30"/>
      <c r="Z910" s="30"/>
      <c r="AA910" s="30"/>
      <c r="AB910" s="30"/>
      <c r="AC910" s="17"/>
      <c r="AD910" s="17"/>
      <c r="AE910" s="17"/>
      <c r="AF910" s="17"/>
      <c r="AG910" s="21"/>
      <c r="AH910" s="21"/>
      <c r="AI910" s="21"/>
      <c r="AJ910" s="21"/>
      <c r="AK910" s="21"/>
      <c r="AL910" s="21"/>
      <c r="AM910" s="21"/>
      <c r="AN910" s="21"/>
      <c r="AO910" s="22"/>
      <c r="AP910" s="21"/>
      <c r="AQ910" s="22"/>
      <c r="AR910" s="21"/>
      <c r="AS910" s="21"/>
      <c r="AT910" s="21"/>
      <c r="AU910" s="21"/>
      <c r="AV910" s="21"/>
      <c r="AW910" s="21"/>
      <c r="AX910" s="22"/>
      <c r="AY910" s="21"/>
      <c r="AZ910" s="22"/>
      <c r="BA910" s="21"/>
      <c r="BB910" s="21"/>
      <c r="BC910" s="21"/>
      <c r="BD910" s="21"/>
      <c r="BE910" s="26"/>
      <c r="BF910" s="26"/>
      <c r="BG910" s="62"/>
    </row>
    <row r="911" spans="1:59" ht="13.5" customHeight="1" x14ac:dyDescent="0.35">
      <c r="A911" s="49"/>
      <c r="B911" s="49"/>
      <c r="C911" s="14"/>
      <c r="D911" s="1"/>
      <c r="E911" s="149"/>
      <c r="F911" s="153"/>
      <c r="G911" s="10"/>
      <c r="H911" s="17"/>
      <c r="I911" s="17"/>
      <c r="J911" s="17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29"/>
      <c r="X911" s="15"/>
      <c r="Y911" s="30"/>
      <c r="Z911" s="30"/>
      <c r="AA911" s="30"/>
      <c r="AB911" s="30"/>
      <c r="AC911" s="17"/>
      <c r="AD911" s="17"/>
      <c r="AE911" s="17"/>
      <c r="AF911" s="17"/>
      <c r="AG911" s="21"/>
      <c r="AH911" s="21"/>
      <c r="AI911" s="21"/>
      <c r="AJ911" s="21"/>
      <c r="AK911" s="21"/>
      <c r="AL911" s="21"/>
      <c r="AM911" s="21"/>
      <c r="AN911" s="21"/>
      <c r="AO911" s="22"/>
      <c r="AP911" s="21"/>
      <c r="AQ911" s="22"/>
      <c r="AR911" s="21"/>
      <c r="AS911" s="21"/>
      <c r="AT911" s="21"/>
      <c r="AU911" s="21"/>
      <c r="AV911" s="21"/>
      <c r="AW911" s="21"/>
      <c r="AX911" s="22"/>
      <c r="AY911" s="21"/>
      <c r="AZ911" s="22"/>
      <c r="BA911" s="21"/>
      <c r="BB911" s="21"/>
      <c r="BC911" s="21"/>
      <c r="BD911" s="21"/>
      <c r="BE911" s="26"/>
      <c r="BF911" s="26"/>
      <c r="BG911" s="62"/>
    </row>
    <row r="912" spans="1:59" x14ac:dyDescent="0.3">
      <c r="A912" s="6"/>
      <c r="B912" s="6"/>
      <c r="C912" s="39"/>
      <c r="D912" s="6"/>
      <c r="E912" s="149"/>
      <c r="F912" s="153"/>
      <c r="G912" s="1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12"/>
      <c r="Y912" s="6"/>
      <c r="Z912" s="6"/>
      <c r="AA912" s="6"/>
      <c r="AB912" s="6"/>
      <c r="AC912" s="9"/>
      <c r="AD912" s="9"/>
      <c r="AE912" s="9"/>
      <c r="AF912" s="9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21"/>
      <c r="AS912" s="21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3.5" customHeight="1" x14ac:dyDescent="0.35">
      <c r="A913" s="49"/>
      <c r="B913" s="49"/>
      <c r="C913" s="39"/>
      <c r="D913" s="1"/>
      <c r="E913" s="149"/>
      <c r="F913" s="153"/>
      <c r="G913" s="10"/>
      <c r="H913" s="17"/>
      <c r="I913" s="17"/>
      <c r="J913" s="17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29"/>
      <c r="X913" s="15"/>
      <c r="Y913" s="30"/>
      <c r="Z913" s="30"/>
      <c r="AA913" s="30"/>
      <c r="AB913" s="30"/>
      <c r="AC913" s="17"/>
      <c r="AD913" s="17"/>
      <c r="AE913" s="17"/>
      <c r="AF913" s="17"/>
      <c r="AG913" s="21"/>
      <c r="AH913" s="21"/>
      <c r="AI913" s="21"/>
      <c r="AJ913" s="21"/>
      <c r="AK913" s="21"/>
      <c r="AL913" s="21"/>
      <c r="AM913" s="21"/>
      <c r="AN913" s="21"/>
      <c r="AO913" s="22"/>
      <c r="AP913" s="21"/>
      <c r="AQ913" s="22"/>
      <c r="AR913" s="21"/>
      <c r="AS913" s="21"/>
      <c r="AT913" s="21"/>
      <c r="AU913" s="21"/>
      <c r="AV913" s="21"/>
      <c r="AW913" s="21"/>
      <c r="AX913" s="22"/>
      <c r="AY913" s="21"/>
      <c r="AZ913" s="22"/>
      <c r="BA913" s="21"/>
      <c r="BB913" s="21"/>
      <c r="BC913" s="21"/>
      <c r="BD913" s="21"/>
      <c r="BE913" s="26"/>
      <c r="BF913" s="26"/>
      <c r="BG913" s="62"/>
    </row>
    <row r="914" spans="1:59" ht="13.5" customHeight="1" x14ac:dyDescent="0.35">
      <c r="A914" s="49"/>
      <c r="B914" s="49"/>
      <c r="C914" s="39"/>
      <c r="D914" s="1"/>
      <c r="E914" s="149"/>
      <c r="F914" s="153"/>
      <c r="G914" s="10"/>
      <c r="H914" s="17"/>
      <c r="I914" s="17"/>
      <c r="J914" s="17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29"/>
      <c r="X914" s="15"/>
      <c r="Y914" s="30"/>
      <c r="Z914" s="30"/>
      <c r="AA914" s="30"/>
      <c r="AB914" s="30"/>
      <c r="AC914" s="17"/>
      <c r="AD914" s="17"/>
      <c r="AE914" s="17"/>
      <c r="AF914" s="17"/>
      <c r="AG914" s="21"/>
      <c r="AH914" s="21"/>
      <c r="AI914" s="21"/>
      <c r="AJ914" s="21"/>
      <c r="AK914" s="21"/>
      <c r="AL914" s="21"/>
      <c r="AM914" s="21"/>
      <c r="AN914" s="21"/>
      <c r="AO914" s="22"/>
      <c r="AP914" s="21"/>
      <c r="AQ914" s="22"/>
      <c r="AR914" s="21"/>
      <c r="AS914" s="21"/>
      <c r="AT914" s="21"/>
      <c r="AU914" s="21"/>
      <c r="AV914" s="21"/>
      <c r="AW914" s="21"/>
      <c r="AX914" s="22"/>
      <c r="AY914" s="21"/>
      <c r="AZ914" s="22"/>
      <c r="BA914" s="21"/>
      <c r="BB914" s="21"/>
      <c r="BC914" s="21"/>
      <c r="BD914" s="21"/>
      <c r="BE914" s="26"/>
      <c r="BF914" s="26"/>
      <c r="BG914" s="62"/>
    </row>
    <row r="915" spans="1:59" x14ac:dyDescent="0.3">
      <c r="A915" s="63"/>
      <c r="B915" s="63"/>
      <c r="C915" s="39"/>
      <c r="D915" s="6"/>
      <c r="E915" s="149"/>
      <c r="F915" s="153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5"/>
      <c r="V915" s="5"/>
      <c r="W915" s="13"/>
      <c r="X915" s="4"/>
      <c r="Y915" s="4"/>
      <c r="Z915" s="4"/>
      <c r="AA915" s="6"/>
      <c r="AB915" s="5"/>
      <c r="AC915" s="9"/>
      <c r="AD915" s="9"/>
      <c r="AE915" s="9"/>
      <c r="AF915" s="9"/>
      <c r="AG915" s="64"/>
      <c r="AH915" s="3"/>
      <c r="AI915" s="2"/>
      <c r="AJ915" s="2"/>
      <c r="AK915" s="2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x14ac:dyDescent="0.3">
      <c r="A916" s="63"/>
      <c r="B916" s="63"/>
      <c r="C916" s="39"/>
      <c r="D916" s="6"/>
      <c r="E916" s="149"/>
      <c r="F916" s="153"/>
      <c r="G916" s="1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5"/>
      <c r="V916" s="5"/>
      <c r="W916" s="13"/>
      <c r="X916" s="4"/>
      <c r="Y916" s="4"/>
      <c r="Z916" s="4"/>
      <c r="AA916" s="6"/>
      <c r="AB916" s="5"/>
      <c r="AC916" s="9"/>
      <c r="AD916" s="9"/>
      <c r="AE916" s="9"/>
      <c r="AF916" s="9"/>
      <c r="AG916" s="64"/>
      <c r="AH916" s="3"/>
      <c r="AI916" s="2"/>
      <c r="AJ916" s="2"/>
      <c r="AK916" s="2"/>
      <c r="AL916" s="3"/>
      <c r="AM916" s="3"/>
      <c r="AN916" s="3"/>
      <c r="AO916" s="3"/>
      <c r="AP916" s="3"/>
      <c r="AQ916" s="3"/>
      <c r="AR916" s="21"/>
      <c r="AS916" s="21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x14ac:dyDescent="0.3">
      <c r="A917" s="63"/>
      <c r="B917" s="63"/>
      <c r="C917" s="39"/>
      <c r="D917" s="6"/>
      <c r="E917" s="149"/>
      <c r="F917" s="153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5"/>
      <c r="V917" s="5"/>
      <c r="W917" s="13"/>
      <c r="X917" s="4"/>
      <c r="Y917" s="4"/>
      <c r="Z917" s="4"/>
      <c r="AA917" s="6"/>
      <c r="AB917" s="5"/>
      <c r="AC917" s="9"/>
      <c r="AD917" s="9"/>
      <c r="AE917" s="9"/>
      <c r="AF917" s="9"/>
      <c r="AG917" s="64"/>
      <c r="AH917" s="3"/>
      <c r="AI917" s="2"/>
      <c r="AJ917" s="2"/>
      <c r="AK917" s="2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x14ac:dyDescent="0.3">
      <c r="A918" s="63"/>
      <c r="B918" s="63"/>
      <c r="C918" s="39"/>
      <c r="D918" s="6"/>
      <c r="E918" s="149"/>
      <c r="F918" s="153"/>
      <c r="G918" s="1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5"/>
      <c r="V918" s="5"/>
      <c r="W918" s="13"/>
      <c r="X918" s="4"/>
      <c r="Y918" s="4"/>
      <c r="Z918" s="4"/>
      <c r="AA918" s="6"/>
      <c r="AB918" s="5"/>
      <c r="AC918" s="9"/>
      <c r="AD918" s="9"/>
      <c r="AE918" s="9"/>
      <c r="AF918" s="9"/>
      <c r="AG918" s="64"/>
      <c r="AH918" s="3"/>
      <c r="AI918" s="2"/>
      <c r="AJ918" s="2"/>
      <c r="AK918" s="2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3.5" customHeight="1" x14ac:dyDescent="0.35">
      <c r="A919" s="49"/>
      <c r="B919" s="49"/>
      <c r="C919" s="14"/>
      <c r="D919" s="1"/>
      <c r="E919" s="149"/>
      <c r="F919" s="153"/>
      <c r="G919" s="10"/>
      <c r="H919" s="17"/>
      <c r="I919" s="17"/>
      <c r="J919" s="17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29"/>
      <c r="X919" s="15"/>
      <c r="Y919" s="30"/>
      <c r="Z919" s="30"/>
      <c r="AA919" s="30"/>
      <c r="AB919" s="30"/>
      <c r="AC919" s="17"/>
      <c r="AD919" s="17"/>
      <c r="AE919" s="17"/>
      <c r="AF919" s="17"/>
      <c r="AG919" s="21"/>
      <c r="AH919" s="21"/>
      <c r="AI919" s="21"/>
      <c r="AJ919" s="21"/>
      <c r="AK919" s="21"/>
      <c r="AL919" s="21"/>
      <c r="AM919" s="21"/>
      <c r="AN919" s="21"/>
      <c r="AO919" s="22"/>
      <c r="AP919" s="21"/>
      <c r="AQ919" s="22"/>
      <c r="AR919" s="21"/>
      <c r="AS919" s="21"/>
      <c r="AT919" s="21"/>
      <c r="AU919" s="21"/>
      <c r="AV919" s="21"/>
      <c r="AW919" s="21"/>
      <c r="AX919" s="22"/>
      <c r="AY919" s="21"/>
      <c r="AZ919" s="22"/>
      <c r="BA919" s="21"/>
      <c r="BB919" s="21"/>
      <c r="BC919" s="21"/>
      <c r="BD919" s="21"/>
      <c r="BE919" s="26"/>
      <c r="BF919" s="26"/>
      <c r="BG919" s="62"/>
    </row>
    <row r="920" spans="1:59" x14ac:dyDescent="0.3">
      <c r="A920" s="6"/>
      <c r="B920" s="6"/>
      <c r="C920" s="39"/>
      <c r="D920" s="6"/>
      <c r="E920" s="149"/>
      <c r="F920" s="153"/>
      <c r="G920" s="1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5"/>
      <c r="V920" s="5"/>
      <c r="W920" s="13"/>
      <c r="X920" s="4"/>
      <c r="Y920" s="4"/>
      <c r="Z920" s="4"/>
      <c r="AA920" s="6"/>
      <c r="AB920" s="5"/>
      <c r="AC920" s="9"/>
      <c r="AD920" s="9"/>
      <c r="AE920" s="9"/>
      <c r="AF920" s="9"/>
      <c r="AG920" s="2"/>
      <c r="AH920" s="3"/>
      <c r="AI920" s="2"/>
      <c r="AJ920" s="2"/>
      <c r="AK920" s="2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x14ac:dyDescent="0.3">
      <c r="A921" s="6"/>
      <c r="B921" s="6"/>
      <c r="C921" s="39"/>
      <c r="D921" s="6"/>
      <c r="E921" s="149"/>
      <c r="F921" s="153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12"/>
      <c r="Y921" s="6"/>
      <c r="Z921" s="6"/>
      <c r="AA921" s="6"/>
      <c r="AB921" s="6"/>
      <c r="AC921" s="9"/>
      <c r="AD921" s="9"/>
      <c r="AE921" s="9"/>
      <c r="AF921" s="9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21"/>
      <c r="AS921" s="21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x14ac:dyDescent="0.3">
      <c r="A922" s="6"/>
      <c r="B922" s="6"/>
      <c r="C922" s="39"/>
      <c r="D922" s="6"/>
      <c r="E922" s="149"/>
      <c r="F922" s="153"/>
      <c r="G922" s="1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5"/>
      <c r="V922" s="5"/>
      <c r="W922" s="13"/>
      <c r="X922" s="4"/>
      <c r="Y922" s="4"/>
      <c r="Z922" s="4"/>
      <c r="AA922" s="6"/>
      <c r="AB922" s="5"/>
      <c r="AC922" s="9"/>
      <c r="AD922" s="9"/>
      <c r="AE922" s="9"/>
      <c r="AF922" s="9"/>
      <c r="AG922" s="2"/>
      <c r="AH922" s="3"/>
      <c r="AI922" s="2"/>
      <c r="AJ922" s="2"/>
      <c r="AK922" s="2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3.5" customHeight="1" x14ac:dyDescent="0.35">
      <c r="A923" s="49"/>
      <c r="B923" s="49"/>
      <c r="C923" s="14"/>
      <c r="D923" s="1"/>
      <c r="E923" s="149"/>
      <c r="F923" s="153"/>
      <c r="G923" s="10"/>
      <c r="H923" s="17"/>
      <c r="I923" s="17"/>
      <c r="J923" s="17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29"/>
      <c r="X923" s="15"/>
      <c r="Y923" s="30"/>
      <c r="Z923" s="30"/>
      <c r="AA923" s="30"/>
      <c r="AB923" s="30"/>
      <c r="AC923" s="17"/>
      <c r="AD923" s="17"/>
      <c r="AE923" s="17"/>
      <c r="AF923" s="17"/>
      <c r="AG923" s="21"/>
      <c r="AH923" s="21"/>
      <c r="AI923" s="21"/>
      <c r="AJ923" s="21"/>
      <c r="AK923" s="21"/>
      <c r="AL923" s="21"/>
      <c r="AM923" s="21"/>
      <c r="AN923" s="21"/>
      <c r="AO923" s="22"/>
      <c r="AP923" s="21"/>
      <c r="AQ923" s="22"/>
      <c r="AR923" s="21"/>
      <c r="AS923" s="21"/>
      <c r="AT923" s="21"/>
      <c r="AU923" s="21"/>
      <c r="AV923" s="21"/>
      <c r="AW923" s="21"/>
      <c r="AX923" s="22"/>
      <c r="AY923" s="21"/>
      <c r="AZ923" s="22"/>
      <c r="BA923" s="21"/>
      <c r="BB923" s="21"/>
      <c r="BC923" s="21"/>
      <c r="BD923" s="21"/>
      <c r="BE923" s="26"/>
      <c r="BF923" s="26"/>
      <c r="BG923" s="62"/>
    </row>
    <row r="924" spans="1:59" ht="13.5" customHeight="1" x14ac:dyDescent="0.35">
      <c r="A924" s="49"/>
      <c r="B924" s="49"/>
      <c r="C924" s="39"/>
      <c r="D924" s="1"/>
      <c r="E924" s="149"/>
      <c r="F924" s="153"/>
      <c r="G924" s="10"/>
      <c r="H924" s="17"/>
      <c r="I924" s="17"/>
      <c r="J924" s="17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29"/>
      <c r="X924" s="15"/>
      <c r="Y924" s="30"/>
      <c r="Z924" s="30"/>
      <c r="AA924" s="30"/>
      <c r="AB924" s="30"/>
      <c r="AC924" s="17"/>
      <c r="AD924" s="17"/>
      <c r="AE924" s="17"/>
      <c r="AF924" s="17"/>
      <c r="AG924" s="21"/>
      <c r="AH924" s="21"/>
      <c r="AI924" s="21"/>
      <c r="AJ924" s="21"/>
      <c r="AK924" s="21"/>
      <c r="AL924" s="21"/>
      <c r="AM924" s="21"/>
      <c r="AN924" s="21"/>
      <c r="AO924" s="22"/>
      <c r="AP924" s="21"/>
      <c r="AQ924" s="22"/>
      <c r="AR924" s="21"/>
      <c r="AS924" s="21"/>
      <c r="AT924" s="21"/>
      <c r="AU924" s="21"/>
      <c r="AV924" s="21"/>
      <c r="AW924" s="21"/>
      <c r="AX924" s="22"/>
      <c r="AY924" s="21"/>
      <c r="AZ924" s="22"/>
      <c r="BA924" s="21"/>
      <c r="BB924" s="21"/>
      <c r="BC924" s="21"/>
      <c r="BD924" s="21"/>
      <c r="BE924" s="26"/>
      <c r="BF924" s="26"/>
      <c r="BG924" s="62"/>
    </row>
    <row r="925" spans="1:59" x14ac:dyDescent="0.3">
      <c r="A925" s="63"/>
      <c r="B925" s="63"/>
      <c r="C925" s="39"/>
      <c r="D925" s="6"/>
      <c r="E925" s="149"/>
      <c r="F925" s="153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5"/>
      <c r="V925" s="5"/>
      <c r="W925" s="13"/>
      <c r="X925" s="4"/>
      <c r="Y925" s="4"/>
      <c r="Z925" s="4"/>
      <c r="AA925" s="6"/>
      <c r="AB925" s="5"/>
      <c r="AC925" s="9"/>
      <c r="AD925" s="9"/>
      <c r="AE925" s="9"/>
      <c r="AF925" s="9"/>
      <c r="AG925" s="64"/>
      <c r="AH925" s="3"/>
      <c r="AI925" s="2"/>
      <c r="AJ925" s="2"/>
      <c r="AK925" s="2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x14ac:dyDescent="0.3">
      <c r="A926" s="6"/>
      <c r="B926" s="6"/>
      <c r="C926" s="39"/>
      <c r="D926" s="6"/>
      <c r="E926" s="149"/>
      <c r="F926" s="153"/>
      <c r="G926" s="1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12"/>
      <c r="Y926" s="6"/>
      <c r="Z926" s="6"/>
      <c r="AA926" s="6"/>
      <c r="AB926" s="6"/>
      <c r="AC926" s="9"/>
      <c r="AD926" s="9"/>
      <c r="AE926" s="9"/>
      <c r="AF926" s="9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x14ac:dyDescent="0.3">
      <c r="A927" s="6"/>
      <c r="B927" s="6"/>
      <c r="C927" s="39"/>
      <c r="D927" s="6"/>
      <c r="E927" s="149"/>
      <c r="F927" s="153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5"/>
      <c r="V927" s="5"/>
      <c r="W927" s="13"/>
      <c r="X927" s="4"/>
      <c r="Y927" s="4"/>
      <c r="Z927" s="4"/>
      <c r="AA927" s="6"/>
      <c r="AB927" s="5"/>
      <c r="AC927" s="9"/>
      <c r="AD927" s="9"/>
      <c r="AE927" s="9"/>
      <c r="AF927" s="9"/>
      <c r="AG927" s="2"/>
      <c r="AH927" s="3"/>
      <c r="AI927" s="2"/>
      <c r="AJ927" s="2"/>
      <c r="AK927" s="2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x14ac:dyDescent="0.3">
      <c r="A928" s="6"/>
      <c r="B928" s="6"/>
      <c r="C928" s="39"/>
      <c r="D928" s="6"/>
      <c r="E928" s="149"/>
      <c r="F928" s="153"/>
      <c r="G928" s="1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12"/>
      <c r="Y928" s="6"/>
      <c r="Z928" s="6"/>
      <c r="AA928" s="6"/>
      <c r="AB928" s="6"/>
      <c r="AC928" s="9"/>
      <c r="AD928" s="9"/>
      <c r="AE928" s="9"/>
      <c r="AF928" s="9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21"/>
      <c r="AS928" s="21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x14ac:dyDescent="0.3">
      <c r="A929" s="6"/>
      <c r="B929" s="6"/>
      <c r="C929" s="39"/>
      <c r="D929" s="6"/>
      <c r="E929" s="149"/>
      <c r="F929" s="153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12"/>
      <c r="Y929" s="6"/>
      <c r="Z929" s="6"/>
      <c r="AA929" s="6"/>
      <c r="AB929" s="6"/>
      <c r="AC929" s="9"/>
      <c r="AD929" s="9"/>
      <c r="AE929" s="9"/>
      <c r="AF929" s="9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21"/>
      <c r="AS929" s="21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x14ac:dyDescent="0.3">
      <c r="A930" s="63"/>
      <c r="B930" s="63"/>
      <c r="C930" s="39"/>
      <c r="D930" s="6"/>
      <c r="E930" s="149"/>
      <c r="F930" s="153"/>
      <c r="G930" s="1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5"/>
      <c r="V930" s="5"/>
      <c r="W930" s="13"/>
      <c r="X930" s="4"/>
      <c r="Y930" s="4"/>
      <c r="Z930" s="4"/>
      <c r="AA930" s="6"/>
      <c r="AB930" s="5"/>
      <c r="AC930" s="9"/>
      <c r="AD930" s="9"/>
      <c r="AE930" s="9"/>
      <c r="AF930" s="9"/>
      <c r="AG930" s="64"/>
      <c r="AH930" s="3"/>
      <c r="AI930" s="2"/>
      <c r="AJ930" s="2"/>
      <c r="AK930" s="2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x14ac:dyDescent="0.3">
      <c r="A931" s="6"/>
      <c r="B931" s="6"/>
      <c r="C931" s="39"/>
      <c r="D931" s="6"/>
      <c r="E931" s="149"/>
      <c r="F931" s="153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12"/>
      <c r="Y931" s="6"/>
      <c r="Z931" s="6"/>
      <c r="AA931" s="6"/>
      <c r="AB931" s="6"/>
      <c r="AC931" s="9"/>
      <c r="AD931" s="9"/>
      <c r="AE931" s="9"/>
      <c r="AF931" s="9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21"/>
      <c r="AS931" s="21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x14ac:dyDescent="0.3">
      <c r="A932" s="6"/>
      <c r="B932" s="6"/>
      <c r="C932" s="39"/>
      <c r="D932" s="6"/>
      <c r="E932" s="149"/>
      <c r="F932" s="153"/>
      <c r="G932" s="1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12"/>
      <c r="Y932" s="6"/>
      <c r="Z932" s="6"/>
      <c r="AA932" s="6"/>
      <c r="AB932" s="6"/>
      <c r="AC932" s="9"/>
      <c r="AD932" s="9"/>
      <c r="AE932" s="9"/>
      <c r="AF932" s="9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21"/>
      <c r="AS932" s="21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x14ac:dyDescent="0.3">
      <c r="A933" s="6"/>
      <c r="B933" s="6"/>
      <c r="C933" s="39"/>
      <c r="D933" s="6"/>
      <c r="E933" s="149"/>
      <c r="F933" s="153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12"/>
      <c r="Y933" s="6"/>
      <c r="Z933" s="6"/>
      <c r="AA933" s="6"/>
      <c r="AB933" s="6"/>
      <c r="AC933" s="9"/>
      <c r="AD933" s="9"/>
      <c r="AE933" s="9"/>
      <c r="AF933" s="9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21"/>
      <c r="AS933" s="21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x14ac:dyDescent="0.3">
      <c r="A934" s="6"/>
      <c r="B934" s="6"/>
      <c r="C934" s="39"/>
      <c r="D934" s="6"/>
      <c r="E934" s="149"/>
      <c r="F934" s="153"/>
      <c r="G934" s="1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12"/>
      <c r="Y934" s="6"/>
      <c r="Z934" s="6"/>
      <c r="AA934" s="6"/>
      <c r="AB934" s="6"/>
      <c r="AC934" s="9"/>
      <c r="AD934" s="9"/>
      <c r="AE934" s="9"/>
      <c r="AF934" s="9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21"/>
      <c r="AS934" s="21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x14ac:dyDescent="0.3">
      <c r="A935" s="63"/>
      <c r="B935" s="63"/>
      <c r="C935" s="39"/>
      <c r="D935" s="6"/>
      <c r="E935" s="149"/>
      <c r="F935" s="153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5"/>
      <c r="V935" s="5"/>
      <c r="W935" s="13"/>
      <c r="X935" s="4"/>
      <c r="Y935" s="4"/>
      <c r="Z935" s="4"/>
      <c r="AA935" s="6"/>
      <c r="AB935" s="5"/>
      <c r="AC935" s="9"/>
      <c r="AD935" s="9"/>
      <c r="AE935" s="9"/>
      <c r="AF935" s="9"/>
      <c r="AG935" s="64"/>
      <c r="AH935" s="3"/>
      <c r="AI935" s="2"/>
      <c r="AJ935" s="2"/>
      <c r="AK935" s="2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3.5" customHeight="1" x14ac:dyDescent="0.35">
      <c r="A936" s="49"/>
      <c r="B936" s="49"/>
      <c r="C936" s="14"/>
      <c r="D936" s="1"/>
      <c r="E936" s="149"/>
      <c r="F936" s="153"/>
      <c r="G936" s="10"/>
      <c r="H936" s="17"/>
      <c r="I936" s="17"/>
      <c r="J936" s="17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29"/>
      <c r="X936" s="15"/>
      <c r="Y936" s="30"/>
      <c r="Z936" s="30"/>
      <c r="AA936" s="30"/>
      <c r="AB936" s="30"/>
      <c r="AC936" s="17"/>
      <c r="AD936" s="17"/>
      <c r="AE936" s="17"/>
      <c r="AF936" s="17"/>
      <c r="AG936" s="21"/>
      <c r="AH936" s="21"/>
      <c r="AI936" s="21"/>
      <c r="AJ936" s="21"/>
      <c r="AK936" s="21"/>
      <c r="AL936" s="21"/>
      <c r="AM936" s="21"/>
      <c r="AN936" s="21"/>
      <c r="AO936" s="22"/>
      <c r="AP936" s="21"/>
      <c r="AQ936" s="22"/>
      <c r="AR936" s="21"/>
      <c r="AS936" s="21"/>
      <c r="AT936" s="21"/>
      <c r="AU936" s="21"/>
      <c r="AV936" s="21"/>
      <c r="AW936" s="21"/>
      <c r="AX936" s="22"/>
      <c r="AY936" s="21"/>
      <c r="AZ936" s="22"/>
      <c r="BA936" s="21"/>
      <c r="BB936" s="21"/>
      <c r="BC936" s="21"/>
      <c r="BD936" s="21"/>
      <c r="BE936" s="26"/>
      <c r="BF936" s="26"/>
      <c r="BG936" s="62"/>
    </row>
    <row r="937" spans="1:59" x14ac:dyDescent="0.3">
      <c r="A937" s="6"/>
      <c r="B937" s="6"/>
      <c r="C937" s="39"/>
      <c r="D937" s="6"/>
      <c r="E937" s="149"/>
      <c r="F937" s="153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5"/>
      <c r="V937" s="5"/>
      <c r="W937" s="13"/>
      <c r="X937" s="4"/>
      <c r="Y937" s="4"/>
      <c r="Z937" s="4"/>
      <c r="AA937" s="6"/>
      <c r="AB937" s="5"/>
      <c r="AC937" s="9"/>
      <c r="AD937" s="9"/>
      <c r="AE937" s="9"/>
      <c r="AF937" s="9"/>
      <c r="AG937" s="2"/>
      <c r="AH937" s="3"/>
      <c r="AI937" s="2"/>
      <c r="AJ937" s="2"/>
      <c r="AK937" s="2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x14ac:dyDescent="0.3">
      <c r="A938" s="6"/>
      <c r="B938" s="6"/>
      <c r="C938" s="39"/>
      <c r="D938" s="6"/>
      <c r="E938" s="149"/>
      <c r="F938" s="153"/>
      <c r="G938" s="1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12"/>
      <c r="Y938" s="6"/>
      <c r="Z938" s="6"/>
      <c r="AA938" s="6"/>
      <c r="AB938" s="6"/>
      <c r="AC938" s="9"/>
      <c r="AD938" s="9"/>
      <c r="AE938" s="9"/>
      <c r="AF938" s="9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21"/>
      <c r="AS938" s="21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x14ac:dyDescent="0.3">
      <c r="A939" s="6"/>
      <c r="B939" s="6"/>
      <c r="C939" s="39"/>
      <c r="D939" s="6"/>
      <c r="E939" s="149"/>
      <c r="F939" s="153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5"/>
      <c r="V939" s="5"/>
      <c r="W939" s="13"/>
      <c r="X939" s="4"/>
      <c r="Y939" s="4"/>
      <c r="Z939" s="4"/>
      <c r="AA939" s="6"/>
      <c r="AB939" s="5"/>
      <c r="AC939" s="9"/>
      <c r="AD939" s="9"/>
      <c r="AE939" s="9"/>
      <c r="AF939" s="9"/>
      <c r="AG939" s="2"/>
      <c r="AH939" s="3"/>
      <c r="AI939" s="2"/>
      <c r="AJ939" s="2"/>
      <c r="AK939" s="2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x14ac:dyDescent="0.3">
      <c r="A940" s="63"/>
      <c r="B940" s="63"/>
      <c r="C940" s="39"/>
      <c r="D940" s="6"/>
      <c r="E940" s="149"/>
      <c r="F940" s="153"/>
      <c r="G940" s="1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5"/>
      <c r="V940" s="5"/>
      <c r="W940" s="13"/>
      <c r="X940" s="4"/>
      <c r="Y940" s="4"/>
      <c r="Z940" s="4"/>
      <c r="AA940" s="6"/>
      <c r="AB940" s="5"/>
      <c r="AC940" s="9"/>
      <c r="AD940" s="9"/>
      <c r="AE940" s="9"/>
      <c r="AF940" s="9"/>
      <c r="AG940" s="64"/>
      <c r="AH940" s="3"/>
      <c r="AI940" s="2"/>
      <c r="AJ940" s="2"/>
      <c r="AK940" s="2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3.5" customHeight="1" x14ac:dyDescent="0.35">
      <c r="A941" s="49"/>
      <c r="B941" s="49"/>
      <c r="C941" s="14"/>
      <c r="D941" s="1"/>
      <c r="E941" s="149"/>
      <c r="F941" s="153"/>
      <c r="G941" s="10"/>
      <c r="H941" s="17"/>
      <c r="I941" s="17"/>
      <c r="J941" s="17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29"/>
      <c r="X941" s="15"/>
      <c r="Y941" s="30"/>
      <c r="Z941" s="30"/>
      <c r="AA941" s="30"/>
      <c r="AB941" s="30"/>
      <c r="AC941" s="17"/>
      <c r="AD941" s="17"/>
      <c r="AE941" s="17"/>
      <c r="AF941" s="17"/>
      <c r="AG941" s="21"/>
      <c r="AH941" s="21"/>
      <c r="AI941" s="21"/>
      <c r="AJ941" s="21"/>
      <c r="AK941" s="21"/>
      <c r="AL941" s="21"/>
      <c r="AM941" s="21"/>
      <c r="AN941" s="21"/>
      <c r="AO941" s="22"/>
      <c r="AP941" s="21"/>
      <c r="AQ941" s="22"/>
      <c r="AR941" s="21"/>
      <c r="AS941" s="21"/>
      <c r="AT941" s="21"/>
      <c r="AU941" s="21"/>
      <c r="AV941" s="21"/>
      <c r="AW941" s="21"/>
      <c r="AX941" s="22"/>
      <c r="AY941" s="21"/>
      <c r="AZ941" s="22"/>
      <c r="BA941" s="21"/>
      <c r="BB941" s="21"/>
      <c r="BC941" s="21"/>
      <c r="BD941" s="21"/>
      <c r="BE941" s="26"/>
      <c r="BF941" s="26"/>
      <c r="BG941" s="62"/>
    </row>
    <row r="942" spans="1:59" x14ac:dyDescent="0.3">
      <c r="A942" s="6"/>
      <c r="B942" s="6"/>
      <c r="C942" s="39"/>
      <c r="D942" s="6"/>
      <c r="E942" s="149"/>
      <c r="F942" s="153"/>
      <c r="G942" s="1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12"/>
      <c r="Y942" s="6"/>
      <c r="Z942" s="6"/>
      <c r="AA942" s="6"/>
      <c r="AB942" s="6"/>
      <c r="AC942" s="9"/>
      <c r="AD942" s="9"/>
      <c r="AE942" s="9"/>
      <c r="AF942" s="9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x14ac:dyDescent="0.3">
      <c r="A943" s="63"/>
      <c r="B943" s="63"/>
      <c r="C943" s="39"/>
      <c r="D943" s="6"/>
      <c r="E943" s="149"/>
      <c r="F943" s="153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5"/>
      <c r="V943" s="5"/>
      <c r="W943" s="13"/>
      <c r="X943" s="4"/>
      <c r="Y943" s="4"/>
      <c r="Z943" s="4"/>
      <c r="AA943" s="6"/>
      <c r="AB943" s="5"/>
      <c r="AC943" s="9"/>
      <c r="AD943" s="9"/>
      <c r="AE943" s="9"/>
      <c r="AF943" s="9"/>
      <c r="AG943" s="64"/>
      <c r="AH943" s="3"/>
      <c r="AI943" s="2"/>
      <c r="AJ943" s="2"/>
      <c r="AK943" s="2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x14ac:dyDescent="0.3">
      <c r="A944" s="6"/>
      <c r="B944" s="6"/>
      <c r="C944" s="39"/>
      <c r="D944" s="6"/>
      <c r="E944" s="149"/>
      <c r="F944" s="153"/>
      <c r="G944" s="1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12"/>
      <c r="Y944" s="6"/>
      <c r="Z944" s="6"/>
      <c r="AA944" s="6"/>
      <c r="AB944" s="6"/>
      <c r="AC944" s="9"/>
      <c r="AD944" s="9"/>
      <c r="AE944" s="9"/>
      <c r="AF944" s="9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x14ac:dyDescent="0.3">
      <c r="A945" s="63"/>
      <c r="B945" s="63"/>
      <c r="C945" s="39"/>
      <c r="D945" s="6"/>
      <c r="E945" s="149"/>
      <c r="F945" s="153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12"/>
      <c r="Y945" s="6"/>
      <c r="Z945" s="6"/>
      <c r="AA945" s="6"/>
      <c r="AB945" s="6"/>
      <c r="AC945" s="9"/>
      <c r="AD945" s="9"/>
      <c r="AE945" s="9"/>
      <c r="AF945" s="9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21"/>
      <c r="AS945" s="21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3.5" customHeight="1" x14ac:dyDescent="0.35">
      <c r="A946" s="49"/>
      <c r="B946" s="49"/>
      <c r="C946" s="14"/>
      <c r="D946" s="1"/>
      <c r="E946" s="149"/>
      <c r="F946" s="153"/>
      <c r="G946" s="10"/>
      <c r="H946" s="17"/>
      <c r="I946" s="17"/>
      <c r="J946" s="17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29"/>
      <c r="X946" s="15"/>
      <c r="Y946" s="30"/>
      <c r="Z946" s="30"/>
      <c r="AA946" s="30"/>
      <c r="AB946" s="30"/>
      <c r="AC946" s="17"/>
      <c r="AD946" s="17"/>
      <c r="AE946" s="17"/>
      <c r="AF946" s="17"/>
      <c r="AG946" s="21"/>
      <c r="AH946" s="21"/>
      <c r="AI946" s="21"/>
      <c r="AJ946" s="21"/>
      <c r="AK946" s="21"/>
      <c r="AL946" s="21"/>
      <c r="AM946" s="21"/>
      <c r="AN946" s="21"/>
      <c r="AO946" s="22"/>
      <c r="AP946" s="21"/>
      <c r="AQ946" s="22"/>
      <c r="AR946" s="21"/>
      <c r="AS946" s="21"/>
      <c r="AT946" s="21"/>
      <c r="AU946" s="21"/>
      <c r="AV946" s="21"/>
      <c r="AW946" s="21"/>
      <c r="AX946" s="22"/>
      <c r="AY946" s="21"/>
      <c r="AZ946" s="22"/>
      <c r="BA946" s="21"/>
      <c r="BB946" s="21"/>
      <c r="BC946" s="21"/>
      <c r="BD946" s="21"/>
      <c r="BE946" s="26"/>
      <c r="BF946" s="26"/>
      <c r="BG946" s="62"/>
    </row>
    <row r="947" spans="1:59" ht="13.5" customHeight="1" x14ac:dyDescent="0.35">
      <c r="A947" s="49"/>
      <c r="B947" s="49"/>
      <c r="C947" s="14"/>
      <c r="D947" s="1"/>
      <c r="E947" s="149"/>
      <c r="F947" s="153"/>
      <c r="G947" s="10"/>
      <c r="H947" s="17"/>
      <c r="I947" s="17"/>
      <c r="J947" s="17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29"/>
      <c r="X947" s="15"/>
      <c r="Y947" s="30"/>
      <c r="Z947" s="30"/>
      <c r="AA947" s="30"/>
      <c r="AB947" s="30"/>
      <c r="AC947" s="17"/>
      <c r="AD947" s="17"/>
      <c r="AE947" s="17"/>
      <c r="AF947" s="17"/>
      <c r="AG947" s="21"/>
      <c r="AH947" s="21"/>
      <c r="AI947" s="21"/>
      <c r="AJ947" s="21"/>
      <c r="AK947" s="21"/>
      <c r="AL947" s="21"/>
      <c r="AM947" s="21"/>
      <c r="AN947" s="21"/>
      <c r="AO947" s="22"/>
      <c r="AP947" s="21"/>
      <c r="AQ947" s="22"/>
      <c r="AR947" s="21"/>
      <c r="AS947" s="21"/>
      <c r="AT947" s="21"/>
      <c r="AU947" s="21"/>
      <c r="AV947" s="21"/>
      <c r="AW947" s="21"/>
      <c r="AX947" s="22"/>
      <c r="AY947" s="21"/>
      <c r="AZ947" s="22"/>
      <c r="BA947" s="21"/>
      <c r="BB947" s="21"/>
      <c r="BC947" s="21"/>
      <c r="BD947" s="21"/>
      <c r="BE947" s="26"/>
      <c r="BF947" s="26"/>
      <c r="BG947" s="62"/>
    </row>
    <row r="948" spans="1:59" x14ac:dyDescent="0.3">
      <c r="A948" s="6"/>
      <c r="B948" s="6"/>
      <c r="C948" s="39"/>
      <c r="D948" s="6"/>
      <c r="E948" s="149"/>
      <c r="F948" s="153"/>
      <c r="G948" s="1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12"/>
      <c r="Y948" s="6"/>
      <c r="Z948" s="6"/>
      <c r="AA948" s="6"/>
      <c r="AB948" s="6"/>
      <c r="AC948" s="9"/>
      <c r="AD948" s="9"/>
      <c r="AE948" s="9"/>
      <c r="AF948" s="9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21"/>
      <c r="AS948" s="21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3.5" customHeight="1" x14ac:dyDescent="0.35">
      <c r="A949" s="49"/>
      <c r="B949" s="49"/>
      <c r="C949" s="39"/>
      <c r="D949" s="1"/>
      <c r="E949" s="149"/>
      <c r="F949" s="153"/>
      <c r="G949" s="10"/>
      <c r="H949" s="17"/>
      <c r="I949" s="17"/>
      <c r="J949" s="17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29"/>
      <c r="X949" s="15"/>
      <c r="Y949" s="30"/>
      <c r="Z949" s="30"/>
      <c r="AA949" s="30"/>
      <c r="AB949" s="30"/>
      <c r="AC949" s="17"/>
      <c r="AD949" s="17"/>
      <c r="AE949" s="17"/>
      <c r="AF949" s="17"/>
      <c r="AG949" s="21"/>
      <c r="AH949" s="21"/>
      <c r="AI949" s="21"/>
      <c r="AJ949" s="21"/>
      <c r="AK949" s="21"/>
      <c r="AL949" s="21"/>
      <c r="AM949" s="21"/>
      <c r="AN949" s="21"/>
      <c r="AO949" s="22"/>
      <c r="AP949" s="21"/>
      <c r="AQ949" s="22"/>
      <c r="AR949" s="21"/>
      <c r="AS949" s="21"/>
      <c r="AT949" s="21"/>
      <c r="AU949" s="21"/>
      <c r="AV949" s="21"/>
      <c r="AW949" s="21"/>
      <c r="AX949" s="22"/>
      <c r="AY949" s="21"/>
      <c r="AZ949" s="22"/>
      <c r="BA949" s="21"/>
      <c r="BB949" s="21"/>
      <c r="BC949" s="21"/>
      <c r="BD949" s="21"/>
      <c r="BE949" s="26"/>
      <c r="BF949" s="26"/>
      <c r="BG949" s="62"/>
    </row>
    <row r="950" spans="1:59" x14ac:dyDescent="0.3">
      <c r="A950" s="63"/>
      <c r="B950" s="63"/>
      <c r="C950" s="39"/>
      <c r="D950" s="6"/>
      <c r="E950" s="149"/>
      <c r="F950" s="153"/>
      <c r="G950" s="1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5"/>
      <c r="V950" s="5"/>
      <c r="W950" s="13"/>
      <c r="X950" s="4"/>
      <c r="Y950" s="4"/>
      <c r="Z950" s="4"/>
      <c r="AA950" s="6"/>
      <c r="AB950" s="5"/>
      <c r="AC950" s="9"/>
      <c r="AD950" s="9"/>
      <c r="AE950" s="9"/>
      <c r="AF950" s="9"/>
      <c r="AG950" s="64"/>
      <c r="AH950" s="3"/>
      <c r="AI950" s="2"/>
      <c r="AJ950" s="2"/>
      <c r="AK950" s="2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x14ac:dyDescent="0.3">
      <c r="A951" s="6"/>
      <c r="B951" s="6"/>
      <c r="C951" s="39"/>
      <c r="D951" s="6"/>
      <c r="E951" s="149"/>
      <c r="F951" s="153"/>
      <c r="G951" s="1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12"/>
      <c r="Y951" s="6"/>
      <c r="Z951" s="6"/>
      <c r="AA951" s="6"/>
      <c r="AB951" s="6"/>
      <c r="AC951" s="9"/>
      <c r="AD951" s="9"/>
      <c r="AE951" s="9"/>
      <c r="AF951" s="9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21"/>
      <c r="AS951" s="21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x14ac:dyDescent="0.3">
      <c r="A952" s="6"/>
      <c r="B952" s="6"/>
      <c r="C952" s="39"/>
      <c r="D952" s="6"/>
      <c r="E952" s="149"/>
      <c r="F952" s="153"/>
      <c r="G952" s="1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5"/>
      <c r="V952" s="5"/>
      <c r="W952" s="13"/>
      <c r="X952" s="4"/>
      <c r="Y952" s="4"/>
      <c r="Z952" s="4"/>
      <c r="AA952" s="6"/>
      <c r="AB952" s="5"/>
      <c r="AC952" s="9"/>
      <c r="AD952" s="9"/>
      <c r="AE952" s="9"/>
      <c r="AF952" s="9"/>
      <c r="AG952" s="2"/>
      <c r="AH952" s="3"/>
      <c r="AI952" s="2"/>
      <c r="AJ952" s="2"/>
      <c r="AK952" s="2"/>
      <c r="AL952" s="3"/>
      <c r="AM952" s="3"/>
      <c r="AN952" s="3"/>
      <c r="AO952" s="3"/>
      <c r="AP952" s="3"/>
      <c r="AQ952" s="3"/>
      <c r="AR952" s="21"/>
      <c r="AS952" s="21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3.5" customHeight="1" x14ac:dyDescent="0.35">
      <c r="A953" s="49"/>
      <c r="B953" s="49"/>
      <c r="C953" s="14"/>
      <c r="D953" s="1"/>
      <c r="E953" s="149"/>
      <c r="F953" s="153"/>
      <c r="G953" s="10"/>
      <c r="H953" s="17"/>
      <c r="I953" s="17"/>
      <c r="J953" s="17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29"/>
      <c r="X953" s="15"/>
      <c r="Y953" s="30"/>
      <c r="Z953" s="30"/>
      <c r="AA953" s="30"/>
      <c r="AB953" s="30"/>
      <c r="AC953" s="17"/>
      <c r="AD953" s="17"/>
      <c r="AE953" s="17"/>
      <c r="AF953" s="17"/>
      <c r="AG953" s="21"/>
      <c r="AH953" s="21"/>
      <c r="AI953" s="21"/>
      <c r="AJ953" s="21"/>
      <c r="AK953" s="21"/>
      <c r="AL953" s="21"/>
      <c r="AM953" s="21"/>
      <c r="AN953" s="21"/>
      <c r="AO953" s="22"/>
      <c r="AP953" s="21"/>
      <c r="AQ953" s="22"/>
      <c r="AR953" s="21"/>
      <c r="AS953" s="21"/>
      <c r="AT953" s="21"/>
      <c r="AU953" s="21"/>
      <c r="AV953" s="21"/>
      <c r="AW953" s="21"/>
      <c r="AX953" s="22"/>
      <c r="AY953" s="21"/>
      <c r="AZ953" s="22"/>
      <c r="BA953" s="21"/>
      <c r="BB953" s="21"/>
      <c r="BC953" s="21"/>
      <c r="BD953" s="21"/>
      <c r="BE953" s="26"/>
      <c r="BF953" s="26"/>
      <c r="BG953" s="62"/>
    </row>
    <row r="954" spans="1:59" ht="15" x14ac:dyDescent="0.35">
      <c r="A954" s="6"/>
      <c r="B954" s="6"/>
      <c r="C954" s="39"/>
      <c r="D954" s="6"/>
      <c r="E954" s="149"/>
      <c r="F954" s="153"/>
      <c r="G954" s="1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5"/>
      <c r="V954" s="5"/>
      <c r="W954" s="13"/>
      <c r="X954" s="4"/>
      <c r="Y954" s="4"/>
      <c r="Z954" s="4"/>
      <c r="AA954" s="6"/>
      <c r="AB954" s="5"/>
      <c r="AC954" s="9"/>
      <c r="AD954" s="9"/>
      <c r="AE954" s="9"/>
      <c r="AF954" s="9"/>
      <c r="AG954" s="2"/>
      <c r="AH954" s="3"/>
      <c r="AI954" s="2"/>
      <c r="AJ954" s="2"/>
      <c r="AK954" s="2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65"/>
    </row>
    <row r="955" spans="1:59" x14ac:dyDescent="0.3">
      <c r="A955" s="6"/>
      <c r="B955" s="6"/>
      <c r="C955" s="39"/>
      <c r="D955" s="6"/>
      <c r="E955" s="149"/>
      <c r="F955" s="153"/>
      <c r="G955" s="1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5"/>
      <c r="V955" s="5"/>
      <c r="W955" s="13"/>
      <c r="X955" s="4"/>
      <c r="Y955" s="4"/>
      <c r="Z955" s="4"/>
      <c r="AA955" s="6"/>
      <c r="AB955" s="5"/>
      <c r="AC955" s="9"/>
      <c r="AD955" s="9"/>
      <c r="AE955" s="9"/>
      <c r="AF955" s="9"/>
      <c r="AG955" s="2"/>
      <c r="AH955" s="3"/>
      <c r="AI955" s="2"/>
      <c r="AJ955" s="2"/>
      <c r="AK955" s="2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3.5" customHeight="1" x14ac:dyDescent="0.35">
      <c r="A956" s="49"/>
      <c r="B956" s="49"/>
      <c r="C956" s="14"/>
      <c r="D956" s="1"/>
      <c r="E956" s="149"/>
      <c r="F956" s="153"/>
      <c r="G956" s="10"/>
      <c r="H956" s="17"/>
      <c r="I956" s="17"/>
      <c r="J956" s="17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29"/>
      <c r="X956" s="15"/>
      <c r="Y956" s="30"/>
      <c r="Z956" s="30"/>
      <c r="AA956" s="30"/>
      <c r="AB956" s="30"/>
      <c r="AC956" s="17"/>
      <c r="AD956" s="17"/>
      <c r="AE956" s="17"/>
      <c r="AF956" s="17"/>
      <c r="AG956" s="21"/>
      <c r="AH956" s="21"/>
      <c r="AI956" s="21"/>
      <c r="AJ956" s="21"/>
      <c r="AK956" s="21"/>
      <c r="AL956" s="21"/>
      <c r="AM956" s="21"/>
      <c r="AN956" s="21"/>
      <c r="AO956" s="22"/>
      <c r="AP956" s="21"/>
      <c r="AQ956" s="22"/>
      <c r="AR956" s="21"/>
      <c r="AS956" s="21"/>
      <c r="AT956" s="21"/>
      <c r="AU956" s="21"/>
      <c r="AV956" s="21"/>
      <c r="AW956" s="21"/>
      <c r="AX956" s="22"/>
      <c r="AY956" s="21"/>
      <c r="AZ956" s="22"/>
      <c r="BA956" s="21"/>
      <c r="BB956" s="21"/>
      <c r="BC956" s="21"/>
      <c r="BD956" s="21"/>
      <c r="BE956" s="26"/>
      <c r="BF956" s="26"/>
      <c r="BG956" s="62"/>
    </row>
    <row r="957" spans="1:59" ht="13.5" customHeight="1" x14ac:dyDescent="0.35">
      <c r="A957" s="49"/>
      <c r="B957" s="49"/>
      <c r="C957" s="14"/>
      <c r="D957" s="1"/>
      <c r="E957" s="149"/>
      <c r="F957" s="153"/>
      <c r="G957" s="10"/>
      <c r="H957" s="17"/>
      <c r="I957" s="17"/>
      <c r="J957" s="17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29"/>
      <c r="X957" s="15"/>
      <c r="Y957" s="30"/>
      <c r="Z957" s="30"/>
      <c r="AA957" s="30"/>
      <c r="AB957" s="30"/>
      <c r="AC957" s="17"/>
      <c r="AD957" s="17"/>
      <c r="AE957" s="17"/>
      <c r="AF957" s="17"/>
      <c r="AG957" s="21"/>
      <c r="AH957" s="21"/>
      <c r="AI957" s="21"/>
      <c r="AJ957" s="21"/>
      <c r="AK957" s="21"/>
      <c r="AL957" s="21"/>
      <c r="AM957" s="21"/>
      <c r="AN957" s="21"/>
      <c r="AO957" s="22"/>
      <c r="AP957" s="21"/>
      <c r="AQ957" s="22"/>
      <c r="AR957" s="21"/>
      <c r="AS957" s="21"/>
      <c r="AT957" s="21"/>
      <c r="AU957" s="21"/>
      <c r="AV957" s="21"/>
      <c r="AW957" s="21"/>
      <c r="AX957" s="22"/>
      <c r="AY957" s="21"/>
      <c r="AZ957" s="22"/>
      <c r="BA957" s="21"/>
      <c r="BB957" s="21"/>
      <c r="BC957" s="21"/>
      <c r="BD957" s="21"/>
      <c r="BE957" s="26"/>
      <c r="BF957" s="26"/>
      <c r="BG957" s="62"/>
    </row>
    <row r="958" spans="1:59" ht="13.5" customHeight="1" x14ac:dyDescent="0.35">
      <c r="A958" s="49"/>
      <c r="B958" s="49"/>
      <c r="C958" s="14"/>
      <c r="D958" s="1"/>
      <c r="E958" s="149"/>
      <c r="F958" s="153"/>
      <c r="G958" s="10"/>
      <c r="H958" s="17"/>
      <c r="I958" s="17"/>
      <c r="J958" s="17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29"/>
      <c r="X958" s="15"/>
      <c r="Y958" s="30"/>
      <c r="Z958" s="30"/>
      <c r="AA958" s="30"/>
      <c r="AB958" s="30"/>
      <c r="AC958" s="17"/>
      <c r="AD958" s="17"/>
      <c r="AE958" s="17"/>
      <c r="AF958" s="17"/>
      <c r="AG958" s="21"/>
      <c r="AH958" s="21"/>
      <c r="AI958" s="21"/>
      <c r="AJ958" s="21"/>
      <c r="AK958" s="21"/>
      <c r="AL958" s="21"/>
      <c r="AM958" s="21"/>
      <c r="AN958" s="21"/>
      <c r="AO958" s="22"/>
      <c r="AP958" s="21"/>
      <c r="AQ958" s="22"/>
      <c r="AR958" s="21"/>
      <c r="AS958" s="21"/>
      <c r="AT958" s="21"/>
      <c r="AU958" s="21"/>
      <c r="AV958" s="21"/>
      <c r="AW958" s="21"/>
      <c r="AX958" s="22"/>
      <c r="AY958" s="21"/>
      <c r="AZ958" s="22"/>
      <c r="BA958" s="21"/>
      <c r="BB958" s="21"/>
      <c r="BC958" s="21"/>
      <c r="BD958" s="21"/>
      <c r="BE958" s="26"/>
      <c r="BF958" s="26"/>
      <c r="BG958" s="62"/>
    </row>
    <row r="959" spans="1:59" x14ac:dyDescent="0.3">
      <c r="A959" s="6"/>
      <c r="B959" s="6"/>
      <c r="C959" s="39"/>
      <c r="D959" s="6"/>
      <c r="E959" s="149"/>
      <c r="F959" s="153"/>
      <c r="G959" s="1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5"/>
      <c r="V959" s="5"/>
      <c r="W959" s="13"/>
      <c r="X959" s="4"/>
      <c r="Y959" s="4"/>
      <c r="Z959" s="4"/>
      <c r="AA959" s="6"/>
      <c r="AB959" s="5"/>
      <c r="AC959" s="9"/>
      <c r="AD959" s="9"/>
      <c r="AE959" s="9"/>
      <c r="AF959" s="9"/>
      <c r="AG959" s="2"/>
      <c r="AH959" s="3"/>
      <c r="AI959" s="2"/>
      <c r="AJ959" s="2"/>
      <c r="AK959" s="2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x14ac:dyDescent="0.3">
      <c r="A960" s="6"/>
      <c r="B960" s="6"/>
      <c r="C960" s="39"/>
      <c r="D960" s="6"/>
      <c r="E960" s="149"/>
      <c r="F960" s="153"/>
      <c r="G960" s="1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12"/>
      <c r="Y960" s="6"/>
      <c r="Z960" s="6"/>
      <c r="AA960" s="6"/>
      <c r="AB960" s="6"/>
      <c r="AC960" s="9"/>
      <c r="AD960" s="9"/>
      <c r="AE960" s="9"/>
      <c r="AF960" s="9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21"/>
      <c r="AS960" s="21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x14ac:dyDescent="0.3">
      <c r="A961" s="6"/>
      <c r="B961" s="6"/>
      <c r="C961" s="39"/>
      <c r="D961" s="6"/>
      <c r="E961" s="149"/>
      <c r="F961" s="153"/>
      <c r="G961" s="1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5"/>
      <c r="V961" s="5"/>
      <c r="W961" s="13"/>
      <c r="X961" s="4"/>
      <c r="Y961" s="4"/>
      <c r="Z961" s="4"/>
      <c r="AA961" s="6"/>
      <c r="AB961" s="5"/>
      <c r="AC961" s="9"/>
      <c r="AD961" s="9"/>
      <c r="AE961" s="9"/>
      <c r="AF961" s="9"/>
      <c r="AG961" s="2"/>
      <c r="AH961" s="3"/>
      <c r="AI961" s="2"/>
      <c r="AJ961" s="2"/>
      <c r="AK961" s="2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x14ac:dyDescent="0.3">
      <c r="A962" s="63"/>
      <c r="B962" s="63"/>
      <c r="C962" s="39"/>
      <c r="D962" s="6"/>
      <c r="E962" s="149"/>
      <c r="F962" s="153"/>
      <c r="G962" s="1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5"/>
      <c r="V962" s="5"/>
      <c r="W962" s="13"/>
      <c r="X962" s="4"/>
      <c r="Y962" s="4"/>
      <c r="Z962" s="4"/>
      <c r="AA962" s="6"/>
      <c r="AB962" s="5"/>
      <c r="AC962" s="9"/>
      <c r="AD962" s="9"/>
      <c r="AE962" s="9"/>
      <c r="AF962" s="9"/>
      <c r="AG962" s="64"/>
      <c r="AH962" s="3"/>
      <c r="AI962" s="2"/>
      <c r="AJ962" s="2"/>
      <c r="AK962" s="2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x14ac:dyDescent="0.3">
      <c r="A963" s="6"/>
      <c r="B963" s="6"/>
      <c r="C963" s="39"/>
      <c r="D963" s="6"/>
      <c r="E963" s="149"/>
      <c r="F963" s="153"/>
      <c r="G963" s="1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5"/>
      <c r="V963" s="5"/>
      <c r="W963" s="13"/>
      <c r="X963" s="4"/>
      <c r="Y963" s="4"/>
      <c r="Z963" s="4"/>
      <c r="AA963" s="6"/>
      <c r="AB963" s="5"/>
      <c r="AC963" s="9"/>
      <c r="AD963" s="9"/>
      <c r="AE963" s="9"/>
      <c r="AF963" s="9"/>
      <c r="AG963" s="2"/>
      <c r="AH963" s="3"/>
      <c r="AI963" s="2"/>
      <c r="AJ963" s="2"/>
      <c r="AK963" s="2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3.5" customHeight="1" x14ac:dyDescent="0.35">
      <c r="A964" s="49"/>
      <c r="B964" s="49"/>
      <c r="C964" s="39"/>
      <c r="D964" s="1"/>
      <c r="E964" s="149"/>
      <c r="F964" s="153"/>
      <c r="G964" s="10"/>
      <c r="H964" s="17"/>
      <c r="I964" s="17"/>
      <c r="J964" s="17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29"/>
      <c r="X964" s="15"/>
      <c r="Y964" s="30"/>
      <c r="Z964" s="30"/>
      <c r="AA964" s="30"/>
      <c r="AB964" s="30"/>
      <c r="AC964" s="17"/>
      <c r="AD964" s="17"/>
      <c r="AE964" s="17"/>
      <c r="AF964" s="17"/>
      <c r="AG964" s="21"/>
      <c r="AH964" s="21"/>
      <c r="AI964" s="21"/>
      <c r="AJ964" s="21"/>
      <c r="AK964" s="21"/>
      <c r="AL964" s="21"/>
      <c r="AM964" s="21"/>
      <c r="AN964" s="21"/>
      <c r="AO964" s="22"/>
      <c r="AP964" s="21"/>
      <c r="AQ964" s="22"/>
      <c r="AR964" s="21"/>
      <c r="AS964" s="21"/>
      <c r="AT964" s="21"/>
      <c r="AU964" s="21"/>
      <c r="AV964" s="21"/>
      <c r="AW964" s="21"/>
      <c r="AX964" s="22"/>
      <c r="AY964" s="21"/>
      <c r="AZ964" s="22"/>
      <c r="BA964" s="21"/>
      <c r="BB964" s="21"/>
      <c r="BC964" s="21"/>
      <c r="BD964" s="21"/>
      <c r="BE964" s="26"/>
      <c r="BF964" s="26"/>
      <c r="BG964" s="62"/>
    </row>
    <row r="965" spans="1:59" x14ac:dyDescent="0.3">
      <c r="A965" s="6"/>
      <c r="B965" s="6"/>
      <c r="C965" s="39"/>
      <c r="D965" s="6"/>
      <c r="E965" s="149"/>
      <c r="F965" s="153"/>
      <c r="G965" s="1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12"/>
      <c r="Y965" s="6"/>
      <c r="Z965" s="6"/>
      <c r="AA965" s="6"/>
      <c r="AB965" s="6"/>
      <c r="AC965" s="9"/>
      <c r="AD965" s="9"/>
      <c r="AE965" s="9"/>
      <c r="AF965" s="9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21"/>
      <c r="AS965" s="21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x14ac:dyDescent="0.3">
      <c r="A966" s="6"/>
      <c r="B966" s="6"/>
      <c r="C966" s="39"/>
      <c r="D966" s="6"/>
      <c r="E966" s="149"/>
      <c r="F966" s="153"/>
      <c r="G966" s="1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12"/>
      <c r="Y966" s="6"/>
      <c r="Z966" s="6"/>
      <c r="AA966" s="6"/>
      <c r="AB966" s="6"/>
      <c r="AC966" s="9"/>
      <c r="AD966" s="9"/>
      <c r="AE966" s="9"/>
      <c r="AF966" s="9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21"/>
      <c r="AS966" s="21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3.5" customHeight="1" x14ac:dyDescent="0.35">
      <c r="A967" s="49"/>
      <c r="B967" s="49"/>
      <c r="C967" s="14"/>
      <c r="D967" s="1"/>
      <c r="E967" s="149"/>
      <c r="F967" s="153"/>
      <c r="G967" s="10"/>
      <c r="H967" s="17"/>
      <c r="I967" s="17"/>
      <c r="J967" s="17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29"/>
      <c r="X967" s="15"/>
      <c r="Y967" s="30"/>
      <c r="Z967" s="30"/>
      <c r="AA967" s="30"/>
      <c r="AB967" s="30"/>
      <c r="AC967" s="17"/>
      <c r="AD967" s="17"/>
      <c r="AE967" s="17"/>
      <c r="AF967" s="17"/>
      <c r="AG967" s="21"/>
      <c r="AH967" s="21"/>
      <c r="AI967" s="21"/>
      <c r="AJ967" s="21"/>
      <c r="AK967" s="21"/>
      <c r="AL967" s="21"/>
      <c r="AM967" s="21"/>
      <c r="AN967" s="21"/>
      <c r="AO967" s="22"/>
      <c r="AP967" s="21"/>
      <c r="AQ967" s="22"/>
      <c r="AR967" s="21"/>
      <c r="AS967" s="21"/>
      <c r="AT967" s="21"/>
      <c r="AU967" s="21"/>
      <c r="AV967" s="21"/>
      <c r="AW967" s="21"/>
      <c r="AX967" s="22"/>
      <c r="AY967" s="21"/>
      <c r="AZ967" s="22"/>
      <c r="BA967" s="21"/>
      <c r="BB967" s="21"/>
      <c r="BC967" s="21"/>
      <c r="BD967" s="21"/>
      <c r="BE967" s="26"/>
      <c r="BF967" s="26"/>
      <c r="BG967" s="62"/>
    </row>
    <row r="968" spans="1:59" ht="13.5" customHeight="1" x14ac:dyDescent="0.35">
      <c r="A968" s="49"/>
      <c r="B968" s="49"/>
      <c r="C968" s="39"/>
      <c r="D968" s="1"/>
      <c r="E968" s="149"/>
      <c r="F968" s="153"/>
      <c r="G968" s="10"/>
      <c r="H968" s="17"/>
      <c r="I968" s="17"/>
      <c r="J968" s="17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29"/>
      <c r="X968" s="15"/>
      <c r="Y968" s="30"/>
      <c r="Z968" s="30"/>
      <c r="AA968" s="30"/>
      <c r="AB968" s="30"/>
      <c r="AC968" s="17"/>
      <c r="AD968" s="17"/>
      <c r="AE968" s="17"/>
      <c r="AF968" s="17"/>
      <c r="AG968" s="21"/>
      <c r="AH968" s="21"/>
      <c r="AI968" s="21"/>
      <c r="AJ968" s="21"/>
      <c r="AK968" s="21"/>
      <c r="AL968" s="21"/>
      <c r="AM968" s="21"/>
      <c r="AN968" s="21"/>
      <c r="AO968" s="22"/>
      <c r="AP968" s="21"/>
      <c r="AQ968" s="22"/>
      <c r="AR968" s="21"/>
      <c r="AS968" s="21"/>
      <c r="AT968" s="21"/>
      <c r="AU968" s="21"/>
      <c r="AV968" s="21"/>
      <c r="AW968" s="21"/>
      <c r="AX968" s="22"/>
      <c r="AY968" s="21"/>
      <c r="AZ968" s="22"/>
      <c r="BA968" s="21"/>
      <c r="BB968" s="21"/>
      <c r="BC968" s="21"/>
      <c r="BD968" s="21"/>
      <c r="BE968" s="26"/>
      <c r="BF968" s="26"/>
      <c r="BG968" s="62"/>
    </row>
    <row r="969" spans="1:59" ht="13.5" customHeight="1" x14ac:dyDescent="0.35">
      <c r="A969" s="49"/>
      <c r="B969" s="49"/>
      <c r="C969" s="14"/>
      <c r="D969" s="1"/>
      <c r="E969" s="149"/>
      <c r="F969" s="153"/>
      <c r="G969" s="10"/>
      <c r="H969" s="17"/>
      <c r="I969" s="17"/>
      <c r="J969" s="17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29"/>
      <c r="X969" s="15"/>
      <c r="Y969" s="30"/>
      <c r="Z969" s="30"/>
      <c r="AA969" s="30"/>
      <c r="AB969" s="30"/>
      <c r="AC969" s="17"/>
      <c r="AD969" s="17"/>
      <c r="AE969" s="17"/>
      <c r="AF969" s="17"/>
      <c r="AG969" s="21"/>
      <c r="AH969" s="21"/>
      <c r="AI969" s="21"/>
      <c r="AJ969" s="21"/>
      <c r="AK969" s="21"/>
      <c r="AL969" s="21"/>
      <c r="AM969" s="21"/>
      <c r="AN969" s="21"/>
      <c r="AO969" s="22"/>
      <c r="AP969" s="21"/>
      <c r="AQ969" s="22"/>
      <c r="AR969" s="21"/>
      <c r="AS969" s="21"/>
      <c r="AT969" s="21"/>
      <c r="AU969" s="21"/>
      <c r="AV969" s="21"/>
      <c r="AW969" s="21"/>
      <c r="AX969" s="22"/>
      <c r="AY969" s="21"/>
      <c r="AZ969" s="22"/>
      <c r="BA969" s="21"/>
      <c r="BB969" s="21"/>
      <c r="BC969" s="21"/>
      <c r="BD969" s="21"/>
      <c r="BE969" s="26"/>
      <c r="BF969" s="26"/>
      <c r="BG969" s="62"/>
    </row>
    <row r="970" spans="1:59" x14ac:dyDescent="0.3">
      <c r="A970" s="6"/>
      <c r="B970" s="6"/>
      <c r="C970" s="39"/>
      <c r="D970" s="6"/>
      <c r="E970" s="149"/>
      <c r="F970" s="153"/>
      <c r="G970" s="1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5"/>
      <c r="V970" s="5"/>
      <c r="W970" s="13"/>
      <c r="X970" s="4"/>
      <c r="Y970" s="4"/>
      <c r="Z970" s="4"/>
      <c r="AA970" s="6"/>
      <c r="AB970" s="5"/>
      <c r="AC970" s="9"/>
      <c r="AD970" s="9"/>
      <c r="AE970" s="9"/>
      <c r="AF970" s="9"/>
      <c r="AG970" s="2"/>
      <c r="AH970" s="3"/>
      <c r="AI970" s="2"/>
      <c r="AJ970" s="2"/>
      <c r="AK970" s="2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x14ac:dyDescent="0.3">
      <c r="A971" s="6"/>
      <c r="B971" s="6"/>
      <c r="C971" s="39"/>
      <c r="D971" s="6"/>
      <c r="E971" s="149"/>
      <c r="F971" s="153"/>
      <c r="G971" s="1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5"/>
      <c r="V971" s="5"/>
      <c r="W971" s="13"/>
      <c r="X971" s="4"/>
      <c r="Y971" s="4"/>
      <c r="Z971" s="4"/>
      <c r="AA971" s="6"/>
      <c r="AB971" s="5"/>
      <c r="AC971" s="9"/>
      <c r="AD971" s="9"/>
      <c r="AE971" s="9"/>
      <c r="AF971" s="9"/>
      <c r="AG971" s="2"/>
      <c r="AH971" s="3"/>
      <c r="AI971" s="2"/>
      <c r="AJ971" s="2"/>
      <c r="AK971" s="2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x14ac:dyDescent="0.3">
      <c r="A972" s="63"/>
      <c r="B972" s="63"/>
      <c r="C972" s="39"/>
      <c r="D972" s="6"/>
      <c r="E972" s="149"/>
      <c r="F972" s="153"/>
      <c r="G972" s="1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5"/>
      <c r="V972" s="5"/>
      <c r="W972" s="13"/>
      <c r="X972" s="4"/>
      <c r="Y972" s="4"/>
      <c r="Z972" s="4"/>
      <c r="AA972" s="6"/>
      <c r="AB972" s="5"/>
      <c r="AC972" s="9"/>
      <c r="AD972" s="9"/>
      <c r="AE972" s="9"/>
      <c r="AF972" s="9"/>
      <c r="AG972" s="64"/>
      <c r="AH972" s="3"/>
      <c r="AI972" s="2"/>
      <c r="AJ972" s="2"/>
      <c r="AK972" s="2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x14ac:dyDescent="0.3">
      <c r="A973" s="6"/>
      <c r="B973" s="6"/>
      <c r="C973" s="39"/>
      <c r="D973" s="6"/>
      <c r="E973" s="149"/>
      <c r="F973" s="153"/>
      <c r="G973" s="1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12"/>
      <c r="Y973" s="6"/>
      <c r="Z973" s="6"/>
      <c r="AA973" s="6"/>
      <c r="AB973" s="6"/>
      <c r="AC973" s="9"/>
      <c r="AD973" s="9"/>
      <c r="AE973" s="9"/>
      <c r="AF973" s="9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21"/>
      <c r="AS973" s="21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3.5" customHeight="1" x14ac:dyDescent="0.35">
      <c r="A974" s="49"/>
      <c r="B974" s="49"/>
      <c r="C974" s="14"/>
      <c r="D974" s="1"/>
      <c r="E974" s="149"/>
      <c r="F974" s="153"/>
      <c r="G974" s="10"/>
      <c r="H974" s="17"/>
      <c r="I974" s="17"/>
      <c r="J974" s="17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29"/>
      <c r="X974" s="15"/>
      <c r="Y974" s="30"/>
      <c r="Z974" s="30"/>
      <c r="AA974" s="30"/>
      <c r="AB974" s="30"/>
      <c r="AC974" s="17"/>
      <c r="AD974" s="17"/>
      <c r="AE974" s="17"/>
      <c r="AF974" s="17"/>
      <c r="AG974" s="21"/>
      <c r="AH974" s="21"/>
      <c r="AI974" s="21"/>
      <c r="AJ974" s="21"/>
      <c r="AK974" s="21"/>
      <c r="AL974" s="21"/>
      <c r="AM974" s="21"/>
      <c r="AN974" s="21"/>
      <c r="AO974" s="22"/>
      <c r="AP974" s="21"/>
      <c r="AQ974" s="22"/>
      <c r="AR974" s="21"/>
      <c r="AS974" s="21"/>
      <c r="AT974" s="21"/>
      <c r="AU974" s="21"/>
      <c r="AV974" s="21"/>
      <c r="AW974" s="21"/>
      <c r="AX974" s="22"/>
      <c r="AY974" s="21"/>
      <c r="AZ974" s="22"/>
      <c r="BA974" s="21"/>
      <c r="BB974" s="21"/>
      <c r="BC974" s="21"/>
      <c r="BD974" s="21"/>
      <c r="BE974" s="26"/>
      <c r="BF974" s="26"/>
      <c r="BG974" s="62"/>
    </row>
    <row r="975" spans="1:59" x14ac:dyDescent="0.3">
      <c r="A975" s="63"/>
      <c r="B975" s="63"/>
      <c r="C975" s="39"/>
      <c r="D975" s="6"/>
      <c r="E975" s="149"/>
      <c r="F975" s="153"/>
      <c r="G975" s="1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5"/>
      <c r="V975" s="5"/>
      <c r="W975" s="13"/>
      <c r="X975" s="4"/>
      <c r="Y975" s="4"/>
      <c r="Z975" s="4"/>
      <c r="AA975" s="6"/>
      <c r="AB975" s="5"/>
      <c r="AC975" s="9"/>
      <c r="AD975" s="9"/>
      <c r="AE975" s="9"/>
      <c r="AF975" s="9"/>
      <c r="AG975" s="64"/>
      <c r="AH975" s="3"/>
      <c r="AI975" s="2"/>
      <c r="AJ975" s="2"/>
      <c r="AK975" s="2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3.5" customHeight="1" x14ac:dyDescent="0.35">
      <c r="A976" s="49"/>
      <c r="B976" s="49"/>
      <c r="C976" s="14"/>
      <c r="D976" s="1"/>
      <c r="E976" s="149"/>
      <c r="F976" s="153"/>
      <c r="G976" s="10"/>
      <c r="H976" s="17"/>
      <c r="I976" s="17"/>
      <c r="J976" s="17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29"/>
      <c r="X976" s="15"/>
      <c r="Y976" s="30"/>
      <c r="Z976" s="30"/>
      <c r="AA976" s="30"/>
      <c r="AB976" s="30"/>
      <c r="AC976" s="17"/>
      <c r="AD976" s="17"/>
      <c r="AE976" s="17"/>
      <c r="AF976" s="17"/>
      <c r="AG976" s="21"/>
      <c r="AH976" s="21"/>
      <c r="AI976" s="21"/>
      <c r="AJ976" s="21"/>
      <c r="AK976" s="21"/>
      <c r="AL976" s="21"/>
      <c r="AM976" s="21"/>
      <c r="AN976" s="21"/>
      <c r="AO976" s="22"/>
      <c r="AP976" s="21"/>
      <c r="AQ976" s="22"/>
      <c r="AR976" s="21"/>
      <c r="AS976" s="21"/>
      <c r="AT976" s="21"/>
      <c r="AU976" s="21"/>
      <c r="AV976" s="21"/>
      <c r="AW976" s="21"/>
      <c r="AX976" s="22"/>
      <c r="AY976" s="21"/>
      <c r="AZ976" s="22"/>
      <c r="BA976" s="21"/>
      <c r="BB976" s="21"/>
      <c r="BC976" s="21"/>
      <c r="BD976" s="21"/>
      <c r="BE976" s="26"/>
      <c r="BF976" s="26"/>
      <c r="BG976" s="62"/>
    </row>
    <row r="977" spans="1:59" ht="13.5" customHeight="1" x14ac:dyDescent="0.35">
      <c r="A977" s="49"/>
      <c r="B977" s="49"/>
      <c r="C977" s="14"/>
      <c r="D977" s="1"/>
      <c r="E977" s="149"/>
      <c r="F977" s="153"/>
      <c r="G977" s="10"/>
      <c r="H977" s="17"/>
      <c r="I977" s="17"/>
      <c r="J977" s="17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29"/>
      <c r="X977" s="15"/>
      <c r="Y977" s="30"/>
      <c r="Z977" s="30"/>
      <c r="AA977" s="30"/>
      <c r="AB977" s="30"/>
      <c r="AC977" s="17"/>
      <c r="AD977" s="17"/>
      <c r="AE977" s="17"/>
      <c r="AF977" s="17"/>
      <c r="AG977" s="21"/>
      <c r="AH977" s="21"/>
      <c r="AI977" s="21"/>
      <c r="AJ977" s="21"/>
      <c r="AK977" s="21"/>
      <c r="AL977" s="21"/>
      <c r="AM977" s="21"/>
      <c r="AN977" s="21"/>
      <c r="AO977" s="22"/>
      <c r="AP977" s="21"/>
      <c r="AQ977" s="22"/>
      <c r="AR977" s="21"/>
      <c r="AS977" s="21"/>
      <c r="AT977" s="21"/>
      <c r="AU977" s="21"/>
      <c r="AV977" s="21"/>
      <c r="AW977" s="21"/>
      <c r="AX977" s="22"/>
      <c r="AY977" s="21"/>
      <c r="AZ977" s="22"/>
      <c r="BA977" s="21"/>
      <c r="BB977" s="21"/>
      <c r="BC977" s="21"/>
      <c r="BD977" s="21"/>
      <c r="BE977" s="26"/>
      <c r="BF977" s="26"/>
      <c r="BG977" s="62"/>
    </row>
    <row r="978" spans="1:59" ht="13.5" customHeight="1" x14ac:dyDescent="0.35">
      <c r="A978" s="49"/>
      <c r="B978" s="49"/>
      <c r="C978" s="14"/>
      <c r="D978" s="1"/>
      <c r="E978" s="149"/>
      <c r="F978" s="153"/>
      <c r="G978" s="10"/>
      <c r="H978" s="17"/>
      <c r="I978" s="17"/>
      <c r="J978" s="17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29"/>
      <c r="X978" s="15"/>
      <c r="Y978" s="30"/>
      <c r="Z978" s="30"/>
      <c r="AA978" s="30"/>
      <c r="AB978" s="30"/>
      <c r="AC978" s="17"/>
      <c r="AD978" s="17"/>
      <c r="AE978" s="17"/>
      <c r="AF978" s="17"/>
      <c r="AG978" s="21"/>
      <c r="AH978" s="21"/>
      <c r="AI978" s="21"/>
      <c r="AJ978" s="21"/>
      <c r="AK978" s="21"/>
      <c r="AL978" s="21"/>
      <c r="AM978" s="21"/>
      <c r="AN978" s="21"/>
      <c r="AO978" s="22"/>
      <c r="AP978" s="21"/>
      <c r="AQ978" s="22"/>
      <c r="AR978" s="21"/>
      <c r="AS978" s="21"/>
      <c r="AT978" s="21"/>
      <c r="AU978" s="21"/>
      <c r="AV978" s="21"/>
      <c r="AW978" s="21"/>
      <c r="AX978" s="22"/>
      <c r="AY978" s="21"/>
      <c r="AZ978" s="22"/>
      <c r="BA978" s="21"/>
      <c r="BB978" s="21"/>
      <c r="BC978" s="21"/>
      <c r="BD978" s="21"/>
      <c r="BE978" s="26"/>
      <c r="BF978" s="26"/>
      <c r="BG978" s="62"/>
    </row>
    <row r="979" spans="1:59" x14ac:dyDescent="0.3">
      <c r="A979" s="6"/>
      <c r="B979" s="6"/>
      <c r="C979" s="39"/>
      <c r="D979" s="6"/>
      <c r="E979" s="149"/>
      <c r="F979" s="153"/>
      <c r="G979" s="1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12"/>
      <c r="Y979" s="6"/>
      <c r="Z979" s="6"/>
      <c r="AA979" s="6"/>
      <c r="AB979" s="6"/>
      <c r="AC979" s="9"/>
      <c r="AD979" s="9"/>
      <c r="AE979" s="9"/>
      <c r="AF979" s="9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21"/>
      <c r="AS979" s="21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3.5" customHeight="1" x14ac:dyDescent="0.35">
      <c r="A980" s="49"/>
      <c r="B980" s="49"/>
      <c r="C980" s="14"/>
      <c r="D980" s="1"/>
      <c r="E980" s="149"/>
      <c r="F980" s="153"/>
      <c r="G980" s="10"/>
      <c r="H980" s="17"/>
      <c r="I980" s="17"/>
      <c r="J980" s="17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29"/>
      <c r="X980" s="15"/>
      <c r="Y980" s="30"/>
      <c r="Z980" s="30"/>
      <c r="AA980" s="30"/>
      <c r="AB980" s="30"/>
      <c r="AC980" s="17"/>
      <c r="AD980" s="17"/>
      <c r="AE980" s="17"/>
      <c r="AF980" s="17"/>
      <c r="AG980" s="21"/>
      <c r="AH980" s="21"/>
      <c r="AI980" s="21"/>
      <c r="AJ980" s="21"/>
      <c r="AK980" s="21"/>
      <c r="AL980" s="21"/>
      <c r="AM980" s="21"/>
      <c r="AN980" s="21"/>
      <c r="AO980" s="22"/>
      <c r="AP980" s="21"/>
      <c r="AQ980" s="22"/>
      <c r="AR980" s="21"/>
      <c r="AS980" s="21"/>
      <c r="AT980" s="21"/>
      <c r="AU980" s="21"/>
      <c r="AV980" s="21"/>
      <c r="AW980" s="21"/>
      <c r="AX980" s="22"/>
      <c r="AY980" s="21"/>
      <c r="AZ980" s="22"/>
      <c r="BA980" s="21"/>
      <c r="BB980" s="21"/>
      <c r="BC980" s="21"/>
      <c r="BD980" s="21"/>
      <c r="BE980" s="26"/>
      <c r="BF980" s="26"/>
      <c r="BG980" s="62"/>
    </row>
    <row r="981" spans="1:59" x14ac:dyDescent="0.3">
      <c r="A981" s="6"/>
      <c r="B981" s="6"/>
      <c r="C981" s="39"/>
      <c r="D981" s="6"/>
      <c r="E981" s="149"/>
      <c r="F981" s="153"/>
      <c r="G981" s="1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12"/>
      <c r="Y981" s="6"/>
      <c r="Z981" s="6"/>
      <c r="AA981" s="6"/>
      <c r="AB981" s="6"/>
      <c r="AC981" s="9"/>
      <c r="AD981" s="9"/>
      <c r="AE981" s="9"/>
      <c r="AF981" s="9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21"/>
      <c r="AS981" s="21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3.5" customHeight="1" x14ac:dyDescent="0.35">
      <c r="A982" s="49"/>
      <c r="B982" s="49"/>
      <c r="C982" s="14"/>
      <c r="D982" s="1"/>
      <c r="E982" s="149"/>
      <c r="F982" s="153"/>
      <c r="G982" s="10"/>
      <c r="H982" s="17"/>
      <c r="I982" s="17"/>
      <c r="J982" s="17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29"/>
      <c r="X982" s="15"/>
      <c r="Y982" s="30"/>
      <c r="Z982" s="30"/>
      <c r="AA982" s="30"/>
      <c r="AB982" s="30"/>
      <c r="AC982" s="17"/>
      <c r="AD982" s="17"/>
      <c r="AE982" s="17"/>
      <c r="AF982" s="17"/>
      <c r="AG982" s="21"/>
      <c r="AH982" s="21"/>
      <c r="AI982" s="21"/>
      <c r="AJ982" s="21"/>
      <c r="AK982" s="21"/>
      <c r="AL982" s="21"/>
      <c r="AM982" s="21"/>
      <c r="AN982" s="21"/>
      <c r="AO982" s="22"/>
      <c r="AP982" s="21"/>
      <c r="AQ982" s="22"/>
      <c r="AR982" s="21"/>
      <c r="AS982" s="21"/>
      <c r="AT982" s="21"/>
      <c r="AU982" s="21"/>
      <c r="AV982" s="21"/>
      <c r="AW982" s="21"/>
      <c r="AX982" s="22"/>
      <c r="AY982" s="21"/>
      <c r="AZ982" s="22"/>
      <c r="BA982" s="21"/>
      <c r="BB982" s="21"/>
      <c r="BC982" s="21"/>
      <c r="BD982" s="21"/>
      <c r="BE982" s="26"/>
      <c r="BF982" s="26"/>
      <c r="BG982" s="62"/>
    </row>
    <row r="983" spans="1:59" x14ac:dyDescent="0.3">
      <c r="A983" s="63"/>
      <c r="B983" s="63"/>
      <c r="C983" s="39"/>
      <c r="D983" s="6"/>
      <c r="E983" s="149"/>
      <c r="F983" s="153"/>
      <c r="G983" s="1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5"/>
      <c r="V983" s="5"/>
      <c r="W983" s="13"/>
      <c r="X983" s="4"/>
      <c r="Y983" s="4"/>
      <c r="Z983" s="4"/>
      <c r="AA983" s="6"/>
      <c r="AB983" s="5"/>
      <c r="AC983" s="9"/>
      <c r="AD983" s="9"/>
      <c r="AE983" s="9"/>
      <c r="AF983" s="9"/>
      <c r="AG983" s="64"/>
      <c r="AH983" s="3"/>
      <c r="AI983" s="2"/>
      <c r="AJ983" s="2"/>
      <c r="AK983" s="2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3.5" customHeight="1" x14ac:dyDescent="0.35">
      <c r="A984" s="49"/>
      <c r="B984" s="49"/>
      <c r="C984" s="14"/>
      <c r="D984" s="1"/>
      <c r="E984" s="149"/>
      <c r="F984" s="153"/>
      <c r="G984" s="10"/>
      <c r="H984" s="17"/>
      <c r="I984" s="17"/>
      <c r="J984" s="17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29"/>
      <c r="X984" s="15"/>
      <c r="Y984" s="30"/>
      <c r="Z984" s="30"/>
      <c r="AA984" s="30"/>
      <c r="AB984" s="30"/>
      <c r="AC984" s="17"/>
      <c r="AD984" s="17"/>
      <c r="AE984" s="17"/>
      <c r="AF984" s="17"/>
      <c r="AG984" s="21"/>
      <c r="AH984" s="21"/>
      <c r="AI984" s="21"/>
      <c r="AJ984" s="21"/>
      <c r="AK984" s="21"/>
      <c r="AL984" s="21"/>
      <c r="AM984" s="21"/>
      <c r="AN984" s="21"/>
      <c r="AO984" s="22"/>
      <c r="AP984" s="21"/>
      <c r="AQ984" s="22"/>
      <c r="AR984" s="21"/>
      <c r="AS984" s="21"/>
      <c r="AT984" s="21"/>
      <c r="AU984" s="21"/>
      <c r="AV984" s="21"/>
      <c r="AW984" s="21"/>
      <c r="AX984" s="22"/>
      <c r="AY984" s="21"/>
      <c r="AZ984" s="22"/>
      <c r="BA984" s="21"/>
      <c r="BB984" s="21"/>
      <c r="BC984" s="21"/>
      <c r="BD984" s="21"/>
      <c r="BE984" s="26"/>
      <c r="BF984" s="26"/>
      <c r="BG984" s="62"/>
    </row>
    <row r="985" spans="1:59" x14ac:dyDescent="0.3">
      <c r="A985" s="6"/>
      <c r="B985" s="6"/>
      <c r="C985" s="39"/>
      <c r="D985" s="6"/>
      <c r="E985" s="149"/>
      <c r="F985" s="153"/>
      <c r="G985" s="1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5"/>
      <c r="V985" s="5"/>
      <c r="W985" s="13"/>
      <c r="X985" s="4"/>
      <c r="Y985" s="4"/>
      <c r="Z985" s="4"/>
      <c r="AA985" s="6"/>
      <c r="AB985" s="5"/>
      <c r="AC985" s="9"/>
      <c r="AD985" s="9"/>
      <c r="AE985" s="9"/>
      <c r="AF985" s="9"/>
      <c r="AG985" s="2"/>
      <c r="AH985" s="3"/>
      <c r="AI985" s="2"/>
      <c r="AJ985" s="2"/>
      <c r="AK985" s="2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3.5" customHeight="1" x14ac:dyDescent="0.35">
      <c r="A986" s="49"/>
      <c r="B986" s="49"/>
      <c r="C986" s="39"/>
      <c r="D986" s="1"/>
      <c r="E986" s="149"/>
      <c r="F986" s="153"/>
      <c r="G986" s="10"/>
      <c r="H986" s="17"/>
      <c r="I986" s="17"/>
      <c r="J986" s="17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29"/>
      <c r="X986" s="15"/>
      <c r="Y986" s="30"/>
      <c r="Z986" s="30"/>
      <c r="AA986" s="30"/>
      <c r="AB986" s="30"/>
      <c r="AC986" s="17"/>
      <c r="AD986" s="17"/>
      <c r="AE986" s="17"/>
      <c r="AF986" s="17"/>
      <c r="AG986" s="21"/>
      <c r="AH986" s="21"/>
      <c r="AI986" s="21"/>
      <c r="AJ986" s="21"/>
      <c r="AK986" s="21"/>
      <c r="AL986" s="21"/>
      <c r="AM986" s="21"/>
      <c r="AN986" s="21"/>
      <c r="AO986" s="22"/>
      <c r="AP986" s="21"/>
      <c r="AQ986" s="22"/>
      <c r="AR986" s="21"/>
      <c r="AS986" s="21"/>
      <c r="AT986" s="21"/>
      <c r="AU986" s="21"/>
      <c r="AV986" s="21"/>
      <c r="AW986" s="21"/>
      <c r="AX986" s="22"/>
      <c r="AY986" s="21"/>
      <c r="AZ986" s="22"/>
      <c r="BA986" s="21"/>
      <c r="BB986" s="21"/>
      <c r="BC986" s="21"/>
      <c r="BD986" s="21"/>
      <c r="BE986" s="26"/>
      <c r="BF986" s="26"/>
      <c r="BG986" s="65"/>
    </row>
    <row r="987" spans="1:59" x14ac:dyDescent="0.3">
      <c r="A987" s="6"/>
      <c r="B987" s="6"/>
      <c r="C987" s="39"/>
      <c r="D987" s="6"/>
      <c r="E987" s="149"/>
      <c r="F987" s="153"/>
      <c r="G987" s="1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12"/>
      <c r="Y987" s="6"/>
      <c r="Z987" s="6"/>
      <c r="AA987" s="6"/>
      <c r="AB987" s="6"/>
      <c r="AC987" s="9"/>
      <c r="AD987" s="9"/>
      <c r="AE987" s="9"/>
      <c r="AF987" s="9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21"/>
      <c r="AS987" s="21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x14ac:dyDescent="0.3">
      <c r="A988" s="6"/>
      <c r="B988" s="6"/>
      <c r="C988" s="39"/>
      <c r="D988" s="6"/>
      <c r="E988" s="149"/>
      <c r="F988" s="153"/>
      <c r="G988" s="1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12"/>
      <c r="Y988" s="6"/>
      <c r="Z988" s="6"/>
      <c r="AA988" s="6"/>
      <c r="AB988" s="6"/>
      <c r="AC988" s="9"/>
      <c r="AD988" s="9"/>
      <c r="AE988" s="9"/>
      <c r="AF988" s="9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21"/>
      <c r="AS988" s="21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x14ac:dyDescent="0.3">
      <c r="A989" s="6"/>
      <c r="B989" s="6"/>
      <c r="C989" s="39"/>
      <c r="D989" s="6"/>
      <c r="E989" s="149"/>
      <c r="F989" s="153"/>
      <c r="G989" s="1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5"/>
      <c r="V989" s="5"/>
      <c r="W989" s="13"/>
      <c r="X989" s="4"/>
      <c r="Y989" s="4"/>
      <c r="Z989" s="4"/>
      <c r="AA989" s="6"/>
      <c r="AB989" s="5"/>
      <c r="AC989" s="9"/>
      <c r="AD989" s="9"/>
      <c r="AE989" s="9"/>
      <c r="AF989" s="9"/>
      <c r="AG989" s="2"/>
      <c r="AH989" s="3"/>
      <c r="AI989" s="2"/>
      <c r="AJ989" s="2"/>
      <c r="AK989" s="2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x14ac:dyDescent="0.3">
      <c r="A990" s="6"/>
      <c r="B990" s="6"/>
      <c r="C990" s="39"/>
      <c r="D990" s="6"/>
      <c r="E990" s="149"/>
      <c r="F990" s="153"/>
      <c r="G990" s="1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12"/>
      <c r="Y990" s="6"/>
      <c r="Z990" s="6"/>
      <c r="AA990" s="6"/>
      <c r="AB990" s="6"/>
      <c r="AC990" s="9"/>
      <c r="AD990" s="9"/>
      <c r="AE990" s="9"/>
      <c r="AF990" s="9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21"/>
      <c r="AS990" s="21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x14ac:dyDescent="0.3">
      <c r="A991" s="6"/>
      <c r="B991" s="6"/>
      <c r="C991" s="39"/>
      <c r="D991" s="6"/>
      <c r="E991" s="149"/>
      <c r="F991" s="153"/>
      <c r="G991" s="1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5"/>
      <c r="V991" s="5"/>
      <c r="W991" s="13"/>
      <c r="X991" s="4"/>
      <c r="Y991" s="4"/>
      <c r="Z991" s="4"/>
      <c r="AA991" s="6"/>
      <c r="AB991" s="5"/>
      <c r="AC991" s="9"/>
      <c r="AD991" s="9"/>
      <c r="AE991" s="9"/>
      <c r="AF991" s="9"/>
      <c r="AG991" s="2"/>
      <c r="AH991" s="3"/>
      <c r="AI991" s="2"/>
      <c r="AJ991" s="2"/>
      <c r="AK991" s="2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x14ac:dyDescent="0.3">
      <c r="A992" s="6"/>
      <c r="B992" s="6"/>
      <c r="C992" s="39"/>
      <c r="D992" s="6"/>
      <c r="E992" s="149"/>
      <c r="F992" s="153"/>
      <c r="G992" s="1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5"/>
      <c r="V992" s="5"/>
      <c r="W992" s="13"/>
      <c r="X992" s="4"/>
      <c r="Y992" s="4"/>
      <c r="Z992" s="4"/>
      <c r="AA992" s="6"/>
      <c r="AB992" s="5"/>
      <c r="AC992" s="9"/>
      <c r="AD992" s="9"/>
      <c r="AE992" s="9"/>
      <c r="AF992" s="9"/>
      <c r="AG992" s="2"/>
      <c r="AH992" s="3"/>
      <c r="AI992" s="2"/>
      <c r="AJ992" s="2"/>
      <c r="AK992" s="2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x14ac:dyDescent="0.3">
      <c r="A993" s="6"/>
      <c r="B993" s="6"/>
      <c r="C993" s="39"/>
      <c r="D993" s="6"/>
      <c r="E993" s="149"/>
      <c r="F993" s="153"/>
      <c r="G993" s="1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12"/>
      <c r="Y993" s="6"/>
      <c r="Z993" s="6"/>
      <c r="AA993" s="6"/>
      <c r="AB993" s="6"/>
      <c r="AC993" s="9"/>
      <c r="AD993" s="9"/>
      <c r="AE993" s="9"/>
      <c r="AF993" s="9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21"/>
      <c r="AS993" s="21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x14ac:dyDescent="0.3">
      <c r="A994" s="6"/>
      <c r="B994" s="6"/>
      <c r="C994" s="39"/>
      <c r="D994" s="6"/>
      <c r="E994" s="149"/>
      <c r="F994" s="153"/>
      <c r="G994" s="1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12"/>
      <c r="Y994" s="6"/>
      <c r="Z994" s="6"/>
      <c r="AA994" s="6"/>
      <c r="AB994" s="6"/>
      <c r="AC994" s="9"/>
      <c r="AD994" s="9"/>
      <c r="AE994" s="9"/>
      <c r="AF994" s="9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21"/>
      <c r="AS994" s="21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3.5" customHeight="1" x14ac:dyDescent="0.35">
      <c r="A995" s="49"/>
      <c r="B995" s="49"/>
      <c r="C995" s="14"/>
      <c r="D995" s="1"/>
      <c r="E995" s="149"/>
      <c r="F995" s="153"/>
      <c r="G995" s="10"/>
      <c r="H995" s="17"/>
      <c r="I995" s="17"/>
      <c r="J995" s="17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29"/>
      <c r="X995" s="15"/>
      <c r="Y995" s="30"/>
      <c r="Z995" s="30"/>
      <c r="AA995" s="30"/>
      <c r="AB995" s="30"/>
      <c r="AC995" s="17"/>
      <c r="AD995" s="17"/>
      <c r="AE995" s="17"/>
      <c r="AF995" s="17"/>
      <c r="AG995" s="21"/>
      <c r="AH995" s="21"/>
      <c r="AI995" s="21"/>
      <c r="AJ995" s="21"/>
      <c r="AK995" s="21"/>
      <c r="AL995" s="21"/>
      <c r="AM995" s="21"/>
      <c r="AN995" s="21"/>
      <c r="AO995" s="22"/>
      <c r="AP995" s="21"/>
      <c r="AQ995" s="22"/>
      <c r="AR995" s="21"/>
      <c r="AS995" s="21"/>
      <c r="AT995" s="21"/>
      <c r="AU995" s="21"/>
      <c r="AV995" s="21"/>
      <c r="AW995" s="21"/>
      <c r="AX995" s="22"/>
      <c r="AY995" s="21"/>
      <c r="AZ995" s="22"/>
      <c r="BA995" s="21"/>
      <c r="BB995" s="21"/>
      <c r="BC995" s="21"/>
      <c r="BD995" s="21"/>
      <c r="BE995" s="26"/>
      <c r="BF995" s="26"/>
      <c r="BG995" s="62"/>
    </row>
    <row r="996" spans="1:59" x14ac:dyDescent="0.3">
      <c r="A996" s="6"/>
      <c r="B996" s="6"/>
      <c r="C996" s="39"/>
      <c r="D996" s="6"/>
      <c r="E996" s="149"/>
      <c r="F996" s="153"/>
      <c r="G996" s="1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12"/>
      <c r="Y996" s="6"/>
      <c r="Z996" s="6"/>
      <c r="AA996" s="6"/>
      <c r="AB996" s="6"/>
      <c r="AC996" s="9"/>
      <c r="AD996" s="9"/>
      <c r="AE996" s="9"/>
      <c r="AF996" s="9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21"/>
      <c r="AS996" s="21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x14ac:dyDescent="0.3">
      <c r="A997" s="6"/>
      <c r="B997" s="6"/>
      <c r="C997" s="39"/>
      <c r="D997" s="6"/>
      <c r="E997" s="149"/>
      <c r="F997" s="153"/>
      <c r="G997" s="1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5"/>
      <c r="V997" s="5"/>
      <c r="W997" s="13"/>
      <c r="X997" s="4"/>
      <c r="Y997" s="4"/>
      <c r="Z997" s="4"/>
      <c r="AA997" s="6"/>
      <c r="AB997" s="5"/>
      <c r="AC997" s="9"/>
      <c r="AD997" s="9"/>
      <c r="AE997" s="9"/>
      <c r="AF997" s="9"/>
      <c r="AG997" s="2"/>
      <c r="AH997" s="3"/>
      <c r="AI997" s="2"/>
      <c r="AJ997" s="2"/>
      <c r="AK997" s="2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x14ac:dyDescent="0.3">
      <c r="A998" s="6"/>
      <c r="B998" s="6"/>
      <c r="C998" s="39"/>
      <c r="D998" s="6"/>
      <c r="E998" s="149"/>
      <c r="F998" s="153"/>
      <c r="G998" s="1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12"/>
      <c r="Y998" s="6"/>
      <c r="Z998" s="6"/>
      <c r="AA998" s="6"/>
      <c r="AB998" s="6"/>
      <c r="AC998" s="9"/>
      <c r="AD998" s="9"/>
      <c r="AE998" s="9"/>
      <c r="AF998" s="9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3.5" customHeight="1" x14ac:dyDescent="0.35">
      <c r="A999" s="49"/>
      <c r="B999" s="49"/>
      <c r="C999" s="14"/>
      <c r="D999" s="1"/>
      <c r="E999" s="149"/>
      <c r="F999" s="153"/>
      <c r="G999" s="10"/>
      <c r="H999" s="17"/>
      <c r="I999" s="17"/>
      <c r="J999" s="17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29"/>
      <c r="X999" s="15"/>
      <c r="Y999" s="30"/>
      <c r="Z999" s="30"/>
      <c r="AA999" s="30"/>
      <c r="AB999" s="30"/>
      <c r="AC999" s="17"/>
      <c r="AD999" s="17"/>
      <c r="AE999" s="17"/>
      <c r="AF999" s="17"/>
      <c r="AG999" s="21"/>
      <c r="AH999" s="21"/>
      <c r="AI999" s="21"/>
      <c r="AJ999" s="21"/>
      <c r="AK999" s="21"/>
      <c r="AL999" s="21"/>
      <c r="AM999" s="21"/>
      <c r="AN999" s="21"/>
      <c r="AO999" s="22"/>
      <c r="AP999" s="21"/>
      <c r="AQ999" s="22"/>
      <c r="AR999" s="21"/>
      <c r="AS999" s="21"/>
      <c r="AT999" s="21"/>
      <c r="AU999" s="21"/>
      <c r="AV999" s="21"/>
      <c r="AW999" s="21"/>
      <c r="AX999" s="22"/>
      <c r="AY999" s="21"/>
      <c r="AZ999" s="22"/>
      <c r="BA999" s="21"/>
      <c r="BB999" s="21"/>
      <c r="BC999" s="21"/>
      <c r="BD999" s="21"/>
      <c r="BE999" s="26"/>
      <c r="BF999" s="26"/>
      <c r="BG999" s="62"/>
    </row>
    <row r="1000" spans="1:59" ht="13.5" customHeight="1" x14ac:dyDescent="0.35">
      <c r="A1000" s="49"/>
      <c r="B1000" s="49"/>
      <c r="C1000" s="39"/>
      <c r="D1000" s="1"/>
      <c r="E1000" s="149"/>
      <c r="F1000" s="153"/>
      <c r="G1000" s="10"/>
      <c r="H1000" s="17"/>
      <c r="I1000" s="17"/>
      <c r="J1000" s="17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29"/>
      <c r="X1000" s="15"/>
      <c r="Y1000" s="30"/>
      <c r="Z1000" s="30"/>
      <c r="AA1000" s="30"/>
      <c r="AB1000" s="30"/>
      <c r="AC1000" s="17"/>
      <c r="AD1000" s="17"/>
      <c r="AE1000" s="17"/>
      <c r="AF1000" s="17"/>
      <c r="AG1000" s="21"/>
      <c r="AH1000" s="21"/>
      <c r="AI1000" s="21"/>
      <c r="AJ1000" s="21"/>
      <c r="AK1000" s="21"/>
      <c r="AL1000" s="21"/>
      <c r="AM1000" s="21"/>
      <c r="AN1000" s="21"/>
      <c r="AO1000" s="22"/>
      <c r="AP1000" s="21"/>
      <c r="AQ1000" s="22"/>
      <c r="AR1000" s="21"/>
      <c r="AS1000" s="21"/>
      <c r="AT1000" s="21"/>
      <c r="AU1000" s="21"/>
      <c r="AV1000" s="21"/>
      <c r="AW1000" s="21"/>
      <c r="AX1000" s="22"/>
      <c r="AY1000" s="21"/>
      <c r="AZ1000" s="22"/>
      <c r="BA1000" s="21"/>
      <c r="BB1000" s="21"/>
      <c r="BC1000" s="21"/>
      <c r="BD1000" s="21"/>
      <c r="BE1000" s="26"/>
      <c r="BF1000" s="26"/>
      <c r="BG1000" s="62"/>
    </row>
    <row r="1001" spans="1:59" x14ac:dyDescent="0.3">
      <c r="A1001" s="6"/>
      <c r="B1001" s="6"/>
      <c r="C1001" s="39"/>
      <c r="D1001" s="6"/>
      <c r="E1001" s="149"/>
      <c r="F1001" s="153"/>
      <c r="G1001" s="10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12"/>
      <c r="Y1001" s="6"/>
      <c r="Z1001" s="6"/>
      <c r="AA1001" s="6"/>
      <c r="AB1001" s="6"/>
      <c r="AC1001" s="9"/>
      <c r="AD1001" s="9"/>
      <c r="AE1001" s="9"/>
      <c r="AF1001" s="9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21"/>
      <c r="AS1001" s="21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</row>
    <row r="1002" spans="1:59" x14ac:dyDescent="0.3">
      <c r="A1002" s="63"/>
      <c r="B1002" s="63"/>
      <c r="C1002" s="39"/>
      <c r="D1002" s="6"/>
      <c r="E1002" s="149"/>
      <c r="F1002" s="153"/>
      <c r="G1002" s="10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5"/>
      <c r="V1002" s="5"/>
      <c r="W1002" s="13"/>
      <c r="X1002" s="4"/>
      <c r="Y1002" s="4"/>
      <c r="Z1002" s="4"/>
      <c r="AA1002" s="6"/>
      <c r="AB1002" s="5"/>
      <c r="AC1002" s="9"/>
      <c r="AD1002" s="9"/>
      <c r="AE1002" s="9"/>
      <c r="AF1002" s="9"/>
      <c r="AG1002" s="64"/>
      <c r="AH1002" s="3"/>
      <c r="AI1002" s="2"/>
      <c r="AJ1002" s="2"/>
      <c r="AK1002" s="2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</row>
    <row r="1003" spans="1:59" s="14" customFormat="1" ht="15" customHeight="1" x14ac:dyDescent="0.3">
      <c r="A1003" s="50"/>
      <c r="B1003" s="63"/>
      <c r="C1003" s="39"/>
      <c r="D1003" s="6"/>
      <c r="E1003" s="149"/>
      <c r="F1003" s="153"/>
      <c r="G1003" s="10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12"/>
      <c r="X1003" s="33"/>
      <c r="Y1003" s="6"/>
      <c r="Z1003" s="6"/>
      <c r="AA1003" s="6"/>
      <c r="AB1003" s="6"/>
      <c r="AC1003" s="9"/>
      <c r="AD1003" s="9"/>
      <c r="AE1003" s="9"/>
      <c r="AF1003" s="9"/>
      <c r="AG1003" s="56"/>
      <c r="AH1003" s="58"/>
      <c r="AI1003" s="58"/>
      <c r="AJ1003" s="58"/>
      <c r="AK1003" s="58"/>
      <c r="AL1003" s="58"/>
      <c r="AM1003" s="58"/>
      <c r="AN1003" s="58"/>
      <c r="AO1003" s="58"/>
      <c r="AP1003" s="58"/>
      <c r="AQ1003" s="61"/>
      <c r="AR1003" s="21"/>
      <c r="AS1003" s="21"/>
      <c r="AT1003" s="58"/>
      <c r="AU1003" s="58"/>
      <c r="AV1003" s="58"/>
      <c r="AW1003" s="58"/>
      <c r="AX1003" s="58"/>
      <c r="AY1003" s="58"/>
      <c r="AZ1003" s="58"/>
      <c r="BA1003" s="58"/>
      <c r="BB1003" s="53"/>
      <c r="BC1003" s="3"/>
      <c r="BD1003" s="59"/>
      <c r="BE1003" s="3"/>
      <c r="BF1003" s="53"/>
      <c r="BG1003" s="59"/>
    </row>
    <row r="1004" spans="1:59" customFormat="1" ht="15" x14ac:dyDescent="0.35">
      <c r="A1004" s="50"/>
      <c r="B1004" s="63"/>
      <c r="C1004" s="39"/>
      <c r="D1004" s="6"/>
      <c r="E1004" s="149"/>
      <c r="F1004" s="153"/>
      <c r="G1004" s="10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12"/>
      <c r="X1004" s="33"/>
      <c r="Y1004" s="6"/>
      <c r="Z1004" s="6"/>
      <c r="AA1004" s="6"/>
      <c r="AB1004" s="6"/>
      <c r="AC1004" s="9"/>
      <c r="AD1004" s="9"/>
      <c r="AE1004" s="9"/>
      <c r="AF1004" s="9"/>
      <c r="AG1004" s="5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59"/>
      <c r="AR1004" s="21"/>
      <c r="AS1004" s="21"/>
      <c r="AT1004" s="3"/>
      <c r="AU1004" s="3"/>
      <c r="AV1004" s="3"/>
      <c r="AW1004" s="3"/>
      <c r="AX1004" s="3"/>
      <c r="AY1004" s="3"/>
      <c r="AZ1004" s="3"/>
      <c r="BA1004" s="3"/>
      <c r="BB1004" s="53"/>
      <c r="BC1004" s="3"/>
      <c r="BD1004" s="59"/>
      <c r="BE1004" s="3"/>
      <c r="BF1004" s="53"/>
      <c r="BG1004" s="59"/>
    </row>
    <row r="1005" spans="1:59" customFormat="1" ht="15" x14ac:dyDescent="0.35">
      <c r="A1005" s="19"/>
      <c r="B1005" s="49"/>
      <c r="C1005" s="14"/>
      <c r="D1005" s="1"/>
      <c r="E1005" s="149"/>
      <c r="F1005" s="153"/>
      <c r="G1005" s="10"/>
      <c r="H1005" s="17"/>
      <c r="I1005" s="17"/>
      <c r="J1005" s="17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29"/>
      <c r="X1005" s="15"/>
      <c r="Y1005" s="30"/>
      <c r="Z1005" s="30"/>
      <c r="AA1005" s="30"/>
      <c r="AB1005" s="30"/>
      <c r="AC1005" s="17"/>
      <c r="AD1005" s="17"/>
      <c r="AE1005" s="17"/>
      <c r="AF1005" s="17"/>
      <c r="AG1005" s="20"/>
      <c r="AH1005" s="21"/>
      <c r="AI1005" s="21"/>
      <c r="AJ1005" s="21"/>
      <c r="AK1005" s="21"/>
      <c r="AL1005" s="21"/>
      <c r="AM1005" s="21"/>
      <c r="AN1005" s="21"/>
      <c r="AO1005" s="22"/>
      <c r="AP1005" s="21"/>
      <c r="AQ1005" s="24"/>
      <c r="AR1005" s="21"/>
      <c r="AS1005" s="21"/>
      <c r="AT1005" s="21"/>
      <c r="AU1005" s="21"/>
      <c r="AV1005" s="21"/>
      <c r="AW1005" s="21"/>
      <c r="AX1005" s="22"/>
      <c r="AY1005" s="21"/>
      <c r="AZ1005" s="22"/>
      <c r="BA1005" s="21"/>
      <c r="BB1005" s="20"/>
      <c r="BC1005" s="21"/>
      <c r="BD1005" s="25"/>
      <c r="BE1005" s="26"/>
      <c r="BF1005" s="27"/>
      <c r="BG1005" s="28"/>
    </row>
    <row r="1006" spans="1:59" customFormat="1" ht="15" x14ac:dyDescent="0.35">
      <c r="A1006" s="50"/>
      <c r="B1006" s="63"/>
      <c r="C1006" s="39"/>
      <c r="D1006" s="6"/>
      <c r="E1006" s="149"/>
      <c r="F1006" s="153"/>
      <c r="G1006" s="10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12"/>
      <c r="X1006" s="33"/>
      <c r="Y1006" s="6"/>
      <c r="Z1006" s="6"/>
      <c r="AA1006" s="6"/>
      <c r="AB1006" s="6"/>
      <c r="AC1006" s="9"/>
      <c r="AD1006" s="9"/>
      <c r="AE1006" s="9"/>
      <c r="AF1006" s="9"/>
      <c r="AG1006" s="5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59"/>
      <c r="AR1006" s="21"/>
      <c r="AS1006" s="21"/>
      <c r="AT1006" s="3"/>
      <c r="AU1006" s="3"/>
      <c r="AV1006" s="3"/>
      <c r="AW1006" s="3"/>
      <c r="AX1006" s="3"/>
      <c r="AY1006" s="3"/>
      <c r="AZ1006" s="3"/>
      <c r="BA1006" s="3"/>
      <c r="BB1006" s="53"/>
      <c r="BC1006" s="3"/>
      <c r="BD1006" s="59"/>
      <c r="BE1006" s="3"/>
      <c r="BF1006" s="53"/>
      <c r="BG1006" s="59"/>
    </row>
    <row r="1007" spans="1:59" customFormat="1" ht="15" x14ac:dyDescent="0.35">
      <c r="A1007" s="50"/>
      <c r="B1007" s="63"/>
      <c r="C1007" s="39"/>
      <c r="D1007" s="6"/>
      <c r="E1007" s="149"/>
      <c r="F1007" s="153"/>
      <c r="G1007" s="10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12"/>
      <c r="X1007" s="33"/>
      <c r="Y1007" s="6"/>
      <c r="Z1007" s="6"/>
      <c r="AA1007" s="6"/>
      <c r="AB1007" s="6"/>
      <c r="AC1007" s="9"/>
      <c r="AD1007" s="9"/>
      <c r="AE1007" s="9"/>
      <c r="AF1007" s="9"/>
      <c r="AG1007" s="5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59"/>
      <c r="AR1007" s="21"/>
      <c r="AS1007" s="21"/>
      <c r="AT1007" s="3"/>
      <c r="AU1007" s="3"/>
      <c r="AV1007" s="3"/>
      <c r="AW1007" s="3"/>
      <c r="AX1007" s="3"/>
      <c r="AY1007" s="3"/>
      <c r="AZ1007" s="3"/>
      <c r="BA1007" s="3"/>
      <c r="BB1007" s="53"/>
      <c r="BC1007" s="3"/>
      <c r="BD1007" s="59"/>
      <c r="BE1007" s="3"/>
      <c r="BF1007" s="53"/>
      <c r="BG1007" s="59"/>
    </row>
    <row r="1008" spans="1:59" customFormat="1" ht="15" x14ac:dyDescent="0.35">
      <c r="A1008" s="50"/>
      <c r="B1008" s="63"/>
      <c r="C1008" s="39"/>
      <c r="D1008" s="6"/>
      <c r="E1008" s="149"/>
      <c r="F1008" s="153"/>
      <c r="G1008" s="10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12"/>
      <c r="X1008" s="33"/>
      <c r="Y1008" s="6"/>
      <c r="Z1008" s="6"/>
      <c r="AA1008" s="6"/>
      <c r="AB1008" s="6"/>
      <c r="AC1008" s="9"/>
      <c r="AD1008" s="9"/>
      <c r="AE1008" s="9"/>
      <c r="AF1008" s="9"/>
      <c r="AG1008" s="5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59"/>
      <c r="AR1008" s="21"/>
      <c r="AS1008" s="21"/>
      <c r="AT1008" s="3"/>
      <c r="AU1008" s="3"/>
      <c r="AV1008" s="3"/>
      <c r="AW1008" s="3"/>
      <c r="AX1008" s="3"/>
      <c r="AY1008" s="3"/>
      <c r="AZ1008" s="3"/>
      <c r="BA1008" s="3"/>
      <c r="BB1008" s="53"/>
      <c r="BC1008" s="3"/>
      <c r="BD1008" s="59"/>
      <c r="BE1008" s="3"/>
      <c r="BF1008" s="53"/>
      <c r="BG1008" s="59"/>
    </row>
    <row r="1009" spans="1:59" customFormat="1" ht="15" x14ac:dyDescent="0.35">
      <c r="A1009" s="19"/>
      <c r="B1009" s="49"/>
      <c r="C1009" s="39"/>
      <c r="D1009" s="1"/>
      <c r="E1009" s="149"/>
      <c r="F1009" s="153"/>
      <c r="G1009" s="10"/>
      <c r="H1009" s="17"/>
      <c r="I1009" s="17"/>
      <c r="J1009" s="17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29"/>
      <c r="X1009" s="15"/>
      <c r="Y1009" s="30"/>
      <c r="Z1009" s="30"/>
      <c r="AA1009" s="30"/>
      <c r="AB1009" s="30"/>
      <c r="AC1009" s="17"/>
      <c r="AD1009" s="17"/>
      <c r="AE1009" s="17"/>
      <c r="AF1009" s="17"/>
      <c r="AG1009" s="20"/>
      <c r="AH1009" s="21"/>
      <c r="AI1009" s="21"/>
      <c r="AJ1009" s="21"/>
      <c r="AK1009" s="21"/>
      <c r="AL1009" s="21"/>
      <c r="AM1009" s="21"/>
      <c r="AN1009" s="21"/>
      <c r="AO1009" s="22"/>
      <c r="AP1009" s="21"/>
      <c r="AQ1009" s="24"/>
      <c r="AR1009" s="21"/>
      <c r="AS1009" s="21"/>
      <c r="AT1009" s="21"/>
      <c r="AU1009" s="21"/>
      <c r="AV1009" s="21"/>
      <c r="AW1009" s="21"/>
      <c r="AX1009" s="22"/>
      <c r="AY1009" s="21"/>
      <c r="AZ1009" s="22"/>
      <c r="BA1009" s="21"/>
      <c r="BB1009" s="20"/>
      <c r="BC1009" s="21"/>
      <c r="BD1009" s="25"/>
      <c r="BE1009" s="26"/>
      <c r="BF1009" s="27"/>
      <c r="BG1009" s="28"/>
    </row>
    <row r="1010" spans="1:59" customFormat="1" ht="15" x14ac:dyDescent="0.35">
      <c r="A1010" s="50"/>
      <c r="B1010" s="63"/>
      <c r="C1010" s="39"/>
      <c r="D1010" s="6"/>
      <c r="E1010" s="149"/>
      <c r="F1010" s="153"/>
      <c r="G1010" s="10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12"/>
      <c r="X1010" s="33"/>
      <c r="Y1010" s="6"/>
      <c r="Z1010" s="6"/>
      <c r="AA1010" s="6"/>
      <c r="AB1010" s="6"/>
      <c r="AC1010" s="9"/>
      <c r="AD1010" s="9"/>
      <c r="AE1010" s="9"/>
      <c r="AF1010" s="9"/>
      <c r="AG1010" s="5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59"/>
      <c r="AR1010" s="21"/>
      <c r="AS1010" s="21"/>
      <c r="AT1010" s="3"/>
      <c r="AU1010" s="3"/>
      <c r="AV1010" s="3"/>
      <c r="AW1010" s="3"/>
      <c r="AX1010" s="3"/>
      <c r="AY1010" s="3"/>
      <c r="AZ1010" s="3"/>
      <c r="BA1010" s="3"/>
      <c r="BB1010" s="53"/>
      <c r="BC1010" s="3"/>
      <c r="BD1010" s="59"/>
      <c r="BE1010" s="3"/>
      <c r="BF1010" s="53"/>
      <c r="BG1010" s="59"/>
    </row>
    <row r="1011" spans="1:59" customFormat="1" ht="15" x14ac:dyDescent="0.35">
      <c r="A1011" s="50"/>
      <c r="B1011" s="63"/>
      <c r="C1011" s="39"/>
      <c r="D1011" s="6"/>
      <c r="E1011" s="149"/>
      <c r="F1011" s="153"/>
      <c r="G1011" s="10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12"/>
      <c r="X1011" s="33"/>
      <c r="Y1011" s="6"/>
      <c r="Z1011" s="6"/>
      <c r="AA1011" s="6"/>
      <c r="AB1011" s="6"/>
      <c r="AC1011" s="9"/>
      <c r="AD1011" s="9"/>
      <c r="AE1011" s="9"/>
      <c r="AF1011" s="9"/>
      <c r="AG1011" s="5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59"/>
      <c r="AR1011" s="21"/>
      <c r="AS1011" s="21"/>
      <c r="AT1011" s="3"/>
      <c r="AU1011" s="3"/>
      <c r="AV1011" s="3"/>
      <c r="AW1011" s="3"/>
      <c r="AX1011" s="3"/>
      <c r="AY1011" s="3"/>
      <c r="AZ1011" s="3"/>
      <c r="BA1011" s="3"/>
      <c r="BB1011" s="53"/>
      <c r="BC1011" s="3"/>
      <c r="BD1011" s="59"/>
      <c r="BE1011" s="3"/>
      <c r="BF1011" s="53"/>
      <c r="BG1011" s="59"/>
    </row>
    <row r="1012" spans="1:59" customFormat="1" ht="15" x14ac:dyDescent="0.35">
      <c r="A1012" s="50"/>
      <c r="B1012" s="63"/>
      <c r="C1012" s="39"/>
      <c r="D1012" s="6"/>
      <c r="E1012" s="149"/>
      <c r="F1012" s="153"/>
      <c r="G1012" s="10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5"/>
      <c r="V1012" s="5"/>
      <c r="W1012" s="13"/>
      <c r="X1012" s="4"/>
      <c r="Y1012" s="4"/>
      <c r="Z1012" s="4"/>
      <c r="AA1012" s="6"/>
      <c r="AB1012" s="5"/>
      <c r="AC1012" s="9"/>
      <c r="AD1012" s="9"/>
      <c r="AE1012" s="9"/>
      <c r="AF1012" s="9"/>
      <c r="AG1012" s="54"/>
      <c r="AH1012" s="3"/>
      <c r="AI1012" s="2"/>
      <c r="AJ1012" s="2"/>
      <c r="AK1012" s="2"/>
      <c r="AL1012" s="3"/>
      <c r="AM1012" s="3"/>
      <c r="AN1012" s="3"/>
      <c r="AO1012" s="3"/>
      <c r="AP1012" s="3"/>
      <c r="AQ1012" s="59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53"/>
      <c r="BC1012" s="3"/>
      <c r="BD1012" s="59"/>
      <c r="BE1012" s="3"/>
      <c r="BF1012" s="53"/>
      <c r="BG1012" s="59"/>
    </row>
    <row r="1013" spans="1:59" customFormat="1" ht="15" x14ac:dyDescent="0.35">
      <c r="A1013" s="19"/>
      <c r="B1013" s="49"/>
      <c r="C1013" s="14"/>
      <c r="D1013" s="1"/>
      <c r="E1013" s="149"/>
      <c r="F1013" s="153"/>
      <c r="G1013" s="10"/>
      <c r="H1013" s="17"/>
      <c r="I1013" s="17"/>
      <c r="J1013" s="17"/>
      <c r="K1013" s="30"/>
      <c r="L1013" s="30"/>
      <c r="M1013" s="30"/>
      <c r="N1013" s="30"/>
      <c r="O1013" s="30"/>
      <c r="P1013" s="30"/>
      <c r="Q1013" s="30"/>
      <c r="R1013" s="30"/>
      <c r="S1013" s="30"/>
      <c r="T1013" s="30"/>
      <c r="U1013" s="30"/>
      <c r="V1013" s="30"/>
      <c r="W1013" s="29"/>
      <c r="X1013" s="15"/>
      <c r="Y1013" s="30"/>
      <c r="Z1013" s="30"/>
      <c r="AA1013" s="30"/>
      <c r="AB1013" s="30"/>
      <c r="AC1013" s="17"/>
      <c r="AD1013" s="17"/>
      <c r="AE1013" s="17"/>
      <c r="AF1013" s="17"/>
      <c r="AG1013" s="20"/>
      <c r="AH1013" s="21"/>
      <c r="AI1013" s="21"/>
      <c r="AJ1013" s="21"/>
      <c r="AK1013" s="21"/>
      <c r="AL1013" s="21"/>
      <c r="AM1013" s="21"/>
      <c r="AN1013" s="21"/>
      <c r="AO1013" s="22"/>
      <c r="AP1013" s="21"/>
      <c r="AQ1013" s="24"/>
      <c r="AR1013" s="21"/>
      <c r="AS1013" s="21"/>
      <c r="AT1013" s="21"/>
      <c r="AU1013" s="21"/>
      <c r="AV1013" s="21"/>
      <c r="AW1013" s="21"/>
      <c r="AX1013" s="22"/>
      <c r="AY1013" s="21"/>
      <c r="AZ1013" s="22"/>
      <c r="BA1013" s="21"/>
      <c r="BB1013" s="20"/>
      <c r="BC1013" s="21"/>
      <c r="BD1013" s="25"/>
      <c r="BE1013" s="26"/>
      <c r="BF1013" s="27"/>
      <c r="BG1013" s="28"/>
    </row>
    <row r="1014" spans="1:59" customFormat="1" ht="15" x14ac:dyDescent="0.35">
      <c r="A1014" s="50"/>
      <c r="B1014" s="63"/>
      <c r="C1014" s="39"/>
      <c r="D1014" s="6"/>
      <c r="E1014" s="149"/>
      <c r="F1014" s="153"/>
      <c r="G1014" s="10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12"/>
      <c r="X1014" s="33"/>
      <c r="Y1014" s="6"/>
      <c r="Z1014" s="6"/>
      <c r="AA1014" s="6"/>
      <c r="AB1014" s="6"/>
      <c r="AC1014" s="9"/>
      <c r="AD1014" s="9"/>
      <c r="AE1014" s="9"/>
      <c r="AF1014" s="9"/>
      <c r="AG1014" s="5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59"/>
      <c r="AR1014" s="21"/>
      <c r="AS1014" s="21"/>
      <c r="AT1014" s="3"/>
      <c r="AU1014" s="3"/>
      <c r="AV1014" s="3"/>
      <c r="AW1014" s="3"/>
      <c r="AX1014" s="3"/>
      <c r="AY1014" s="3"/>
      <c r="AZ1014" s="3"/>
      <c r="BA1014" s="3"/>
      <c r="BB1014" s="53"/>
      <c r="BC1014" s="3"/>
      <c r="BD1014" s="59"/>
      <c r="BE1014" s="3"/>
      <c r="BF1014" s="53"/>
      <c r="BG1014" s="59"/>
    </row>
    <row r="1015" spans="1:59" customFormat="1" ht="15" x14ac:dyDescent="0.35">
      <c r="A1015" s="50"/>
      <c r="B1015" s="63"/>
      <c r="C1015" s="39"/>
      <c r="D1015" s="6"/>
      <c r="E1015" s="149"/>
      <c r="F1015" s="153"/>
      <c r="G1015" s="10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5"/>
      <c r="V1015" s="5"/>
      <c r="W1015" s="13"/>
      <c r="X1015" s="4"/>
      <c r="Y1015" s="4"/>
      <c r="Z1015" s="4"/>
      <c r="AA1015" s="6"/>
      <c r="AB1015" s="5"/>
      <c r="AC1015" s="9"/>
      <c r="AD1015" s="9"/>
      <c r="AE1015" s="9"/>
      <c r="AF1015" s="9"/>
      <c r="AG1015" s="54"/>
      <c r="AH1015" s="3"/>
      <c r="AI1015" s="2"/>
      <c r="AJ1015" s="2"/>
      <c r="AK1015" s="2"/>
      <c r="AL1015" s="3"/>
      <c r="AM1015" s="3"/>
      <c r="AN1015" s="3"/>
      <c r="AO1015" s="3"/>
      <c r="AP1015" s="3"/>
      <c r="AQ1015" s="59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53"/>
      <c r="BC1015" s="3"/>
      <c r="BD1015" s="59"/>
      <c r="BE1015" s="3"/>
      <c r="BF1015" s="53"/>
      <c r="BG1015" s="59"/>
    </row>
    <row r="1016" spans="1:59" customFormat="1" ht="15" x14ac:dyDescent="0.35">
      <c r="A1016" s="50"/>
      <c r="B1016" s="63"/>
      <c r="C1016" s="39"/>
      <c r="D1016" s="6"/>
      <c r="E1016" s="149"/>
      <c r="F1016" s="153"/>
      <c r="G1016" s="10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12"/>
      <c r="X1016" s="33"/>
      <c r="Y1016" s="6"/>
      <c r="Z1016" s="6"/>
      <c r="AA1016" s="6"/>
      <c r="AB1016" s="6"/>
      <c r="AC1016" s="9"/>
      <c r="AD1016" s="9"/>
      <c r="AE1016" s="9"/>
      <c r="AF1016" s="9"/>
      <c r="AG1016" s="5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59"/>
      <c r="AR1016" s="21"/>
      <c r="AS1016" s="21"/>
      <c r="AT1016" s="3"/>
      <c r="AU1016" s="3"/>
      <c r="AV1016" s="3"/>
      <c r="AW1016" s="3"/>
      <c r="AX1016" s="3"/>
      <c r="AY1016" s="3"/>
      <c r="AZ1016" s="3"/>
      <c r="BA1016" s="3"/>
      <c r="BB1016" s="53"/>
      <c r="BC1016" s="3"/>
      <c r="BD1016" s="59"/>
      <c r="BE1016" s="3"/>
      <c r="BF1016" s="53"/>
      <c r="BG1016" s="59"/>
    </row>
    <row r="1017" spans="1:59" customFormat="1" ht="15" x14ac:dyDescent="0.35">
      <c r="A1017" s="50"/>
      <c r="B1017" s="63"/>
      <c r="C1017" s="39"/>
      <c r="D1017" s="6"/>
      <c r="E1017" s="149"/>
      <c r="F1017" s="153"/>
      <c r="G1017" s="10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12"/>
      <c r="X1017" s="33"/>
      <c r="Y1017" s="6"/>
      <c r="Z1017" s="6"/>
      <c r="AA1017" s="6"/>
      <c r="AB1017" s="6"/>
      <c r="AC1017" s="9"/>
      <c r="AD1017" s="9"/>
      <c r="AE1017" s="9"/>
      <c r="AF1017" s="9"/>
      <c r="AG1017" s="5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59"/>
      <c r="AR1017" s="21"/>
      <c r="AS1017" s="21"/>
      <c r="AT1017" s="3"/>
      <c r="AU1017" s="3"/>
      <c r="AV1017" s="3"/>
      <c r="AW1017" s="3"/>
      <c r="AX1017" s="3"/>
      <c r="AY1017" s="3"/>
      <c r="AZ1017" s="3"/>
      <c r="BA1017" s="3"/>
      <c r="BB1017" s="53"/>
      <c r="BC1017" s="3"/>
      <c r="BD1017" s="59"/>
      <c r="BE1017" s="3"/>
      <c r="BF1017" s="53"/>
      <c r="BG1017" s="59"/>
    </row>
    <row r="1018" spans="1:59" customFormat="1" ht="15" x14ac:dyDescent="0.35">
      <c r="A1018" s="19"/>
      <c r="B1018" s="49"/>
      <c r="C1018" s="14"/>
      <c r="D1018" s="1"/>
      <c r="E1018" s="149"/>
      <c r="F1018" s="153"/>
      <c r="G1018" s="10"/>
      <c r="H1018" s="17"/>
      <c r="I1018" s="17"/>
      <c r="J1018" s="17"/>
      <c r="K1018" s="30"/>
      <c r="L1018" s="30"/>
      <c r="M1018" s="30"/>
      <c r="N1018" s="30"/>
      <c r="O1018" s="30"/>
      <c r="P1018" s="30"/>
      <c r="Q1018" s="30"/>
      <c r="R1018" s="30"/>
      <c r="S1018" s="30"/>
      <c r="T1018" s="30"/>
      <c r="U1018" s="30"/>
      <c r="V1018" s="30"/>
      <c r="W1018" s="29"/>
      <c r="X1018" s="15"/>
      <c r="Y1018" s="30"/>
      <c r="Z1018" s="30"/>
      <c r="AA1018" s="30"/>
      <c r="AB1018" s="30"/>
      <c r="AC1018" s="17"/>
      <c r="AD1018" s="17"/>
      <c r="AE1018" s="17"/>
      <c r="AF1018" s="17"/>
      <c r="AG1018" s="20"/>
      <c r="AH1018" s="21"/>
      <c r="AI1018" s="21"/>
      <c r="AJ1018" s="21"/>
      <c r="AK1018" s="21"/>
      <c r="AL1018" s="21"/>
      <c r="AM1018" s="21"/>
      <c r="AN1018" s="21"/>
      <c r="AO1018" s="22"/>
      <c r="AP1018" s="21"/>
      <c r="AQ1018" s="24"/>
      <c r="AR1018" s="21"/>
      <c r="AS1018" s="21"/>
      <c r="AT1018" s="21"/>
      <c r="AU1018" s="21"/>
      <c r="AV1018" s="21"/>
      <c r="AW1018" s="21"/>
      <c r="AX1018" s="22"/>
      <c r="AY1018" s="21"/>
      <c r="AZ1018" s="22"/>
      <c r="BA1018" s="21"/>
      <c r="BB1018" s="20"/>
      <c r="BC1018" s="21"/>
      <c r="BD1018" s="25"/>
      <c r="BE1018" s="26"/>
      <c r="BF1018" s="27"/>
      <c r="BG1018" s="28"/>
    </row>
    <row r="1019" spans="1:59" customFormat="1" ht="15" x14ac:dyDescent="0.35">
      <c r="A1019" s="19"/>
      <c r="B1019" s="49"/>
      <c r="C1019" s="14"/>
      <c r="D1019" s="1"/>
      <c r="E1019" s="149"/>
      <c r="F1019" s="153"/>
      <c r="G1019" s="10"/>
      <c r="H1019" s="17"/>
      <c r="I1019" s="17"/>
      <c r="J1019" s="17"/>
      <c r="K1019" s="30"/>
      <c r="L1019" s="30"/>
      <c r="M1019" s="30"/>
      <c r="N1019" s="30"/>
      <c r="O1019" s="30"/>
      <c r="P1019" s="30"/>
      <c r="Q1019" s="30"/>
      <c r="R1019" s="30"/>
      <c r="S1019" s="30"/>
      <c r="T1019" s="30"/>
      <c r="U1019" s="30"/>
      <c r="V1019" s="30"/>
      <c r="W1019" s="29"/>
      <c r="X1019" s="15"/>
      <c r="Y1019" s="30"/>
      <c r="Z1019" s="30"/>
      <c r="AA1019" s="30"/>
      <c r="AB1019" s="30"/>
      <c r="AC1019" s="17"/>
      <c r="AD1019" s="17"/>
      <c r="AE1019" s="17"/>
      <c r="AF1019" s="17"/>
      <c r="AG1019" s="20"/>
      <c r="AH1019" s="21"/>
      <c r="AI1019" s="21"/>
      <c r="AJ1019" s="21"/>
      <c r="AK1019" s="21"/>
      <c r="AL1019" s="21"/>
      <c r="AM1019" s="21"/>
      <c r="AN1019" s="21"/>
      <c r="AO1019" s="22"/>
      <c r="AP1019" s="21"/>
      <c r="AQ1019" s="24"/>
      <c r="AR1019" s="21"/>
      <c r="AS1019" s="21"/>
      <c r="AT1019" s="21"/>
      <c r="AU1019" s="21"/>
      <c r="AV1019" s="21"/>
      <c r="AW1019" s="21"/>
      <c r="AX1019" s="22"/>
      <c r="AY1019" s="21"/>
      <c r="AZ1019" s="22"/>
      <c r="BA1019" s="21"/>
      <c r="BB1019" s="20"/>
      <c r="BC1019" s="21"/>
      <c r="BD1019" s="25"/>
      <c r="BE1019" s="26"/>
      <c r="BF1019" s="27"/>
      <c r="BG1019" s="28"/>
    </row>
    <row r="1020" spans="1:59" customFormat="1" ht="15" x14ac:dyDescent="0.35">
      <c r="A1020" s="19"/>
      <c r="B1020" s="49"/>
      <c r="C1020" s="39"/>
      <c r="D1020" s="1"/>
      <c r="E1020" s="149"/>
      <c r="F1020" s="153"/>
      <c r="G1020" s="10"/>
      <c r="H1020" s="17"/>
      <c r="I1020" s="17"/>
      <c r="J1020" s="17"/>
      <c r="K1020" s="30"/>
      <c r="L1020" s="30"/>
      <c r="M1020" s="30"/>
      <c r="N1020" s="30"/>
      <c r="O1020" s="30"/>
      <c r="P1020" s="30"/>
      <c r="Q1020" s="30"/>
      <c r="R1020" s="30"/>
      <c r="S1020" s="30"/>
      <c r="T1020" s="30"/>
      <c r="U1020" s="30"/>
      <c r="V1020" s="30"/>
      <c r="W1020" s="29"/>
      <c r="X1020" s="15"/>
      <c r="Y1020" s="30"/>
      <c r="Z1020" s="30"/>
      <c r="AA1020" s="30"/>
      <c r="AB1020" s="30"/>
      <c r="AC1020" s="17"/>
      <c r="AD1020" s="17"/>
      <c r="AE1020" s="17"/>
      <c r="AF1020" s="17"/>
      <c r="AG1020" s="20"/>
      <c r="AH1020" s="21"/>
      <c r="AI1020" s="21"/>
      <c r="AJ1020" s="21"/>
      <c r="AK1020" s="21"/>
      <c r="AL1020" s="21"/>
      <c r="AM1020" s="21"/>
      <c r="AN1020" s="21"/>
      <c r="AO1020" s="22"/>
      <c r="AP1020" s="21"/>
      <c r="AQ1020" s="24"/>
      <c r="AR1020" s="21"/>
      <c r="AS1020" s="21"/>
      <c r="AT1020" s="21"/>
      <c r="AU1020" s="21"/>
      <c r="AV1020" s="21"/>
      <c r="AW1020" s="21"/>
      <c r="AX1020" s="22"/>
      <c r="AY1020" s="21"/>
      <c r="AZ1020" s="22"/>
      <c r="BA1020" s="21"/>
      <c r="BB1020" s="20"/>
      <c r="BC1020" s="21"/>
      <c r="BD1020" s="25"/>
      <c r="BE1020" s="26"/>
      <c r="BF1020" s="27"/>
      <c r="BG1020" s="28"/>
    </row>
    <row r="1021" spans="1:59" customFormat="1" ht="15" x14ac:dyDescent="0.35">
      <c r="A1021" s="50"/>
      <c r="B1021" s="63"/>
      <c r="C1021" s="39"/>
      <c r="D1021" s="6"/>
      <c r="E1021" s="149"/>
      <c r="F1021" s="153"/>
      <c r="G1021" s="10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12"/>
      <c r="X1021" s="33"/>
      <c r="Y1021" s="6"/>
      <c r="Z1021" s="6"/>
      <c r="AA1021" s="6"/>
      <c r="AB1021" s="6"/>
      <c r="AC1021" s="9"/>
      <c r="AD1021" s="9"/>
      <c r="AE1021" s="9"/>
      <c r="AF1021" s="9"/>
      <c r="AG1021" s="5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59"/>
      <c r="AR1021" s="21"/>
      <c r="AS1021" s="21"/>
      <c r="AT1021" s="3"/>
      <c r="AU1021" s="3"/>
      <c r="AV1021" s="3"/>
      <c r="AW1021" s="3"/>
      <c r="AX1021" s="3"/>
      <c r="AY1021" s="3"/>
      <c r="AZ1021" s="3"/>
      <c r="BA1021" s="3"/>
      <c r="BB1021" s="53"/>
      <c r="BC1021" s="3"/>
      <c r="BD1021" s="59"/>
      <c r="BE1021" s="3"/>
      <c r="BF1021" s="53"/>
      <c r="BG1021" s="59"/>
    </row>
    <row r="1022" spans="1:59" customFormat="1" ht="15" x14ac:dyDescent="0.35">
      <c r="A1022" s="19"/>
      <c r="B1022" s="49"/>
      <c r="C1022" s="14"/>
      <c r="D1022" s="1"/>
      <c r="E1022" s="149"/>
      <c r="F1022" s="153"/>
      <c r="G1022" s="10"/>
      <c r="H1022" s="17"/>
      <c r="I1022" s="17"/>
      <c r="J1022" s="17"/>
      <c r="K1022" s="30"/>
      <c r="L1022" s="30"/>
      <c r="M1022" s="30"/>
      <c r="N1022" s="30"/>
      <c r="O1022" s="30"/>
      <c r="P1022" s="30"/>
      <c r="Q1022" s="30"/>
      <c r="R1022" s="30"/>
      <c r="S1022" s="30"/>
      <c r="T1022" s="30"/>
      <c r="U1022" s="30"/>
      <c r="V1022" s="30"/>
      <c r="W1022" s="29"/>
      <c r="X1022" s="15"/>
      <c r="Y1022" s="30"/>
      <c r="Z1022" s="30"/>
      <c r="AA1022" s="30"/>
      <c r="AB1022" s="30"/>
      <c r="AC1022" s="17"/>
      <c r="AD1022" s="17"/>
      <c r="AE1022" s="17"/>
      <c r="AF1022" s="17"/>
      <c r="AG1022" s="20"/>
      <c r="AH1022" s="21"/>
      <c r="AI1022" s="21"/>
      <c r="AJ1022" s="21"/>
      <c r="AK1022" s="21"/>
      <c r="AL1022" s="21"/>
      <c r="AM1022" s="21"/>
      <c r="AN1022" s="21"/>
      <c r="AO1022" s="22"/>
      <c r="AP1022" s="21"/>
      <c r="AQ1022" s="24"/>
      <c r="AR1022" s="21"/>
      <c r="AS1022" s="21"/>
      <c r="AT1022" s="21"/>
      <c r="AU1022" s="21"/>
      <c r="AV1022" s="21"/>
      <c r="AW1022" s="21"/>
      <c r="AX1022" s="22"/>
      <c r="AY1022" s="21"/>
      <c r="AZ1022" s="22"/>
      <c r="BA1022" s="21"/>
      <c r="BB1022" s="20"/>
      <c r="BC1022" s="21"/>
      <c r="BD1022" s="25"/>
      <c r="BE1022" s="26"/>
      <c r="BF1022" s="27"/>
      <c r="BG1022" s="28"/>
    </row>
    <row r="1023" spans="1:59" customFormat="1" ht="15" x14ac:dyDescent="0.35">
      <c r="A1023" s="50"/>
      <c r="B1023" s="63"/>
      <c r="C1023" s="39"/>
      <c r="D1023" s="6"/>
      <c r="E1023" s="149"/>
      <c r="F1023" s="153"/>
      <c r="G1023" s="10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5"/>
      <c r="V1023" s="5"/>
      <c r="W1023" s="13"/>
      <c r="X1023" s="4"/>
      <c r="Y1023" s="4"/>
      <c r="Z1023" s="4"/>
      <c r="AA1023" s="6"/>
      <c r="AB1023" s="5"/>
      <c r="AC1023" s="9"/>
      <c r="AD1023" s="9"/>
      <c r="AE1023" s="9"/>
      <c r="AF1023" s="9"/>
      <c r="AG1023" s="54"/>
      <c r="AH1023" s="3"/>
      <c r="AI1023" s="2"/>
      <c r="AJ1023" s="2"/>
      <c r="AK1023" s="2"/>
      <c r="AL1023" s="3"/>
      <c r="AM1023" s="3"/>
      <c r="AN1023" s="3"/>
      <c r="AO1023" s="3"/>
      <c r="AP1023" s="3"/>
      <c r="AQ1023" s="59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53"/>
      <c r="BC1023" s="3"/>
      <c r="BD1023" s="59"/>
      <c r="BE1023" s="3"/>
      <c r="BF1023" s="53"/>
      <c r="BG1023" s="59"/>
    </row>
    <row r="1024" spans="1:59" customFormat="1" ht="15" x14ac:dyDescent="0.35">
      <c r="A1024" s="19"/>
      <c r="B1024" s="49"/>
      <c r="C1024" s="14"/>
      <c r="D1024" s="6"/>
      <c r="E1024" s="149"/>
      <c r="F1024" s="153"/>
      <c r="G1024" s="10"/>
      <c r="H1024" s="17"/>
      <c r="I1024" s="17"/>
      <c r="J1024" s="17"/>
      <c r="K1024" s="30"/>
      <c r="L1024" s="30"/>
      <c r="M1024" s="30"/>
      <c r="N1024" s="30"/>
      <c r="O1024" s="30"/>
      <c r="P1024" s="30"/>
      <c r="Q1024" s="30"/>
      <c r="R1024" s="30"/>
      <c r="S1024" s="30"/>
      <c r="T1024" s="30"/>
      <c r="U1024" s="30"/>
      <c r="V1024" s="30"/>
      <c r="W1024" s="29"/>
      <c r="X1024" s="15"/>
      <c r="Y1024" s="30"/>
      <c r="Z1024" s="30"/>
      <c r="AA1024" s="30"/>
      <c r="AB1024" s="30"/>
      <c r="AC1024" s="17"/>
      <c r="AD1024" s="17"/>
      <c r="AE1024" s="17"/>
      <c r="AF1024" s="17"/>
      <c r="AG1024" s="20"/>
      <c r="AH1024" s="21"/>
      <c r="AI1024" s="21"/>
      <c r="AJ1024" s="21"/>
      <c r="AK1024" s="21"/>
      <c r="AL1024" s="21"/>
      <c r="AM1024" s="21"/>
      <c r="AN1024" s="21"/>
      <c r="AO1024" s="22"/>
      <c r="AP1024" s="21"/>
      <c r="AQ1024" s="24"/>
      <c r="AR1024" s="21"/>
      <c r="AS1024" s="21"/>
      <c r="AT1024" s="21"/>
      <c r="AU1024" s="21"/>
      <c r="AV1024" s="21"/>
      <c r="AW1024" s="21"/>
      <c r="AX1024" s="22"/>
      <c r="AY1024" s="21"/>
      <c r="AZ1024" s="22"/>
      <c r="BA1024" s="21"/>
      <c r="BB1024" s="20"/>
      <c r="BC1024" s="21"/>
      <c r="BD1024" s="25"/>
      <c r="BE1024" s="26"/>
      <c r="BF1024" s="27"/>
      <c r="BG1024" s="28"/>
    </row>
    <row r="1025" spans="1:59" customFormat="1" ht="15" x14ac:dyDescent="0.35">
      <c r="A1025" s="50"/>
      <c r="B1025" s="63"/>
      <c r="C1025" s="39"/>
      <c r="D1025" s="6"/>
      <c r="E1025" s="149"/>
      <c r="F1025" s="153"/>
      <c r="G1025" s="10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5"/>
      <c r="V1025" s="5"/>
      <c r="W1025" s="13"/>
      <c r="X1025" s="4"/>
      <c r="Y1025" s="4"/>
      <c r="Z1025" s="4"/>
      <c r="AA1025" s="6"/>
      <c r="AB1025" s="5"/>
      <c r="AC1025" s="9"/>
      <c r="AD1025" s="9"/>
      <c r="AE1025" s="9"/>
      <c r="AF1025" s="9"/>
      <c r="AG1025" s="54"/>
      <c r="AH1025" s="3"/>
      <c r="AI1025" s="2"/>
      <c r="AJ1025" s="2"/>
      <c r="AK1025" s="2"/>
      <c r="AL1025" s="3"/>
      <c r="AM1025" s="3"/>
      <c r="AN1025" s="3"/>
      <c r="AO1025" s="3"/>
      <c r="AP1025" s="3"/>
      <c r="AQ1025" s="59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53"/>
      <c r="BC1025" s="3"/>
      <c r="BD1025" s="59"/>
      <c r="BE1025" s="3"/>
      <c r="BF1025" s="53"/>
      <c r="BG1025" s="59"/>
    </row>
    <row r="1026" spans="1:59" customFormat="1" ht="15" x14ac:dyDescent="0.35">
      <c r="A1026" s="19"/>
      <c r="B1026" s="49"/>
      <c r="C1026" s="39"/>
      <c r="D1026" s="1"/>
      <c r="E1026" s="149"/>
      <c r="F1026" s="153"/>
      <c r="G1026" s="10"/>
      <c r="H1026" s="17"/>
      <c r="I1026" s="17"/>
      <c r="J1026" s="17"/>
      <c r="K1026" s="30"/>
      <c r="L1026" s="30"/>
      <c r="M1026" s="30"/>
      <c r="N1026" s="30"/>
      <c r="O1026" s="30"/>
      <c r="P1026" s="30"/>
      <c r="Q1026" s="30"/>
      <c r="R1026" s="30"/>
      <c r="S1026" s="30"/>
      <c r="T1026" s="30"/>
      <c r="U1026" s="30"/>
      <c r="V1026" s="30"/>
      <c r="W1026" s="29"/>
      <c r="X1026" s="15"/>
      <c r="Y1026" s="30"/>
      <c r="Z1026" s="30"/>
      <c r="AA1026" s="30"/>
      <c r="AB1026" s="30"/>
      <c r="AC1026" s="17"/>
      <c r="AD1026" s="17"/>
      <c r="AE1026" s="17"/>
      <c r="AF1026" s="17"/>
      <c r="AG1026" s="20"/>
      <c r="AH1026" s="21"/>
      <c r="AI1026" s="21"/>
      <c r="AJ1026" s="21"/>
      <c r="AK1026" s="21"/>
      <c r="AL1026" s="21"/>
      <c r="AM1026" s="21"/>
      <c r="AN1026" s="21"/>
      <c r="AO1026" s="22"/>
      <c r="AP1026" s="21"/>
      <c r="AQ1026" s="24"/>
      <c r="AR1026" s="21"/>
      <c r="AS1026" s="21"/>
      <c r="AT1026" s="21"/>
      <c r="AU1026" s="21"/>
      <c r="AV1026" s="21"/>
      <c r="AW1026" s="21"/>
      <c r="AX1026" s="22"/>
      <c r="AY1026" s="21"/>
      <c r="AZ1026" s="22"/>
      <c r="BA1026" s="21"/>
      <c r="BB1026" s="20"/>
      <c r="BC1026" s="21"/>
      <c r="BD1026" s="25"/>
      <c r="BE1026" s="26"/>
      <c r="BF1026" s="27"/>
      <c r="BG1026" s="28"/>
    </row>
    <row r="1027" spans="1:59" customFormat="1" ht="15" x14ac:dyDescent="0.35">
      <c r="A1027" s="50"/>
      <c r="B1027" s="63"/>
      <c r="C1027" s="39"/>
      <c r="D1027" s="6"/>
      <c r="E1027" s="149"/>
      <c r="F1027" s="153"/>
      <c r="G1027" s="10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5"/>
      <c r="V1027" s="5"/>
      <c r="W1027" s="13"/>
      <c r="X1027" s="4"/>
      <c r="Y1027" s="4"/>
      <c r="Z1027" s="4"/>
      <c r="AA1027" s="6"/>
      <c r="AB1027" s="5"/>
      <c r="AC1027" s="9"/>
      <c r="AD1027" s="9"/>
      <c r="AE1027" s="9"/>
      <c r="AF1027" s="9"/>
      <c r="AG1027" s="54"/>
      <c r="AH1027" s="3"/>
      <c r="AI1027" s="2"/>
      <c r="AJ1027" s="2"/>
      <c r="AK1027" s="2"/>
      <c r="AL1027" s="3"/>
      <c r="AM1027" s="3"/>
      <c r="AN1027" s="3"/>
      <c r="AO1027" s="3"/>
      <c r="AP1027" s="3"/>
      <c r="AQ1027" s="59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53"/>
      <c r="BC1027" s="3"/>
      <c r="BD1027" s="59"/>
      <c r="BE1027" s="3"/>
      <c r="BF1027" s="53"/>
      <c r="BG1027" s="59"/>
    </row>
    <row r="1028" spans="1:59" customFormat="1" ht="15" x14ac:dyDescent="0.35">
      <c r="A1028" s="50"/>
      <c r="B1028" s="63"/>
      <c r="C1028" s="39"/>
      <c r="D1028" s="6"/>
      <c r="E1028" s="149"/>
      <c r="F1028" s="153"/>
      <c r="G1028" s="10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12"/>
      <c r="X1028" s="33"/>
      <c r="Y1028" s="6"/>
      <c r="Z1028" s="6"/>
      <c r="AA1028" s="6"/>
      <c r="AB1028" s="6"/>
      <c r="AC1028" s="9"/>
      <c r="AD1028" s="9"/>
      <c r="AE1028" s="9"/>
      <c r="AF1028" s="9"/>
      <c r="AG1028" s="5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59"/>
      <c r="AR1028" s="21"/>
      <c r="AS1028" s="21"/>
      <c r="AT1028" s="3"/>
      <c r="AU1028" s="3"/>
      <c r="AV1028" s="3"/>
      <c r="AW1028" s="3"/>
      <c r="AX1028" s="3"/>
      <c r="AY1028" s="3"/>
      <c r="AZ1028" s="3"/>
      <c r="BA1028" s="3"/>
      <c r="BB1028" s="53"/>
      <c r="BC1028" s="3"/>
      <c r="BD1028" s="59"/>
      <c r="BE1028" s="3"/>
      <c r="BF1028" s="53"/>
      <c r="BG1028" s="59"/>
    </row>
    <row r="1029" spans="1:59" customFormat="1" ht="15" x14ac:dyDescent="0.35">
      <c r="A1029" s="50"/>
      <c r="B1029" s="63"/>
      <c r="C1029" s="39"/>
      <c r="D1029" s="6"/>
      <c r="E1029" s="149"/>
      <c r="F1029" s="153"/>
      <c r="G1029" s="10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5"/>
      <c r="V1029" s="5"/>
      <c r="W1029" s="13"/>
      <c r="X1029" s="4"/>
      <c r="Y1029" s="4"/>
      <c r="Z1029" s="4"/>
      <c r="AA1029" s="6"/>
      <c r="AB1029" s="5"/>
      <c r="AC1029" s="9"/>
      <c r="AD1029" s="9"/>
      <c r="AE1029" s="9"/>
      <c r="AF1029" s="9"/>
      <c r="AG1029" s="54"/>
      <c r="AH1029" s="3"/>
      <c r="AI1029" s="2"/>
      <c r="AJ1029" s="2"/>
      <c r="AK1029" s="2"/>
      <c r="AL1029" s="3"/>
      <c r="AM1029" s="3"/>
      <c r="AN1029" s="3"/>
      <c r="AO1029" s="3"/>
      <c r="AP1029" s="3"/>
      <c r="AQ1029" s="59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53"/>
      <c r="BC1029" s="3"/>
      <c r="BD1029" s="59"/>
      <c r="BE1029" s="3"/>
      <c r="BF1029" s="53"/>
      <c r="BG1029" s="59"/>
    </row>
    <row r="1030" spans="1:59" customFormat="1" ht="15" x14ac:dyDescent="0.35">
      <c r="A1030" s="50"/>
      <c r="B1030" s="63"/>
      <c r="C1030" s="39"/>
      <c r="D1030" s="6"/>
      <c r="E1030" s="149"/>
      <c r="F1030" s="153"/>
      <c r="G1030" s="10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12"/>
      <c r="X1030" s="33"/>
      <c r="Y1030" s="6"/>
      <c r="Z1030" s="6"/>
      <c r="AA1030" s="6"/>
      <c r="AB1030" s="6"/>
      <c r="AC1030" s="9"/>
      <c r="AD1030" s="9"/>
      <c r="AE1030" s="9"/>
      <c r="AF1030" s="9"/>
      <c r="AG1030" s="5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59"/>
      <c r="AR1030" s="21"/>
      <c r="AS1030" s="21"/>
      <c r="AT1030" s="3"/>
      <c r="AU1030" s="3"/>
      <c r="AV1030" s="3"/>
      <c r="AW1030" s="3"/>
      <c r="AX1030" s="3"/>
      <c r="AY1030" s="3"/>
      <c r="AZ1030" s="3"/>
      <c r="BA1030" s="3"/>
      <c r="BB1030" s="53"/>
      <c r="BC1030" s="3"/>
      <c r="BD1030" s="59"/>
      <c r="BE1030" s="3"/>
      <c r="BF1030" s="53"/>
      <c r="BG1030" s="59"/>
    </row>
    <row r="1031" spans="1:59" customFormat="1" ht="15" x14ac:dyDescent="0.35">
      <c r="A1031" s="50"/>
      <c r="B1031" s="63"/>
      <c r="C1031" s="39"/>
      <c r="D1031" s="6"/>
      <c r="E1031" s="149"/>
      <c r="F1031" s="153"/>
      <c r="G1031" s="10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12"/>
      <c r="X1031" s="33"/>
      <c r="Y1031" s="6"/>
      <c r="Z1031" s="6"/>
      <c r="AA1031" s="6"/>
      <c r="AB1031" s="6"/>
      <c r="AC1031" s="9"/>
      <c r="AD1031" s="9"/>
      <c r="AE1031" s="9"/>
      <c r="AF1031" s="9"/>
      <c r="AG1031" s="5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59"/>
      <c r="AR1031" s="21"/>
      <c r="AS1031" s="21"/>
      <c r="AT1031" s="3"/>
      <c r="AU1031" s="3"/>
      <c r="AV1031" s="3"/>
      <c r="AW1031" s="3"/>
      <c r="AX1031" s="3"/>
      <c r="AY1031" s="3"/>
      <c r="AZ1031" s="3"/>
      <c r="BA1031" s="3"/>
      <c r="BB1031" s="53"/>
      <c r="BC1031" s="3"/>
      <c r="BD1031" s="59"/>
      <c r="BE1031" s="3"/>
      <c r="BF1031" s="53"/>
      <c r="BG1031" s="59"/>
    </row>
    <row r="1032" spans="1:59" customFormat="1" ht="15" x14ac:dyDescent="0.35">
      <c r="A1032" s="50"/>
      <c r="B1032" s="63"/>
      <c r="C1032" s="39"/>
      <c r="D1032" s="6"/>
      <c r="E1032" s="149"/>
      <c r="F1032" s="153"/>
      <c r="G1032" s="10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5"/>
      <c r="V1032" s="5"/>
      <c r="W1032" s="13"/>
      <c r="X1032" s="4"/>
      <c r="Y1032" s="4"/>
      <c r="Z1032" s="4"/>
      <c r="AA1032" s="6"/>
      <c r="AB1032" s="5"/>
      <c r="AC1032" s="9"/>
      <c r="AD1032" s="9"/>
      <c r="AE1032" s="9"/>
      <c r="AF1032" s="9"/>
      <c r="AG1032" s="54"/>
      <c r="AH1032" s="3"/>
      <c r="AI1032" s="2"/>
      <c r="AJ1032" s="2"/>
      <c r="AK1032" s="2"/>
      <c r="AL1032" s="3"/>
      <c r="AM1032" s="3"/>
      <c r="AN1032" s="3"/>
      <c r="AO1032" s="3"/>
      <c r="AP1032" s="3"/>
      <c r="AQ1032" s="59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53"/>
      <c r="BC1032" s="3"/>
      <c r="BD1032" s="59"/>
      <c r="BE1032" s="3"/>
      <c r="BF1032" s="53"/>
      <c r="BG1032" s="59"/>
    </row>
    <row r="1033" spans="1:59" customFormat="1" ht="15" x14ac:dyDescent="0.35">
      <c r="A1033" s="50"/>
      <c r="B1033" s="63"/>
      <c r="C1033" s="39"/>
      <c r="D1033" s="6"/>
      <c r="E1033" s="149"/>
      <c r="F1033" s="153"/>
      <c r="G1033" s="10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12"/>
      <c r="X1033" s="33"/>
      <c r="Y1033" s="6"/>
      <c r="Z1033" s="6"/>
      <c r="AA1033" s="6"/>
      <c r="AB1033" s="6"/>
      <c r="AC1033" s="9"/>
      <c r="AD1033" s="9"/>
      <c r="AE1033" s="9"/>
      <c r="AF1033" s="9"/>
      <c r="AG1033" s="5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59"/>
      <c r="AR1033" s="21"/>
      <c r="AS1033" s="21"/>
      <c r="AT1033" s="3"/>
      <c r="AU1033" s="3"/>
      <c r="AV1033" s="3"/>
      <c r="AW1033" s="3"/>
      <c r="AX1033" s="3"/>
      <c r="AY1033" s="3"/>
      <c r="AZ1033" s="3"/>
      <c r="BA1033" s="3"/>
      <c r="BB1033" s="53"/>
      <c r="BC1033" s="3"/>
      <c r="BD1033" s="59"/>
      <c r="BE1033" s="3"/>
      <c r="BF1033" s="53"/>
      <c r="BG1033" s="59"/>
    </row>
    <row r="1034" spans="1:59" customFormat="1" ht="15" x14ac:dyDescent="0.35">
      <c r="A1034" s="19"/>
      <c r="B1034" s="49"/>
      <c r="C1034" s="14"/>
      <c r="D1034" s="1"/>
      <c r="E1034" s="149"/>
      <c r="F1034" s="153"/>
      <c r="G1034" s="10"/>
      <c r="H1034" s="17"/>
      <c r="I1034" s="17"/>
      <c r="J1034" s="17"/>
      <c r="K1034" s="30"/>
      <c r="L1034" s="30"/>
      <c r="M1034" s="30"/>
      <c r="N1034" s="30"/>
      <c r="O1034" s="30"/>
      <c r="P1034" s="30"/>
      <c r="Q1034" s="30"/>
      <c r="R1034" s="30"/>
      <c r="S1034" s="30"/>
      <c r="T1034" s="30"/>
      <c r="U1034" s="30"/>
      <c r="V1034" s="30"/>
      <c r="W1034" s="29"/>
      <c r="X1034" s="15"/>
      <c r="Y1034" s="30"/>
      <c r="Z1034" s="30"/>
      <c r="AA1034" s="30"/>
      <c r="AB1034" s="30"/>
      <c r="AC1034" s="17"/>
      <c r="AD1034" s="17"/>
      <c r="AE1034" s="17"/>
      <c r="AF1034" s="17"/>
      <c r="AG1034" s="20"/>
      <c r="AH1034" s="21"/>
      <c r="AI1034" s="21"/>
      <c r="AJ1034" s="21"/>
      <c r="AK1034" s="21"/>
      <c r="AL1034" s="21"/>
      <c r="AM1034" s="21"/>
      <c r="AN1034" s="21"/>
      <c r="AO1034" s="22"/>
      <c r="AP1034" s="21"/>
      <c r="AQ1034" s="24"/>
      <c r="AR1034" s="21"/>
      <c r="AS1034" s="21"/>
      <c r="AT1034" s="21"/>
      <c r="AU1034" s="21"/>
      <c r="AV1034" s="21"/>
      <c r="AW1034" s="21"/>
      <c r="AX1034" s="22"/>
      <c r="AY1034" s="21"/>
      <c r="AZ1034" s="22"/>
      <c r="BA1034" s="21"/>
      <c r="BB1034" s="20"/>
      <c r="BC1034" s="21"/>
      <c r="BD1034" s="25"/>
      <c r="BE1034" s="26"/>
      <c r="BF1034" s="27"/>
      <c r="BG1034" s="28"/>
    </row>
    <row r="1035" spans="1:59" customFormat="1" ht="15" x14ac:dyDescent="0.35">
      <c r="A1035" s="50"/>
      <c r="B1035" s="63"/>
      <c r="C1035" s="39"/>
      <c r="D1035" s="6"/>
      <c r="E1035" s="149"/>
      <c r="F1035" s="153"/>
      <c r="G1035" s="10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5"/>
      <c r="V1035" s="5"/>
      <c r="W1035" s="13"/>
      <c r="X1035" s="4"/>
      <c r="Y1035" s="4"/>
      <c r="Z1035" s="4"/>
      <c r="AA1035" s="6"/>
      <c r="AB1035" s="5"/>
      <c r="AC1035" s="9"/>
      <c r="AD1035" s="9"/>
      <c r="AE1035" s="9"/>
      <c r="AF1035" s="9"/>
      <c r="AG1035" s="54"/>
      <c r="AH1035" s="3"/>
      <c r="AI1035" s="2"/>
      <c r="AJ1035" s="2"/>
      <c r="AK1035" s="2"/>
      <c r="AL1035" s="3"/>
      <c r="AM1035" s="3"/>
      <c r="AN1035" s="3"/>
      <c r="AO1035" s="3"/>
      <c r="AP1035" s="3"/>
      <c r="AQ1035" s="59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53"/>
      <c r="BC1035" s="3"/>
      <c r="BD1035" s="59"/>
      <c r="BE1035" s="3"/>
      <c r="BF1035" s="53"/>
      <c r="BG1035" s="59"/>
    </row>
    <row r="1036" spans="1:59" customFormat="1" ht="15" x14ac:dyDescent="0.35">
      <c r="A1036" s="50"/>
      <c r="B1036" s="63"/>
      <c r="C1036" s="39"/>
      <c r="D1036" s="6"/>
      <c r="E1036" s="149"/>
      <c r="F1036" s="153"/>
      <c r="G1036" s="10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5"/>
      <c r="V1036" s="5"/>
      <c r="W1036" s="13"/>
      <c r="X1036" s="4"/>
      <c r="Y1036" s="4"/>
      <c r="Z1036" s="4"/>
      <c r="AA1036" s="6"/>
      <c r="AB1036" s="5"/>
      <c r="AC1036" s="9"/>
      <c r="AD1036" s="9"/>
      <c r="AE1036" s="9"/>
      <c r="AF1036" s="9"/>
      <c r="AG1036" s="54"/>
      <c r="AH1036" s="3"/>
      <c r="AI1036" s="2"/>
      <c r="AJ1036" s="2"/>
      <c r="AK1036" s="2"/>
      <c r="AL1036" s="3"/>
      <c r="AM1036" s="3"/>
      <c r="AN1036" s="3"/>
      <c r="AO1036" s="3"/>
      <c r="AP1036" s="3"/>
      <c r="AQ1036" s="59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53"/>
      <c r="BC1036" s="3"/>
      <c r="BD1036" s="59"/>
      <c r="BE1036" s="3"/>
      <c r="BF1036" s="53"/>
      <c r="BG1036" s="59"/>
    </row>
    <row r="1037" spans="1:59" customFormat="1" ht="15" x14ac:dyDescent="0.35">
      <c r="A1037" s="50"/>
      <c r="B1037" s="63"/>
      <c r="C1037" s="39"/>
      <c r="D1037" s="6"/>
      <c r="E1037" s="149"/>
      <c r="F1037" s="153"/>
      <c r="G1037" s="10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12"/>
      <c r="X1037" s="33"/>
      <c r="Y1037" s="6"/>
      <c r="Z1037" s="6"/>
      <c r="AA1037" s="6"/>
      <c r="AB1037" s="6"/>
      <c r="AC1037" s="9"/>
      <c r="AD1037" s="9"/>
      <c r="AE1037" s="9"/>
      <c r="AF1037" s="9"/>
      <c r="AG1037" s="5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59"/>
      <c r="AR1037" s="21"/>
      <c r="AS1037" s="21"/>
      <c r="AT1037" s="3"/>
      <c r="AU1037" s="3"/>
      <c r="AV1037" s="3"/>
      <c r="AW1037" s="3"/>
      <c r="AX1037" s="3"/>
      <c r="AY1037" s="3"/>
      <c r="AZ1037" s="3"/>
      <c r="BA1037" s="3"/>
      <c r="BB1037" s="53"/>
      <c r="BC1037" s="3"/>
      <c r="BD1037" s="59"/>
      <c r="BE1037" s="3"/>
      <c r="BF1037" s="53"/>
      <c r="BG1037" s="59"/>
    </row>
    <row r="1038" spans="1:59" customFormat="1" ht="15" x14ac:dyDescent="0.35">
      <c r="A1038" s="50"/>
      <c r="B1038" s="63"/>
      <c r="C1038" s="39"/>
      <c r="D1038" s="6"/>
      <c r="E1038" s="149"/>
      <c r="F1038" s="153"/>
      <c r="G1038" s="10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5"/>
      <c r="V1038" s="5"/>
      <c r="W1038" s="13"/>
      <c r="X1038" s="4"/>
      <c r="Y1038" s="4"/>
      <c r="Z1038" s="4"/>
      <c r="AA1038" s="6"/>
      <c r="AB1038" s="5"/>
      <c r="AC1038" s="9"/>
      <c r="AD1038" s="9"/>
      <c r="AE1038" s="9"/>
      <c r="AF1038" s="9"/>
      <c r="AG1038" s="54"/>
      <c r="AH1038" s="3"/>
      <c r="AI1038" s="2"/>
      <c r="AJ1038" s="2"/>
      <c r="AK1038" s="2"/>
      <c r="AL1038" s="3"/>
      <c r="AM1038" s="3"/>
      <c r="AN1038" s="3"/>
      <c r="AO1038" s="3"/>
      <c r="AP1038" s="3"/>
      <c r="AQ1038" s="59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53"/>
      <c r="BC1038" s="3"/>
      <c r="BD1038" s="59"/>
      <c r="BE1038" s="3"/>
      <c r="BF1038" s="53"/>
      <c r="BG1038" s="59"/>
    </row>
    <row r="1039" spans="1:59" customFormat="1" ht="15" x14ac:dyDescent="0.35">
      <c r="A1039" s="19"/>
      <c r="B1039" s="49"/>
      <c r="C1039" s="14"/>
      <c r="D1039" s="1"/>
      <c r="E1039" s="149"/>
      <c r="F1039" s="153"/>
      <c r="G1039" s="10"/>
      <c r="H1039" s="17"/>
      <c r="I1039" s="17"/>
      <c r="J1039" s="17"/>
      <c r="K1039" s="30"/>
      <c r="L1039" s="30"/>
      <c r="M1039" s="30"/>
      <c r="N1039" s="30"/>
      <c r="O1039" s="30"/>
      <c r="P1039" s="30"/>
      <c r="Q1039" s="30"/>
      <c r="R1039" s="30"/>
      <c r="S1039" s="30"/>
      <c r="T1039" s="30"/>
      <c r="U1039" s="30"/>
      <c r="V1039" s="30"/>
      <c r="W1039" s="29"/>
      <c r="X1039" s="15"/>
      <c r="Y1039" s="30"/>
      <c r="Z1039" s="30"/>
      <c r="AA1039" s="30"/>
      <c r="AB1039" s="30"/>
      <c r="AC1039" s="17"/>
      <c r="AD1039" s="17"/>
      <c r="AE1039" s="17"/>
      <c r="AF1039" s="17"/>
      <c r="AG1039" s="20"/>
      <c r="AH1039" s="21"/>
      <c r="AI1039" s="21"/>
      <c r="AJ1039" s="21"/>
      <c r="AK1039" s="21"/>
      <c r="AL1039" s="21"/>
      <c r="AM1039" s="21"/>
      <c r="AN1039" s="21"/>
      <c r="AO1039" s="22"/>
      <c r="AP1039" s="21"/>
      <c r="AQ1039" s="24"/>
      <c r="AR1039" s="21"/>
      <c r="AS1039" s="21"/>
      <c r="AT1039" s="21"/>
      <c r="AU1039" s="21"/>
      <c r="AV1039" s="21"/>
      <c r="AW1039" s="21"/>
      <c r="AX1039" s="22"/>
      <c r="AY1039" s="21"/>
      <c r="AZ1039" s="22"/>
      <c r="BA1039" s="21"/>
      <c r="BB1039" s="20"/>
      <c r="BC1039" s="21"/>
      <c r="BD1039" s="25"/>
      <c r="BE1039" s="26"/>
      <c r="BF1039" s="27"/>
      <c r="BG1039" s="28"/>
    </row>
    <row r="1040" spans="1:59" customFormat="1" ht="15" x14ac:dyDescent="0.35">
      <c r="A1040" s="50"/>
      <c r="B1040" s="63"/>
      <c r="C1040" s="39"/>
      <c r="D1040" s="6"/>
      <c r="E1040" s="149"/>
      <c r="F1040" s="153"/>
      <c r="G1040" s="10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12"/>
      <c r="X1040" s="33"/>
      <c r="Y1040" s="6"/>
      <c r="Z1040" s="6"/>
      <c r="AA1040" s="6"/>
      <c r="AB1040" s="6"/>
      <c r="AC1040" s="9"/>
      <c r="AD1040" s="9"/>
      <c r="AE1040" s="9"/>
      <c r="AF1040" s="9"/>
      <c r="AG1040" s="5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59"/>
      <c r="AR1040" s="21"/>
      <c r="AS1040" s="21"/>
      <c r="AT1040" s="3"/>
      <c r="AU1040" s="3"/>
      <c r="AV1040" s="3"/>
      <c r="AW1040" s="3"/>
      <c r="AX1040" s="3"/>
      <c r="AY1040" s="3"/>
      <c r="AZ1040" s="3"/>
      <c r="BA1040" s="3"/>
      <c r="BB1040" s="53"/>
      <c r="BC1040" s="3"/>
      <c r="BD1040" s="59"/>
      <c r="BE1040" s="3"/>
      <c r="BF1040" s="53"/>
      <c r="BG1040" s="59"/>
    </row>
    <row r="1041" spans="1:59" customFormat="1" ht="15" x14ac:dyDescent="0.35">
      <c r="A1041" s="19"/>
      <c r="B1041" s="49"/>
      <c r="C1041" s="14"/>
      <c r="D1041" s="1"/>
      <c r="E1041" s="149"/>
      <c r="F1041" s="153"/>
      <c r="G1041" s="10"/>
      <c r="H1041" s="17"/>
      <c r="I1041" s="17"/>
      <c r="J1041" s="17"/>
      <c r="K1041" s="30"/>
      <c r="L1041" s="30"/>
      <c r="M1041" s="30"/>
      <c r="N1041" s="30"/>
      <c r="O1041" s="30"/>
      <c r="P1041" s="30"/>
      <c r="Q1041" s="30"/>
      <c r="R1041" s="30"/>
      <c r="S1041" s="30"/>
      <c r="T1041" s="30"/>
      <c r="U1041" s="30"/>
      <c r="V1041" s="30"/>
      <c r="W1041" s="29"/>
      <c r="X1041" s="15"/>
      <c r="Y1041" s="30"/>
      <c r="Z1041" s="30"/>
      <c r="AA1041" s="30"/>
      <c r="AB1041" s="30"/>
      <c r="AC1041" s="17"/>
      <c r="AD1041" s="17"/>
      <c r="AE1041" s="17"/>
      <c r="AF1041" s="17"/>
      <c r="AG1041" s="20"/>
      <c r="AH1041" s="21"/>
      <c r="AI1041" s="21"/>
      <c r="AJ1041" s="21"/>
      <c r="AK1041" s="21"/>
      <c r="AL1041" s="21"/>
      <c r="AM1041" s="21"/>
      <c r="AN1041" s="21"/>
      <c r="AO1041" s="22"/>
      <c r="AP1041" s="21"/>
      <c r="AQ1041" s="24"/>
      <c r="AR1041" s="21"/>
      <c r="AS1041" s="21"/>
      <c r="AT1041" s="21"/>
      <c r="AU1041" s="21"/>
      <c r="AV1041" s="21"/>
      <c r="AW1041" s="21"/>
      <c r="AX1041" s="22"/>
      <c r="AY1041" s="21"/>
      <c r="AZ1041" s="22"/>
      <c r="BA1041" s="21"/>
      <c r="BB1041" s="20"/>
      <c r="BC1041" s="21"/>
      <c r="BD1041" s="25"/>
      <c r="BE1041" s="26"/>
      <c r="BF1041" s="27"/>
      <c r="BG1041" s="28"/>
    </row>
    <row r="1042" spans="1:59" customFormat="1" ht="15" x14ac:dyDescent="0.35">
      <c r="A1042" s="19"/>
      <c r="B1042" s="49"/>
      <c r="C1042" s="14"/>
      <c r="D1042" s="1"/>
      <c r="E1042" s="149"/>
      <c r="F1042" s="153"/>
      <c r="G1042" s="10"/>
      <c r="H1042" s="17"/>
      <c r="I1042" s="17"/>
      <c r="J1042" s="17"/>
      <c r="K1042" s="30"/>
      <c r="L1042" s="30"/>
      <c r="M1042" s="30"/>
      <c r="N1042" s="30"/>
      <c r="O1042" s="30"/>
      <c r="P1042" s="30"/>
      <c r="Q1042" s="30"/>
      <c r="R1042" s="30"/>
      <c r="S1042" s="30"/>
      <c r="T1042" s="30"/>
      <c r="U1042" s="30"/>
      <c r="V1042" s="30"/>
      <c r="W1042" s="29"/>
      <c r="X1042" s="15"/>
      <c r="Y1042" s="30"/>
      <c r="Z1042" s="30"/>
      <c r="AA1042" s="30"/>
      <c r="AB1042" s="30"/>
      <c r="AC1042" s="17"/>
      <c r="AD1042" s="17"/>
      <c r="AE1042" s="17"/>
      <c r="AF1042" s="17"/>
      <c r="AG1042" s="20"/>
      <c r="AH1042" s="21"/>
      <c r="AI1042" s="21"/>
      <c r="AJ1042" s="21"/>
      <c r="AK1042" s="21"/>
      <c r="AL1042" s="21"/>
      <c r="AM1042" s="21"/>
      <c r="AN1042" s="21"/>
      <c r="AO1042" s="22"/>
      <c r="AP1042" s="21"/>
      <c r="AQ1042" s="24"/>
      <c r="AR1042" s="21"/>
      <c r="AS1042" s="21"/>
      <c r="AT1042" s="21"/>
      <c r="AU1042" s="21"/>
      <c r="AV1042" s="21"/>
      <c r="AW1042" s="21"/>
      <c r="AX1042" s="22"/>
      <c r="AY1042" s="21"/>
      <c r="AZ1042" s="22"/>
      <c r="BA1042" s="21"/>
      <c r="BB1042" s="20"/>
      <c r="BC1042" s="21"/>
      <c r="BD1042" s="25"/>
      <c r="BE1042" s="26"/>
      <c r="BF1042" s="27"/>
      <c r="BG1042" s="28"/>
    </row>
    <row r="1043" spans="1:59" customFormat="1" ht="15" x14ac:dyDescent="0.35">
      <c r="A1043" s="50"/>
      <c r="B1043" s="63"/>
      <c r="C1043" s="39"/>
      <c r="D1043" s="6"/>
      <c r="E1043" s="149"/>
      <c r="F1043" s="153"/>
      <c r="G1043" s="10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12"/>
      <c r="X1043" s="33"/>
      <c r="Y1043" s="6"/>
      <c r="Z1043" s="6"/>
      <c r="AA1043" s="6"/>
      <c r="AB1043" s="6"/>
      <c r="AC1043" s="9"/>
      <c r="AD1043" s="9"/>
      <c r="AE1043" s="9"/>
      <c r="AF1043" s="9"/>
      <c r="AG1043" s="5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59"/>
      <c r="AR1043" s="21"/>
      <c r="AS1043" s="21"/>
      <c r="AT1043" s="3"/>
      <c r="AU1043" s="3"/>
      <c r="AV1043" s="3"/>
      <c r="AW1043" s="3"/>
      <c r="AX1043" s="3"/>
      <c r="AY1043" s="3"/>
      <c r="AZ1043" s="3"/>
      <c r="BA1043" s="3"/>
      <c r="BB1043" s="53"/>
      <c r="BC1043" s="3"/>
      <c r="BD1043" s="59"/>
      <c r="BE1043" s="3"/>
      <c r="BF1043" s="53"/>
      <c r="BG1043" s="59"/>
    </row>
    <row r="1044" spans="1:59" customFormat="1" ht="15" x14ac:dyDescent="0.35">
      <c r="A1044" s="50"/>
      <c r="B1044" s="63"/>
      <c r="C1044" s="39"/>
      <c r="D1044" s="6"/>
      <c r="E1044" s="149"/>
      <c r="F1044" s="153"/>
      <c r="G1044" s="10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12"/>
      <c r="X1044" s="33"/>
      <c r="Y1044" s="6"/>
      <c r="Z1044" s="6"/>
      <c r="AA1044" s="6"/>
      <c r="AB1044" s="6"/>
      <c r="AC1044" s="9"/>
      <c r="AD1044" s="9"/>
      <c r="AE1044" s="9"/>
      <c r="AF1044" s="9"/>
      <c r="AG1044" s="5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59"/>
      <c r="AR1044" s="21"/>
      <c r="AS1044" s="21"/>
      <c r="AT1044" s="3"/>
      <c r="AU1044" s="3"/>
      <c r="AV1044" s="3"/>
      <c r="AW1044" s="3"/>
      <c r="AX1044" s="3"/>
      <c r="AY1044" s="3"/>
      <c r="AZ1044" s="3"/>
      <c r="BA1044" s="3"/>
      <c r="BB1044" s="53"/>
      <c r="BC1044" s="3"/>
      <c r="BD1044" s="59"/>
      <c r="BE1044" s="3"/>
      <c r="BF1044" s="53"/>
      <c r="BG1044" s="59"/>
    </row>
    <row r="1045" spans="1:59" customFormat="1" ht="15" x14ac:dyDescent="0.35">
      <c r="A1045" s="19"/>
      <c r="B1045" s="49"/>
      <c r="C1045" s="14"/>
      <c r="D1045" s="1"/>
      <c r="E1045" s="149"/>
      <c r="F1045" s="153"/>
      <c r="G1045" s="10"/>
      <c r="H1045" s="17"/>
      <c r="I1045" s="17"/>
      <c r="J1045" s="17"/>
      <c r="K1045" s="30"/>
      <c r="L1045" s="30"/>
      <c r="M1045" s="30"/>
      <c r="N1045" s="30"/>
      <c r="O1045" s="30"/>
      <c r="P1045" s="30"/>
      <c r="Q1045" s="30"/>
      <c r="R1045" s="30"/>
      <c r="S1045" s="30"/>
      <c r="T1045" s="30"/>
      <c r="U1045" s="30"/>
      <c r="V1045" s="30"/>
      <c r="W1045" s="29"/>
      <c r="X1045" s="15"/>
      <c r="Y1045" s="30"/>
      <c r="Z1045" s="30"/>
      <c r="AA1045" s="30"/>
      <c r="AB1045" s="30"/>
      <c r="AC1045" s="17"/>
      <c r="AD1045" s="17"/>
      <c r="AE1045" s="17"/>
      <c r="AF1045" s="17"/>
      <c r="AG1045" s="20"/>
      <c r="AH1045" s="21"/>
      <c r="AI1045" s="21"/>
      <c r="AJ1045" s="21"/>
      <c r="AK1045" s="21"/>
      <c r="AL1045" s="21"/>
      <c r="AM1045" s="21"/>
      <c r="AN1045" s="21"/>
      <c r="AO1045" s="22"/>
      <c r="AP1045" s="21"/>
      <c r="AQ1045" s="24"/>
      <c r="AR1045" s="21"/>
      <c r="AS1045" s="21"/>
      <c r="AT1045" s="21"/>
      <c r="AU1045" s="21"/>
      <c r="AV1045" s="21"/>
      <c r="AW1045" s="21"/>
      <c r="AX1045" s="22"/>
      <c r="AY1045" s="21"/>
      <c r="AZ1045" s="22"/>
      <c r="BA1045" s="21"/>
      <c r="BB1045" s="20"/>
      <c r="BC1045" s="21"/>
      <c r="BD1045" s="25"/>
      <c r="BE1045" s="26"/>
      <c r="BF1045" s="27"/>
      <c r="BG1045" s="65"/>
    </row>
    <row r="1046" spans="1:59" customFormat="1" ht="15" x14ac:dyDescent="0.35">
      <c r="A1046" s="50"/>
      <c r="B1046" s="63"/>
      <c r="C1046" s="39"/>
      <c r="D1046" s="6"/>
      <c r="E1046" s="149"/>
      <c r="F1046" s="153"/>
      <c r="G1046" s="10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12"/>
      <c r="X1046" s="33"/>
      <c r="Y1046" s="6"/>
      <c r="Z1046" s="6"/>
      <c r="AA1046" s="6"/>
      <c r="AB1046" s="6"/>
      <c r="AC1046" s="9"/>
      <c r="AD1046" s="9"/>
      <c r="AE1046" s="9"/>
      <c r="AF1046" s="9"/>
      <c r="AG1046" s="5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59"/>
      <c r="AR1046" s="21"/>
      <c r="AS1046" s="21"/>
      <c r="AT1046" s="3"/>
      <c r="AU1046" s="3"/>
      <c r="AV1046" s="3"/>
      <c r="AW1046" s="3"/>
      <c r="AX1046" s="3"/>
      <c r="AY1046" s="3"/>
      <c r="AZ1046" s="3"/>
      <c r="BA1046" s="3"/>
      <c r="BB1046" s="53"/>
      <c r="BC1046" s="3"/>
      <c r="BD1046" s="59"/>
      <c r="BE1046" s="3"/>
      <c r="BF1046" s="53"/>
      <c r="BG1046" s="59"/>
    </row>
    <row r="1047" spans="1:59" customFormat="1" ht="15" x14ac:dyDescent="0.35">
      <c r="A1047" s="50"/>
      <c r="B1047" s="63"/>
      <c r="C1047" s="39"/>
      <c r="D1047" s="6"/>
      <c r="E1047" s="149"/>
      <c r="F1047" s="153"/>
      <c r="G1047" s="10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12"/>
      <c r="X1047" s="33"/>
      <c r="Y1047" s="6"/>
      <c r="Z1047" s="6"/>
      <c r="AA1047" s="6"/>
      <c r="AB1047" s="6"/>
      <c r="AC1047" s="9"/>
      <c r="AD1047" s="9"/>
      <c r="AE1047" s="9"/>
      <c r="AF1047" s="9"/>
      <c r="AG1047" s="5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59"/>
      <c r="AR1047" s="21"/>
      <c r="AS1047" s="21"/>
      <c r="AT1047" s="3"/>
      <c r="AU1047" s="3"/>
      <c r="AV1047" s="3"/>
      <c r="AW1047" s="3"/>
      <c r="AX1047" s="3"/>
      <c r="AY1047" s="3"/>
      <c r="AZ1047" s="3"/>
      <c r="BA1047" s="3"/>
      <c r="BB1047" s="53"/>
      <c r="BC1047" s="3"/>
      <c r="BD1047" s="59"/>
      <c r="BE1047" s="3"/>
      <c r="BF1047" s="53"/>
      <c r="BG1047" s="59"/>
    </row>
    <row r="1048" spans="1:59" customFormat="1" ht="15" x14ac:dyDescent="0.35">
      <c r="A1048" s="19"/>
      <c r="B1048" s="49"/>
      <c r="C1048" s="39"/>
      <c r="D1048" s="1"/>
      <c r="E1048" s="149"/>
      <c r="F1048" s="153"/>
      <c r="G1048" s="10"/>
      <c r="H1048" s="17"/>
      <c r="I1048" s="17"/>
      <c r="J1048" s="17"/>
      <c r="K1048" s="30"/>
      <c r="L1048" s="30"/>
      <c r="M1048" s="30"/>
      <c r="N1048" s="30"/>
      <c r="O1048" s="30"/>
      <c r="P1048" s="30"/>
      <c r="Q1048" s="30"/>
      <c r="R1048" s="30"/>
      <c r="S1048" s="30"/>
      <c r="T1048" s="30"/>
      <c r="U1048" s="30"/>
      <c r="V1048" s="30"/>
      <c r="W1048" s="29"/>
      <c r="X1048" s="15"/>
      <c r="Y1048" s="30"/>
      <c r="Z1048" s="30"/>
      <c r="AA1048" s="30"/>
      <c r="AB1048" s="30"/>
      <c r="AC1048" s="17"/>
      <c r="AD1048" s="17"/>
      <c r="AE1048" s="17"/>
      <c r="AF1048" s="17"/>
      <c r="AG1048" s="20"/>
      <c r="AH1048" s="21"/>
      <c r="AI1048" s="21"/>
      <c r="AJ1048" s="21"/>
      <c r="AK1048" s="21"/>
      <c r="AL1048" s="21"/>
      <c r="AM1048" s="21"/>
      <c r="AN1048" s="21"/>
      <c r="AO1048" s="22"/>
      <c r="AP1048" s="21"/>
      <c r="AQ1048" s="24"/>
      <c r="AR1048" s="21"/>
      <c r="AS1048" s="21"/>
      <c r="AT1048" s="21"/>
      <c r="AU1048" s="21"/>
      <c r="AV1048" s="21"/>
      <c r="AW1048" s="21"/>
      <c r="AX1048" s="22"/>
      <c r="AY1048" s="21"/>
      <c r="AZ1048" s="22"/>
      <c r="BA1048" s="21"/>
      <c r="BB1048" s="20"/>
      <c r="BC1048" s="21"/>
      <c r="BD1048" s="25"/>
      <c r="BE1048" s="26"/>
      <c r="BF1048" s="27"/>
      <c r="BG1048" s="28"/>
    </row>
    <row r="1049" spans="1:59" customFormat="1" ht="15" x14ac:dyDescent="0.35">
      <c r="A1049" s="50"/>
      <c r="B1049" s="63"/>
      <c r="C1049" s="39"/>
      <c r="D1049" s="6"/>
      <c r="E1049" s="149"/>
      <c r="F1049" s="153"/>
      <c r="G1049" s="10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12"/>
      <c r="X1049" s="33"/>
      <c r="Y1049" s="6"/>
      <c r="Z1049" s="6"/>
      <c r="AA1049" s="6"/>
      <c r="AB1049" s="6"/>
      <c r="AC1049" s="9"/>
      <c r="AD1049" s="9"/>
      <c r="AE1049" s="9"/>
      <c r="AF1049" s="9"/>
      <c r="AG1049" s="5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59"/>
      <c r="AR1049" s="21"/>
      <c r="AS1049" s="21"/>
      <c r="AT1049" s="3"/>
      <c r="AU1049" s="3"/>
      <c r="AV1049" s="3"/>
      <c r="AW1049" s="3"/>
      <c r="AX1049" s="3"/>
      <c r="AY1049" s="3"/>
      <c r="AZ1049" s="3"/>
      <c r="BA1049" s="3"/>
      <c r="BB1049" s="53"/>
      <c r="BC1049" s="3"/>
      <c r="BD1049" s="59"/>
      <c r="BE1049" s="3"/>
      <c r="BF1049" s="53"/>
      <c r="BG1049" s="59"/>
    </row>
    <row r="1050" spans="1:59" customFormat="1" ht="15" x14ac:dyDescent="0.35">
      <c r="A1050" s="50"/>
      <c r="B1050" s="63"/>
      <c r="C1050" s="39"/>
      <c r="D1050" s="6"/>
      <c r="E1050" s="149"/>
      <c r="F1050" s="153"/>
      <c r="G1050" s="10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12"/>
      <c r="X1050" s="33"/>
      <c r="Y1050" s="6"/>
      <c r="Z1050" s="6"/>
      <c r="AA1050" s="6"/>
      <c r="AB1050" s="6"/>
      <c r="AC1050" s="9"/>
      <c r="AD1050" s="9"/>
      <c r="AE1050" s="9"/>
      <c r="AF1050" s="9"/>
      <c r="AG1050" s="5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59"/>
      <c r="AR1050" s="21"/>
      <c r="AS1050" s="21"/>
      <c r="AT1050" s="3"/>
      <c r="AU1050" s="3"/>
      <c r="AV1050" s="3"/>
      <c r="AW1050" s="3"/>
      <c r="AX1050" s="3"/>
      <c r="AY1050" s="3"/>
      <c r="AZ1050" s="3"/>
      <c r="BA1050" s="3"/>
      <c r="BB1050" s="53"/>
      <c r="BC1050" s="3"/>
      <c r="BD1050" s="59"/>
      <c r="BE1050" s="3"/>
      <c r="BF1050" s="53"/>
      <c r="BG1050" s="59"/>
    </row>
    <row r="1051" spans="1:59" customFormat="1" ht="15" x14ac:dyDescent="0.35">
      <c r="A1051" s="19"/>
      <c r="B1051" s="49"/>
      <c r="C1051" s="14"/>
      <c r="D1051" s="1"/>
      <c r="E1051" s="149"/>
      <c r="F1051" s="153"/>
      <c r="G1051" s="10"/>
      <c r="H1051" s="17"/>
      <c r="I1051" s="17"/>
      <c r="J1051" s="17"/>
      <c r="K1051" s="30"/>
      <c r="L1051" s="30"/>
      <c r="M1051" s="30"/>
      <c r="N1051" s="30"/>
      <c r="O1051" s="30"/>
      <c r="P1051" s="30"/>
      <c r="Q1051" s="30"/>
      <c r="R1051" s="30"/>
      <c r="S1051" s="30"/>
      <c r="T1051" s="30"/>
      <c r="U1051" s="30"/>
      <c r="V1051" s="30"/>
      <c r="W1051" s="29"/>
      <c r="X1051" s="15"/>
      <c r="Y1051" s="30"/>
      <c r="Z1051" s="30"/>
      <c r="AA1051" s="30"/>
      <c r="AB1051" s="30"/>
      <c r="AC1051" s="17"/>
      <c r="AD1051" s="17"/>
      <c r="AE1051" s="17"/>
      <c r="AF1051" s="17"/>
      <c r="AG1051" s="20"/>
      <c r="AH1051" s="21"/>
      <c r="AI1051" s="21"/>
      <c r="AJ1051" s="21"/>
      <c r="AK1051" s="21"/>
      <c r="AL1051" s="21"/>
      <c r="AM1051" s="21"/>
      <c r="AN1051" s="21"/>
      <c r="AO1051" s="22"/>
      <c r="AP1051" s="21"/>
      <c r="AQ1051" s="24"/>
      <c r="AR1051" s="21"/>
      <c r="AS1051" s="21"/>
      <c r="AT1051" s="21"/>
      <c r="AU1051" s="21"/>
      <c r="AV1051" s="21"/>
      <c r="AW1051" s="21"/>
      <c r="AX1051" s="22"/>
      <c r="AY1051" s="21"/>
      <c r="AZ1051" s="22"/>
      <c r="BA1051" s="21"/>
      <c r="BB1051" s="20"/>
      <c r="BC1051" s="21"/>
      <c r="BD1051" s="25"/>
      <c r="BE1051" s="26"/>
      <c r="BF1051" s="27"/>
      <c r="BG1051" s="28"/>
    </row>
    <row r="1052" spans="1:59" customFormat="1" ht="15" x14ac:dyDescent="0.35">
      <c r="A1052" s="50"/>
      <c r="B1052" s="63"/>
      <c r="C1052" s="39"/>
      <c r="D1052" s="6"/>
      <c r="E1052" s="149"/>
      <c r="F1052" s="153"/>
      <c r="G1052" s="10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5"/>
      <c r="V1052" s="5"/>
      <c r="W1052" s="13"/>
      <c r="X1052" s="4"/>
      <c r="Y1052" s="4"/>
      <c r="Z1052" s="4"/>
      <c r="AA1052" s="6"/>
      <c r="AB1052" s="5"/>
      <c r="AC1052" s="9"/>
      <c r="AD1052" s="9"/>
      <c r="AE1052" s="9"/>
      <c r="AF1052" s="9"/>
      <c r="AG1052" s="54"/>
      <c r="AH1052" s="3"/>
      <c r="AI1052" s="2"/>
      <c r="AJ1052" s="2"/>
      <c r="AK1052" s="2"/>
      <c r="AL1052" s="3"/>
      <c r="AM1052" s="3"/>
      <c r="AN1052" s="3"/>
      <c r="AO1052" s="3"/>
      <c r="AP1052" s="3"/>
      <c r="AQ1052" s="59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53"/>
      <c r="BC1052" s="3"/>
      <c r="BD1052" s="59"/>
      <c r="BE1052" s="3"/>
      <c r="BF1052" s="53"/>
      <c r="BG1052" s="59"/>
    </row>
    <row r="1053" spans="1:59" customFormat="1" ht="15" x14ac:dyDescent="0.35">
      <c r="A1053" s="19"/>
      <c r="B1053" s="49"/>
      <c r="C1053" s="14"/>
      <c r="D1053" s="1"/>
      <c r="E1053" s="149"/>
      <c r="F1053" s="153"/>
      <c r="G1053" s="10"/>
      <c r="H1053" s="17"/>
      <c r="I1053" s="17"/>
      <c r="J1053" s="17"/>
      <c r="K1053" s="30"/>
      <c r="L1053" s="30"/>
      <c r="M1053" s="30"/>
      <c r="N1053" s="30"/>
      <c r="O1053" s="30"/>
      <c r="P1053" s="30"/>
      <c r="Q1053" s="30"/>
      <c r="R1053" s="30"/>
      <c r="S1053" s="30"/>
      <c r="T1053" s="30"/>
      <c r="U1053" s="30"/>
      <c r="V1053" s="30"/>
      <c r="W1053" s="29"/>
      <c r="X1053" s="15"/>
      <c r="Y1053" s="30"/>
      <c r="Z1053" s="30"/>
      <c r="AA1053" s="30"/>
      <c r="AB1053" s="30"/>
      <c r="AC1053" s="17"/>
      <c r="AD1053" s="17"/>
      <c r="AE1053" s="17"/>
      <c r="AF1053" s="17"/>
      <c r="AG1053" s="20"/>
      <c r="AH1053" s="21"/>
      <c r="AI1053" s="21"/>
      <c r="AJ1053" s="21"/>
      <c r="AK1053" s="21"/>
      <c r="AL1053" s="21"/>
      <c r="AM1053" s="21"/>
      <c r="AN1053" s="21"/>
      <c r="AO1053" s="22"/>
      <c r="AP1053" s="21"/>
      <c r="AQ1053" s="24"/>
      <c r="AR1053" s="21"/>
      <c r="AS1053" s="21"/>
      <c r="AT1053" s="21"/>
      <c r="AU1053" s="21"/>
      <c r="AV1053" s="21"/>
      <c r="AW1053" s="21"/>
      <c r="AX1053" s="22"/>
      <c r="AY1053" s="21"/>
      <c r="AZ1053" s="22"/>
      <c r="BA1053" s="21"/>
      <c r="BB1053" s="20"/>
      <c r="BC1053" s="21"/>
      <c r="BD1053" s="25"/>
      <c r="BE1053" s="26"/>
      <c r="BF1053" s="27"/>
      <c r="BG1053" s="28"/>
    </row>
    <row r="1054" spans="1:59" customFormat="1" ht="15" x14ac:dyDescent="0.35">
      <c r="A1054" s="19"/>
      <c r="B1054" s="49"/>
      <c r="C1054" s="14"/>
      <c r="D1054" s="1"/>
      <c r="E1054" s="149"/>
      <c r="F1054" s="153"/>
      <c r="G1054" s="10"/>
      <c r="H1054" s="17"/>
      <c r="I1054" s="17"/>
      <c r="J1054" s="17"/>
      <c r="K1054" s="30"/>
      <c r="L1054" s="30"/>
      <c r="M1054" s="30"/>
      <c r="N1054" s="30"/>
      <c r="O1054" s="30"/>
      <c r="P1054" s="30"/>
      <c r="Q1054" s="30"/>
      <c r="R1054" s="30"/>
      <c r="S1054" s="30"/>
      <c r="T1054" s="30"/>
      <c r="U1054" s="30"/>
      <c r="V1054" s="30"/>
      <c r="W1054" s="29"/>
      <c r="X1054" s="15"/>
      <c r="Y1054" s="30"/>
      <c r="Z1054" s="30"/>
      <c r="AA1054" s="30"/>
      <c r="AB1054" s="30"/>
      <c r="AC1054" s="17"/>
      <c r="AD1054" s="17"/>
      <c r="AE1054" s="17"/>
      <c r="AF1054" s="17"/>
      <c r="AG1054" s="20"/>
      <c r="AH1054" s="21"/>
      <c r="AI1054" s="21"/>
      <c r="AJ1054" s="21"/>
      <c r="AK1054" s="21"/>
      <c r="AL1054" s="21"/>
      <c r="AM1054" s="21"/>
      <c r="AN1054" s="21"/>
      <c r="AO1054" s="22"/>
      <c r="AP1054" s="21"/>
      <c r="AQ1054" s="24"/>
      <c r="AR1054" s="21"/>
      <c r="AS1054" s="21"/>
      <c r="AT1054" s="21"/>
      <c r="AU1054" s="21"/>
      <c r="AV1054" s="21"/>
      <c r="AW1054" s="21"/>
      <c r="AX1054" s="22"/>
      <c r="AY1054" s="21"/>
      <c r="AZ1054" s="22"/>
      <c r="BA1054" s="21"/>
      <c r="BB1054" s="20"/>
      <c r="BC1054" s="21"/>
      <c r="BD1054" s="25"/>
      <c r="BE1054" s="26"/>
      <c r="BF1054" s="27"/>
      <c r="BG1054" s="28"/>
    </row>
    <row r="1055" spans="1:59" customFormat="1" ht="15" x14ac:dyDescent="0.35">
      <c r="A1055" s="19"/>
      <c r="B1055" s="49"/>
      <c r="C1055" s="14"/>
      <c r="D1055" s="1"/>
      <c r="E1055" s="149"/>
      <c r="F1055" s="153"/>
      <c r="G1055" s="10"/>
      <c r="H1055" s="17"/>
      <c r="I1055" s="17"/>
      <c r="J1055" s="17"/>
      <c r="K1055" s="30"/>
      <c r="L1055" s="30"/>
      <c r="M1055" s="30"/>
      <c r="N1055" s="30"/>
      <c r="O1055" s="30"/>
      <c r="P1055" s="30"/>
      <c r="Q1055" s="30"/>
      <c r="R1055" s="30"/>
      <c r="S1055" s="30"/>
      <c r="T1055" s="30"/>
      <c r="U1055" s="30"/>
      <c r="V1055" s="30"/>
      <c r="W1055" s="29"/>
      <c r="X1055" s="15"/>
      <c r="Y1055" s="30"/>
      <c r="Z1055" s="30"/>
      <c r="AA1055" s="30"/>
      <c r="AB1055" s="30"/>
      <c r="AC1055" s="17"/>
      <c r="AD1055" s="17"/>
      <c r="AE1055" s="17"/>
      <c r="AF1055" s="17"/>
      <c r="AG1055" s="20"/>
      <c r="AH1055" s="21"/>
      <c r="AI1055" s="21"/>
      <c r="AJ1055" s="21"/>
      <c r="AK1055" s="21"/>
      <c r="AL1055" s="21"/>
      <c r="AM1055" s="21"/>
      <c r="AN1055" s="21"/>
      <c r="AO1055" s="22"/>
      <c r="AP1055" s="21"/>
      <c r="AQ1055" s="24"/>
      <c r="AR1055" s="21"/>
      <c r="AS1055" s="21"/>
      <c r="AT1055" s="21"/>
      <c r="AU1055" s="21"/>
      <c r="AV1055" s="21"/>
      <c r="AW1055" s="21"/>
      <c r="AX1055" s="22"/>
      <c r="AY1055" s="21"/>
      <c r="AZ1055" s="22"/>
      <c r="BA1055" s="21"/>
      <c r="BB1055" s="20"/>
      <c r="BC1055" s="21"/>
      <c r="BD1055" s="25"/>
      <c r="BE1055" s="26"/>
      <c r="BF1055" s="27"/>
      <c r="BG1055" s="28"/>
    </row>
    <row r="1056" spans="1:59" customFormat="1" ht="15" x14ac:dyDescent="0.35">
      <c r="A1056" s="50"/>
      <c r="B1056" s="63"/>
      <c r="C1056" s="39"/>
      <c r="D1056" s="6"/>
      <c r="E1056" s="149"/>
      <c r="F1056" s="153"/>
      <c r="G1056" s="10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12"/>
      <c r="X1056" s="33"/>
      <c r="Y1056" s="6"/>
      <c r="Z1056" s="6"/>
      <c r="AA1056" s="6"/>
      <c r="AB1056" s="6"/>
      <c r="AC1056" s="9"/>
      <c r="AD1056" s="9"/>
      <c r="AE1056" s="9"/>
      <c r="AF1056" s="9"/>
      <c r="AG1056" s="5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59"/>
      <c r="AR1056" s="21"/>
      <c r="AS1056" s="21"/>
      <c r="AT1056" s="3"/>
      <c r="AU1056" s="3"/>
      <c r="AV1056" s="3"/>
      <c r="AW1056" s="3"/>
      <c r="AX1056" s="3"/>
      <c r="AY1056" s="3"/>
      <c r="AZ1056" s="3"/>
      <c r="BA1056" s="3"/>
      <c r="BB1056" s="53"/>
      <c r="BC1056" s="3"/>
      <c r="BD1056" s="59"/>
      <c r="BE1056" s="3"/>
      <c r="BF1056" s="53"/>
      <c r="BG1056" s="59"/>
    </row>
    <row r="1057" spans="1:59" customFormat="1" ht="15" x14ac:dyDescent="0.35">
      <c r="A1057" s="50"/>
      <c r="B1057" s="63"/>
      <c r="C1057" s="39"/>
      <c r="D1057" s="6"/>
      <c r="E1057" s="149"/>
      <c r="F1057" s="153"/>
      <c r="G1057" s="10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12"/>
      <c r="X1057" s="33"/>
      <c r="Y1057" s="6"/>
      <c r="Z1057" s="6"/>
      <c r="AA1057" s="6"/>
      <c r="AB1057" s="6"/>
      <c r="AC1057" s="9"/>
      <c r="AD1057" s="9"/>
      <c r="AE1057" s="9"/>
      <c r="AF1057" s="9"/>
      <c r="AG1057" s="5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59"/>
      <c r="AR1057" s="21"/>
      <c r="AS1057" s="21"/>
      <c r="AT1057" s="3"/>
      <c r="AU1057" s="3"/>
      <c r="AV1057" s="3"/>
      <c r="AW1057" s="3"/>
      <c r="AX1057" s="3"/>
      <c r="AY1057" s="3"/>
      <c r="AZ1057" s="3"/>
      <c r="BA1057" s="3"/>
      <c r="BB1057" s="53"/>
      <c r="BC1057" s="3"/>
      <c r="BD1057" s="59"/>
      <c r="BE1057" s="3"/>
      <c r="BF1057" s="53"/>
      <c r="BG1057" s="59"/>
    </row>
    <row r="1058" spans="1:59" customFormat="1" ht="15" x14ac:dyDescent="0.35">
      <c r="A1058" s="50"/>
      <c r="B1058" s="63"/>
      <c r="C1058" s="39"/>
      <c r="D1058" s="6"/>
      <c r="E1058" s="149"/>
      <c r="F1058" s="153"/>
      <c r="G1058" s="10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12"/>
      <c r="X1058" s="33"/>
      <c r="Y1058" s="6"/>
      <c r="Z1058" s="6"/>
      <c r="AA1058" s="6"/>
      <c r="AB1058" s="6"/>
      <c r="AC1058" s="9"/>
      <c r="AD1058" s="9"/>
      <c r="AE1058" s="9"/>
      <c r="AF1058" s="9"/>
      <c r="AG1058" s="5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59"/>
      <c r="AR1058" s="21"/>
      <c r="AS1058" s="21"/>
      <c r="AT1058" s="3"/>
      <c r="AU1058" s="3"/>
      <c r="AV1058" s="3"/>
      <c r="AW1058" s="3"/>
      <c r="AX1058" s="3"/>
      <c r="AY1058" s="3"/>
      <c r="AZ1058" s="3"/>
      <c r="BA1058" s="3"/>
      <c r="BB1058" s="53"/>
      <c r="BC1058" s="3"/>
      <c r="BD1058" s="59"/>
      <c r="BE1058" s="3"/>
      <c r="BF1058" s="53"/>
      <c r="BG1058" s="59"/>
    </row>
    <row r="1059" spans="1:59" customFormat="1" ht="15" x14ac:dyDescent="0.35">
      <c r="A1059" s="50"/>
      <c r="B1059" s="63"/>
      <c r="C1059" s="39"/>
      <c r="D1059" s="6"/>
      <c r="E1059" s="149"/>
      <c r="F1059" s="153"/>
      <c r="G1059" s="10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5"/>
      <c r="V1059" s="5"/>
      <c r="W1059" s="13"/>
      <c r="X1059" s="4"/>
      <c r="Y1059" s="4"/>
      <c r="Z1059" s="4"/>
      <c r="AA1059" s="6"/>
      <c r="AB1059" s="5"/>
      <c r="AC1059" s="9"/>
      <c r="AD1059" s="9"/>
      <c r="AE1059" s="9"/>
      <c r="AF1059" s="9"/>
      <c r="AG1059" s="54"/>
      <c r="AH1059" s="3"/>
      <c r="AI1059" s="2"/>
      <c r="AJ1059" s="2"/>
      <c r="AK1059" s="2"/>
      <c r="AL1059" s="3"/>
      <c r="AM1059" s="3"/>
      <c r="AN1059" s="3"/>
      <c r="AO1059" s="3"/>
      <c r="AP1059" s="3"/>
      <c r="AQ1059" s="59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53"/>
      <c r="BC1059" s="3"/>
      <c r="BD1059" s="59"/>
      <c r="BE1059" s="3"/>
      <c r="BF1059" s="53"/>
      <c r="BG1059" s="59"/>
    </row>
    <row r="1060" spans="1:59" customFormat="1" ht="15" x14ac:dyDescent="0.35">
      <c r="A1060" s="19"/>
      <c r="B1060" s="49"/>
      <c r="C1060" s="39"/>
      <c r="D1060" s="1"/>
      <c r="E1060" s="149"/>
      <c r="F1060" s="153"/>
      <c r="G1060" s="10"/>
      <c r="H1060" s="17"/>
      <c r="I1060" s="17"/>
      <c r="J1060" s="17"/>
      <c r="K1060" s="30"/>
      <c r="L1060" s="30"/>
      <c r="M1060" s="30"/>
      <c r="N1060" s="30"/>
      <c r="O1060" s="30"/>
      <c r="P1060" s="30"/>
      <c r="Q1060" s="30"/>
      <c r="R1060" s="30"/>
      <c r="S1060" s="30"/>
      <c r="T1060" s="30"/>
      <c r="U1060" s="30"/>
      <c r="V1060" s="30"/>
      <c r="W1060" s="29"/>
      <c r="X1060" s="15"/>
      <c r="Y1060" s="30"/>
      <c r="Z1060" s="30"/>
      <c r="AA1060" s="30"/>
      <c r="AB1060" s="30"/>
      <c r="AC1060" s="17"/>
      <c r="AD1060" s="17"/>
      <c r="AE1060" s="17"/>
      <c r="AF1060" s="17"/>
      <c r="AG1060" s="20"/>
      <c r="AH1060" s="21"/>
      <c r="AI1060" s="21"/>
      <c r="AJ1060" s="21"/>
      <c r="AK1060" s="21"/>
      <c r="AL1060" s="21"/>
      <c r="AM1060" s="21"/>
      <c r="AN1060" s="21"/>
      <c r="AO1060" s="22"/>
      <c r="AP1060" s="21"/>
      <c r="AQ1060" s="24"/>
      <c r="AR1060" s="21"/>
      <c r="AS1060" s="21"/>
      <c r="AT1060" s="21"/>
      <c r="AU1060" s="21"/>
      <c r="AV1060" s="21"/>
      <c r="AW1060" s="21"/>
      <c r="AX1060" s="22"/>
      <c r="AY1060" s="21"/>
      <c r="AZ1060" s="22"/>
      <c r="BA1060" s="21"/>
      <c r="BB1060" s="20"/>
      <c r="BC1060" s="21"/>
      <c r="BD1060" s="25"/>
      <c r="BE1060" s="26"/>
      <c r="BF1060" s="27"/>
      <c r="BG1060" s="28"/>
    </row>
    <row r="1061" spans="1:59" customFormat="1" ht="15" x14ac:dyDescent="0.35">
      <c r="A1061" s="50"/>
      <c r="B1061" s="63"/>
      <c r="C1061" s="39"/>
      <c r="D1061" s="6"/>
      <c r="E1061" s="149"/>
      <c r="F1061" s="153"/>
      <c r="G1061" s="10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12"/>
      <c r="X1061" s="33"/>
      <c r="Y1061" s="6"/>
      <c r="Z1061" s="6"/>
      <c r="AA1061" s="6"/>
      <c r="AB1061" s="6"/>
      <c r="AC1061" s="9"/>
      <c r="AD1061" s="9"/>
      <c r="AE1061" s="9"/>
      <c r="AF1061" s="9"/>
      <c r="AG1061" s="5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59"/>
      <c r="AR1061" s="21"/>
      <c r="AS1061" s="21"/>
      <c r="AT1061" s="3"/>
      <c r="AU1061" s="3"/>
      <c r="AV1061" s="3"/>
      <c r="AW1061" s="3"/>
      <c r="AX1061" s="3"/>
      <c r="AY1061" s="3"/>
      <c r="AZ1061" s="3"/>
      <c r="BA1061" s="3"/>
      <c r="BB1061" s="53"/>
      <c r="BC1061" s="3"/>
      <c r="BD1061" s="59"/>
      <c r="BE1061" s="3"/>
      <c r="BF1061" s="53"/>
      <c r="BG1061" s="59"/>
    </row>
    <row r="1062" spans="1:59" customFormat="1" ht="15" x14ac:dyDescent="0.35">
      <c r="A1062" s="50"/>
      <c r="B1062" s="63"/>
      <c r="C1062" s="39"/>
      <c r="D1062" s="6"/>
      <c r="E1062" s="149"/>
      <c r="F1062" s="153"/>
      <c r="G1062" s="10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12"/>
      <c r="X1062" s="33"/>
      <c r="Y1062" s="6"/>
      <c r="Z1062" s="6"/>
      <c r="AA1062" s="6"/>
      <c r="AB1062" s="6"/>
      <c r="AC1062" s="9"/>
      <c r="AD1062" s="9"/>
      <c r="AE1062" s="9"/>
      <c r="AF1062" s="9"/>
      <c r="AG1062" s="5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59"/>
      <c r="AR1062" s="21"/>
      <c r="AS1062" s="21"/>
      <c r="AT1062" s="3"/>
      <c r="AU1062" s="3"/>
      <c r="AV1062" s="3"/>
      <c r="AW1062" s="3"/>
      <c r="AX1062" s="3"/>
      <c r="AY1062" s="3"/>
      <c r="AZ1062" s="3"/>
      <c r="BA1062" s="3"/>
      <c r="BB1062" s="53"/>
      <c r="BC1062" s="3"/>
      <c r="BD1062" s="59"/>
      <c r="BE1062" s="3"/>
      <c r="BF1062" s="53"/>
      <c r="BG1062" s="59"/>
    </row>
    <row r="1063" spans="1:59" customFormat="1" ht="15" x14ac:dyDescent="0.35">
      <c r="A1063" s="19"/>
      <c r="B1063" s="49"/>
      <c r="C1063" s="39"/>
      <c r="D1063" s="1"/>
      <c r="E1063" s="149"/>
      <c r="F1063" s="153"/>
      <c r="G1063" s="10"/>
      <c r="H1063" s="17"/>
      <c r="I1063" s="17"/>
      <c r="J1063" s="17"/>
      <c r="K1063" s="30"/>
      <c r="L1063" s="30"/>
      <c r="M1063" s="30"/>
      <c r="N1063" s="30"/>
      <c r="O1063" s="30"/>
      <c r="P1063" s="30"/>
      <c r="Q1063" s="30"/>
      <c r="R1063" s="30"/>
      <c r="S1063" s="30"/>
      <c r="T1063" s="30"/>
      <c r="U1063" s="30"/>
      <c r="V1063" s="30"/>
      <c r="W1063" s="29"/>
      <c r="X1063" s="15"/>
      <c r="Y1063" s="30"/>
      <c r="Z1063" s="30"/>
      <c r="AA1063" s="30"/>
      <c r="AB1063" s="30"/>
      <c r="AC1063" s="17"/>
      <c r="AD1063" s="17"/>
      <c r="AE1063" s="17"/>
      <c r="AF1063" s="17"/>
      <c r="AG1063" s="20"/>
      <c r="AH1063" s="21"/>
      <c r="AI1063" s="21"/>
      <c r="AJ1063" s="21"/>
      <c r="AK1063" s="21"/>
      <c r="AL1063" s="21"/>
      <c r="AM1063" s="21"/>
      <c r="AN1063" s="21"/>
      <c r="AO1063" s="22"/>
      <c r="AP1063" s="21"/>
      <c r="AQ1063" s="24"/>
      <c r="AR1063" s="21"/>
      <c r="AS1063" s="21"/>
      <c r="AT1063" s="21"/>
      <c r="AU1063" s="21"/>
      <c r="AV1063" s="21"/>
      <c r="AW1063" s="21"/>
      <c r="AX1063" s="22"/>
      <c r="AY1063" s="21"/>
      <c r="AZ1063" s="22"/>
      <c r="BA1063" s="21"/>
      <c r="BB1063" s="20"/>
      <c r="BC1063" s="21"/>
      <c r="BD1063" s="25"/>
      <c r="BE1063" s="26"/>
      <c r="BF1063" s="27"/>
      <c r="BG1063" s="28"/>
    </row>
    <row r="1064" spans="1:59" customFormat="1" ht="15" x14ac:dyDescent="0.35">
      <c r="A1064" s="50"/>
      <c r="B1064" s="63"/>
      <c r="C1064" s="39"/>
      <c r="D1064" s="6"/>
      <c r="E1064" s="149"/>
      <c r="F1064" s="153"/>
      <c r="G1064" s="10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5"/>
      <c r="V1064" s="5"/>
      <c r="W1064" s="13"/>
      <c r="X1064" s="4"/>
      <c r="Y1064" s="4"/>
      <c r="Z1064" s="4"/>
      <c r="AA1064" s="6"/>
      <c r="AB1064" s="5"/>
      <c r="AC1064" s="9"/>
      <c r="AD1064" s="9"/>
      <c r="AE1064" s="9"/>
      <c r="AF1064" s="9"/>
      <c r="AG1064" s="54"/>
      <c r="AH1064" s="3"/>
      <c r="AI1064" s="2"/>
      <c r="AJ1064" s="2"/>
      <c r="AK1064" s="2"/>
      <c r="AL1064" s="3"/>
      <c r="AM1064" s="3"/>
      <c r="AN1064" s="3"/>
      <c r="AO1064" s="3"/>
      <c r="AP1064" s="3"/>
      <c r="AQ1064" s="59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53"/>
      <c r="BC1064" s="3"/>
      <c r="BD1064" s="59"/>
      <c r="BE1064" s="3"/>
      <c r="BF1064" s="53"/>
      <c r="BG1064" s="59"/>
    </row>
    <row r="1065" spans="1:59" customFormat="1" ht="15" x14ac:dyDescent="0.35">
      <c r="A1065" s="50"/>
      <c r="B1065" s="63"/>
      <c r="C1065" s="39"/>
      <c r="D1065" s="6"/>
      <c r="E1065" s="149"/>
      <c r="F1065" s="153"/>
      <c r="G1065" s="10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12"/>
      <c r="X1065" s="33"/>
      <c r="Y1065" s="6"/>
      <c r="Z1065" s="6"/>
      <c r="AA1065" s="6"/>
      <c r="AB1065" s="6"/>
      <c r="AC1065" s="9"/>
      <c r="AD1065" s="9"/>
      <c r="AE1065" s="9"/>
      <c r="AF1065" s="9"/>
      <c r="AG1065" s="5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59"/>
      <c r="AR1065" s="21"/>
      <c r="AS1065" s="21"/>
      <c r="AT1065" s="3"/>
      <c r="AU1065" s="3"/>
      <c r="AV1065" s="3"/>
      <c r="AW1065" s="3"/>
      <c r="AX1065" s="3"/>
      <c r="AY1065" s="3"/>
      <c r="AZ1065" s="3"/>
      <c r="BA1065" s="3"/>
      <c r="BB1065" s="53"/>
      <c r="BC1065" s="3"/>
      <c r="BD1065" s="59"/>
      <c r="BE1065" s="3"/>
      <c r="BF1065" s="53"/>
      <c r="BG1065" s="59"/>
    </row>
    <row r="1066" spans="1:59" customFormat="1" ht="15" x14ac:dyDescent="0.35">
      <c r="A1066" s="50"/>
      <c r="B1066" s="63"/>
      <c r="C1066" s="39"/>
      <c r="D1066" s="6"/>
      <c r="E1066" s="149"/>
      <c r="F1066" s="153"/>
      <c r="G1066" s="10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12"/>
      <c r="X1066" s="33"/>
      <c r="Y1066" s="6"/>
      <c r="Z1066" s="6"/>
      <c r="AA1066" s="6"/>
      <c r="AB1066" s="6"/>
      <c r="AC1066" s="9"/>
      <c r="AD1066" s="9"/>
      <c r="AE1066" s="9"/>
      <c r="AF1066" s="9"/>
      <c r="AG1066" s="5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59"/>
      <c r="AR1066" s="21"/>
      <c r="AS1066" s="21"/>
      <c r="AT1066" s="3"/>
      <c r="AU1066" s="3"/>
      <c r="AV1066" s="3"/>
      <c r="AW1066" s="3"/>
      <c r="AX1066" s="3"/>
      <c r="AY1066" s="3"/>
      <c r="AZ1066" s="3"/>
      <c r="BA1066" s="3"/>
      <c r="BB1066" s="53"/>
      <c r="BC1066" s="3"/>
      <c r="BD1066" s="59"/>
      <c r="BE1066" s="3"/>
      <c r="BF1066" s="53"/>
      <c r="BG1066" s="59"/>
    </row>
    <row r="1067" spans="1:59" customFormat="1" ht="15" x14ac:dyDescent="0.35">
      <c r="A1067" s="19"/>
      <c r="B1067" s="49"/>
      <c r="C1067" s="14"/>
      <c r="D1067" s="1"/>
      <c r="E1067" s="149"/>
      <c r="F1067" s="153"/>
      <c r="G1067" s="10"/>
      <c r="H1067" s="17"/>
      <c r="I1067" s="17"/>
      <c r="J1067" s="17"/>
      <c r="K1067" s="30"/>
      <c r="L1067" s="30"/>
      <c r="M1067" s="30"/>
      <c r="N1067" s="30"/>
      <c r="O1067" s="30"/>
      <c r="P1067" s="30"/>
      <c r="Q1067" s="30"/>
      <c r="R1067" s="30"/>
      <c r="S1067" s="30"/>
      <c r="T1067" s="30"/>
      <c r="U1067" s="30"/>
      <c r="V1067" s="30"/>
      <c r="W1067" s="29"/>
      <c r="X1067" s="15"/>
      <c r="Y1067" s="30"/>
      <c r="Z1067" s="30"/>
      <c r="AA1067" s="30"/>
      <c r="AB1067" s="30"/>
      <c r="AC1067" s="17"/>
      <c r="AD1067" s="17"/>
      <c r="AE1067" s="17"/>
      <c r="AF1067" s="17"/>
      <c r="AG1067" s="20"/>
      <c r="AH1067" s="21"/>
      <c r="AI1067" s="21"/>
      <c r="AJ1067" s="21"/>
      <c r="AK1067" s="21"/>
      <c r="AL1067" s="21"/>
      <c r="AM1067" s="21"/>
      <c r="AN1067" s="21"/>
      <c r="AO1067" s="22"/>
      <c r="AP1067" s="21"/>
      <c r="AQ1067" s="24"/>
      <c r="AR1067" s="21"/>
      <c r="AS1067" s="21"/>
      <c r="AT1067" s="21"/>
      <c r="AU1067" s="21"/>
      <c r="AV1067" s="21"/>
      <c r="AW1067" s="21"/>
      <c r="AX1067" s="22"/>
      <c r="AY1067" s="21"/>
      <c r="AZ1067" s="22"/>
      <c r="BA1067" s="21"/>
      <c r="BB1067" s="20"/>
      <c r="BC1067" s="21"/>
      <c r="BD1067" s="25"/>
      <c r="BE1067" s="26"/>
      <c r="BF1067" s="27"/>
      <c r="BG1067" s="28"/>
    </row>
    <row r="1068" spans="1:59" customFormat="1" ht="15" x14ac:dyDescent="0.35">
      <c r="A1068" s="50"/>
      <c r="B1068" s="63"/>
      <c r="C1068" s="39"/>
      <c r="D1068" s="6"/>
      <c r="E1068" s="149"/>
      <c r="F1068" s="153"/>
      <c r="G1068" s="10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12"/>
      <c r="X1068" s="33"/>
      <c r="Y1068" s="6"/>
      <c r="Z1068" s="6"/>
      <c r="AA1068" s="6"/>
      <c r="AB1068" s="6"/>
      <c r="AC1068" s="9"/>
      <c r="AD1068" s="9"/>
      <c r="AE1068" s="9"/>
      <c r="AF1068" s="9"/>
      <c r="AG1068" s="5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59"/>
      <c r="AR1068" s="21"/>
      <c r="AS1068" s="21"/>
      <c r="AT1068" s="3"/>
      <c r="AU1068" s="3"/>
      <c r="AV1068" s="3"/>
      <c r="AW1068" s="3"/>
      <c r="AX1068" s="3"/>
      <c r="AY1068" s="3"/>
      <c r="AZ1068" s="3"/>
      <c r="BA1068" s="3"/>
      <c r="BB1068" s="53"/>
      <c r="BC1068" s="3"/>
      <c r="BD1068" s="59"/>
      <c r="BE1068" s="3"/>
      <c r="BF1068" s="53"/>
      <c r="BG1068" s="59"/>
    </row>
    <row r="1069" spans="1:59" customFormat="1" ht="15" x14ac:dyDescent="0.35">
      <c r="A1069" s="50"/>
      <c r="B1069" s="63"/>
      <c r="C1069" s="39"/>
      <c r="D1069" s="6"/>
      <c r="E1069" s="149"/>
      <c r="F1069" s="153"/>
      <c r="G1069" s="10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12"/>
      <c r="X1069" s="33"/>
      <c r="Y1069" s="6"/>
      <c r="Z1069" s="6"/>
      <c r="AA1069" s="6"/>
      <c r="AB1069" s="6"/>
      <c r="AC1069" s="9"/>
      <c r="AD1069" s="9"/>
      <c r="AE1069" s="9"/>
      <c r="AF1069" s="9"/>
      <c r="AG1069" s="5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59"/>
      <c r="AR1069" s="21"/>
      <c r="AS1069" s="21"/>
      <c r="AT1069" s="3"/>
      <c r="AU1069" s="3"/>
      <c r="AV1069" s="3"/>
      <c r="AW1069" s="3"/>
      <c r="AX1069" s="3"/>
      <c r="AY1069" s="3"/>
      <c r="AZ1069" s="3"/>
      <c r="BA1069" s="3"/>
      <c r="BB1069" s="53"/>
      <c r="BC1069" s="3"/>
      <c r="BD1069" s="59"/>
      <c r="BE1069" s="3"/>
      <c r="BF1069" s="53"/>
      <c r="BG1069" s="59"/>
    </row>
    <row r="1070" spans="1:59" customFormat="1" ht="15" x14ac:dyDescent="0.35">
      <c r="A1070" s="50"/>
      <c r="B1070" s="63"/>
      <c r="C1070" s="39"/>
      <c r="D1070" s="6"/>
      <c r="E1070" s="149"/>
      <c r="F1070" s="153"/>
      <c r="G1070" s="10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5"/>
      <c r="V1070" s="5"/>
      <c r="W1070" s="13"/>
      <c r="X1070" s="4"/>
      <c r="Y1070" s="4"/>
      <c r="Z1070" s="4"/>
      <c r="AA1070" s="6"/>
      <c r="AB1070" s="5"/>
      <c r="AC1070" s="9"/>
      <c r="AD1070" s="9"/>
      <c r="AE1070" s="9"/>
      <c r="AF1070" s="9"/>
      <c r="AG1070" s="54"/>
      <c r="AH1070" s="3"/>
      <c r="AI1070" s="2"/>
      <c r="AJ1070" s="2"/>
      <c r="AK1070" s="2"/>
      <c r="AL1070" s="3"/>
      <c r="AM1070" s="3"/>
      <c r="AN1070" s="3"/>
      <c r="AO1070" s="3"/>
      <c r="AP1070" s="3"/>
      <c r="AQ1070" s="59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53"/>
      <c r="BC1070" s="3"/>
      <c r="BD1070" s="59"/>
      <c r="BE1070" s="3"/>
      <c r="BF1070" s="53"/>
      <c r="BG1070" s="59"/>
    </row>
    <row r="1071" spans="1:59" customFormat="1" ht="15" x14ac:dyDescent="0.35">
      <c r="A1071" s="50"/>
      <c r="B1071" s="63"/>
      <c r="C1071" s="39"/>
      <c r="D1071" s="6"/>
      <c r="E1071" s="149"/>
      <c r="F1071" s="153"/>
      <c r="G1071" s="10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5"/>
      <c r="V1071" s="5"/>
      <c r="W1071" s="13"/>
      <c r="X1071" s="4"/>
      <c r="Y1071" s="4"/>
      <c r="Z1071" s="4"/>
      <c r="AA1071" s="6"/>
      <c r="AB1071" s="5"/>
      <c r="AC1071" s="9"/>
      <c r="AD1071" s="9"/>
      <c r="AE1071" s="9"/>
      <c r="AF1071" s="9"/>
      <c r="AG1071" s="54"/>
      <c r="AH1071" s="3"/>
      <c r="AI1071" s="2"/>
      <c r="AJ1071" s="2"/>
      <c r="AK1071" s="2"/>
      <c r="AL1071" s="3"/>
      <c r="AM1071" s="3"/>
      <c r="AN1071" s="3"/>
      <c r="AO1071" s="3"/>
      <c r="AP1071" s="3"/>
      <c r="AQ1071" s="59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53"/>
      <c r="BC1071" s="3"/>
      <c r="BD1071" s="59"/>
      <c r="BE1071" s="3"/>
      <c r="BF1071" s="53"/>
      <c r="BG1071" s="59"/>
    </row>
    <row r="1072" spans="1:59" customFormat="1" ht="15" x14ac:dyDescent="0.35">
      <c r="A1072" s="50"/>
      <c r="B1072" s="63"/>
      <c r="C1072" s="39"/>
      <c r="D1072" s="6"/>
      <c r="E1072" s="149"/>
      <c r="F1072" s="153"/>
      <c r="G1072" s="10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5"/>
      <c r="V1072" s="5"/>
      <c r="W1072" s="13"/>
      <c r="X1072" s="4"/>
      <c r="Y1072" s="4"/>
      <c r="Z1072" s="4"/>
      <c r="AA1072" s="6"/>
      <c r="AB1072" s="5"/>
      <c r="AC1072" s="9"/>
      <c r="AD1072" s="9"/>
      <c r="AE1072" s="9"/>
      <c r="AF1072" s="9"/>
      <c r="AG1072" s="54"/>
      <c r="AH1072" s="3"/>
      <c r="AI1072" s="2"/>
      <c r="AJ1072" s="2"/>
      <c r="AK1072" s="2"/>
      <c r="AL1072" s="3"/>
      <c r="AM1072" s="3"/>
      <c r="AN1072" s="3"/>
      <c r="AO1072" s="3"/>
      <c r="AP1072" s="3"/>
      <c r="AQ1072" s="59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53"/>
      <c r="BC1072" s="3"/>
      <c r="BD1072" s="59"/>
      <c r="BE1072" s="3"/>
      <c r="BF1072" s="53"/>
      <c r="BG1072" s="59"/>
    </row>
    <row r="1073" spans="1:59" customFormat="1" ht="15" x14ac:dyDescent="0.35">
      <c r="A1073" s="50"/>
      <c r="B1073" s="63"/>
      <c r="C1073" s="39"/>
      <c r="D1073" s="6"/>
      <c r="E1073" s="149"/>
      <c r="F1073" s="153"/>
      <c r="G1073" s="10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5"/>
      <c r="V1073" s="5"/>
      <c r="W1073" s="13"/>
      <c r="X1073" s="4"/>
      <c r="Y1073" s="4"/>
      <c r="Z1073" s="4"/>
      <c r="AA1073" s="6"/>
      <c r="AB1073" s="5"/>
      <c r="AC1073" s="9"/>
      <c r="AD1073" s="9"/>
      <c r="AE1073" s="9"/>
      <c r="AF1073" s="9"/>
      <c r="AG1073" s="54"/>
      <c r="AH1073" s="3"/>
      <c r="AI1073" s="2"/>
      <c r="AJ1073" s="2"/>
      <c r="AK1073" s="2"/>
      <c r="AL1073" s="3"/>
      <c r="AM1073" s="3"/>
      <c r="AN1073" s="3"/>
      <c r="AO1073" s="3"/>
      <c r="AP1073" s="3"/>
      <c r="AQ1073" s="59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53"/>
      <c r="BC1073" s="3"/>
      <c r="BD1073" s="59"/>
      <c r="BE1073" s="3"/>
      <c r="BF1073" s="53"/>
      <c r="BG1073" s="59"/>
    </row>
    <row r="1074" spans="1:59" customFormat="1" ht="15" x14ac:dyDescent="0.35">
      <c r="A1074" s="19"/>
      <c r="B1074" s="49"/>
      <c r="C1074" s="14"/>
      <c r="D1074" s="1"/>
      <c r="E1074" s="149"/>
      <c r="F1074" s="153"/>
      <c r="G1074" s="10"/>
      <c r="H1074" s="17"/>
      <c r="I1074" s="17"/>
      <c r="J1074" s="17"/>
      <c r="K1074" s="30"/>
      <c r="L1074" s="30"/>
      <c r="M1074" s="30"/>
      <c r="N1074" s="30"/>
      <c r="O1074" s="30"/>
      <c r="P1074" s="30"/>
      <c r="Q1074" s="30"/>
      <c r="R1074" s="30"/>
      <c r="S1074" s="30"/>
      <c r="T1074" s="30"/>
      <c r="U1074" s="30"/>
      <c r="V1074" s="30"/>
      <c r="W1074" s="29"/>
      <c r="X1074" s="15"/>
      <c r="Y1074" s="30"/>
      <c r="Z1074" s="30"/>
      <c r="AA1074" s="30"/>
      <c r="AB1074" s="30"/>
      <c r="AC1074" s="17"/>
      <c r="AD1074" s="17"/>
      <c r="AE1074" s="17"/>
      <c r="AF1074" s="17"/>
      <c r="AG1074" s="20"/>
      <c r="AH1074" s="21"/>
      <c r="AI1074" s="21"/>
      <c r="AJ1074" s="21"/>
      <c r="AK1074" s="21"/>
      <c r="AL1074" s="21"/>
      <c r="AM1074" s="21"/>
      <c r="AN1074" s="21"/>
      <c r="AO1074" s="22"/>
      <c r="AP1074" s="21"/>
      <c r="AQ1074" s="24"/>
      <c r="AR1074" s="21"/>
      <c r="AS1074" s="21"/>
      <c r="AT1074" s="21"/>
      <c r="AU1074" s="21"/>
      <c r="AV1074" s="21"/>
      <c r="AW1074" s="21"/>
      <c r="AX1074" s="22"/>
      <c r="AY1074" s="21"/>
      <c r="AZ1074" s="22"/>
      <c r="BA1074" s="21"/>
      <c r="BB1074" s="20"/>
      <c r="BC1074" s="21"/>
      <c r="BD1074" s="25"/>
      <c r="BE1074" s="26"/>
      <c r="BF1074" s="27"/>
      <c r="BG1074" s="28"/>
    </row>
    <row r="1075" spans="1:59" customFormat="1" ht="15" x14ac:dyDescent="0.35">
      <c r="A1075" s="19"/>
      <c r="B1075" s="49"/>
      <c r="C1075" s="39"/>
      <c r="D1075" s="1"/>
      <c r="E1075" s="149"/>
      <c r="F1075" s="153"/>
      <c r="G1075" s="10"/>
      <c r="H1075" s="17"/>
      <c r="I1075" s="17"/>
      <c r="J1075" s="17"/>
      <c r="K1075" s="30"/>
      <c r="L1075" s="30"/>
      <c r="M1075" s="30"/>
      <c r="N1075" s="30"/>
      <c r="O1075" s="30"/>
      <c r="P1075" s="30"/>
      <c r="Q1075" s="30"/>
      <c r="R1075" s="30"/>
      <c r="S1075" s="30"/>
      <c r="T1075" s="30"/>
      <c r="U1075" s="30"/>
      <c r="V1075" s="30"/>
      <c r="W1075" s="29"/>
      <c r="X1075" s="15"/>
      <c r="Y1075" s="30"/>
      <c r="Z1075" s="30"/>
      <c r="AA1075" s="30"/>
      <c r="AB1075" s="30"/>
      <c r="AC1075" s="17"/>
      <c r="AD1075" s="17"/>
      <c r="AE1075" s="17"/>
      <c r="AF1075" s="17"/>
      <c r="AG1075" s="20"/>
      <c r="AH1075" s="21"/>
      <c r="AI1075" s="21"/>
      <c r="AJ1075" s="21"/>
      <c r="AK1075" s="21"/>
      <c r="AL1075" s="21"/>
      <c r="AM1075" s="21"/>
      <c r="AN1075" s="21"/>
      <c r="AO1075" s="22"/>
      <c r="AP1075" s="21"/>
      <c r="AQ1075" s="24"/>
      <c r="AR1075" s="21"/>
      <c r="AS1075" s="21"/>
      <c r="AT1075" s="21"/>
      <c r="AU1075" s="21"/>
      <c r="AV1075" s="21"/>
      <c r="AW1075" s="21"/>
      <c r="AX1075" s="22"/>
      <c r="AY1075" s="21"/>
      <c r="AZ1075" s="22"/>
      <c r="BA1075" s="21"/>
      <c r="BB1075" s="20"/>
      <c r="BC1075" s="21"/>
      <c r="BD1075" s="25"/>
      <c r="BE1075" s="26"/>
      <c r="BF1075" s="27"/>
      <c r="BG1075" s="28"/>
    </row>
    <row r="1076" spans="1:59" customFormat="1" ht="15" x14ac:dyDescent="0.35">
      <c r="A1076" s="50"/>
      <c r="B1076" s="63"/>
      <c r="C1076" s="39"/>
      <c r="D1076" s="6"/>
      <c r="E1076" s="149"/>
      <c r="F1076" s="153"/>
      <c r="G1076" s="10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5"/>
      <c r="V1076" s="5"/>
      <c r="W1076" s="13"/>
      <c r="X1076" s="4"/>
      <c r="Y1076" s="4"/>
      <c r="Z1076" s="4"/>
      <c r="AA1076" s="6"/>
      <c r="AB1076" s="5"/>
      <c r="AC1076" s="9"/>
      <c r="AD1076" s="9"/>
      <c r="AE1076" s="9"/>
      <c r="AF1076" s="9"/>
      <c r="AG1076" s="54"/>
      <c r="AH1076" s="3"/>
      <c r="AI1076" s="2"/>
      <c r="AJ1076" s="2"/>
      <c r="AK1076" s="2"/>
      <c r="AL1076" s="3"/>
      <c r="AM1076" s="3"/>
      <c r="AN1076" s="3"/>
      <c r="AO1076" s="3"/>
      <c r="AP1076" s="3"/>
      <c r="AQ1076" s="59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53"/>
      <c r="BC1076" s="3"/>
      <c r="BD1076" s="59"/>
      <c r="BE1076" s="3"/>
      <c r="BF1076" s="53"/>
      <c r="BG1076" s="59"/>
    </row>
    <row r="1077" spans="1:59" customFormat="1" ht="15" x14ac:dyDescent="0.35">
      <c r="A1077" s="19"/>
      <c r="B1077" s="49"/>
      <c r="C1077" s="14"/>
      <c r="D1077" s="1"/>
      <c r="E1077" s="149"/>
      <c r="F1077" s="153"/>
      <c r="G1077" s="10"/>
      <c r="H1077" s="17"/>
      <c r="I1077" s="17"/>
      <c r="J1077" s="17"/>
      <c r="K1077" s="30"/>
      <c r="L1077" s="30"/>
      <c r="M1077" s="30"/>
      <c r="N1077" s="30"/>
      <c r="O1077" s="30"/>
      <c r="P1077" s="30"/>
      <c r="Q1077" s="30"/>
      <c r="R1077" s="30"/>
      <c r="S1077" s="30"/>
      <c r="T1077" s="30"/>
      <c r="U1077" s="30"/>
      <c r="V1077" s="30"/>
      <c r="W1077" s="29"/>
      <c r="X1077" s="15"/>
      <c r="Y1077" s="30"/>
      <c r="Z1077" s="30"/>
      <c r="AA1077" s="30"/>
      <c r="AB1077" s="30"/>
      <c r="AC1077" s="17"/>
      <c r="AD1077" s="17"/>
      <c r="AE1077" s="17"/>
      <c r="AF1077" s="17"/>
      <c r="AG1077" s="20"/>
      <c r="AH1077" s="21"/>
      <c r="AI1077" s="21"/>
      <c r="AJ1077" s="21"/>
      <c r="AK1077" s="21"/>
      <c r="AL1077" s="21"/>
      <c r="AM1077" s="21"/>
      <c r="AN1077" s="21"/>
      <c r="AO1077" s="22"/>
      <c r="AP1077" s="21"/>
      <c r="AQ1077" s="24"/>
      <c r="AR1077" s="21"/>
      <c r="AS1077" s="21"/>
      <c r="AT1077" s="21"/>
      <c r="AU1077" s="21"/>
      <c r="AV1077" s="21"/>
      <c r="AW1077" s="21"/>
      <c r="AX1077" s="22"/>
      <c r="AY1077" s="21"/>
      <c r="AZ1077" s="22"/>
      <c r="BA1077" s="21"/>
      <c r="BB1077" s="20"/>
      <c r="BC1077" s="21"/>
      <c r="BD1077" s="25"/>
      <c r="BE1077" s="26"/>
      <c r="BF1077" s="27"/>
      <c r="BG1077" s="28"/>
    </row>
    <row r="1078" spans="1:59" customFormat="1" ht="15" x14ac:dyDescent="0.35">
      <c r="A1078" s="50"/>
      <c r="B1078" s="63"/>
      <c r="C1078" s="39"/>
      <c r="D1078" s="6"/>
      <c r="E1078" s="149"/>
      <c r="F1078" s="153"/>
      <c r="G1078" s="10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12"/>
      <c r="X1078" s="33"/>
      <c r="Y1078" s="6"/>
      <c r="Z1078" s="6"/>
      <c r="AA1078" s="6"/>
      <c r="AB1078" s="6"/>
      <c r="AC1078" s="9"/>
      <c r="AD1078" s="9"/>
      <c r="AE1078" s="9"/>
      <c r="AF1078" s="9"/>
      <c r="AG1078" s="5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59"/>
      <c r="AR1078" s="21"/>
      <c r="AS1078" s="21"/>
      <c r="AT1078" s="3"/>
      <c r="AU1078" s="3"/>
      <c r="AV1078" s="3"/>
      <c r="AW1078" s="3"/>
      <c r="AX1078" s="3"/>
      <c r="AY1078" s="3"/>
      <c r="AZ1078" s="3"/>
      <c r="BA1078" s="3"/>
      <c r="BB1078" s="53"/>
      <c r="BC1078" s="3"/>
      <c r="BD1078" s="59"/>
      <c r="BE1078" s="3"/>
      <c r="BF1078" s="53"/>
      <c r="BG1078" s="59"/>
    </row>
    <row r="1079" spans="1:59" customFormat="1" ht="15" x14ac:dyDescent="0.35">
      <c r="A1079" s="50"/>
      <c r="B1079" s="63"/>
      <c r="C1079" s="39"/>
      <c r="D1079" s="6"/>
      <c r="E1079" s="149"/>
      <c r="F1079" s="153"/>
      <c r="G1079" s="10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5"/>
      <c r="V1079" s="5"/>
      <c r="W1079" s="13"/>
      <c r="X1079" s="4"/>
      <c r="Y1079" s="4"/>
      <c r="Z1079" s="4"/>
      <c r="AA1079" s="6"/>
      <c r="AB1079" s="5"/>
      <c r="AC1079" s="9"/>
      <c r="AD1079" s="9"/>
      <c r="AE1079" s="9"/>
      <c r="AF1079" s="9"/>
      <c r="AG1079" s="54"/>
      <c r="AH1079" s="3"/>
      <c r="AI1079" s="2"/>
      <c r="AJ1079" s="2"/>
      <c r="AK1079" s="2"/>
      <c r="AL1079" s="3"/>
      <c r="AM1079" s="3"/>
      <c r="AN1079" s="3"/>
      <c r="AO1079" s="3"/>
      <c r="AP1079" s="3"/>
      <c r="AQ1079" s="59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53"/>
      <c r="BC1079" s="3"/>
      <c r="BD1079" s="59"/>
      <c r="BE1079" s="3"/>
      <c r="BF1079" s="53"/>
      <c r="BG1079" s="59"/>
    </row>
    <row r="1080" spans="1:59" customFormat="1" ht="15" x14ac:dyDescent="0.35">
      <c r="A1080" s="50"/>
      <c r="B1080" s="63"/>
      <c r="C1080" s="39"/>
      <c r="D1080" s="6"/>
      <c r="E1080" s="149"/>
      <c r="F1080" s="153"/>
      <c r="G1080" s="10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5"/>
      <c r="V1080" s="5"/>
      <c r="W1080" s="13"/>
      <c r="X1080" s="4"/>
      <c r="Y1080" s="4"/>
      <c r="Z1080" s="4"/>
      <c r="AA1080" s="6"/>
      <c r="AB1080" s="11"/>
      <c r="AC1080" s="9"/>
      <c r="AD1080" s="9"/>
      <c r="AE1080" s="9"/>
      <c r="AF1080" s="9"/>
      <c r="AG1080" s="54"/>
      <c r="AH1080" s="3"/>
      <c r="AI1080" s="2"/>
      <c r="AJ1080" s="2"/>
      <c r="AK1080" s="2"/>
      <c r="AL1080" s="3"/>
      <c r="AM1080" s="3"/>
      <c r="AN1080" s="3"/>
      <c r="AO1080" s="3"/>
      <c r="AP1080" s="3"/>
      <c r="AQ1080" s="59"/>
      <c r="AR1080" s="3"/>
      <c r="AS1080" s="3"/>
      <c r="AT1080" s="3"/>
      <c r="AU1080" s="3"/>
      <c r="AV1080" s="3"/>
      <c r="AW1080" s="3"/>
      <c r="AX1080" s="12"/>
      <c r="AY1080" s="3"/>
      <c r="AZ1080" s="3"/>
      <c r="BA1080" s="3"/>
      <c r="BB1080" s="53"/>
      <c r="BC1080" s="3"/>
      <c r="BD1080" s="59"/>
      <c r="BE1080" s="3"/>
      <c r="BF1080" s="53"/>
      <c r="BG1080" s="59"/>
    </row>
    <row r="1081" spans="1:59" customFormat="1" ht="15" x14ac:dyDescent="0.35">
      <c r="A1081" s="50"/>
      <c r="B1081" s="63"/>
      <c r="C1081" s="39"/>
      <c r="D1081" s="6"/>
      <c r="E1081" s="149"/>
      <c r="F1081" s="153"/>
      <c r="G1081" s="10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5"/>
      <c r="V1081" s="5"/>
      <c r="W1081" s="13"/>
      <c r="X1081" s="4"/>
      <c r="Y1081" s="4"/>
      <c r="Z1081" s="4"/>
      <c r="AA1081" s="6"/>
      <c r="AB1081" s="5"/>
      <c r="AC1081" s="9"/>
      <c r="AD1081" s="9"/>
      <c r="AE1081" s="9"/>
      <c r="AF1081" s="9"/>
      <c r="AG1081" s="54"/>
      <c r="AH1081" s="3"/>
      <c r="AI1081" s="2"/>
      <c r="AJ1081" s="2"/>
      <c r="AK1081" s="2"/>
      <c r="AL1081" s="3"/>
      <c r="AM1081" s="3"/>
      <c r="AN1081" s="3"/>
      <c r="AO1081" s="3"/>
      <c r="AP1081" s="3"/>
      <c r="AQ1081" s="59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53"/>
      <c r="BC1081" s="3"/>
      <c r="BD1081" s="59"/>
      <c r="BE1081" s="3"/>
      <c r="BF1081" s="53"/>
      <c r="BG1081" s="59"/>
    </row>
    <row r="1082" spans="1:59" customFormat="1" ht="15" x14ac:dyDescent="0.35">
      <c r="A1082" s="50"/>
      <c r="B1082" s="63"/>
      <c r="C1082" s="39"/>
      <c r="D1082" s="6"/>
      <c r="E1082" s="149"/>
      <c r="F1082" s="153"/>
      <c r="G1082" s="10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12"/>
      <c r="X1082" s="33"/>
      <c r="Y1082" s="6"/>
      <c r="Z1082" s="6"/>
      <c r="AA1082" s="6"/>
      <c r="AB1082" s="6"/>
      <c r="AC1082" s="9"/>
      <c r="AD1082" s="9"/>
      <c r="AE1082" s="9"/>
      <c r="AF1082" s="9"/>
      <c r="AG1082" s="5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59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53"/>
      <c r="BC1082" s="3"/>
      <c r="BD1082" s="59"/>
      <c r="BE1082" s="3"/>
      <c r="BF1082" s="53"/>
      <c r="BG1082" s="59"/>
    </row>
    <row r="1083" spans="1:59" customFormat="1" ht="15" x14ac:dyDescent="0.35">
      <c r="A1083" s="50"/>
      <c r="B1083" s="63"/>
      <c r="C1083" s="39"/>
      <c r="D1083" s="6"/>
      <c r="E1083" s="149"/>
      <c r="F1083" s="153"/>
      <c r="G1083" s="10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5"/>
      <c r="V1083" s="5"/>
      <c r="W1083" s="13"/>
      <c r="X1083" s="4"/>
      <c r="Y1083" s="4"/>
      <c r="Z1083" s="4"/>
      <c r="AA1083" s="6"/>
      <c r="AB1083" s="5"/>
      <c r="AC1083" s="9"/>
      <c r="AD1083" s="9"/>
      <c r="AE1083" s="9"/>
      <c r="AF1083" s="9"/>
      <c r="AG1083" s="54"/>
      <c r="AH1083" s="3"/>
      <c r="AI1083" s="2"/>
      <c r="AJ1083" s="2"/>
      <c r="AK1083" s="2"/>
      <c r="AL1083" s="3"/>
      <c r="AM1083" s="3"/>
      <c r="AN1083" s="3"/>
      <c r="AO1083" s="3"/>
      <c r="AP1083" s="3"/>
      <c r="AQ1083" s="59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53"/>
      <c r="BC1083" s="3"/>
      <c r="BD1083" s="59"/>
      <c r="BE1083" s="3"/>
      <c r="BF1083" s="53"/>
      <c r="BG1083" s="59"/>
    </row>
    <row r="1084" spans="1:59" customFormat="1" ht="15" x14ac:dyDescent="0.35">
      <c r="A1084" s="50"/>
      <c r="B1084" s="63"/>
      <c r="C1084" s="39"/>
      <c r="D1084" s="6"/>
      <c r="E1084" s="149"/>
      <c r="F1084" s="153"/>
      <c r="G1084" s="10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5"/>
      <c r="V1084" s="5"/>
      <c r="W1084" s="13"/>
      <c r="X1084" s="4"/>
      <c r="Y1084" s="4"/>
      <c r="Z1084" s="4"/>
      <c r="AA1084" s="6"/>
      <c r="AB1084" s="5"/>
      <c r="AC1084" s="9"/>
      <c r="AD1084" s="9"/>
      <c r="AE1084" s="9"/>
      <c r="AF1084" s="9"/>
      <c r="AG1084" s="54"/>
      <c r="AH1084" s="3"/>
      <c r="AI1084" s="2"/>
      <c r="AJ1084" s="2"/>
      <c r="AK1084" s="2"/>
      <c r="AL1084" s="3"/>
      <c r="AM1084" s="3"/>
      <c r="AN1084" s="3"/>
      <c r="AO1084" s="3"/>
      <c r="AP1084" s="3"/>
      <c r="AQ1084" s="59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53"/>
      <c r="BC1084" s="3"/>
      <c r="BD1084" s="59"/>
      <c r="BE1084" s="3"/>
      <c r="BF1084" s="53"/>
      <c r="BG1084" s="59"/>
    </row>
    <row r="1085" spans="1:59" customFormat="1" ht="15" x14ac:dyDescent="0.35">
      <c r="A1085" s="19"/>
      <c r="B1085" s="49"/>
      <c r="C1085" s="14"/>
      <c r="D1085" s="1"/>
      <c r="E1085" s="149"/>
      <c r="F1085" s="153"/>
      <c r="G1085" s="10"/>
      <c r="H1085" s="17"/>
      <c r="I1085" s="17"/>
      <c r="J1085" s="17"/>
      <c r="K1085" s="30"/>
      <c r="L1085" s="30"/>
      <c r="M1085" s="30"/>
      <c r="N1085" s="30"/>
      <c r="O1085" s="30"/>
      <c r="P1085" s="30"/>
      <c r="Q1085" s="30"/>
      <c r="R1085" s="30"/>
      <c r="S1085" s="30"/>
      <c r="T1085" s="30"/>
      <c r="U1085" s="30"/>
      <c r="V1085" s="30"/>
      <c r="W1085" s="29"/>
      <c r="X1085" s="15"/>
      <c r="Y1085" s="30"/>
      <c r="Z1085" s="30"/>
      <c r="AA1085" s="30"/>
      <c r="AB1085" s="30"/>
      <c r="AC1085" s="17"/>
      <c r="AD1085" s="17"/>
      <c r="AE1085" s="17"/>
      <c r="AF1085" s="17"/>
      <c r="AG1085" s="20"/>
      <c r="AH1085" s="21"/>
      <c r="AI1085" s="21"/>
      <c r="AJ1085" s="21"/>
      <c r="AK1085" s="21"/>
      <c r="AL1085" s="21"/>
      <c r="AM1085" s="21"/>
      <c r="AN1085" s="21"/>
      <c r="AO1085" s="22"/>
      <c r="AP1085" s="21"/>
      <c r="AQ1085" s="24"/>
      <c r="AR1085" s="21"/>
      <c r="AS1085" s="21"/>
      <c r="AT1085" s="21"/>
      <c r="AU1085" s="21"/>
      <c r="AV1085" s="21"/>
      <c r="AW1085" s="21"/>
      <c r="AX1085" s="22"/>
      <c r="AY1085" s="21"/>
      <c r="AZ1085" s="22"/>
      <c r="BA1085" s="21"/>
      <c r="BB1085" s="20"/>
      <c r="BC1085" s="21"/>
      <c r="BD1085" s="25"/>
      <c r="BE1085" s="26"/>
      <c r="BF1085" s="27"/>
      <c r="BG1085" s="28"/>
    </row>
    <row r="1086" spans="1:59" customFormat="1" ht="15" x14ac:dyDescent="0.35">
      <c r="A1086" s="50"/>
      <c r="B1086" s="63"/>
      <c r="C1086" s="39"/>
      <c r="D1086" s="6"/>
      <c r="E1086" s="149"/>
      <c r="F1086" s="153"/>
      <c r="G1086" s="10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12"/>
      <c r="X1086" s="33"/>
      <c r="Y1086" s="6"/>
      <c r="Z1086" s="6"/>
      <c r="AA1086" s="6"/>
      <c r="AB1086" s="6"/>
      <c r="AC1086" s="9"/>
      <c r="AD1086" s="9"/>
      <c r="AE1086" s="9"/>
      <c r="AF1086" s="9"/>
      <c r="AG1086" s="5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59"/>
      <c r="AR1086" s="21"/>
      <c r="AS1086" s="21"/>
      <c r="AT1086" s="3"/>
      <c r="AU1086" s="3"/>
      <c r="AV1086" s="3"/>
      <c r="AW1086" s="3"/>
      <c r="AX1086" s="3"/>
      <c r="AY1086" s="3"/>
      <c r="AZ1086" s="3"/>
      <c r="BA1086" s="3"/>
      <c r="BB1086" s="53"/>
      <c r="BC1086" s="3"/>
      <c r="BD1086" s="59"/>
      <c r="BE1086" s="3"/>
      <c r="BF1086" s="53"/>
      <c r="BG1086" s="59"/>
    </row>
    <row r="1087" spans="1:59" customFormat="1" ht="15" x14ac:dyDescent="0.35">
      <c r="A1087" s="50"/>
      <c r="B1087" s="63"/>
      <c r="C1087" s="39"/>
      <c r="D1087" s="6"/>
      <c r="E1087" s="149"/>
      <c r="F1087" s="153"/>
      <c r="G1087" s="10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5"/>
      <c r="V1087" s="5"/>
      <c r="W1087" s="13"/>
      <c r="X1087" s="4"/>
      <c r="Y1087" s="4"/>
      <c r="Z1087" s="4"/>
      <c r="AA1087" s="6"/>
      <c r="AB1087" s="5"/>
      <c r="AC1087" s="9"/>
      <c r="AD1087" s="9"/>
      <c r="AE1087" s="9"/>
      <c r="AF1087" s="9"/>
      <c r="AG1087" s="54"/>
      <c r="AH1087" s="3"/>
      <c r="AI1087" s="2"/>
      <c r="AJ1087" s="2"/>
      <c r="AK1087" s="2"/>
      <c r="AL1087" s="3"/>
      <c r="AM1087" s="3"/>
      <c r="AN1087" s="3"/>
      <c r="AO1087" s="3"/>
      <c r="AP1087" s="3"/>
      <c r="AQ1087" s="59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53"/>
      <c r="BC1087" s="3"/>
      <c r="BD1087" s="59"/>
      <c r="BE1087" s="3"/>
      <c r="BF1087" s="53"/>
      <c r="BG1087" s="59"/>
    </row>
    <row r="1088" spans="1:59" customFormat="1" ht="15" x14ac:dyDescent="0.35">
      <c r="A1088" s="19"/>
      <c r="B1088" s="49"/>
      <c r="C1088" s="39"/>
      <c r="D1088" s="1"/>
      <c r="E1088" s="149"/>
      <c r="F1088" s="153"/>
      <c r="G1088" s="10"/>
      <c r="H1088" s="17"/>
      <c r="I1088" s="17"/>
      <c r="J1088" s="17"/>
      <c r="K1088" s="30"/>
      <c r="L1088" s="30"/>
      <c r="M1088" s="30"/>
      <c r="N1088" s="30"/>
      <c r="O1088" s="30"/>
      <c r="P1088" s="30"/>
      <c r="Q1088" s="30"/>
      <c r="R1088" s="30"/>
      <c r="S1088" s="30"/>
      <c r="T1088" s="30"/>
      <c r="U1088" s="30"/>
      <c r="V1088" s="30"/>
      <c r="W1088" s="29"/>
      <c r="X1088" s="15"/>
      <c r="Y1088" s="30"/>
      <c r="Z1088" s="30"/>
      <c r="AA1088" s="30"/>
      <c r="AB1088" s="30"/>
      <c r="AC1088" s="17"/>
      <c r="AD1088" s="17"/>
      <c r="AE1088" s="17"/>
      <c r="AF1088" s="17"/>
      <c r="AG1088" s="20"/>
      <c r="AH1088" s="21"/>
      <c r="AI1088" s="21"/>
      <c r="AJ1088" s="21"/>
      <c r="AK1088" s="21"/>
      <c r="AL1088" s="21"/>
      <c r="AM1088" s="21"/>
      <c r="AN1088" s="21"/>
      <c r="AO1088" s="22"/>
      <c r="AP1088" s="21"/>
      <c r="AQ1088" s="24"/>
      <c r="AR1088" s="21"/>
      <c r="AS1088" s="21"/>
      <c r="AT1088" s="21"/>
      <c r="AU1088" s="21"/>
      <c r="AV1088" s="21"/>
      <c r="AW1088" s="21"/>
      <c r="AX1088" s="22"/>
      <c r="AY1088" s="21"/>
      <c r="AZ1088" s="22"/>
      <c r="BA1088" s="21"/>
      <c r="BB1088" s="20"/>
      <c r="BC1088" s="21"/>
      <c r="BD1088" s="25"/>
      <c r="BE1088" s="26"/>
      <c r="BF1088" s="27"/>
      <c r="BG1088" s="28"/>
    </row>
    <row r="1089" spans="1:59" customFormat="1" ht="15" x14ac:dyDescent="0.35">
      <c r="A1089" s="50"/>
      <c r="B1089" s="63"/>
      <c r="C1089" s="39"/>
      <c r="D1089" s="6"/>
      <c r="E1089" s="149"/>
      <c r="F1089" s="153"/>
      <c r="G1089" s="10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12"/>
      <c r="X1089" s="33"/>
      <c r="Y1089" s="6"/>
      <c r="Z1089" s="6"/>
      <c r="AA1089" s="6"/>
      <c r="AB1089" s="6"/>
      <c r="AC1089" s="9"/>
      <c r="AD1089" s="9"/>
      <c r="AE1089" s="9"/>
      <c r="AF1089" s="9"/>
      <c r="AG1089" s="5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59"/>
      <c r="AR1089" s="21"/>
      <c r="AS1089" s="21"/>
      <c r="AT1089" s="3"/>
      <c r="AU1089" s="3"/>
      <c r="AV1089" s="3"/>
      <c r="AW1089" s="3"/>
      <c r="AX1089" s="3"/>
      <c r="AY1089" s="3"/>
      <c r="AZ1089" s="3"/>
      <c r="BA1089" s="3"/>
      <c r="BB1089" s="53"/>
      <c r="BC1089" s="3"/>
      <c r="BD1089" s="59"/>
      <c r="BE1089" s="3"/>
      <c r="BF1089" s="53"/>
      <c r="BG1089" s="59"/>
    </row>
    <row r="1090" spans="1:59" customFormat="1" ht="15" x14ac:dyDescent="0.35">
      <c r="A1090" s="50"/>
      <c r="B1090" s="63"/>
      <c r="C1090" s="39"/>
      <c r="D1090" s="6"/>
      <c r="E1090" s="149"/>
      <c r="F1090" s="153"/>
      <c r="G1090" s="10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12"/>
      <c r="X1090" s="33"/>
      <c r="Y1090" s="6"/>
      <c r="Z1090" s="6"/>
      <c r="AA1090" s="6"/>
      <c r="AB1090" s="6"/>
      <c r="AC1090" s="9"/>
      <c r="AD1090" s="9"/>
      <c r="AE1090" s="9"/>
      <c r="AF1090" s="9"/>
      <c r="AG1090" s="5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59"/>
      <c r="AR1090" s="21"/>
      <c r="AS1090" s="21"/>
      <c r="AT1090" s="3"/>
      <c r="AU1090" s="3"/>
      <c r="AV1090" s="3"/>
      <c r="AW1090" s="3"/>
      <c r="AX1090" s="3"/>
      <c r="AY1090" s="3"/>
      <c r="AZ1090" s="3"/>
      <c r="BA1090" s="3"/>
      <c r="BB1090" s="53"/>
      <c r="BC1090" s="3"/>
      <c r="BD1090" s="59"/>
      <c r="BE1090" s="3"/>
      <c r="BF1090" s="53"/>
      <c r="BG1090" s="59"/>
    </row>
    <row r="1091" spans="1:59" customFormat="1" ht="15" x14ac:dyDescent="0.35">
      <c r="A1091" s="50"/>
      <c r="B1091" s="63"/>
      <c r="C1091" s="39"/>
      <c r="D1091" s="6"/>
      <c r="E1091" s="149"/>
      <c r="F1091" s="153"/>
      <c r="G1091" s="10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12"/>
      <c r="X1091" s="33"/>
      <c r="Y1091" s="6"/>
      <c r="Z1091" s="6"/>
      <c r="AA1091" s="6"/>
      <c r="AB1091" s="6"/>
      <c r="AC1091" s="9"/>
      <c r="AD1091" s="9"/>
      <c r="AE1091" s="9"/>
      <c r="AF1091" s="9"/>
      <c r="AG1091" s="5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59"/>
      <c r="AR1091" s="21"/>
      <c r="AS1091" s="21"/>
      <c r="AT1091" s="3"/>
      <c r="AU1091" s="3"/>
      <c r="AV1091" s="3"/>
      <c r="AW1091" s="3"/>
      <c r="AX1091" s="3"/>
      <c r="AY1091" s="3"/>
      <c r="AZ1091" s="3"/>
      <c r="BA1091" s="3"/>
      <c r="BB1091" s="53"/>
      <c r="BC1091" s="3"/>
      <c r="BD1091" s="59"/>
      <c r="BE1091" s="3"/>
      <c r="BF1091" s="53"/>
      <c r="BG1091" s="59"/>
    </row>
    <row r="1092" spans="1:59" customFormat="1" ht="15" x14ac:dyDescent="0.35">
      <c r="A1092" s="50"/>
      <c r="B1092" s="63"/>
      <c r="C1092" s="39"/>
      <c r="D1092" s="6"/>
      <c r="E1092" s="149"/>
      <c r="F1092" s="153"/>
      <c r="G1092" s="10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12"/>
      <c r="X1092" s="33"/>
      <c r="Y1092" s="6"/>
      <c r="Z1092" s="6"/>
      <c r="AA1092" s="6"/>
      <c r="AB1092" s="6"/>
      <c r="AC1092" s="9"/>
      <c r="AD1092" s="9"/>
      <c r="AE1092" s="9"/>
      <c r="AF1092" s="9"/>
      <c r="AG1092" s="5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59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53"/>
      <c r="BC1092" s="3"/>
      <c r="BD1092" s="59"/>
      <c r="BE1092" s="3"/>
      <c r="BF1092" s="53"/>
      <c r="BG1092" s="59"/>
    </row>
    <row r="1093" spans="1:59" customFormat="1" ht="15" x14ac:dyDescent="0.35">
      <c r="A1093" s="50"/>
      <c r="B1093" s="63"/>
      <c r="C1093" s="39"/>
      <c r="D1093" s="6"/>
      <c r="E1093" s="149"/>
      <c r="F1093" s="153"/>
      <c r="G1093" s="10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12"/>
      <c r="X1093" s="33"/>
      <c r="Y1093" s="6"/>
      <c r="Z1093" s="6"/>
      <c r="AA1093" s="6"/>
      <c r="AB1093" s="6"/>
      <c r="AC1093" s="9"/>
      <c r="AD1093" s="9"/>
      <c r="AE1093" s="9"/>
      <c r="AF1093" s="9"/>
      <c r="AG1093" s="5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59"/>
      <c r="AR1093" s="21"/>
      <c r="AS1093" s="21"/>
      <c r="AT1093" s="3"/>
      <c r="AU1093" s="3"/>
      <c r="AV1093" s="3"/>
      <c r="AW1093" s="3"/>
      <c r="AX1093" s="3"/>
      <c r="AY1093" s="3"/>
      <c r="AZ1093" s="3"/>
      <c r="BA1093" s="3"/>
      <c r="BB1093" s="53"/>
      <c r="BC1093" s="3"/>
      <c r="BD1093" s="59"/>
      <c r="BE1093" s="3"/>
      <c r="BF1093" s="53"/>
      <c r="BG1093" s="59"/>
    </row>
    <row r="1094" spans="1:59" customFormat="1" ht="15" x14ac:dyDescent="0.35">
      <c r="A1094" s="19"/>
      <c r="B1094" s="49"/>
      <c r="C1094" s="14"/>
      <c r="D1094" s="1"/>
      <c r="E1094" s="149"/>
      <c r="F1094" s="153"/>
      <c r="G1094" s="10"/>
      <c r="H1094" s="17"/>
      <c r="I1094" s="17"/>
      <c r="J1094" s="17"/>
      <c r="K1094" s="30"/>
      <c r="L1094" s="30"/>
      <c r="M1094" s="30"/>
      <c r="N1094" s="30"/>
      <c r="O1094" s="30"/>
      <c r="P1094" s="30"/>
      <c r="Q1094" s="30"/>
      <c r="R1094" s="30"/>
      <c r="S1094" s="30"/>
      <c r="T1094" s="30"/>
      <c r="U1094" s="30"/>
      <c r="V1094" s="30"/>
      <c r="W1094" s="29"/>
      <c r="X1094" s="15"/>
      <c r="Y1094" s="30"/>
      <c r="Z1094" s="30"/>
      <c r="AA1094" s="30"/>
      <c r="AB1094" s="30"/>
      <c r="AC1094" s="17"/>
      <c r="AD1094" s="17"/>
      <c r="AE1094" s="17"/>
      <c r="AF1094" s="17"/>
      <c r="AG1094" s="20"/>
      <c r="AH1094" s="21"/>
      <c r="AI1094" s="21"/>
      <c r="AJ1094" s="21"/>
      <c r="AK1094" s="21"/>
      <c r="AL1094" s="21"/>
      <c r="AM1094" s="21"/>
      <c r="AN1094" s="21"/>
      <c r="AO1094" s="22"/>
      <c r="AP1094" s="21"/>
      <c r="AQ1094" s="24"/>
      <c r="AR1094" s="21"/>
      <c r="AS1094" s="21"/>
      <c r="AT1094" s="21"/>
      <c r="AU1094" s="21"/>
      <c r="AV1094" s="21"/>
      <c r="AW1094" s="21"/>
      <c r="AX1094" s="22"/>
      <c r="AY1094" s="21"/>
      <c r="AZ1094" s="22"/>
      <c r="BA1094" s="21"/>
      <c r="BB1094" s="20"/>
      <c r="BC1094" s="21"/>
      <c r="BD1094" s="25"/>
      <c r="BE1094" s="26"/>
      <c r="BF1094" s="27"/>
      <c r="BG1094" s="28"/>
    </row>
    <row r="1095" spans="1:59" customFormat="1" ht="15" x14ac:dyDescent="0.35">
      <c r="A1095" s="50"/>
      <c r="B1095" s="63"/>
      <c r="C1095" s="39"/>
      <c r="D1095" s="6"/>
      <c r="E1095" s="149"/>
      <c r="F1095" s="153"/>
      <c r="G1095" s="10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12"/>
      <c r="X1095" s="33"/>
      <c r="Y1095" s="6"/>
      <c r="Z1095" s="6"/>
      <c r="AA1095" s="6"/>
      <c r="AB1095" s="6"/>
      <c r="AC1095" s="9"/>
      <c r="AD1095" s="9"/>
      <c r="AE1095" s="9"/>
      <c r="AF1095" s="9"/>
      <c r="AG1095" s="5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59"/>
      <c r="AR1095" s="21"/>
      <c r="AS1095" s="21"/>
      <c r="AT1095" s="3"/>
      <c r="AU1095" s="3"/>
      <c r="AV1095" s="3"/>
      <c r="AW1095" s="3"/>
      <c r="AX1095" s="3"/>
      <c r="AY1095" s="3"/>
      <c r="AZ1095" s="3"/>
      <c r="BA1095" s="3"/>
      <c r="BB1095" s="53"/>
      <c r="BC1095" s="3"/>
      <c r="BD1095" s="59"/>
      <c r="BE1095" s="3"/>
      <c r="BF1095" s="53"/>
      <c r="BG1095" s="59"/>
    </row>
    <row r="1096" spans="1:59" customFormat="1" ht="15" x14ac:dyDescent="0.35">
      <c r="A1096" s="19"/>
      <c r="B1096" s="49"/>
      <c r="C1096" s="39"/>
      <c r="D1096" s="1"/>
      <c r="E1096" s="149"/>
      <c r="F1096" s="153"/>
      <c r="G1096" s="10"/>
      <c r="H1096" s="17"/>
      <c r="I1096" s="17"/>
      <c r="J1096" s="17"/>
      <c r="K1096" s="30"/>
      <c r="L1096" s="30"/>
      <c r="M1096" s="30"/>
      <c r="N1096" s="30"/>
      <c r="O1096" s="30"/>
      <c r="P1096" s="30"/>
      <c r="Q1096" s="30"/>
      <c r="R1096" s="30"/>
      <c r="S1096" s="30"/>
      <c r="T1096" s="30"/>
      <c r="U1096" s="30"/>
      <c r="V1096" s="30"/>
      <c r="W1096" s="29"/>
      <c r="X1096" s="15"/>
      <c r="Y1096" s="30"/>
      <c r="Z1096" s="30"/>
      <c r="AA1096" s="30"/>
      <c r="AB1096" s="30"/>
      <c r="AC1096" s="17"/>
      <c r="AD1096" s="17"/>
      <c r="AE1096" s="17"/>
      <c r="AF1096" s="17"/>
      <c r="AG1096" s="20"/>
      <c r="AH1096" s="21"/>
      <c r="AI1096" s="21"/>
      <c r="AJ1096" s="21"/>
      <c r="AK1096" s="21"/>
      <c r="AL1096" s="21"/>
      <c r="AM1096" s="21"/>
      <c r="AN1096" s="21"/>
      <c r="AO1096" s="22"/>
      <c r="AP1096" s="21"/>
      <c r="AQ1096" s="24"/>
      <c r="AR1096" s="21"/>
      <c r="AS1096" s="21"/>
      <c r="AT1096" s="21"/>
      <c r="AU1096" s="21"/>
      <c r="AV1096" s="21"/>
      <c r="AW1096" s="21"/>
      <c r="AX1096" s="22"/>
      <c r="AY1096" s="21"/>
      <c r="AZ1096" s="22"/>
      <c r="BA1096" s="21"/>
      <c r="BB1096" s="20"/>
      <c r="BC1096" s="21"/>
      <c r="BD1096" s="25"/>
      <c r="BE1096" s="26"/>
      <c r="BF1096" s="27"/>
      <c r="BG1096" s="28"/>
    </row>
    <row r="1097" spans="1:59" customFormat="1" ht="15" x14ac:dyDescent="0.35">
      <c r="A1097" s="50"/>
      <c r="B1097" s="63"/>
      <c r="C1097" s="39"/>
      <c r="D1097" s="6"/>
      <c r="E1097" s="149"/>
      <c r="F1097" s="153"/>
      <c r="G1097" s="10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12"/>
      <c r="X1097" s="33"/>
      <c r="Y1097" s="6"/>
      <c r="Z1097" s="6"/>
      <c r="AA1097" s="6"/>
      <c r="AB1097" s="6"/>
      <c r="AC1097" s="9"/>
      <c r="AD1097" s="9"/>
      <c r="AE1097" s="9"/>
      <c r="AF1097" s="9"/>
      <c r="AG1097" s="5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59"/>
      <c r="AR1097" s="21"/>
      <c r="AS1097" s="21"/>
      <c r="AT1097" s="3"/>
      <c r="AU1097" s="3"/>
      <c r="AV1097" s="3"/>
      <c r="AW1097" s="3"/>
      <c r="AX1097" s="3"/>
      <c r="AY1097" s="3"/>
      <c r="AZ1097" s="3"/>
      <c r="BA1097" s="3"/>
      <c r="BB1097" s="53"/>
      <c r="BC1097" s="3"/>
      <c r="BD1097" s="59"/>
      <c r="BE1097" s="3"/>
      <c r="BF1097" s="53"/>
      <c r="BG1097" s="59"/>
    </row>
    <row r="1098" spans="1:59" customFormat="1" ht="15" x14ac:dyDescent="0.35">
      <c r="A1098" s="50"/>
      <c r="B1098" s="63"/>
      <c r="C1098" s="39"/>
      <c r="D1098" s="6"/>
      <c r="E1098" s="149"/>
      <c r="F1098" s="153"/>
      <c r="G1098" s="10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5"/>
      <c r="V1098" s="5"/>
      <c r="W1098" s="13"/>
      <c r="X1098" s="4"/>
      <c r="Y1098" s="4"/>
      <c r="Z1098" s="4"/>
      <c r="AA1098" s="6"/>
      <c r="AB1098" s="5"/>
      <c r="AC1098" s="9"/>
      <c r="AD1098" s="9"/>
      <c r="AE1098" s="9"/>
      <c r="AF1098" s="9"/>
      <c r="AG1098" s="54"/>
      <c r="AH1098" s="3"/>
      <c r="AI1098" s="2"/>
      <c r="AJ1098" s="2"/>
      <c r="AK1098" s="2"/>
      <c r="AL1098" s="3"/>
      <c r="AM1098" s="3"/>
      <c r="AN1098" s="3"/>
      <c r="AO1098" s="3"/>
      <c r="AP1098" s="3"/>
      <c r="AQ1098" s="59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53"/>
      <c r="BC1098" s="3"/>
      <c r="BD1098" s="59"/>
      <c r="BE1098" s="3"/>
      <c r="BF1098" s="53"/>
      <c r="BG1098" s="59"/>
    </row>
    <row r="1099" spans="1:59" customFormat="1" ht="15" x14ac:dyDescent="0.35">
      <c r="A1099" s="50"/>
      <c r="B1099" s="63"/>
      <c r="C1099" s="39"/>
      <c r="D1099" s="6"/>
      <c r="E1099" s="149"/>
      <c r="F1099" s="153"/>
      <c r="G1099" s="10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12"/>
      <c r="X1099" s="33"/>
      <c r="Y1099" s="6"/>
      <c r="Z1099" s="6"/>
      <c r="AA1099" s="6"/>
      <c r="AB1099" s="6"/>
      <c r="AC1099" s="9"/>
      <c r="AD1099" s="9"/>
      <c r="AE1099" s="9"/>
      <c r="AF1099" s="9"/>
      <c r="AG1099" s="5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59"/>
      <c r="AR1099" s="21"/>
      <c r="AS1099" s="21"/>
      <c r="AT1099" s="3"/>
      <c r="AU1099" s="3"/>
      <c r="AV1099" s="3"/>
      <c r="AW1099" s="3"/>
      <c r="AX1099" s="3"/>
      <c r="AY1099" s="3"/>
      <c r="AZ1099" s="3"/>
      <c r="BA1099" s="3"/>
      <c r="BB1099" s="53"/>
      <c r="BC1099" s="3"/>
      <c r="BD1099" s="59"/>
      <c r="BE1099" s="3"/>
      <c r="BF1099" s="53"/>
      <c r="BG1099" s="59"/>
    </row>
    <row r="1100" spans="1:59" customFormat="1" ht="15" x14ac:dyDescent="0.35">
      <c r="A1100" s="19"/>
      <c r="B1100" s="49"/>
      <c r="C1100" s="14"/>
      <c r="D1100" s="1"/>
      <c r="E1100" s="149"/>
      <c r="F1100" s="153"/>
      <c r="G1100" s="10"/>
      <c r="H1100" s="17"/>
      <c r="I1100" s="17"/>
      <c r="J1100" s="17"/>
      <c r="K1100" s="30"/>
      <c r="L1100" s="30"/>
      <c r="M1100" s="30"/>
      <c r="N1100" s="30"/>
      <c r="O1100" s="30"/>
      <c r="P1100" s="30"/>
      <c r="Q1100" s="30"/>
      <c r="R1100" s="30"/>
      <c r="S1100" s="30"/>
      <c r="T1100" s="30"/>
      <c r="U1100" s="30"/>
      <c r="V1100" s="30"/>
      <c r="W1100" s="29"/>
      <c r="X1100" s="15"/>
      <c r="Y1100" s="30"/>
      <c r="Z1100" s="30"/>
      <c r="AA1100" s="30"/>
      <c r="AB1100" s="30"/>
      <c r="AC1100" s="17"/>
      <c r="AD1100" s="17"/>
      <c r="AE1100" s="17"/>
      <c r="AF1100" s="17"/>
      <c r="AG1100" s="20"/>
      <c r="AH1100" s="21"/>
      <c r="AI1100" s="21"/>
      <c r="AJ1100" s="21"/>
      <c r="AK1100" s="21"/>
      <c r="AL1100" s="21"/>
      <c r="AM1100" s="21"/>
      <c r="AN1100" s="21"/>
      <c r="AO1100" s="22"/>
      <c r="AP1100" s="21"/>
      <c r="AQ1100" s="24"/>
      <c r="AR1100" s="21"/>
      <c r="AS1100" s="21"/>
      <c r="AT1100" s="21"/>
      <c r="AU1100" s="21"/>
      <c r="AV1100" s="21"/>
      <c r="AW1100" s="21"/>
      <c r="AX1100" s="22"/>
      <c r="AY1100" s="21"/>
      <c r="AZ1100" s="22"/>
      <c r="BA1100" s="21"/>
      <c r="BB1100" s="20"/>
      <c r="BC1100" s="21"/>
      <c r="BD1100" s="25"/>
      <c r="BE1100" s="26"/>
      <c r="BF1100" s="27"/>
      <c r="BG1100" s="28"/>
    </row>
    <row r="1101" spans="1:59" customFormat="1" ht="15" x14ac:dyDescent="0.35">
      <c r="A1101" s="19"/>
      <c r="B1101" s="49"/>
      <c r="C1101" s="39"/>
      <c r="D1101" s="1"/>
      <c r="E1101" s="149"/>
      <c r="F1101" s="153"/>
      <c r="G1101" s="10"/>
      <c r="H1101" s="17"/>
      <c r="I1101" s="17"/>
      <c r="J1101" s="17"/>
      <c r="K1101" s="30"/>
      <c r="L1101" s="30"/>
      <c r="M1101" s="30"/>
      <c r="N1101" s="30"/>
      <c r="O1101" s="30"/>
      <c r="P1101" s="30"/>
      <c r="Q1101" s="30"/>
      <c r="R1101" s="30"/>
      <c r="S1101" s="30"/>
      <c r="T1101" s="30"/>
      <c r="U1101" s="30"/>
      <c r="V1101" s="30"/>
      <c r="W1101" s="29"/>
      <c r="X1101" s="15"/>
      <c r="Y1101" s="30"/>
      <c r="Z1101" s="30"/>
      <c r="AA1101" s="30"/>
      <c r="AB1101" s="30"/>
      <c r="AC1101" s="17"/>
      <c r="AD1101" s="17"/>
      <c r="AE1101" s="17"/>
      <c r="AF1101" s="17"/>
      <c r="AG1101" s="20"/>
      <c r="AH1101" s="21"/>
      <c r="AI1101" s="21"/>
      <c r="AJ1101" s="21"/>
      <c r="AK1101" s="21"/>
      <c r="AL1101" s="21"/>
      <c r="AM1101" s="21"/>
      <c r="AN1101" s="21"/>
      <c r="AO1101" s="22"/>
      <c r="AP1101" s="21"/>
      <c r="AQ1101" s="24"/>
      <c r="AR1101" s="21"/>
      <c r="AS1101" s="21"/>
      <c r="AT1101" s="21"/>
      <c r="AU1101" s="21"/>
      <c r="AV1101" s="21"/>
      <c r="AW1101" s="21"/>
      <c r="AX1101" s="22"/>
      <c r="AY1101" s="21"/>
      <c r="AZ1101" s="22"/>
      <c r="BA1101" s="21"/>
      <c r="BB1101" s="20"/>
      <c r="BC1101" s="21"/>
      <c r="BD1101" s="25"/>
      <c r="BE1101" s="26"/>
      <c r="BF1101" s="27"/>
      <c r="BG1101" s="28"/>
    </row>
    <row r="1102" spans="1:59" customFormat="1" ht="15" x14ac:dyDescent="0.35">
      <c r="A1102" s="50"/>
      <c r="B1102" s="63"/>
      <c r="C1102" s="39"/>
      <c r="D1102" s="6"/>
      <c r="E1102" s="149"/>
      <c r="F1102" s="153"/>
      <c r="G1102" s="10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12"/>
      <c r="X1102" s="33"/>
      <c r="Y1102" s="6"/>
      <c r="Z1102" s="6"/>
      <c r="AA1102" s="6"/>
      <c r="AB1102" s="6"/>
      <c r="AC1102" s="9"/>
      <c r="AD1102" s="9"/>
      <c r="AE1102" s="9"/>
      <c r="AF1102" s="9"/>
      <c r="AG1102" s="5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59"/>
      <c r="AR1102" s="21"/>
      <c r="AS1102" s="21"/>
      <c r="AT1102" s="3"/>
      <c r="AU1102" s="3"/>
      <c r="AV1102" s="3"/>
      <c r="AW1102" s="3"/>
      <c r="AX1102" s="3"/>
      <c r="AY1102" s="3"/>
      <c r="AZ1102" s="3"/>
      <c r="BA1102" s="3"/>
      <c r="BB1102" s="53"/>
      <c r="BC1102" s="3"/>
      <c r="BD1102" s="59"/>
      <c r="BE1102" s="3"/>
      <c r="BF1102" s="53"/>
      <c r="BG1102" s="59"/>
    </row>
    <row r="1103" spans="1:59" customFormat="1" ht="15" x14ac:dyDescent="0.35">
      <c r="A1103" s="19"/>
      <c r="B1103" s="49"/>
      <c r="C1103" s="14"/>
      <c r="D1103" s="1"/>
      <c r="E1103" s="149"/>
      <c r="F1103" s="153"/>
      <c r="G1103" s="10"/>
      <c r="H1103" s="17"/>
      <c r="I1103" s="17"/>
      <c r="J1103" s="17"/>
      <c r="K1103" s="30"/>
      <c r="L1103" s="30"/>
      <c r="M1103" s="30"/>
      <c r="N1103" s="30"/>
      <c r="O1103" s="30"/>
      <c r="P1103" s="30"/>
      <c r="Q1103" s="30"/>
      <c r="R1103" s="30"/>
      <c r="S1103" s="30"/>
      <c r="T1103" s="30"/>
      <c r="U1103" s="30"/>
      <c r="V1103" s="30"/>
      <c r="W1103" s="29"/>
      <c r="X1103" s="15"/>
      <c r="Y1103" s="30"/>
      <c r="Z1103" s="30"/>
      <c r="AA1103" s="30"/>
      <c r="AB1103" s="30"/>
      <c r="AC1103" s="17"/>
      <c r="AD1103" s="17"/>
      <c r="AE1103" s="17"/>
      <c r="AF1103" s="17"/>
      <c r="AG1103" s="20"/>
      <c r="AH1103" s="21"/>
      <c r="AI1103" s="21"/>
      <c r="AJ1103" s="21"/>
      <c r="AK1103" s="21"/>
      <c r="AL1103" s="21"/>
      <c r="AM1103" s="21"/>
      <c r="AN1103" s="21"/>
      <c r="AO1103" s="22"/>
      <c r="AP1103" s="21"/>
      <c r="AQ1103" s="24"/>
      <c r="AR1103" s="21"/>
      <c r="AS1103" s="21"/>
      <c r="AT1103" s="21"/>
      <c r="AU1103" s="21"/>
      <c r="AV1103" s="21"/>
      <c r="AW1103" s="21"/>
      <c r="AX1103" s="22"/>
      <c r="AY1103" s="21"/>
      <c r="AZ1103" s="22"/>
      <c r="BA1103" s="21"/>
      <c r="BB1103" s="20"/>
      <c r="BC1103" s="21"/>
      <c r="BD1103" s="25"/>
      <c r="BE1103" s="26"/>
      <c r="BF1103" s="27"/>
      <c r="BG1103" s="28"/>
    </row>
    <row r="1104" spans="1:59" customFormat="1" ht="15" x14ac:dyDescent="0.35">
      <c r="A1104" s="50"/>
      <c r="B1104" s="63"/>
      <c r="C1104" s="39"/>
      <c r="D1104" s="6"/>
      <c r="E1104" s="149"/>
      <c r="F1104" s="153"/>
      <c r="G1104" s="10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5"/>
      <c r="V1104" s="5"/>
      <c r="W1104" s="13"/>
      <c r="X1104" s="4"/>
      <c r="Y1104" s="4"/>
      <c r="Z1104" s="4"/>
      <c r="AA1104" s="6"/>
      <c r="AB1104" s="5"/>
      <c r="AC1104" s="9"/>
      <c r="AD1104" s="9"/>
      <c r="AE1104" s="9"/>
      <c r="AF1104" s="9"/>
      <c r="AG1104" s="54"/>
      <c r="AH1104" s="3"/>
      <c r="AI1104" s="2"/>
      <c r="AJ1104" s="2"/>
      <c r="AK1104" s="2"/>
      <c r="AL1104" s="3"/>
      <c r="AM1104" s="3"/>
      <c r="AN1104" s="3"/>
      <c r="AO1104" s="3"/>
      <c r="AP1104" s="3"/>
      <c r="AQ1104" s="59"/>
      <c r="AR1104" s="21"/>
      <c r="AS1104" s="21"/>
      <c r="AT1104" s="3"/>
      <c r="AU1104" s="3"/>
      <c r="AV1104" s="3"/>
      <c r="AW1104" s="3"/>
      <c r="AX1104" s="3"/>
      <c r="AY1104" s="3"/>
      <c r="AZ1104" s="3"/>
      <c r="BA1104" s="3"/>
      <c r="BB1104" s="53"/>
      <c r="BC1104" s="3"/>
      <c r="BD1104" s="59"/>
      <c r="BE1104" s="3"/>
      <c r="BF1104" s="53"/>
      <c r="BG1104" s="59"/>
    </row>
    <row r="1105" spans="1:59" customFormat="1" ht="15" x14ac:dyDescent="0.35">
      <c r="A1105" s="50"/>
      <c r="B1105" s="63"/>
      <c r="C1105" s="39"/>
      <c r="D1105" s="6"/>
      <c r="E1105" s="149"/>
      <c r="F1105" s="153"/>
      <c r="G1105" s="10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12"/>
      <c r="X1105" s="33"/>
      <c r="Y1105" s="6"/>
      <c r="Z1105" s="6"/>
      <c r="AA1105" s="6"/>
      <c r="AB1105" s="6"/>
      <c r="AC1105" s="9"/>
      <c r="AD1105" s="9"/>
      <c r="AE1105" s="9"/>
      <c r="AF1105" s="9"/>
      <c r="AG1105" s="5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59"/>
      <c r="AR1105" s="21"/>
      <c r="AS1105" s="21"/>
      <c r="AT1105" s="3"/>
      <c r="AU1105" s="3"/>
      <c r="AV1105" s="3"/>
      <c r="AW1105" s="3"/>
      <c r="AX1105" s="3"/>
      <c r="AY1105" s="3"/>
      <c r="AZ1105" s="3"/>
      <c r="BA1105" s="3"/>
      <c r="BB1105" s="53"/>
      <c r="BC1105" s="3"/>
      <c r="BD1105" s="59"/>
      <c r="BE1105" s="3"/>
      <c r="BF1105" s="53"/>
      <c r="BG1105" s="59"/>
    </row>
    <row r="1106" spans="1:59" customFormat="1" ht="15" x14ac:dyDescent="0.35">
      <c r="A1106" s="50"/>
      <c r="B1106" s="63"/>
      <c r="C1106" s="39"/>
      <c r="D1106" s="6"/>
      <c r="E1106" s="149"/>
      <c r="F1106" s="153"/>
      <c r="G1106" s="10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12"/>
      <c r="X1106" s="33"/>
      <c r="Y1106" s="6"/>
      <c r="Z1106" s="6"/>
      <c r="AA1106" s="6"/>
      <c r="AB1106" s="6"/>
      <c r="AC1106" s="9"/>
      <c r="AD1106" s="9"/>
      <c r="AE1106" s="9"/>
      <c r="AF1106" s="9"/>
      <c r="AG1106" s="5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59"/>
      <c r="AR1106" s="21"/>
      <c r="AS1106" s="21"/>
      <c r="AT1106" s="3"/>
      <c r="AU1106" s="3"/>
      <c r="AV1106" s="3"/>
      <c r="AW1106" s="3"/>
      <c r="AX1106" s="3"/>
      <c r="AY1106" s="3"/>
      <c r="AZ1106" s="3"/>
      <c r="BA1106" s="3"/>
      <c r="BB1106" s="53"/>
      <c r="BC1106" s="3"/>
      <c r="BD1106" s="59"/>
      <c r="BE1106" s="3"/>
      <c r="BF1106" s="53"/>
      <c r="BG1106" s="59"/>
    </row>
    <row r="1107" spans="1:59" customFormat="1" ht="15" x14ac:dyDescent="0.35">
      <c r="A1107" s="50"/>
      <c r="B1107" s="63"/>
      <c r="C1107" s="39"/>
      <c r="D1107" s="6"/>
      <c r="E1107" s="149"/>
      <c r="F1107" s="153"/>
      <c r="G1107" s="10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5"/>
      <c r="V1107" s="5"/>
      <c r="W1107" s="13"/>
      <c r="X1107" s="4"/>
      <c r="Y1107" s="4"/>
      <c r="Z1107" s="4"/>
      <c r="AA1107" s="6"/>
      <c r="AB1107" s="5"/>
      <c r="AC1107" s="9"/>
      <c r="AD1107" s="9"/>
      <c r="AE1107" s="9"/>
      <c r="AF1107" s="9"/>
      <c r="AG1107" s="54"/>
      <c r="AH1107" s="3"/>
      <c r="AI1107" s="2"/>
      <c r="AJ1107" s="2"/>
      <c r="AK1107" s="2"/>
      <c r="AL1107" s="3"/>
      <c r="AM1107" s="3"/>
      <c r="AN1107" s="3"/>
      <c r="AO1107" s="3"/>
      <c r="AP1107" s="3"/>
      <c r="AQ1107" s="59"/>
      <c r="AR1107" s="21"/>
      <c r="AS1107" s="21"/>
      <c r="AT1107" s="3"/>
      <c r="AU1107" s="3"/>
      <c r="AV1107" s="3"/>
      <c r="AW1107" s="3"/>
      <c r="AX1107" s="3"/>
      <c r="AY1107" s="3"/>
      <c r="AZ1107" s="3"/>
      <c r="BA1107" s="3"/>
      <c r="BB1107" s="53"/>
      <c r="BC1107" s="3"/>
      <c r="BD1107" s="59"/>
      <c r="BE1107" s="3"/>
      <c r="BF1107" s="53"/>
      <c r="BG1107" s="59"/>
    </row>
    <row r="1108" spans="1:59" customFormat="1" ht="15" x14ac:dyDescent="0.35">
      <c r="A1108" s="19"/>
      <c r="B1108" s="49"/>
      <c r="C1108" s="39"/>
      <c r="D1108" s="1"/>
      <c r="E1108" s="149"/>
      <c r="F1108" s="153"/>
      <c r="G1108" s="10"/>
      <c r="H1108" s="17"/>
      <c r="I1108" s="17"/>
      <c r="J1108" s="17"/>
      <c r="K1108" s="30"/>
      <c r="L1108" s="30"/>
      <c r="M1108" s="30"/>
      <c r="N1108" s="30"/>
      <c r="O1108" s="30"/>
      <c r="P1108" s="30"/>
      <c r="Q1108" s="30"/>
      <c r="R1108" s="30"/>
      <c r="S1108" s="30"/>
      <c r="T1108" s="30"/>
      <c r="U1108" s="30"/>
      <c r="V1108" s="30"/>
      <c r="W1108" s="29"/>
      <c r="X1108" s="15"/>
      <c r="Y1108" s="30"/>
      <c r="Z1108" s="30"/>
      <c r="AA1108" s="30"/>
      <c r="AB1108" s="30"/>
      <c r="AC1108" s="17"/>
      <c r="AD1108" s="17"/>
      <c r="AE1108" s="17"/>
      <c r="AF1108" s="17"/>
      <c r="AG1108" s="20"/>
      <c r="AH1108" s="21"/>
      <c r="AI1108" s="21"/>
      <c r="AJ1108" s="21"/>
      <c r="AK1108" s="21"/>
      <c r="AL1108" s="21"/>
      <c r="AM1108" s="21"/>
      <c r="AN1108" s="21"/>
      <c r="AO1108" s="22"/>
      <c r="AP1108" s="21"/>
      <c r="AQ1108" s="24"/>
      <c r="AR1108" s="21"/>
      <c r="AS1108" s="21"/>
      <c r="AT1108" s="21"/>
      <c r="AU1108" s="21"/>
      <c r="AV1108" s="21"/>
      <c r="AW1108" s="21"/>
      <c r="AX1108" s="22"/>
      <c r="AY1108" s="21"/>
      <c r="AZ1108" s="22"/>
      <c r="BA1108" s="21"/>
      <c r="BB1108" s="20"/>
      <c r="BC1108" s="21"/>
      <c r="BD1108" s="25"/>
      <c r="BE1108" s="26"/>
      <c r="BF1108" s="27"/>
      <c r="BG1108" s="28"/>
    </row>
    <row r="1109" spans="1:59" customFormat="1" ht="15" x14ac:dyDescent="0.35">
      <c r="A1109" s="50"/>
      <c r="B1109" s="63"/>
      <c r="C1109" s="39"/>
      <c r="D1109" s="6"/>
      <c r="E1109" s="149"/>
      <c r="F1109" s="153"/>
      <c r="G1109" s="10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12"/>
      <c r="X1109" s="33"/>
      <c r="Y1109" s="6"/>
      <c r="Z1109" s="6"/>
      <c r="AA1109" s="6"/>
      <c r="AB1109" s="6"/>
      <c r="AC1109" s="9"/>
      <c r="AD1109" s="9"/>
      <c r="AE1109" s="9"/>
      <c r="AF1109" s="9"/>
      <c r="AG1109" s="5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59"/>
      <c r="AR1109" s="21"/>
      <c r="AS1109" s="21"/>
      <c r="AT1109" s="3"/>
      <c r="AU1109" s="3"/>
      <c r="AV1109" s="3"/>
      <c r="AW1109" s="3"/>
      <c r="AX1109" s="3"/>
      <c r="AY1109" s="3"/>
      <c r="AZ1109" s="3"/>
      <c r="BA1109" s="3"/>
      <c r="BB1109" s="53"/>
      <c r="BC1109" s="3"/>
      <c r="BD1109" s="59"/>
      <c r="BE1109" s="3"/>
      <c r="BF1109" s="53"/>
      <c r="BG1109" s="59"/>
    </row>
    <row r="1110" spans="1:59" customFormat="1" ht="15" x14ac:dyDescent="0.35">
      <c r="A1110" s="19"/>
      <c r="B1110" s="49"/>
      <c r="C1110" s="14"/>
      <c r="D1110" s="1"/>
      <c r="E1110" s="149"/>
      <c r="F1110" s="153"/>
      <c r="G1110" s="10"/>
      <c r="H1110" s="17"/>
      <c r="I1110" s="17"/>
      <c r="J1110" s="17"/>
      <c r="K1110" s="30"/>
      <c r="L1110" s="30"/>
      <c r="M1110" s="30"/>
      <c r="N1110" s="30"/>
      <c r="O1110" s="30"/>
      <c r="P1110" s="30"/>
      <c r="Q1110" s="30"/>
      <c r="R1110" s="30"/>
      <c r="S1110" s="30"/>
      <c r="T1110" s="30"/>
      <c r="U1110" s="30"/>
      <c r="V1110" s="30"/>
      <c r="W1110" s="29"/>
      <c r="X1110" s="15"/>
      <c r="Y1110" s="30"/>
      <c r="Z1110" s="30"/>
      <c r="AA1110" s="30"/>
      <c r="AB1110" s="30"/>
      <c r="AC1110" s="17"/>
      <c r="AD1110" s="17"/>
      <c r="AE1110" s="17"/>
      <c r="AF1110" s="17"/>
      <c r="AG1110" s="20"/>
      <c r="AH1110" s="21"/>
      <c r="AI1110" s="21"/>
      <c r="AJ1110" s="21"/>
      <c r="AK1110" s="21"/>
      <c r="AL1110" s="21"/>
      <c r="AM1110" s="21"/>
      <c r="AN1110" s="21"/>
      <c r="AO1110" s="22"/>
      <c r="AP1110" s="21"/>
      <c r="AQ1110" s="24"/>
      <c r="AR1110" s="21"/>
      <c r="AS1110" s="21"/>
      <c r="AT1110" s="21"/>
      <c r="AU1110" s="21"/>
      <c r="AV1110" s="21"/>
      <c r="AW1110" s="21"/>
      <c r="AX1110" s="22"/>
      <c r="AY1110" s="21"/>
      <c r="AZ1110" s="22"/>
      <c r="BA1110" s="21"/>
      <c r="BB1110" s="20"/>
      <c r="BC1110" s="21"/>
      <c r="BD1110" s="25"/>
      <c r="BE1110" s="26"/>
      <c r="BF1110" s="27"/>
      <c r="BG1110" s="28"/>
    </row>
    <row r="1111" spans="1:59" customFormat="1" ht="15" x14ac:dyDescent="0.35">
      <c r="A1111" s="50"/>
      <c r="B1111" s="63"/>
      <c r="C1111" s="39"/>
      <c r="D1111" s="6"/>
      <c r="E1111" s="149"/>
      <c r="F1111" s="153"/>
      <c r="G1111" s="10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5"/>
      <c r="V1111" s="5"/>
      <c r="W1111" s="13"/>
      <c r="X1111" s="4"/>
      <c r="Y1111" s="4"/>
      <c r="Z1111" s="4"/>
      <c r="AA1111" s="6"/>
      <c r="AB1111" s="5"/>
      <c r="AC1111" s="9"/>
      <c r="AD1111" s="9"/>
      <c r="AE1111" s="9"/>
      <c r="AF1111" s="9"/>
      <c r="AG1111" s="54"/>
      <c r="AH1111" s="3"/>
      <c r="AI1111" s="2"/>
      <c r="AJ1111" s="2"/>
      <c r="AK1111" s="2"/>
      <c r="AL1111" s="3"/>
      <c r="AM1111" s="3"/>
      <c r="AN1111" s="3"/>
      <c r="AO1111" s="3"/>
      <c r="AP1111" s="3"/>
      <c r="AQ1111" s="59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53"/>
      <c r="BC1111" s="3"/>
      <c r="BD1111" s="59"/>
      <c r="BE1111" s="3"/>
      <c r="BF1111" s="53"/>
      <c r="BG1111" s="59"/>
    </row>
    <row r="1112" spans="1:59" customFormat="1" ht="15" x14ac:dyDescent="0.35">
      <c r="A1112" s="50"/>
      <c r="B1112" s="63"/>
      <c r="C1112" s="39"/>
      <c r="D1112" s="6"/>
      <c r="E1112" s="149"/>
      <c r="F1112" s="153"/>
      <c r="G1112" s="10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5"/>
      <c r="V1112" s="5"/>
      <c r="W1112" s="13"/>
      <c r="X1112" s="4"/>
      <c r="Y1112" s="4"/>
      <c r="Z1112" s="4"/>
      <c r="AA1112" s="6"/>
      <c r="AB1112" s="5"/>
      <c r="AC1112" s="9"/>
      <c r="AD1112" s="9"/>
      <c r="AE1112" s="9"/>
      <c r="AF1112" s="9"/>
      <c r="AG1112" s="54"/>
      <c r="AH1112" s="3"/>
      <c r="AI1112" s="2"/>
      <c r="AJ1112" s="2"/>
      <c r="AK1112" s="2"/>
      <c r="AL1112" s="3"/>
      <c r="AM1112" s="3"/>
      <c r="AN1112" s="3"/>
      <c r="AO1112" s="3"/>
      <c r="AP1112" s="3"/>
      <c r="AQ1112" s="59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53"/>
      <c r="BC1112" s="3"/>
      <c r="BD1112" s="59"/>
      <c r="BE1112" s="3"/>
      <c r="BF1112" s="53"/>
      <c r="BG1112" s="59"/>
    </row>
    <row r="1113" spans="1:59" customFormat="1" ht="15" x14ac:dyDescent="0.35">
      <c r="A1113" s="50"/>
      <c r="B1113" s="63"/>
      <c r="C1113" s="39"/>
      <c r="D1113" s="6"/>
      <c r="E1113" s="149"/>
      <c r="F1113" s="153"/>
      <c r="G1113" s="10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5"/>
      <c r="V1113" s="5"/>
      <c r="W1113" s="13"/>
      <c r="X1113" s="4"/>
      <c r="Y1113" s="4"/>
      <c r="Z1113" s="4"/>
      <c r="AA1113" s="6"/>
      <c r="AB1113" s="5"/>
      <c r="AC1113" s="9"/>
      <c r="AD1113" s="9"/>
      <c r="AE1113" s="9"/>
      <c r="AF1113" s="9"/>
      <c r="AG1113" s="54"/>
      <c r="AH1113" s="3"/>
      <c r="AI1113" s="2"/>
      <c r="AJ1113" s="2"/>
      <c r="AK1113" s="2"/>
      <c r="AL1113" s="3"/>
      <c r="AM1113" s="3"/>
      <c r="AN1113" s="3"/>
      <c r="AO1113" s="3"/>
      <c r="AP1113" s="3"/>
      <c r="AQ1113" s="59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53"/>
      <c r="BC1113" s="3"/>
      <c r="BD1113" s="59"/>
      <c r="BE1113" s="3"/>
      <c r="BF1113" s="53"/>
      <c r="BG1113" s="59"/>
    </row>
    <row r="1114" spans="1:59" customFormat="1" ht="15" x14ac:dyDescent="0.35">
      <c r="A1114" s="19"/>
      <c r="B1114" s="49"/>
      <c r="C1114" s="14"/>
      <c r="D1114" s="1"/>
      <c r="E1114" s="149"/>
      <c r="F1114" s="153"/>
      <c r="G1114" s="10"/>
      <c r="H1114" s="17"/>
      <c r="I1114" s="17"/>
      <c r="J1114" s="17"/>
      <c r="K1114" s="30"/>
      <c r="L1114" s="30"/>
      <c r="M1114" s="30"/>
      <c r="N1114" s="30"/>
      <c r="O1114" s="30"/>
      <c r="P1114" s="30"/>
      <c r="Q1114" s="30"/>
      <c r="R1114" s="30"/>
      <c r="S1114" s="30"/>
      <c r="T1114" s="30"/>
      <c r="U1114" s="30"/>
      <c r="V1114" s="30"/>
      <c r="W1114" s="29"/>
      <c r="X1114" s="15"/>
      <c r="Y1114" s="30"/>
      <c r="Z1114" s="30"/>
      <c r="AA1114" s="30"/>
      <c r="AB1114" s="30"/>
      <c r="AC1114" s="17"/>
      <c r="AD1114" s="17"/>
      <c r="AE1114" s="17"/>
      <c r="AF1114" s="17"/>
      <c r="AG1114" s="20"/>
      <c r="AH1114" s="21"/>
      <c r="AI1114" s="21"/>
      <c r="AJ1114" s="21"/>
      <c r="AK1114" s="21"/>
      <c r="AL1114" s="21"/>
      <c r="AM1114" s="21"/>
      <c r="AN1114" s="21"/>
      <c r="AO1114" s="22"/>
      <c r="AP1114" s="21"/>
      <c r="AQ1114" s="24"/>
      <c r="AR1114" s="21"/>
      <c r="AS1114" s="21"/>
      <c r="AT1114" s="21"/>
      <c r="AU1114" s="21"/>
      <c r="AV1114" s="21"/>
      <c r="AW1114" s="21"/>
      <c r="AX1114" s="22"/>
      <c r="AY1114" s="21"/>
      <c r="AZ1114" s="22"/>
      <c r="BA1114" s="21"/>
      <c r="BB1114" s="20"/>
      <c r="BC1114" s="21"/>
      <c r="BD1114" s="25"/>
      <c r="BE1114" s="26"/>
      <c r="BF1114" s="27"/>
      <c r="BG1114" s="28"/>
    </row>
    <row r="1115" spans="1:59" customFormat="1" ht="15" x14ac:dyDescent="0.35">
      <c r="A1115" s="50"/>
      <c r="B1115" s="63"/>
      <c r="C1115" s="39"/>
      <c r="D1115" s="6"/>
      <c r="E1115" s="149"/>
      <c r="F1115" s="153"/>
      <c r="G1115" s="10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12"/>
      <c r="X1115" s="33"/>
      <c r="Y1115" s="6"/>
      <c r="Z1115" s="6"/>
      <c r="AA1115" s="6"/>
      <c r="AB1115" s="6"/>
      <c r="AC1115" s="9"/>
      <c r="AD1115" s="9"/>
      <c r="AE1115" s="9"/>
      <c r="AF1115" s="9"/>
      <c r="AG1115" s="5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59"/>
      <c r="AR1115" s="21"/>
      <c r="AS1115" s="21"/>
      <c r="AT1115" s="3"/>
      <c r="AU1115" s="3"/>
      <c r="AV1115" s="3"/>
      <c r="AW1115" s="3"/>
      <c r="AX1115" s="3"/>
      <c r="AY1115" s="3"/>
      <c r="AZ1115" s="3"/>
      <c r="BA1115" s="3"/>
      <c r="BB1115" s="53"/>
      <c r="BC1115" s="3"/>
      <c r="BD1115" s="59"/>
      <c r="BE1115" s="3"/>
      <c r="BF1115" s="53"/>
      <c r="BG1115" s="59"/>
    </row>
    <row r="1116" spans="1:59" customFormat="1" ht="15" x14ac:dyDescent="0.35">
      <c r="A1116" s="19"/>
      <c r="B1116" s="49"/>
      <c r="C1116" s="39"/>
      <c r="D1116" s="1"/>
      <c r="E1116" s="149"/>
      <c r="F1116" s="153"/>
      <c r="G1116" s="10"/>
      <c r="H1116" s="17"/>
      <c r="I1116" s="17"/>
      <c r="J1116" s="17"/>
      <c r="K1116" s="30"/>
      <c r="L1116" s="30"/>
      <c r="M1116" s="30"/>
      <c r="N1116" s="30"/>
      <c r="O1116" s="30"/>
      <c r="P1116" s="30"/>
      <c r="Q1116" s="30"/>
      <c r="R1116" s="30"/>
      <c r="S1116" s="30"/>
      <c r="T1116" s="30"/>
      <c r="U1116" s="30"/>
      <c r="V1116" s="30"/>
      <c r="W1116" s="29"/>
      <c r="X1116" s="15"/>
      <c r="Y1116" s="30"/>
      <c r="Z1116" s="30"/>
      <c r="AA1116" s="30"/>
      <c r="AB1116" s="30"/>
      <c r="AC1116" s="17"/>
      <c r="AD1116" s="17"/>
      <c r="AE1116" s="17"/>
      <c r="AF1116" s="17"/>
      <c r="AG1116" s="20"/>
      <c r="AH1116" s="21"/>
      <c r="AI1116" s="21"/>
      <c r="AJ1116" s="21"/>
      <c r="AK1116" s="21"/>
      <c r="AL1116" s="21"/>
      <c r="AM1116" s="21"/>
      <c r="AN1116" s="21"/>
      <c r="AO1116" s="22"/>
      <c r="AP1116" s="21"/>
      <c r="AQ1116" s="24"/>
      <c r="AR1116" s="21"/>
      <c r="AS1116" s="21"/>
      <c r="AT1116" s="21"/>
      <c r="AU1116" s="21"/>
      <c r="AV1116" s="21"/>
      <c r="AW1116" s="21"/>
      <c r="AX1116" s="22"/>
      <c r="AY1116" s="21"/>
      <c r="AZ1116" s="22"/>
      <c r="BA1116" s="21"/>
      <c r="BB1116" s="20"/>
      <c r="BC1116" s="21"/>
      <c r="BD1116" s="25"/>
      <c r="BE1116" s="26"/>
      <c r="BF1116" s="27"/>
      <c r="BG1116" s="28"/>
    </row>
    <row r="1117" spans="1:59" customFormat="1" ht="15" x14ac:dyDescent="0.35">
      <c r="A1117" s="50"/>
      <c r="B1117" s="63"/>
      <c r="C1117" s="39"/>
      <c r="D1117" s="6"/>
      <c r="E1117" s="149"/>
      <c r="F1117" s="153"/>
      <c r="G1117" s="10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5"/>
      <c r="V1117" s="5"/>
      <c r="W1117" s="13"/>
      <c r="X1117" s="4"/>
      <c r="Y1117" s="4"/>
      <c r="Z1117" s="4"/>
      <c r="AA1117" s="6"/>
      <c r="AB1117" s="5"/>
      <c r="AC1117" s="9"/>
      <c r="AD1117" s="9"/>
      <c r="AE1117" s="9"/>
      <c r="AF1117" s="9"/>
      <c r="AG1117" s="54"/>
      <c r="AH1117" s="3"/>
      <c r="AI1117" s="2"/>
      <c r="AJ1117" s="2"/>
      <c r="AK1117" s="2"/>
      <c r="AL1117" s="3"/>
      <c r="AM1117" s="3"/>
      <c r="AN1117" s="3"/>
      <c r="AO1117" s="3"/>
      <c r="AP1117" s="3"/>
      <c r="AQ1117" s="59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53"/>
      <c r="BC1117" s="3"/>
      <c r="BD1117" s="59"/>
      <c r="BE1117" s="3"/>
      <c r="BF1117" s="53"/>
      <c r="BG1117" s="59"/>
    </row>
    <row r="1118" spans="1:59" customFormat="1" ht="15" x14ac:dyDescent="0.35">
      <c r="A1118" s="50"/>
      <c r="B1118" s="63"/>
      <c r="C1118" s="39"/>
      <c r="D1118" s="6"/>
      <c r="E1118" s="149"/>
      <c r="F1118" s="153"/>
      <c r="G1118" s="10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12"/>
      <c r="X1118" s="33"/>
      <c r="Y1118" s="6"/>
      <c r="Z1118" s="6"/>
      <c r="AA1118" s="6"/>
      <c r="AB1118" s="6"/>
      <c r="AC1118" s="9"/>
      <c r="AD1118" s="9"/>
      <c r="AE1118" s="9"/>
      <c r="AF1118" s="9"/>
      <c r="AG1118" s="5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59"/>
      <c r="AR1118" s="21"/>
      <c r="AS1118" s="21"/>
      <c r="AT1118" s="3"/>
      <c r="AU1118" s="3"/>
      <c r="AV1118" s="3"/>
      <c r="AW1118" s="3"/>
      <c r="AX1118" s="3"/>
      <c r="AY1118" s="3"/>
      <c r="AZ1118" s="3"/>
      <c r="BA1118" s="3"/>
      <c r="BB1118" s="53"/>
      <c r="BC1118" s="3"/>
      <c r="BD1118" s="59"/>
      <c r="BE1118" s="3"/>
      <c r="BF1118" s="53"/>
      <c r="BG1118" s="59"/>
    </row>
    <row r="1119" spans="1:59" customFormat="1" ht="15" x14ac:dyDescent="0.35">
      <c r="A1119" s="50"/>
      <c r="B1119" s="63"/>
      <c r="C1119" s="39"/>
      <c r="D1119" s="6"/>
      <c r="E1119" s="149"/>
      <c r="F1119" s="153"/>
      <c r="G1119" s="10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12"/>
      <c r="X1119" s="33"/>
      <c r="Y1119" s="6"/>
      <c r="Z1119" s="6"/>
      <c r="AA1119" s="6"/>
      <c r="AB1119" s="6"/>
      <c r="AC1119" s="9"/>
      <c r="AD1119" s="9"/>
      <c r="AE1119" s="9"/>
      <c r="AF1119" s="9"/>
      <c r="AG1119" s="5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59"/>
      <c r="AR1119" s="21"/>
      <c r="AS1119" s="21"/>
      <c r="AT1119" s="3"/>
      <c r="AU1119" s="3"/>
      <c r="AV1119" s="3"/>
      <c r="AW1119" s="3"/>
      <c r="AX1119" s="3"/>
      <c r="AY1119" s="3"/>
      <c r="AZ1119" s="3"/>
      <c r="BA1119" s="3"/>
      <c r="BB1119" s="53"/>
      <c r="BC1119" s="3"/>
      <c r="BD1119" s="59"/>
      <c r="BE1119" s="3"/>
      <c r="BF1119" s="53"/>
      <c r="BG1119" s="59"/>
    </row>
    <row r="1120" spans="1:59" customFormat="1" ht="15" x14ac:dyDescent="0.35">
      <c r="A1120" s="19"/>
      <c r="B1120" s="49"/>
      <c r="C1120" s="14"/>
      <c r="D1120" s="1"/>
      <c r="E1120" s="149"/>
      <c r="F1120" s="153"/>
      <c r="G1120" s="10"/>
      <c r="H1120" s="17"/>
      <c r="I1120" s="17"/>
      <c r="J1120" s="17"/>
      <c r="K1120" s="30"/>
      <c r="L1120" s="30"/>
      <c r="M1120" s="30"/>
      <c r="N1120" s="30"/>
      <c r="O1120" s="30"/>
      <c r="P1120" s="30"/>
      <c r="Q1120" s="30"/>
      <c r="R1120" s="30"/>
      <c r="S1120" s="30"/>
      <c r="T1120" s="30"/>
      <c r="U1120" s="30"/>
      <c r="V1120" s="30"/>
      <c r="W1120" s="29"/>
      <c r="X1120" s="15"/>
      <c r="Y1120" s="30"/>
      <c r="Z1120" s="30"/>
      <c r="AA1120" s="30"/>
      <c r="AB1120" s="30"/>
      <c r="AC1120" s="17"/>
      <c r="AD1120" s="17"/>
      <c r="AE1120" s="17"/>
      <c r="AF1120" s="17"/>
      <c r="AG1120" s="20"/>
      <c r="AH1120" s="21"/>
      <c r="AI1120" s="21"/>
      <c r="AJ1120" s="21"/>
      <c r="AK1120" s="21"/>
      <c r="AL1120" s="21"/>
      <c r="AM1120" s="21"/>
      <c r="AN1120" s="21"/>
      <c r="AO1120" s="22"/>
      <c r="AP1120" s="21"/>
      <c r="AQ1120" s="24"/>
      <c r="AR1120" s="21"/>
      <c r="AS1120" s="21"/>
      <c r="AT1120" s="21"/>
      <c r="AU1120" s="21"/>
      <c r="AV1120" s="21"/>
      <c r="AW1120" s="21"/>
      <c r="AX1120" s="22"/>
      <c r="AY1120" s="21"/>
      <c r="AZ1120" s="22"/>
      <c r="BA1120" s="21"/>
      <c r="BB1120" s="20"/>
      <c r="BC1120" s="21"/>
      <c r="BD1120" s="25"/>
      <c r="BE1120" s="26"/>
      <c r="BF1120" s="27"/>
      <c r="BG1120" s="28"/>
    </row>
    <row r="1121" spans="1:59" customFormat="1" ht="15" x14ac:dyDescent="0.35">
      <c r="A1121" s="50"/>
      <c r="B1121" s="63"/>
      <c r="C1121" s="39"/>
      <c r="D1121" s="6"/>
      <c r="E1121" s="149"/>
      <c r="F1121" s="153"/>
      <c r="G1121" s="10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12"/>
      <c r="X1121" s="33"/>
      <c r="Y1121" s="6"/>
      <c r="Z1121" s="6"/>
      <c r="AA1121" s="6"/>
      <c r="AB1121" s="6"/>
      <c r="AC1121" s="9"/>
      <c r="AD1121" s="9"/>
      <c r="AE1121" s="9"/>
      <c r="AF1121" s="9"/>
      <c r="AG1121" s="5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59"/>
      <c r="AR1121" s="21"/>
      <c r="AS1121" s="21"/>
      <c r="AT1121" s="3"/>
      <c r="AU1121" s="3"/>
      <c r="AV1121" s="3"/>
      <c r="AW1121" s="3"/>
      <c r="AX1121" s="3"/>
      <c r="AY1121" s="3"/>
      <c r="AZ1121" s="3"/>
      <c r="BA1121" s="3"/>
      <c r="BB1121" s="53"/>
      <c r="BC1121" s="3"/>
      <c r="BD1121" s="59"/>
      <c r="BE1121" s="3"/>
      <c r="BF1121" s="53"/>
      <c r="BG1121" s="59"/>
    </row>
    <row r="1122" spans="1:59" customFormat="1" ht="15" x14ac:dyDescent="0.35">
      <c r="A1122" s="50"/>
      <c r="B1122" s="63"/>
      <c r="C1122" s="39"/>
      <c r="D1122" s="6"/>
      <c r="E1122" s="149"/>
      <c r="F1122" s="153"/>
      <c r="G1122" s="10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5"/>
      <c r="V1122" s="5"/>
      <c r="W1122" s="13"/>
      <c r="X1122" s="4"/>
      <c r="Y1122" s="4"/>
      <c r="Z1122" s="4"/>
      <c r="AA1122" s="6"/>
      <c r="AB1122" s="5"/>
      <c r="AC1122" s="9"/>
      <c r="AD1122" s="9"/>
      <c r="AE1122" s="9"/>
      <c r="AF1122" s="9"/>
      <c r="AG1122" s="54"/>
      <c r="AH1122" s="3"/>
      <c r="AI1122" s="2"/>
      <c r="AJ1122" s="2"/>
      <c r="AK1122" s="2"/>
      <c r="AL1122" s="3"/>
      <c r="AM1122" s="3"/>
      <c r="AN1122" s="3"/>
      <c r="AO1122" s="3"/>
      <c r="AP1122" s="3"/>
      <c r="AQ1122" s="59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53"/>
      <c r="BC1122" s="3"/>
      <c r="BD1122" s="59"/>
      <c r="BE1122" s="3"/>
      <c r="BF1122" s="53"/>
      <c r="BG1122" s="59"/>
    </row>
    <row r="1123" spans="1:59" customFormat="1" ht="15" x14ac:dyDescent="0.35">
      <c r="A1123" s="50"/>
      <c r="B1123" s="63"/>
      <c r="C1123" s="39"/>
      <c r="D1123" s="6"/>
      <c r="E1123" s="149"/>
      <c r="F1123" s="153"/>
      <c r="G1123" s="10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12"/>
      <c r="X1123" s="33"/>
      <c r="Y1123" s="6"/>
      <c r="Z1123" s="6"/>
      <c r="AA1123" s="6"/>
      <c r="AB1123" s="6"/>
      <c r="AC1123" s="9"/>
      <c r="AD1123" s="9"/>
      <c r="AE1123" s="9"/>
      <c r="AF1123" s="9"/>
      <c r="AG1123" s="5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59"/>
      <c r="AR1123" s="21"/>
      <c r="AS1123" s="21"/>
      <c r="AT1123" s="3"/>
      <c r="AU1123" s="3"/>
      <c r="AV1123" s="3"/>
      <c r="AW1123" s="3"/>
      <c r="AX1123" s="3"/>
      <c r="AY1123" s="3"/>
      <c r="AZ1123" s="3"/>
      <c r="BA1123" s="3"/>
      <c r="BB1123" s="53"/>
      <c r="BC1123" s="3"/>
      <c r="BD1123" s="59"/>
      <c r="BE1123" s="3"/>
      <c r="BF1123" s="53"/>
      <c r="BG1123" s="59"/>
    </row>
    <row r="1124" spans="1:59" customFormat="1" ht="15" x14ac:dyDescent="0.35">
      <c r="A1124" s="50"/>
      <c r="B1124" s="63"/>
      <c r="C1124" s="39"/>
      <c r="D1124" s="6"/>
      <c r="E1124" s="149"/>
      <c r="F1124" s="153"/>
      <c r="G1124" s="10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12"/>
      <c r="X1124" s="33"/>
      <c r="Y1124" s="6"/>
      <c r="Z1124" s="6"/>
      <c r="AA1124" s="6"/>
      <c r="AB1124" s="6"/>
      <c r="AC1124" s="9"/>
      <c r="AD1124" s="9"/>
      <c r="AE1124" s="9"/>
      <c r="AF1124" s="9"/>
      <c r="AG1124" s="5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59"/>
      <c r="AR1124" s="21"/>
      <c r="AS1124" s="21"/>
      <c r="AT1124" s="3"/>
      <c r="AU1124" s="3"/>
      <c r="AV1124" s="3"/>
      <c r="AW1124" s="3"/>
      <c r="AX1124" s="3"/>
      <c r="AY1124" s="3"/>
      <c r="AZ1124" s="3"/>
      <c r="BA1124" s="3"/>
      <c r="BB1124" s="53"/>
      <c r="BC1124" s="3"/>
      <c r="BD1124" s="59"/>
      <c r="BE1124" s="3"/>
      <c r="BF1124" s="53"/>
      <c r="BG1124" s="59"/>
    </row>
    <row r="1125" spans="1:59" customFormat="1" ht="15" x14ac:dyDescent="0.35">
      <c r="A1125" s="19"/>
      <c r="B1125" s="49"/>
      <c r="C1125" s="39"/>
      <c r="D1125" s="1"/>
      <c r="E1125" s="149"/>
      <c r="F1125" s="153"/>
      <c r="G1125" s="10"/>
      <c r="H1125" s="17"/>
      <c r="I1125" s="17"/>
      <c r="J1125" s="17"/>
      <c r="K1125" s="30"/>
      <c r="L1125" s="30"/>
      <c r="M1125" s="30"/>
      <c r="N1125" s="30"/>
      <c r="O1125" s="30"/>
      <c r="P1125" s="30"/>
      <c r="Q1125" s="30"/>
      <c r="R1125" s="30"/>
      <c r="S1125" s="30"/>
      <c r="T1125" s="30"/>
      <c r="U1125" s="30"/>
      <c r="V1125" s="30"/>
      <c r="W1125" s="29"/>
      <c r="X1125" s="15"/>
      <c r="Y1125" s="30"/>
      <c r="Z1125" s="30"/>
      <c r="AA1125" s="30"/>
      <c r="AB1125" s="30"/>
      <c r="AC1125" s="17"/>
      <c r="AD1125" s="17"/>
      <c r="AE1125" s="17"/>
      <c r="AF1125" s="17"/>
      <c r="AG1125" s="20"/>
      <c r="AH1125" s="21"/>
      <c r="AI1125" s="21"/>
      <c r="AJ1125" s="21"/>
      <c r="AK1125" s="21"/>
      <c r="AL1125" s="21"/>
      <c r="AM1125" s="21"/>
      <c r="AN1125" s="21"/>
      <c r="AO1125" s="22"/>
      <c r="AP1125" s="21"/>
      <c r="AQ1125" s="24"/>
      <c r="AR1125" s="21"/>
      <c r="AS1125" s="21"/>
      <c r="AT1125" s="21"/>
      <c r="AU1125" s="21"/>
      <c r="AV1125" s="21"/>
      <c r="AW1125" s="21"/>
      <c r="AX1125" s="22"/>
      <c r="AY1125" s="21"/>
      <c r="AZ1125" s="22"/>
      <c r="BA1125" s="21"/>
      <c r="BB1125" s="20"/>
      <c r="BC1125" s="21"/>
      <c r="BD1125" s="25"/>
      <c r="BE1125" s="26"/>
      <c r="BF1125" s="27"/>
      <c r="BG1125" s="28"/>
    </row>
    <row r="1126" spans="1:59" customFormat="1" ht="15" x14ac:dyDescent="0.35">
      <c r="A1126" s="50"/>
      <c r="B1126" s="63"/>
      <c r="C1126" s="39"/>
      <c r="D1126" s="6"/>
      <c r="E1126" s="149"/>
      <c r="F1126" s="153"/>
      <c r="G1126" s="10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12"/>
      <c r="X1126" s="33"/>
      <c r="Y1126" s="6"/>
      <c r="Z1126" s="6"/>
      <c r="AA1126" s="6"/>
      <c r="AB1126" s="6"/>
      <c r="AC1126" s="9"/>
      <c r="AD1126" s="9"/>
      <c r="AE1126" s="9"/>
      <c r="AF1126" s="9"/>
      <c r="AG1126" s="5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59"/>
      <c r="AR1126" s="21"/>
      <c r="AS1126" s="21"/>
      <c r="AT1126" s="3"/>
      <c r="AU1126" s="3"/>
      <c r="AV1126" s="3"/>
      <c r="AW1126" s="3"/>
      <c r="AX1126" s="3"/>
      <c r="AY1126" s="3"/>
      <c r="AZ1126" s="3"/>
      <c r="BA1126" s="3"/>
      <c r="BB1126" s="53"/>
      <c r="BC1126" s="3"/>
      <c r="BD1126" s="59"/>
      <c r="BE1126" s="3"/>
      <c r="BF1126" s="53"/>
      <c r="BG1126" s="59"/>
    </row>
    <row r="1127" spans="1:59" customFormat="1" ht="15" x14ac:dyDescent="0.35">
      <c r="A1127" s="50"/>
      <c r="B1127" s="63"/>
      <c r="C1127" s="39"/>
      <c r="D1127" s="6"/>
      <c r="E1127" s="149"/>
      <c r="F1127" s="153"/>
      <c r="G1127" s="10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12"/>
      <c r="X1127" s="33"/>
      <c r="Y1127" s="6"/>
      <c r="Z1127" s="6"/>
      <c r="AA1127" s="6"/>
      <c r="AB1127" s="6"/>
      <c r="AC1127" s="9"/>
      <c r="AD1127" s="9"/>
      <c r="AE1127" s="9"/>
      <c r="AF1127" s="9"/>
      <c r="AG1127" s="5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59"/>
      <c r="AR1127" s="21"/>
      <c r="AS1127" s="21"/>
      <c r="AT1127" s="3"/>
      <c r="AU1127" s="3"/>
      <c r="AV1127" s="3"/>
      <c r="AW1127" s="3"/>
      <c r="AX1127" s="3"/>
      <c r="AY1127" s="3"/>
      <c r="AZ1127" s="3"/>
      <c r="BA1127" s="3"/>
      <c r="BB1127" s="53"/>
      <c r="BC1127" s="3"/>
      <c r="BD1127" s="59"/>
      <c r="BE1127" s="3"/>
      <c r="BF1127" s="53"/>
      <c r="BG1127" s="59"/>
    </row>
    <row r="1128" spans="1:59" customFormat="1" ht="15" x14ac:dyDescent="0.35">
      <c r="A1128" s="50"/>
      <c r="B1128" s="63"/>
      <c r="C1128" s="39"/>
      <c r="D1128" s="6"/>
      <c r="E1128" s="149"/>
      <c r="F1128" s="153"/>
      <c r="G1128" s="10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12"/>
      <c r="X1128" s="33"/>
      <c r="Y1128" s="6"/>
      <c r="Z1128" s="6"/>
      <c r="AA1128" s="6"/>
      <c r="AB1128" s="6"/>
      <c r="AC1128" s="9"/>
      <c r="AD1128" s="9"/>
      <c r="AE1128" s="9"/>
      <c r="AF1128" s="9"/>
      <c r="AG1128" s="5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59"/>
      <c r="AR1128" s="21"/>
      <c r="AS1128" s="21"/>
      <c r="AT1128" s="3"/>
      <c r="AU1128" s="3"/>
      <c r="AV1128" s="3"/>
      <c r="AW1128" s="3"/>
      <c r="AX1128" s="3"/>
      <c r="AY1128" s="3"/>
      <c r="AZ1128" s="3"/>
      <c r="BA1128" s="3"/>
      <c r="BB1128" s="53"/>
      <c r="BC1128" s="3"/>
      <c r="BD1128" s="59"/>
      <c r="BE1128" s="3"/>
      <c r="BF1128" s="53"/>
      <c r="BG1128" s="59"/>
    </row>
    <row r="1129" spans="1:59" customFormat="1" ht="15" x14ac:dyDescent="0.35">
      <c r="A1129" s="50"/>
      <c r="B1129" s="63"/>
      <c r="C1129" s="39"/>
      <c r="D1129" s="6"/>
      <c r="E1129" s="149"/>
      <c r="F1129" s="153"/>
      <c r="G1129" s="10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5"/>
      <c r="V1129" s="5"/>
      <c r="W1129" s="13"/>
      <c r="X1129" s="4"/>
      <c r="Y1129" s="4"/>
      <c r="Z1129" s="4"/>
      <c r="AA1129" s="6"/>
      <c r="AB1129" s="5"/>
      <c r="AC1129" s="9"/>
      <c r="AD1129" s="9"/>
      <c r="AE1129" s="9"/>
      <c r="AF1129" s="9"/>
      <c r="AG1129" s="54"/>
      <c r="AH1129" s="3"/>
      <c r="AI1129" s="2"/>
      <c r="AJ1129" s="2"/>
      <c r="AK1129" s="2"/>
      <c r="AL1129" s="3"/>
      <c r="AM1129" s="3"/>
      <c r="AN1129" s="3"/>
      <c r="AO1129" s="3"/>
      <c r="AP1129" s="3"/>
      <c r="AQ1129" s="59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53"/>
      <c r="BC1129" s="3"/>
      <c r="BD1129" s="59"/>
      <c r="BE1129" s="3"/>
      <c r="BF1129" s="53"/>
      <c r="BG1129" s="59"/>
    </row>
    <row r="1130" spans="1:59" customFormat="1" ht="15" x14ac:dyDescent="0.35">
      <c r="A1130" s="50"/>
      <c r="B1130" s="63"/>
      <c r="C1130" s="39"/>
      <c r="D1130" s="6"/>
      <c r="E1130" s="149"/>
      <c r="F1130" s="153"/>
      <c r="G1130" s="10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5"/>
      <c r="V1130" s="5"/>
      <c r="W1130" s="13"/>
      <c r="X1130" s="4"/>
      <c r="Y1130" s="4"/>
      <c r="Z1130" s="4"/>
      <c r="AA1130" s="6"/>
      <c r="AB1130" s="5"/>
      <c r="AC1130" s="9"/>
      <c r="AD1130" s="9"/>
      <c r="AE1130" s="9"/>
      <c r="AF1130" s="9"/>
      <c r="AG1130" s="54"/>
      <c r="AH1130" s="3"/>
      <c r="AI1130" s="2"/>
      <c r="AJ1130" s="2"/>
      <c r="AK1130" s="2"/>
      <c r="AL1130" s="3"/>
      <c r="AM1130" s="3"/>
      <c r="AN1130" s="3"/>
      <c r="AO1130" s="3"/>
      <c r="AP1130" s="3"/>
      <c r="AQ1130" s="59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53"/>
      <c r="BC1130" s="3"/>
      <c r="BD1130" s="59"/>
      <c r="BE1130" s="3"/>
      <c r="BF1130" s="53"/>
      <c r="BG1130" s="59"/>
    </row>
    <row r="1131" spans="1:59" customFormat="1" ht="15" x14ac:dyDescent="0.35">
      <c r="A1131" s="19"/>
      <c r="B1131" s="49"/>
      <c r="C1131" s="39"/>
      <c r="D1131" s="1"/>
      <c r="E1131" s="149"/>
      <c r="F1131" s="153"/>
      <c r="G1131" s="10"/>
      <c r="H1131" s="17"/>
      <c r="I1131" s="17"/>
      <c r="J1131" s="17"/>
      <c r="K1131" s="30"/>
      <c r="L1131" s="30"/>
      <c r="M1131" s="30"/>
      <c r="N1131" s="30"/>
      <c r="O1131" s="30"/>
      <c r="P1131" s="30"/>
      <c r="Q1131" s="30"/>
      <c r="R1131" s="30"/>
      <c r="S1131" s="30"/>
      <c r="T1131" s="30"/>
      <c r="U1131" s="30"/>
      <c r="V1131" s="30"/>
      <c r="W1131" s="29"/>
      <c r="X1131" s="15"/>
      <c r="Y1131" s="30"/>
      <c r="Z1131" s="30"/>
      <c r="AA1131" s="30"/>
      <c r="AB1131" s="30"/>
      <c r="AC1131" s="17"/>
      <c r="AD1131" s="17"/>
      <c r="AE1131" s="17"/>
      <c r="AF1131" s="17"/>
      <c r="AG1131" s="20"/>
      <c r="AH1131" s="21"/>
      <c r="AI1131" s="21"/>
      <c r="AJ1131" s="21"/>
      <c r="AK1131" s="21"/>
      <c r="AL1131" s="21"/>
      <c r="AM1131" s="21"/>
      <c r="AN1131" s="21"/>
      <c r="AO1131" s="22"/>
      <c r="AP1131" s="21"/>
      <c r="AQ1131" s="24"/>
      <c r="AR1131" s="21"/>
      <c r="AS1131" s="21"/>
      <c r="AT1131" s="21"/>
      <c r="AU1131" s="21"/>
      <c r="AV1131" s="21"/>
      <c r="AW1131" s="21"/>
      <c r="AX1131" s="22"/>
      <c r="AY1131" s="21"/>
      <c r="AZ1131" s="22"/>
      <c r="BA1131" s="21"/>
      <c r="BB1131" s="20"/>
      <c r="BC1131" s="21"/>
      <c r="BD1131" s="25"/>
      <c r="BE1131" s="26"/>
      <c r="BF1131" s="27"/>
      <c r="BG1131" s="28"/>
    </row>
    <row r="1132" spans="1:59" customFormat="1" ht="15" x14ac:dyDescent="0.35">
      <c r="A1132" s="50"/>
      <c r="B1132" s="63"/>
      <c r="C1132" s="39"/>
      <c r="D1132" s="6"/>
      <c r="E1132" s="149"/>
      <c r="F1132" s="153"/>
      <c r="G1132" s="10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5"/>
      <c r="V1132" s="5"/>
      <c r="W1132" s="13"/>
      <c r="X1132" s="4"/>
      <c r="Y1132" s="4"/>
      <c r="Z1132" s="4"/>
      <c r="AA1132" s="6"/>
      <c r="AB1132" s="5"/>
      <c r="AC1132" s="9"/>
      <c r="AD1132" s="9"/>
      <c r="AE1132" s="9"/>
      <c r="AF1132" s="9"/>
      <c r="AG1132" s="54"/>
      <c r="AH1132" s="3"/>
      <c r="AI1132" s="2"/>
      <c r="AJ1132" s="2"/>
      <c r="AK1132" s="2"/>
      <c r="AL1132" s="3"/>
      <c r="AM1132" s="3"/>
      <c r="AN1132" s="3"/>
      <c r="AO1132" s="3"/>
      <c r="AP1132" s="3"/>
      <c r="AQ1132" s="59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53"/>
      <c r="BC1132" s="3"/>
      <c r="BD1132" s="59"/>
      <c r="BE1132" s="3"/>
      <c r="BF1132" s="53"/>
      <c r="BG1132" s="59"/>
    </row>
    <row r="1133" spans="1:59" customFormat="1" ht="15" x14ac:dyDescent="0.35">
      <c r="A1133" s="50"/>
      <c r="B1133" s="63"/>
      <c r="C1133" s="39"/>
      <c r="D1133" s="6"/>
      <c r="E1133" s="149"/>
      <c r="F1133" s="153"/>
      <c r="G1133" s="10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5"/>
      <c r="V1133" s="5"/>
      <c r="W1133" s="13"/>
      <c r="X1133" s="4"/>
      <c r="Y1133" s="4"/>
      <c r="Z1133" s="4"/>
      <c r="AA1133" s="6"/>
      <c r="AB1133" s="5"/>
      <c r="AC1133" s="9"/>
      <c r="AD1133" s="9"/>
      <c r="AE1133" s="9"/>
      <c r="AF1133" s="9"/>
      <c r="AG1133" s="54"/>
      <c r="AH1133" s="3"/>
      <c r="AI1133" s="2"/>
      <c r="AJ1133" s="2"/>
      <c r="AK1133" s="2"/>
      <c r="AL1133" s="3"/>
      <c r="AM1133" s="3"/>
      <c r="AN1133" s="3"/>
      <c r="AO1133" s="3"/>
      <c r="AP1133" s="3"/>
      <c r="AQ1133" s="59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53"/>
      <c r="BC1133" s="3"/>
      <c r="BD1133" s="59"/>
      <c r="BE1133" s="3"/>
      <c r="BF1133" s="53"/>
      <c r="BG1133" s="59"/>
    </row>
    <row r="1134" spans="1:59" customFormat="1" ht="15" x14ac:dyDescent="0.35">
      <c r="A1134" s="50"/>
      <c r="B1134" s="63"/>
      <c r="C1134" s="39"/>
      <c r="D1134" s="6"/>
      <c r="E1134" s="149"/>
      <c r="F1134" s="153"/>
      <c r="G1134" s="10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5"/>
      <c r="V1134" s="5"/>
      <c r="W1134" s="13"/>
      <c r="X1134" s="4"/>
      <c r="Y1134" s="4"/>
      <c r="Z1134" s="4"/>
      <c r="AA1134" s="6"/>
      <c r="AB1134" s="5"/>
      <c r="AC1134" s="9"/>
      <c r="AD1134" s="9"/>
      <c r="AE1134" s="9"/>
      <c r="AF1134" s="9"/>
      <c r="AG1134" s="54"/>
      <c r="AH1134" s="3"/>
      <c r="AI1134" s="2"/>
      <c r="AJ1134" s="2"/>
      <c r="AK1134" s="2"/>
      <c r="AL1134" s="3"/>
      <c r="AM1134" s="3"/>
      <c r="AN1134" s="3"/>
      <c r="AO1134" s="3"/>
      <c r="AP1134" s="3"/>
      <c r="AQ1134" s="59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53"/>
      <c r="BC1134" s="3"/>
      <c r="BD1134" s="59"/>
      <c r="BE1134" s="3"/>
      <c r="BF1134" s="53"/>
      <c r="BG1134" s="59"/>
    </row>
    <row r="1135" spans="1:59" customFormat="1" ht="15" x14ac:dyDescent="0.35">
      <c r="A1135" s="19"/>
      <c r="B1135" s="49"/>
      <c r="C1135" s="39"/>
      <c r="D1135" s="1"/>
      <c r="E1135" s="149"/>
      <c r="F1135" s="153"/>
      <c r="G1135" s="10"/>
      <c r="H1135" s="17"/>
      <c r="I1135" s="17"/>
      <c r="J1135" s="17"/>
      <c r="K1135" s="30"/>
      <c r="L1135" s="30"/>
      <c r="M1135" s="30"/>
      <c r="N1135" s="30"/>
      <c r="O1135" s="30"/>
      <c r="P1135" s="30"/>
      <c r="Q1135" s="30"/>
      <c r="R1135" s="30"/>
      <c r="S1135" s="30"/>
      <c r="T1135" s="30"/>
      <c r="U1135" s="30"/>
      <c r="V1135" s="30"/>
      <c r="W1135" s="29"/>
      <c r="X1135" s="15"/>
      <c r="Y1135" s="30"/>
      <c r="Z1135" s="30"/>
      <c r="AA1135" s="30"/>
      <c r="AB1135" s="30"/>
      <c r="AC1135" s="17"/>
      <c r="AD1135" s="17"/>
      <c r="AE1135" s="17"/>
      <c r="AF1135" s="17"/>
      <c r="AG1135" s="20"/>
      <c r="AH1135" s="21"/>
      <c r="AI1135" s="21"/>
      <c r="AJ1135" s="21"/>
      <c r="AK1135" s="21"/>
      <c r="AL1135" s="21"/>
      <c r="AM1135" s="21"/>
      <c r="AN1135" s="21"/>
      <c r="AO1135" s="22"/>
      <c r="AP1135" s="21"/>
      <c r="AQ1135" s="24"/>
      <c r="AR1135" s="21"/>
      <c r="AS1135" s="21"/>
      <c r="AT1135" s="21"/>
      <c r="AU1135" s="21"/>
      <c r="AV1135" s="21"/>
      <c r="AW1135" s="21"/>
      <c r="AX1135" s="22"/>
      <c r="AY1135" s="21"/>
      <c r="AZ1135" s="22"/>
      <c r="BA1135" s="21"/>
      <c r="BB1135" s="20"/>
      <c r="BC1135" s="21"/>
      <c r="BD1135" s="25"/>
      <c r="BE1135" s="26"/>
      <c r="BF1135" s="27"/>
      <c r="BG1135" s="28"/>
    </row>
    <row r="1136" spans="1:59" customFormat="1" ht="15" x14ac:dyDescent="0.35">
      <c r="A1136" s="50"/>
      <c r="B1136" s="63"/>
      <c r="C1136" s="39"/>
      <c r="D1136" s="6"/>
      <c r="E1136" s="149"/>
      <c r="F1136" s="153"/>
      <c r="G1136" s="10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12"/>
      <c r="X1136" s="33"/>
      <c r="Y1136" s="6"/>
      <c r="Z1136" s="6"/>
      <c r="AA1136" s="6"/>
      <c r="AB1136" s="6"/>
      <c r="AC1136" s="9"/>
      <c r="AD1136" s="9"/>
      <c r="AE1136" s="9"/>
      <c r="AF1136" s="9"/>
      <c r="AG1136" s="5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59"/>
      <c r="AR1136" s="21"/>
      <c r="AS1136" s="21"/>
      <c r="AT1136" s="3"/>
      <c r="AU1136" s="3"/>
      <c r="AV1136" s="3"/>
      <c r="AW1136" s="3"/>
      <c r="AX1136" s="3"/>
      <c r="AY1136" s="3"/>
      <c r="AZ1136" s="3"/>
      <c r="BA1136" s="3"/>
      <c r="BB1136" s="53"/>
      <c r="BC1136" s="3"/>
      <c r="BD1136" s="59"/>
      <c r="BE1136" s="3"/>
      <c r="BF1136" s="53"/>
      <c r="BG1136" s="59"/>
    </row>
    <row r="1137" spans="1:59" customFormat="1" ht="15" x14ac:dyDescent="0.35">
      <c r="A1137" s="50"/>
      <c r="B1137" s="63"/>
      <c r="C1137" s="39"/>
      <c r="D1137" s="6"/>
      <c r="E1137" s="149"/>
      <c r="F1137" s="153"/>
      <c r="G1137" s="10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12"/>
      <c r="X1137" s="33"/>
      <c r="Y1137" s="6"/>
      <c r="Z1137" s="6"/>
      <c r="AA1137" s="6"/>
      <c r="AB1137" s="6"/>
      <c r="AC1137" s="9"/>
      <c r="AD1137" s="9"/>
      <c r="AE1137" s="9"/>
      <c r="AF1137" s="9"/>
      <c r="AG1137" s="5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59"/>
      <c r="AR1137" s="21"/>
      <c r="AS1137" s="21"/>
      <c r="AT1137" s="3"/>
      <c r="AU1137" s="3"/>
      <c r="AV1137" s="3"/>
      <c r="AW1137" s="3"/>
      <c r="AX1137" s="3"/>
      <c r="AY1137" s="3"/>
      <c r="AZ1137" s="3"/>
      <c r="BA1137" s="3"/>
      <c r="BB1137" s="53"/>
      <c r="BC1137" s="3"/>
      <c r="BD1137" s="59"/>
      <c r="BE1137" s="3"/>
      <c r="BF1137" s="53"/>
      <c r="BG1137" s="59"/>
    </row>
    <row r="1138" spans="1:59" customFormat="1" ht="15" x14ac:dyDescent="0.35">
      <c r="A1138" s="50"/>
      <c r="B1138" s="63"/>
      <c r="C1138" s="39"/>
      <c r="D1138" s="6"/>
      <c r="E1138" s="149"/>
      <c r="F1138" s="153"/>
      <c r="G1138" s="10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12"/>
      <c r="X1138" s="33"/>
      <c r="Y1138" s="6"/>
      <c r="Z1138" s="6"/>
      <c r="AA1138" s="6"/>
      <c r="AB1138" s="6"/>
      <c r="AC1138" s="9"/>
      <c r="AD1138" s="9"/>
      <c r="AE1138" s="9"/>
      <c r="AF1138" s="9"/>
      <c r="AG1138" s="5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59"/>
      <c r="AR1138" s="21"/>
      <c r="AS1138" s="21"/>
      <c r="AT1138" s="3"/>
      <c r="AU1138" s="3"/>
      <c r="AV1138" s="3"/>
      <c r="AW1138" s="3"/>
      <c r="AX1138" s="3"/>
      <c r="AY1138" s="3"/>
      <c r="AZ1138" s="3"/>
      <c r="BA1138" s="3"/>
      <c r="BB1138" s="53"/>
      <c r="BC1138" s="3"/>
      <c r="BD1138" s="59"/>
      <c r="BE1138" s="3"/>
      <c r="BF1138" s="53"/>
      <c r="BG1138" s="59"/>
    </row>
    <row r="1139" spans="1:59" customFormat="1" ht="15" x14ac:dyDescent="0.35">
      <c r="A1139" s="50"/>
      <c r="B1139" s="63"/>
      <c r="C1139" s="39"/>
      <c r="D1139" s="6"/>
      <c r="E1139" s="149"/>
      <c r="F1139" s="153"/>
      <c r="G1139" s="10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12"/>
      <c r="X1139" s="33"/>
      <c r="Y1139" s="6"/>
      <c r="Z1139" s="6"/>
      <c r="AA1139" s="6"/>
      <c r="AB1139" s="6"/>
      <c r="AC1139" s="9"/>
      <c r="AD1139" s="9"/>
      <c r="AE1139" s="9"/>
      <c r="AF1139" s="9"/>
      <c r="AG1139" s="5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59"/>
      <c r="AR1139" s="21"/>
      <c r="AS1139" s="21"/>
      <c r="AT1139" s="3"/>
      <c r="AU1139" s="3"/>
      <c r="AV1139" s="3"/>
      <c r="AW1139" s="3"/>
      <c r="AX1139" s="3"/>
      <c r="AY1139" s="3"/>
      <c r="AZ1139" s="3"/>
      <c r="BA1139" s="3"/>
      <c r="BB1139" s="53"/>
      <c r="BC1139" s="3"/>
      <c r="BD1139" s="59"/>
      <c r="BE1139" s="3"/>
      <c r="BF1139" s="53"/>
      <c r="BG1139" s="59"/>
    </row>
    <row r="1140" spans="1:59" customFormat="1" ht="15" x14ac:dyDescent="0.35">
      <c r="A1140" s="50"/>
      <c r="B1140" s="63"/>
      <c r="C1140" s="39"/>
      <c r="D1140" s="6"/>
      <c r="E1140" s="149"/>
      <c r="F1140" s="153"/>
      <c r="G1140" s="10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5"/>
      <c r="V1140" s="5"/>
      <c r="W1140" s="13"/>
      <c r="X1140" s="4"/>
      <c r="Y1140" s="4"/>
      <c r="Z1140" s="4"/>
      <c r="AA1140" s="6"/>
      <c r="AB1140" s="5"/>
      <c r="AC1140" s="9"/>
      <c r="AD1140" s="9"/>
      <c r="AE1140" s="9"/>
      <c r="AF1140" s="9"/>
      <c r="AG1140" s="54"/>
      <c r="AH1140" s="3"/>
      <c r="AI1140" s="2"/>
      <c r="AJ1140" s="2"/>
      <c r="AK1140" s="2"/>
      <c r="AL1140" s="3"/>
      <c r="AM1140" s="3"/>
      <c r="AN1140" s="3"/>
      <c r="AO1140" s="3"/>
      <c r="AP1140" s="3"/>
      <c r="AQ1140" s="59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53"/>
      <c r="BC1140" s="3"/>
      <c r="BD1140" s="59"/>
      <c r="BE1140" s="3"/>
      <c r="BF1140" s="53"/>
      <c r="BG1140" s="59"/>
    </row>
    <row r="1141" spans="1:59" customFormat="1" ht="15" x14ac:dyDescent="0.35">
      <c r="A1141" s="50"/>
      <c r="B1141" s="63"/>
      <c r="C1141" s="39"/>
      <c r="D1141" s="6"/>
      <c r="E1141" s="149"/>
      <c r="F1141" s="153"/>
      <c r="G1141" s="10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12"/>
      <c r="X1141" s="33"/>
      <c r="Y1141" s="6"/>
      <c r="Z1141" s="6"/>
      <c r="AA1141" s="6"/>
      <c r="AB1141" s="6"/>
      <c r="AC1141" s="9"/>
      <c r="AD1141" s="9"/>
      <c r="AE1141" s="9"/>
      <c r="AF1141" s="9"/>
      <c r="AG1141" s="5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59"/>
      <c r="AR1141" s="21"/>
      <c r="AS1141" s="21"/>
      <c r="AT1141" s="3"/>
      <c r="AU1141" s="3"/>
      <c r="AV1141" s="3"/>
      <c r="AW1141" s="3"/>
      <c r="AX1141" s="3"/>
      <c r="AY1141" s="3"/>
      <c r="AZ1141" s="3"/>
      <c r="BA1141" s="3"/>
      <c r="BB1141" s="53"/>
      <c r="BC1141" s="3"/>
      <c r="BD1141" s="59"/>
      <c r="BE1141" s="3"/>
      <c r="BF1141" s="53"/>
      <c r="BG1141" s="59"/>
    </row>
    <row r="1142" spans="1:59" customFormat="1" ht="15" x14ac:dyDescent="0.35">
      <c r="A1142" s="50"/>
      <c r="B1142" s="63"/>
      <c r="C1142" s="39"/>
      <c r="D1142" s="6"/>
      <c r="E1142" s="149"/>
      <c r="F1142" s="153"/>
      <c r="G1142" s="10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12"/>
      <c r="X1142" s="33"/>
      <c r="Y1142" s="6"/>
      <c r="Z1142" s="6"/>
      <c r="AA1142" s="6"/>
      <c r="AB1142" s="6"/>
      <c r="AC1142" s="9"/>
      <c r="AD1142" s="9"/>
      <c r="AE1142" s="9"/>
      <c r="AF1142" s="9"/>
      <c r="AG1142" s="5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59"/>
      <c r="AR1142" s="21"/>
      <c r="AS1142" s="21"/>
      <c r="AT1142" s="3"/>
      <c r="AU1142" s="3"/>
      <c r="AV1142" s="3"/>
      <c r="AW1142" s="3"/>
      <c r="AX1142" s="3"/>
      <c r="AY1142" s="3"/>
      <c r="AZ1142" s="3"/>
      <c r="BA1142" s="3"/>
      <c r="BB1142" s="53"/>
      <c r="BC1142" s="3"/>
      <c r="BD1142" s="59"/>
      <c r="BE1142" s="3"/>
      <c r="BF1142" s="53"/>
      <c r="BG1142" s="59"/>
    </row>
    <row r="1143" spans="1:59" customFormat="1" ht="15" x14ac:dyDescent="0.35">
      <c r="A1143" s="50"/>
      <c r="B1143" s="63"/>
      <c r="C1143" s="39"/>
      <c r="D1143" s="6"/>
      <c r="E1143" s="149"/>
      <c r="F1143" s="153"/>
      <c r="G1143" s="10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5"/>
      <c r="V1143" s="5"/>
      <c r="W1143" s="13"/>
      <c r="X1143" s="4"/>
      <c r="Y1143" s="4"/>
      <c r="Z1143" s="4"/>
      <c r="AA1143" s="6"/>
      <c r="AB1143" s="5"/>
      <c r="AC1143" s="9"/>
      <c r="AD1143" s="9"/>
      <c r="AE1143" s="9"/>
      <c r="AF1143" s="9"/>
      <c r="AG1143" s="54"/>
      <c r="AH1143" s="3"/>
      <c r="AI1143" s="2"/>
      <c r="AJ1143" s="2"/>
      <c r="AK1143" s="2"/>
      <c r="AL1143" s="3"/>
      <c r="AM1143" s="3"/>
      <c r="AN1143" s="3"/>
      <c r="AO1143" s="3"/>
      <c r="AP1143" s="3"/>
      <c r="AQ1143" s="59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53"/>
      <c r="BC1143" s="3"/>
      <c r="BD1143" s="59"/>
      <c r="BE1143" s="3"/>
      <c r="BF1143" s="53"/>
      <c r="BG1143" s="59"/>
    </row>
    <row r="1144" spans="1:59" customFormat="1" ht="15" x14ac:dyDescent="0.35">
      <c r="A1144" s="50"/>
      <c r="B1144" s="63"/>
      <c r="C1144" s="39"/>
      <c r="D1144" s="6"/>
      <c r="E1144" s="149"/>
      <c r="F1144" s="153"/>
      <c r="G1144" s="10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12"/>
      <c r="X1144" s="33"/>
      <c r="Y1144" s="6"/>
      <c r="Z1144" s="6"/>
      <c r="AA1144" s="6"/>
      <c r="AB1144" s="6"/>
      <c r="AC1144" s="9"/>
      <c r="AD1144" s="9"/>
      <c r="AE1144" s="9"/>
      <c r="AF1144" s="9"/>
      <c r="AG1144" s="5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59"/>
      <c r="AR1144" s="21"/>
      <c r="AS1144" s="21"/>
      <c r="AT1144" s="3"/>
      <c r="AU1144" s="3"/>
      <c r="AV1144" s="3"/>
      <c r="AW1144" s="3"/>
      <c r="AX1144" s="3"/>
      <c r="AY1144" s="3"/>
      <c r="AZ1144" s="3"/>
      <c r="BA1144" s="3"/>
      <c r="BB1144" s="53"/>
      <c r="BC1144" s="3"/>
      <c r="BD1144" s="59"/>
      <c r="BE1144" s="3"/>
      <c r="BF1144" s="53"/>
      <c r="BG1144" s="59"/>
    </row>
    <row r="1145" spans="1:59" customFormat="1" ht="15" x14ac:dyDescent="0.35">
      <c r="A1145" s="50"/>
      <c r="B1145" s="63"/>
      <c r="C1145" s="39"/>
      <c r="D1145" s="6"/>
      <c r="E1145" s="149"/>
      <c r="F1145" s="153"/>
      <c r="G1145" s="10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5"/>
      <c r="V1145" s="5"/>
      <c r="W1145" s="13"/>
      <c r="X1145" s="4"/>
      <c r="Y1145" s="4"/>
      <c r="Z1145" s="4"/>
      <c r="AA1145" s="6"/>
      <c r="AB1145" s="5"/>
      <c r="AC1145" s="9"/>
      <c r="AD1145" s="9"/>
      <c r="AE1145" s="9"/>
      <c r="AF1145" s="9"/>
      <c r="AG1145" s="54"/>
      <c r="AH1145" s="3"/>
      <c r="AI1145" s="2"/>
      <c r="AJ1145" s="2"/>
      <c r="AK1145" s="2"/>
      <c r="AL1145" s="3"/>
      <c r="AM1145" s="3"/>
      <c r="AN1145" s="3"/>
      <c r="AO1145" s="3"/>
      <c r="AP1145" s="3"/>
      <c r="AQ1145" s="59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53"/>
      <c r="BC1145" s="3"/>
      <c r="BD1145" s="59"/>
      <c r="BE1145" s="3"/>
      <c r="BF1145" s="53"/>
      <c r="BG1145" s="59"/>
    </row>
    <row r="1146" spans="1:59" customFormat="1" ht="15" x14ac:dyDescent="0.35">
      <c r="A1146" s="50"/>
      <c r="B1146" s="63"/>
      <c r="C1146" s="39"/>
      <c r="D1146" s="6"/>
      <c r="E1146" s="149"/>
      <c r="F1146" s="153"/>
      <c r="G1146" s="10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5"/>
      <c r="V1146" s="5"/>
      <c r="W1146" s="13"/>
      <c r="X1146" s="4"/>
      <c r="Y1146" s="4"/>
      <c r="Z1146" s="4"/>
      <c r="AA1146" s="6"/>
      <c r="AB1146" s="5"/>
      <c r="AC1146" s="9"/>
      <c r="AD1146" s="9"/>
      <c r="AE1146" s="9"/>
      <c r="AF1146" s="9"/>
      <c r="AG1146" s="54"/>
      <c r="AH1146" s="3"/>
      <c r="AI1146" s="2"/>
      <c r="AJ1146" s="2"/>
      <c r="AK1146" s="2"/>
      <c r="AL1146" s="3"/>
      <c r="AM1146" s="3"/>
      <c r="AN1146" s="3"/>
      <c r="AO1146" s="3"/>
      <c r="AP1146" s="3"/>
      <c r="AQ1146" s="59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53"/>
      <c r="BC1146" s="3"/>
      <c r="BD1146" s="59"/>
      <c r="BE1146" s="3"/>
      <c r="BF1146" s="53"/>
      <c r="BG1146" s="59"/>
    </row>
    <row r="1147" spans="1:59" customFormat="1" ht="15" x14ac:dyDescent="0.35">
      <c r="A1147" s="50"/>
      <c r="B1147" s="63"/>
      <c r="C1147" s="39"/>
      <c r="D1147" s="6"/>
      <c r="E1147" s="149"/>
      <c r="F1147" s="153"/>
      <c r="G1147" s="10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5"/>
      <c r="V1147" s="5"/>
      <c r="W1147" s="13"/>
      <c r="X1147" s="4"/>
      <c r="Y1147" s="4"/>
      <c r="Z1147" s="4"/>
      <c r="AA1147" s="6"/>
      <c r="AB1147" s="5"/>
      <c r="AC1147" s="9"/>
      <c r="AD1147" s="9"/>
      <c r="AE1147" s="9"/>
      <c r="AF1147" s="9"/>
      <c r="AG1147" s="54"/>
      <c r="AH1147" s="3"/>
      <c r="AI1147" s="2"/>
      <c r="AJ1147" s="2"/>
      <c r="AK1147" s="2"/>
      <c r="AL1147" s="3"/>
      <c r="AM1147" s="3"/>
      <c r="AN1147" s="3"/>
      <c r="AO1147" s="3"/>
      <c r="AP1147" s="3"/>
      <c r="AQ1147" s="59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53"/>
      <c r="BC1147" s="3"/>
      <c r="BD1147" s="59"/>
      <c r="BE1147" s="3"/>
      <c r="BF1147" s="53"/>
      <c r="BG1147" s="59"/>
    </row>
    <row r="1148" spans="1:59" customFormat="1" ht="15" x14ac:dyDescent="0.35">
      <c r="A1148" s="50"/>
      <c r="B1148" s="63"/>
      <c r="C1148" s="39"/>
      <c r="D1148" s="6"/>
      <c r="E1148" s="149"/>
      <c r="F1148" s="153"/>
      <c r="G1148" s="10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12"/>
      <c r="X1148" s="33"/>
      <c r="Y1148" s="6"/>
      <c r="Z1148" s="6"/>
      <c r="AA1148" s="6"/>
      <c r="AB1148" s="6"/>
      <c r="AC1148" s="9"/>
      <c r="AD1148" s="9"/>
      <c r="AE1148" s="9"/>
      <c r="AF1148" s="9"/>
      <c r="AG1148" s="5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59"/>
      <c r="AR1148" s="21"/>
      <c r="AS1148" s="21"/>
      <c r="AT1148" s="3"/>
      <c r="AU1148" s="3"/>
      <c r="AV1148" s="3"/>
      <c r="AW1148" s="3"/>
      <c r="AX1148" s="3"/>
      <c r="AY1148" s="3"/>
      <c r="AZ1148" s="3"/>
      <c r="BA1148" s="3"/>
      <c r="BB1148" s="53"/>
      <c r="BC1148" s="3"/>
      <c r="BD1148" s="59"/>
      <c r="BE1148" s="3"/>
      <c r="BF1148" s="53"/>
      <c r="BG1148" s="59"/>
    </row>
    <row r="1149" spans="1:59" customFormat="1" ht="15" x14ac:dyDescent="0.35">
      <c r="A1149" s="19"/>
      <c r="B1149" s="49"/>
      <c r="C1149" s="14"/>
      <c r="D1149" s="1"/>
      <c r="E1149" s="149"/>
      <c r="F1149" s="153"/>
      <c r="G1149" s="10"/>
      <c r="H1149" s="17"/>
      <c r="I1149" s="17"/>
      <c r="J1149" s="17"/>
      <c r="K1149" s="30"/>
      <c r="L1149" s="30"/>
      <c r="M1149" s="30"/>
      <c r="N1149" s="30"/>
      <c r="O1149" s="30"/>
      <c r="P1149" s="30"/>
      <c r="Q1149" s="30"/>
      <c r="R1149" s="30"/>
      <c r="S1149" s="30"/>
      <c r="T1149" s="30"/>
      <c r="U1149" s="30"/>
      <c r="V1149" s="30"/>
      <c r="W1149" s="29"/>
      <c r="X1149" s="15"/>
      <c r="Y1149" s="30"/>
      <c r="Z1149" s="30"/>
      <c r="AA1149" s="30"/>
      <c r="AB1149" s="30"/>
      <c r="AC1149" s="17"/>
      <c r="AD1149" s="17"/>
      <c r="AE1149" s="17"/>
      <c r="AF1149" s="17"/>
      <c r="AG1149" s="20"/>
      <c r="AH1149" s="21"/>
      <c r="AI1149" s="21"/>
      <c r="AJ1149" s="21"/>
      <c r="AK1149" s="21"/>
      <c r="AL1149" s="21"/>
      <c r="AM1149" s="21"/>
      <c r="AN1149" s="21"/>
      <c r="AO1149" s="22"/>
      <c r="AP1149" s="21"/>
      <c r="AQ1149" s="24"/>
      <c r="AR1149" s="21"/>
      <c r="AS1149" s="21"/>
      <c r="AT1149" s="21"/>
      <c r="AU1149" s="21"/>
      <c r="AV1149" s="21"/>
      <c r="AW1149" s="21"/>
      <c r="AX1149" s="22"/>
      <c r="AY1149" s="21"/>
      <c r="AZ1149" s="22"/>
      <c r="BA1149" s="21"/>
      <c r="BB1149" s="20"/>
      <c r="BC1149" s="21"/>
      <c r="BD1149" s="25"/>
      <c r="BE1149" s="26"/>
      <c r="BF1149" s="27"/>
      <c r="BG1149" s="28"/>
    </row>
    <row r="1150" spans="1:59" customFormat="1" ht="15" x14ac:dyDescent="0.35">
      <c r="A1150" s="19"/>
      <c r="B1150" s="49"/>
      <c r="C1150" s="39"/>
      <c r="D1150" s="1"/>
      <c r="E1150" s="149"/>
      <c r="F1150" s="153"/>
      <c r="G1150" s="10"/>
      <c r="H1150" s="17"/>
      <c r="I1150" s="17"/>
      <c r="J1150" s="17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30"/>
      <c r="W1150" s="29"/>
      <c r="X1150" s="15"/>
      <c r="Y1150" s="30"/>
      <c r="Z1150" s="30"/>
      <c r="AA1150" s="30"/>
      <c r="AB1150" s="30"/>
      <c r="AC1150" s="17"/>
      <c r="AD1150" s="17"/>
      <c r="AE1150" s="17"/>
      <c r="AF1150" s="17"/>
      <c r="AG1150" s="20"/>
      <c r="AH1150" s="21"/>
      <c r="AI1150" s="21"/>
      <c r="AJ1150" s="21"/>
      <c r="AK1150" s="21"/>
      <c r="AL1150" s="21"/>
      <c r="AM1150" s="21"/>
      <c r="AN1150" s="21"/>
      <c r="AO1150" s="22"/>
      <c r="AP1150" s="21"/>
      <c r="AQ1150" s="24"/>
      <c r="AR1150" s="21"/>
      <c r="AS1150" s="21"/>
      <c r="AT1150" s="21"/>
      <c r="AU1150" s="21"/>
      <c r="AV1150" s="21"/>
      <c r="AW1150" s="21"/>
      <c r="AX1150" s="22"/>
      <c r="AY1150" s="21"/>
      <c r="AZ1150" s="22"/>
      <c r="BA1150" s="21"/>
      <c r="BB1150" s="20"/>
      <c r="BC1150" s="21"/>
      <c r="BD1150" s="25"/>
      <c r="BE1150" s="26"/>
      <c r="BF1150" s="27"/>
      <c r="BG1150" s="28"/>
    </row>
    <row r="1151" spans="1:59" customFormat="1" ht="15" x14ac:dyDescent="0.35">
      <c r="A1151" s="50"/>
      <c r="B1151" s="63"/>
      <c r="C1151" s="39"/>
      <c r="D1151" s="6"/>
      <c r="E1151" s="149"/>
      <c r="F1151" s="153"/>
      <c r="G1151" s="10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12"/>
      <c r="X1151" s="33"/>
      <c r="Y1151" s="6"/>
      <c r="Z1151" s="6"/>
      <c r="AA1151" s="6"/>
      <c r="AB1151" s="6"/>
      <c r="AC1151" s="9"/>
      <c r="AD1151" s="9"/>
      <c r="AE1151" s="9"/>
      <c r="AF1151" s="9"/>
      <c r="AG1151" s="5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59"/>
      <c r="AR1151" s="21"/>
      <c r="AS1151" s="21"/>
      <c r="AT1151" s="3"/>
      <c r="AU1151" s="3"/>
      <c r="AV1151" s="3"/>
      <c r="AW1151" s="3"/>
      <c r="AX1151" s="3"/>
      <c r="AY1151" s="3"/>
      <c r="AZ1151" s="3"/>
      <c r="BA1151" s="3"/>
      <c r="BB1151" s="53"/>
      <c r="BC1151" s="3"/>
      <c r="BD1151" s="59"/>
      <c r="BE1151" s="3"/>
      <c r="BF1151" s="53"/>
      <c r="BG1151" s="59"/>
    </row>
    <row r="1152" spans="1:59" customFormat="1" ht="15" x14ac:dyDescent="0.35">
      <c r="A1152" s="50"/>
      <c r="B1152" s="63"/>
      <c r="C1152" s="39"/>
      <c r="D1152" s="6"/>
      <c r="E1152" s="149"/>
      <c r="F1152" s="153"/>
      <c r="G1152" s="10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5"/>
      <c r="V1152" s="5"/>
      <c r="W1152" s="13"/>
      <c r="X1152" s="4"/>
      <c r="Y1152" s="4"/>
      <c r="Z1152" s="4"/>
      <c r="AA1152" s="6"/>
      <c r="AB1152" s="5"/>
      <c r="AC1152" s="9"/>
      <c r="AD1152" s="9"/>
      <c r="AE1152" s="9"/>
      <c r="AF1152" s="9"/>
      <c r="AG1152" s="54"/>
      <c r="AH1152" s="3"/>
      <c r="AI1152" s="2"/>
      <c r="AJ1152" s="2"/>
      <c r="AK1152" s="2"/>
      <c r="AL1152" s="3"/>
      <c r="AM1152" s="3"/>
      <c r="AN1152" s="3"/>
      <c r="AO1152" s="3"/>
      <c r="AP1152" s="3"/>
      <c r="AQ1152" s="59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53"/>
      <c r="BC1152" s="3"/>
      <c r="BD1152" s="59"/>
      <c r="BE1152" s="3"/>
      <c r="BF1152" s="53"/>
      <c r="BG1152" s="59"/>
    </row>
    <row r="1153" spans="1:59" customFormat="1" ht="15" x14ac:dyDescent="0.35">
      <c r="A1153" s="50"/>
      <c r="B1153" s="63"/>
      <c r="C1153" s="39"/>
      <c r="D1153" s="6"/>
      <c r="E1153" s="149"/>
      <c r="F1153" s="153"/>
      <c r="G1153" s="10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5"/>
      <c r="V1153" s="5"/>
      <c r="W1153" s="13"/>
      <c r="X1153" s="4"/>
      <c r="Y1153" s="4"/>
      <c r="Z1153" s="4"/>
      <c r="AA1153" s="6"/>
      <c r="AB1153" s="5"/>
      <c r="AC1153" s="9"/>
      <c r="AD1153" s="9"/>
      <c r="AE1153" s="9"/>
      <c r="AF1153" s="9"/>
      <c r="AG1153" s="54"/>
      <c r="AH1153" s="3"/>
      <c r="AI1153" s="2"/>
      <c r="AJ1153" s="2"/>
      <c r="AK1153" s="2"/>
      <c r="AL1153" s="3"/>
      <c r="AM1153" s="3"/>
      <c r="AN1153" s="3"/>
      <c r="AO1153" s="3"/>
      <c r="AP1153" s="3"/>
      <c r="AQ1153" s="59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53"/>
      <c r="BC1153" s="3"/>
      <c r="BD1153" s="59"/>
      <c r="BE1153" s="3"/>
      <c r="BF1153" s="53"/>
      <c r="BG1153" s="59"/>
    </row>
    <row r="1154" spans="1:59" customFormat="1" ht="15" x14ac:dyDescent="0.35">
      <c r="A1154" s="50"/>
      <c r="B1154" s="63"/>
      <c r="C1154" s="39"/>
      <c r="D1154" s="6"/>
      <c r="E1154" s="149"/>
      <c r="F1154" s="153"/>
      <c r="G1154" s="10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5"/>
      <c r="V1154" s="5"/>
      <c r="W1154" s="13"/>
      <c r="X1154" s="4"/>
      <c r="Y1154" s="4"/>
      <c r="Z1154" s="4"/>
      <c r="AA1154" s="6"/>
      <c r="AB1154" s="5"/>
      <c r="AC1154" s="9"/>
      <c r="AD1154" s="9"/>
      <c r="AE1154" s="9"/>
      <c r="AF1154" s="9"/>
      <c r="AG1154" s="54"/>
      <c r="AH1154" s="3"/>
      <c r="AI1154" s="2"/>
      <c r="AJ1154" s="2"/>
      <c r="AK1154" s="2"/>
      <c r="AL1154" s="3"/>
      <c r="AM1154" s="3"/>
      <c r="AN1154" s="3"/>
      <c r="AO1154" s="3"/>
      <c r="AP1154" s="3"/>
      <c r="AQ1154" s="59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53"/>
      <c r="BC1154" s="3"/>
      <c r="BD1154" s="59"/>
      <c r="BE1154" s="3"/>
      <c r="BF1154" s="53"/>
      <c r="BG1154" s="59"/>
    </row>
    <row r="1155" spans="1:59" customFormat="1" ht="15" x14ac:dyDescent="0.35">
      <c r="A1155" s="50"/>
      <c r="B1155" s="63"/>
      <c r="C1155" s="39"/>
      <c r="D1155" s="6"/>
      <c r="E1155" s="149"/>
      <c r="F1155" s="153"/>
      <c r="G1155" s="10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5"/>
      <c r="V1155" s="5"/>
      <c r="W1155" s="13"/>
      <c r="X1155" s="4"/>
      <c r="Y1155" s="4"/>
      <c r="Z1155" s="4"/>
      <c r="AA1155" s="6"/>
      <c r="AB1155" s="5"/>
      <c r="AC1155" s="9"/>
      <c r="AD1155" s="9"/>
      <c r="AE1155" s="9"/>
      <c r="AF1155" s="9"/>
      <c r="AG1155" s="54"/>
      <c r="AH1155" s="3"/>
      <c r="AI1155" s="2"/>
      <c r="AJ1155" s="2"/>
      <c r="AK1155" s="2"/>
      <c r="AL1155" s="3"/>
      <c r="AM1155" s="3"/>
      <c r="AN1155" s="3"/>
      <c r="AO1155" s="3"/>
      <c r="AP1155" s="3"/>
      <c r="AQ1155" s="59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53"/>
      <c r="BC1155" s="3"/>
      <c r="BD1155" s="59"/>
      <c r="BE1155" s="3"/>
      <c r="BF1155" s="53"/>
      <c r="BG1155" s="59"/>
    </row>
    <row r="1156" spans="1:59" customFormat="1" ht="15" x14ac:dyDescent="0.35">
      <c r="A1156" s="19"/>
      <c r="B1156" s="49"/>
      <c r="C1156" s="14"/>
      <c r="D1156" s="1"/>
      <c r="E1156" s="149"/>
      <c r="F1156" s="153"/>
      <c r="G1156" s="10"/>
      <c r="H1156" s="17"/>
      <c r="I1156" s="17"/>
      <c r="J1156" s="17"/>
      <c r="K1156" s="30"/>
      <c r="L1156" s="30"/>
      <c r="M1156" s="30"/>
      <c r="N1156" s="30"/>
      <c r="O1156" s="30"/>
      <c r="P1156" s="30"/>
      <c r="Q1156" s="30"/>
      <c r="R1156" s="30"/>
      <c r="S1156" s="30"/>
      <c r="T1156" s="30"/>
      <c r="U1156" s="30"/>
      <c r="V1156" s="30"/>
      <c r="W1156" s="29"/>
      <c r="X1156" s="15"/>
      <c r="Y1156" s="30"/>
      <c r="Z1156" s="30"/>
      <c r="AA1156" s="30"/>
      <c r="AB1156" s="30"/>
      <c r="AC1156" s="17"/>
      <c r="AD1156" s="17"/>
      <c r="AE1156" s="17"/>
      <c r="AF1156" s="17"/>
      <c r="AG1156" s="20"/>
      <c r="AH1156" s="21"/>
      <c r="AI1156" s="21"/>
      <c r="AJ1156" s="21"/>
      <c r="AK1156" s="21"/>
      <c r="AL1156" s="21"/>
      <c r="AM1156" s="21"/>
      <c r="AN1156" s="21"/>
      <c r="AO1156" s="22"/>
      <c r="AP1156" s="21"/>
      <c r="AQ1156" s="24"/>
      <c r="AR1156" s="21"/>
      <c r="AS1156" s="21"/>
      <c r="AT1156" s="21"/>
      <c r="AU1156" s="21"/>
      <c r="AV1156" s="21"/>
      <c r="AW1156" s="21"/>
      <c r="AX1156" s="22"/>
      <c r="AY1156" s="21"/>
      <c r="AZ1156" s="22"/>
      <c r="BA1156" s="21"/>
      <c r="BB1156" s="20"/>
      <c r="BC1156" s="21"/>
      <c r="BD1156" s="25"/>
      <c r="BE1156" s="26"/>
      <c r="BF1156" s="27"/>
      <c r="BG1156" s="28"/>
    </row>
    <row r="1157" spans="1:59" customFormat="1" ht="15" x14ac:dyDescent="0.35">
      <c r="A1157" s="50"/>
      <c r="B1157" s="63"/>
      <c r="C1157" s="39"/>
      <c r="D1157" s="6"/>
      <c r="E1157" s="149"/>
      <c r="F1157" s="153"/>
      <c r="G1157" s="10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5"/>
      <c r="V1157" s="5"/>
      <c r="W1157" s="13"/>
      <c r="X1157" s="4"/>
      <c r="Y1157" s="4"/>
      <c r="Z1157" s="4"/>
      <c r="AA1157" s="6"/>
      <c r="AB1157" s="5"/>
      <c r="AC1157" s="9"/>
      <c r="AD1157" s="9"/>
      <c r="AE1157" s="9"/>
      <c r="AF1157" s="9"/>
      <c r="AG1157" s="54"/>
      <c r="AH1157" s="3"/>
      <c r="AI1157" s="2"/>
      <c r="AJ1157" s="2"/>
      <c r="AK1157" s="2"/>
      <c r="AL1157" s="3"/>
      <c r="AM1157" s="3"/>
      <c r="AN1157" s="3"/>
      <c r="AO1157" s="3"/>
      <c r="AP1157" s="3"/>
      <c r="AQ1157" s="59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53"/>
      <c r="BC1157" s="3"/>
      <c r="BD1157" s="59"/>
      <c r="BE1157" s="3"/>
      <c r="BF1157" s="53"/>
      <c r="BG1157" s="59"/>
    </row>
    <row r="1158" spans="1:59" customFormat="1" ht="15" x14ac:dyDescent="0.35">
      <c r="A1158" s="50"/>
      <c r="B1158" s="63"/>
      <c r="C1158" s="39"/>
      <c r="D1158" s="6"/>
      <c r="E1158" s="149"/>
      <c r="F1158" s="153"/>
      <c r="G1158" s="10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5"/>
      <c r="V1158" s="5"/>
      <c r="W1158" s="13"/>
      <c r="X1158" s="4"/>
      <c r="Y1158" s="4"/>
      <c r="Z1158" s="4"/>
      <c r="AA1158" s="6"/>
      <c r="AB1158" s="5"/>
      <c r="AC1158" s="9"/>
      <c r="AD1158" s="9"/>
      <c r="AE1158" s="9"/>
      <c r="AF1158" s="9"/>
      <c r="AG1158" s="54"/>
      <c r="AH1158" s="3"/>
      <c r="AI1158" s="2"/>
      <c r="AJ1158" s="2"/>
      <c r="AK1158" s="2"/>
      <c r="AL1158" s="3"/>
      <c r="AM1158" s="3"/>
      <c r="AN1158" s="3"/>
      <c r="AO1158" s="3"/>
      <c r="AP1158" s="3"/>
      <c r="AQ1158" s="59"/>
      <c r="AR1158" s="21"/>
      <c r="AS1158" s="21"/>
      <c r="AT1158" s="3"/>
      <c r="AU1158" s="3"/>
      <c r="AV1158" s="3"/>
      <c r="AW1158" s="3"/>
      <c r="AX1158" s="3"/>
      <c r="AY1158" s="3"/>
      <c r="AZ1158" s="3"/>
      <c r="BA1158" s="3"/>
      <c r="BB1158" s="53"/>
      <c r="BC1158" s="3"/>
      <c r="BD1158" s="59"/>
      <c r="BE1158" s="3"/>
      <c r="BF1158" s="53"/>
      <c r="BG1158" s="59"/>
    </row>
    <row r="1159" spans="1:59" customFormat="1" ht="15" x14ac:dyDescent="0.35">
      <c r="A1159" s="50"/>
      <c r="B1159" s="63"/>
      <c r="C1159" s="39"/>
      <c r="D1159" s="6"/>
      <c r="E1159" s="149"/>
      <c r="F1159" s="153"/>
      <c r="G1159" s="10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12"/>
      <c r="X1159" s="33"/>
      <c r="Y1159" s="6"/>
      <c r="Z1159" s="6"/>
      <c r="AA1159" s="6"/>
      <c r="AB1159" s="6"/>
      <c r="AC1159" s="9"/>
      <c r="AD1159" s="9"/>
      <c r="AE1159" s="9"/>
      <c r="AF1159" s="9"/>
      <c r="AG1159" s="5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59"/>
      <c r="AR1159" s="21"/>
      <c r="AS1159" s="21"/>
      <c r="AT1159" s="3"/>
      <c r="AU1159" s="3"/>
      <c r="AV1159" s="3"/>
      <c r="AW1159" s="3"/>
      <c r="AX1159" s="3"/>
      <c r="AY1159" s="3"/>
      <c r="AZ1159" s="3"/>
      <c r="BA1159" s="3"/>
      <c r="BB1159" s="53"/>
      <c r="BC1159" s="3"/>
      <c r="BD1159" s="59"/>
      <c r="BE1159" s="3"/>
      <c r="BF1159" s="53"/>
      <c r="BG1159" s="59"/>
    </row>
    <row r="1160" spans="1:59" customFormat="1" ht="15" x14ac:dyDescent="0.35">
      <c r="A1160" s="50"/>
      <c r="B1160" s="63"/>
      <c r="C1160" s="39"/>
      <c r="D1160" s="6"/>
      <c r="E1160" s="149"/>
      <c r="F1160" s="153"/>
      <c r="G1160" s="10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12"/>
      <c r="X1160" s="33"/>
      <c r="Y1160" s="6"/>
      <c r="Z1160" s="6"/>
      <c r="AA1160" s="6"/>
      <c r="AB1160" s="6"/>
      <c r="AC1160" s="9"/>
      <c r="AD1160" s="9"/>
      <c r="AE1160" s="9"/>
      <c r="AF1160" s="9"/>
      <c r="AG1160" s="5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59"/>
      <c r="AR1160" s="21"/>
      <c r="AS1160" s="21"/>
      <c r="AT1160" s="3"/>
      <c r="AU1160" s="3"/>
      <c r="AV1160" s="3"/>
      <c r="AW1160" s="3"/>
      <c r="AX1160" s="3"/>
      <c r="AY1160" s="3"/>
      <c r="AZ1160" s="3"/>
      <c r="BA1160" s="3"/>
      <c r="BB1160" s="53"/>
      <c r="BC1160" s="3"/>
      <c r="BD1160" s="59"/>
      <c r="BE1160" s="3"/>
      <c r="BF1160" s="53"/>
      <c r="BG1160" s="59"/>
    </row>
    <row r="1161" spans="1:59" customFormat="1" ht="15" x14ac:dyDescent="0.35">
      <c r="A1161" s="19"/>
      <c r="B1161" s="49"/>
      <c r="C1161" s="14"/>
      <c r="D1161" s="1"/>
      <c r="E1161" s="149"/>
      <c r="F1161" s="153"/>
      <c r="G1161" s="10"/>
      <c r="H1161" s="17"/>
      <c r="I1161" s="17"/>
      <c r="J1161" s="17"/>
      <c r="K1161" s="30"/>
      <c r="L1161" s="30"/>
      <c r="M1161" s="30"/>
      <c r="N1161" s="30"/>
      <c r="O1161" s="30"/>
      <c r="P1161" s="30"/>
      <c r="Q1161" s="30"/>
      <c r="R1161" s="30"/>
      <c r="S1161" s="30"/>
      <c r="T1161" s="30"/>
      <c r="U1161" s="30"/>
      <c r="V1161" s="30"/>
      <c r="W1161" s="29"/>
      <c r="X1161" s="15"/>
      <c r="Y1161" s="30"/>
      <c r="Z1161" s="30"/>
      <c r="AA1161" s="30"/>
      <c r="AB1161" s="30"/>
      <c r="AC1161" s="17"/>
      <c r="AD1161" s="17"/>
      <c r="AE1161" s="17"/>
      <c r="AF1161" s="17"/>
      <c r="AG1161" s="20"/>
      <c r="AH1161" s="21"/>
      <c r="AI1161" s="21"/>
      <c r="AJ1161" s="21"/>
      <c r="AK1161" s="21"/>
      <c r="AL1161" s="21"/>
      <c r="AM1161" s="21"/>
      <c r="AN1161" s="21"/>
      <c r="AO1161" s="22"/>
      <c r="AP1161" s="21"/>
      <c r="AQ1161" s="24"/>
      <c r="AR1161" s="21"/>
      <c r="AS1161" s="21"/>
      <c r="AT1161" s="21"/>
      <c r="AU1161" s="21"/>
      <c r="AV1161" s="21"/>
      <c r="AW1161" s="21"/>
      <c r="AX1161" s="22"/>
      <c r="AY1161" s="21"/>
      <c r="AZ1161" s="22"/>
      <c r="BA1161" s="21"/>
      <c r="BB1161" s="20"/>
      <c r="BC1161" s="21"/>
      <c r="BD1161" s="25"/>
      <c r="BE1161" s="26"/>
      <c r="BF1161" s="27"/>
      <c r="BG1161" s="28"/>
    </row>
    <row r="1162" spans="1:59" customFormat="1" ht="15" x14ac:dyDescent="0.35">
      <c r="A1162" s="19"/>
      <c r="B1162" s="49"/>
      <c r="C1162" s="14"/>
      <c r="D1162" s="1"/>
      <c r="E1162" s="149"/>
      <c r="F1162" s="153"/>
      <c r="G1162" s="10"/>
      <c r="H1162" s="17"/>
      <c r="I1162" s="17"/>
      <c r="J1162" s="17"/>
      <c r="K1162" s="30"/>
      <c r="L1162" s="30"/>
      <c r="M1162" s="30"/>
      <c r="N1162" s="30"/>
      <c r="O1162" s="30"/>
      <c r="P1162" s="30"/>
      <c r="Q1162" s="30"/>
      <c r="R1162" s="30"/>
      <c r="S1162" s="30"/>
      <c r="T1162" s="30"/>
      <c r="U1162" s="30"/>
      <c r="V1162" s="30"/>
      <c r="W1162" s="29"/>
      <c r="X1162" s="15"/>
      <c r="Y1162" s="30"/>
      <c r="Z1162" s="30"/>
      <c r="AA1162" s="30"/>
      <c r="AB1162" s="30"/>
      <c r="AC1162" s="17"/>
      <c r="AD1162" s="17"/>
      <c r="AE1162" s="17"/>
      <c r="AF1162" s="17"/>
      <c r="AG1162" s="20"/>
      <c r="AH1162" s="21"/>
      <c r="AI1162" s="21"/>
      <c r="AJ1162" s="21"/>
      <c r="AK1162" s="21"/>
      <c r="AL1162" s="21"/>
      <c r="AM1162" s="21"/>
      <c r="AN1162" s="21"/>
      <c r="AO1162" s="22"/>
      <c r="AP1162" s="21"/>
      <c r="AQ1162" s="24"/>
      <c r="AR1162" s="21"/>
      <c r="AS1162" s="21"/>
      <c r="AT1162" s="21"/>
      <c r="AU1162" s="21"/>
      <c r="AV1162" s="21"/>
      <c r="AW1162" s="21"/>
      <c r="AX1162" s="22"/>
      <c r="AY1162" s="21"/>
      <c r="AZ1162" s="22"/>
      <c r="BA1162" s="21"/>
      <c r="BB1162" s="20"/>
      <c r="BC1162" s="21"/>
      <c r="BD1162" s="25"/>
      <c r="BE1162" s="26"/>
      <c r="BF1162" s="27"/>
      <c r="BG1162" s="28"/>
    </row>
    <row r="1163" spans="1:59" customFormat="1" ht="15" x14ac:dyDescent="0.35">
      <c r="A1163" s="50"/>
      <c r="B1163" s="63"/>
      <c r="C1163" s="39"/>
      <c r="D1163" s="6"/>
      <c r="E1163" s="149"/>
      <c r="F1163" s="153"/>
      <c r="G1163" s="10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5"/>
      <c r="V1163" s="5"/>
      <c r="W1163" s="13"/>
      <c r="X1163" s="4"/>
      <c r="Y1163" s="4"/>
      <c r="Z1163" s="4"/>
      <c r="AA1163" s="6"/>
      <c r="AB1163" s="5"/>
      <c r="AC1163" s="9"/>
      <c r="AD1163" s="9"/>
      <c r="AE1163" s="9"/>
      <c r="AF1163" s="9"/>
      <c r="AG1163" s="54"/>
      <c r="AH1163" s="3"/>
      <c r="AI1163" s="2"/>
      <c r="AJ1163" s="2"/>
      <c r="AK1163" s="2"/>
      <c r="AL1163" s="3"/>
      <c r="AM1163" s="3"/>
      <c r="AN1163" s="3"/>
      <c r="AO1163" s="3"/>
      <c r="AP1163" s="3"/>
      <c r="AQ1163" s="59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53"/>
      <c r="BC1163" s="3"/>
      <c r="BD1163" s="59"/>
      <c r="BE1163" s="3"/>
      <c r="BF1163" s="53"/>
      <c r="BG1163" s="59"/>
    </row>
    <row r="1164" spans="1:59" customFormat="1" ht="15" x14ac:dyDescent="0.35">
      <c r="A1164" s="50"/>
      <c r="B1164" s="63"/>
      <c r="C1164" s="39"/>
      <c r="D1164" s="6"/>
      <c r="E1164" s="149"/>
      <c r="F1164" s="153"/>
      <c r="G1164" s="10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5"/>
      <c r="V1164" s="5"/>
      <c r="W1164" s="13"/>
      <c r="X1164" s="4"/>
      <c r="Y1164" s="4"/>
      <c r="Z1164" s="4"/>
      <c r="AA1164" s="6"/>
      <c r="AB1164" s="5"/>
      <c r="AC1164" s="9"/>
      <c r="AD1164" s="9"/>
      <c r="AE1164" s="9"/>
      <c r="AF1164" s="9"/>
      <c r="AG1164" s="54"/>
      <c r="AH1164" s="3"/>
      <c r="AI1164" s="2"/>
      <c r="AJ1164" s="2"/>
      <c r="AK1164" s="2"/>
      <c r="AL1164" s="3"/>
      <c r="AM1164" s="3"/>
      <c r="AN1164" s="3"/>
      <c r="AO1164" s="3"/>
      <c r="AP1164" s="3"/>
      <c r="AQ1164" s="59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53"/>
      <c r="BC1164" s="3"/>
      <c r="BD1164" s="59"/>
      <c r="BE1164" s="3"/>
      <c r="BF1164" s="53"/>
      <c r="BG1164" s="59"/>
    </row>
    <row r="1165" spans="1:59" customFormat="1" ht="15" x14ac:dyDescent="0.35">
      <c r="A1165" s="19"/>
      <c r="B1165" s="49"/>
      <c r="C1165" s="39"/>
      <c r="D1165" s="1"/>
      <c r="E1165" s="149"/>
      <c r="F1165" s="153"/>
      <c r="G1165" s="10"/>
      <c r="H1165" s="17"/>
      <c r="I1165" s="17"/>
      <c r="J1165" s="17"/>
      <c r="K1165" s="30"/>
      <c r="L1165" s="30"/>
      <c r="M1165" s="30"/>
      <c r="N1165" s="30"/>
      <c r="O1165" s="30"/>
      <c r="P1165" s="30"/>
      <c r="Q1165" s="30"/>
      <c r="R1165" s="30"/>
      <c r="S1165" s="30"/>
      <c r="T1165" s="30"/>
      <c r="U1165" s="30"/>
      <c r="V1165" s="30"/>
      <c r="W1165" s="29"/>
      <c r="X1165" s="15"/>
      <c r="Y1165" s="30"/>
      <c r="Z1165" s="30"/>
      <c r="AA1165" s="30"/>
      <c r="AB1165" s="30"/>
      <c r="AC1165" s="17"/>
      <c r="AD1165" s="17"/>
      <c r="AE1165" s="17"/>
      <c r="AF1165" s="17"/>
      <c r="AG1165" s="20"/>
      <c r="AH1165" s="21"/>
      <c r="AI1165" s="21"/>
      <c r="AJ1165" s="21"/>
      <c r="AK1165" s="21"/>
      <c r="AL1165" s="21"/>
      <c r="AM1165" s="21"/>
      <c r="AN1165" s="21"/>
      <c r="AO1165" s="22"/>
      <c r="AP1165" s="21"/>
      <c r="AQ1165" s="24"/>
      <c r="AR1165" s="21"/>
      <c r="AS1165" s="21"/>
      <c r="AT1165" s="21"/>
      <c r="AU1165" s="21"/>
      <c r="AV1165" s="21"/>
      <c r="AW1165" s="21"/>
      <c r="AX1165" s="22"/>
      <c r="AY1165" s="21"/>
      <c r="AZ1165" s="22"/>
      <c r="BA1165" s="21"/>
      <c r="BB1165" s="20"/>
      <c r="BC1165" s="21"/>
      <c r="BD1165" s="25"/>
      <c r="BE1165" s="26"/>
      <c r="BF1165" s="27"/>
      <c r="BG1165" s="28"/>
    </row>
    <row r="1166" spans="1:59" customFormat="1" ht="15" x14ac:dyDescent="0.35">
      <c r="A1166" s="50"/>
      <c r="B1166" s="63"/>
      <c r="C1166" s="39"/>
      <c r="D1166" s="6"/>
      <c r="E1166" s="149"/>
      <c r="F1166" s="153"/>
      <c r="G1166" s="10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5"/>
      <c r="V1166" s="5"/>
      <c r="W1166" s="13"/>
      <c r="X1166" s="4"/>
      <c r="Y1166" s="4"/>
      <c r="Z1166" s="4"/>
      <c r="AA1166" s="6"/>
      <c r="AB1166" s="5"/>
      <c r="AC1166" s="9"/>
      <c r="AD1166" s="9"/>
      <c r="AE1166" s="9"/>
      <c r="AF1166" s="9"/>
      <c r="AG1166" s="54"/>
      <c r="AH1166" s="3"/>
      <c r="AI1166" s="2"/>
      <c r="AJ1166" s="2"/>
      <c r="AK1166" s="2"/>
      <c r="AL1166" s="3"/>
      <c r="AM1166" s="3"/>
      <c r="AN1166" s="3"/>
      <c r="AO1166" s="3"/>
      <c r="AP1166" s="3"/>
      <c r="AQ1166" s="59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53"/>
      <c r="BC1166" s="3"/>
      <c r="BD1166" s="59"/>
      <c r="BE1166" s="3"/>
      <c r="BF1166" s="53"/>
      <c r="BG1166" s="59"/>
    </row>
    <row r="1167" spans="1:59" customFormat="1" ht="15" x14ac:dyDescent="0.35">
      <c r="A1167" s="19"/>
      <c r="B1167" s="49"/>
      <c r="C1167" s="14"/>
      <c r="D1167" s="1"/>
      <c r="E1167" s="149"/>
      <c r="F1167" s="153"/>
      <c r="G1167" s="10"/>
      <c r="H1167" s="17"/>
      <c r="I1167" s="17"/>
      <c r="J1167" s="17"/>
      <c r="K1167" s="30"/>
      <c r="L1167" s="30"/>
      <c r="M1167" s="30"/>
      <c r="N1167" s="30"/>
      <c r="O1167" s="30"/>
      <c r="P1167" s="30"/>
      <c r="Q1167" s="30"/>
      <c r="R1167" s="30"/>
      <c r="S1167" s="30"/>
      <c r="T1167" s="30"/>
      <c r="U1167" s="30"/>
      <c r="V1167" s="30"/>
      <c r="W1167" s="29"/>
      <c r="X1167" s="15"/>
      <c r="Y1167" s="30"/>
      <c r="Z1167" s="30"/>
      <c r="AA1167" s="30"/>
      <c r="AB1167" s="30"/>
      <c r="AC1167" s="17"/>
      <c r="AD1167" s="17"/>
      <c r="AE1167" s="17"/>
      <c r="AF1167" s="17"/>
      <c r="AG1167" s="20"/>
      <c r="AH1167" s="21"/>
      <c r="AI1167" s="21"/>
      <c r="AJ1167" s="21"/>
      <c r="AK1167" s="21"/>
      <c r="AL1167" s="21"/>
      <c r="AM1167" s="21"/>
      <c r="AN1167" s="21"/>
      <c r="AO1167" s="22"/>
      <c r="AP1167" s="21"/>
      <c r="AQ1167" s="24"/>
      <c r="AR1167" s="21"/>
      <c r="AS1167" s="21"/>
      <c r="AT1167" s="21"/>
      <c r="AU1167" s="21"/>
      <c r="AV1167" s="21"/>
      <c r="AW1167" s="21"/>
      <c r="AX1167" s="22"/>
      <c r="AY1167" s="21"/>
      <c r="AZ1167" s="22"/>
      <c r="BA1167" s="21"/>
      <c r="BB1167" s="20"/>
      <c r="BC1167" s="21"/>
      <c r="BD1167" s="25"/>
      <c r="BE1167" s="26"/>
      <c r="BF1167" s="27"/>
      <c r="BG1167" s="28"/>
    </row>
    <row r="1168" spans="1:59" customFormat="1" ht="15" x14ac:dyDescent="0.35">
      <c r="A1168" s="19"/>
      <c r="B1168" s="49"/>
      <c r="C1168" s="14"/>
      <c r="D1168" s="1"/>
      <c r="E1168" s="149"/>
      <c r="F1168" s="153"/>
      <c r="G1168" s="10"/>
      <c r="H1168" s="17"/>
      <c r="I1168" s="17"/>
      <c r="J1168" s="17"/>
      <c r="K1168" s="30"/>
      <c r="L1168" s="30"/>
      <c r="M1168" s="30"/>
      <c r="N1168" s="30"/>
      <c r="O1168" s="30"/>
      <c r="P1168" s="30"/>
      <c r="Q1168" s="30"/>
      <c r="R1168" s="30"/>
      <c r="S1168" s="30"/>
      <c r="T1168" s="30"/>
      <c r="U1168" s="30"/>
      <c r="V1168" s="30"/>
      <c r="W1168" s="29"/>
      <c r="X1168" s="15"/>
      <c r="Y1168" s="30"/>
      <c r="Z1168" s="30"/>
      <c r="AA1168" s="30"/>
      <c r="AB1168" s="30"/>
      <c r="AC1168" s="17"/>
      <c r="AD1168" s="17"/>
      <c r="AE1168" s="17"/>
      <c r="AF1168" s="17"/>
      <c r="AG1168" s="20"/>
      <c r="AH1168" s="21"/>
      <c r="AI1168" s="21"/>
      <c r="AJ1168" s="21"/>
      <c r="AK1168" s="21"/>
      <c r="AL1168" s="21"/>
      <c r="AM1168" s="21"/>
      <c r="AN1168" s="21"/>
      <c r="AO1168" s="22"/>
      <c r="AP1168" s="21"/>
      <c r="AQ1168" s="24"/>
      <c r="AR1168" s="21"/>
      <c r="AS1168" s="21"/>
      <c r="AT1168" s="21"/>
      <c r="AU1168" s="21"/>
      <c r="AV1168" s="21"/>
      <c r="AW1168" s="21"/>
      <c r="AX1168" s="22"/>
      <c r="AY1168" s="21"/>
      <c r="AZ1168" s="22"/>
      <c r="BA1168" s="21"/>
      <c r="BB1168" s="20"/>
      <c r="BC1168" s="21"/>
      <c r="BD1168" s="25"/>
      <c r="BE1168" s="26"/>
      <c r="BF1168" s="27"/>
      <c r="BG1168" s="28"/>
    </row>
    <row r="1169" spans="1:59" customFormat="1" ht="15" x14ac:dyDescent="0.35">
      <c r="A1169" s="50"/>
      <c r="B1169" s="63"/>
      <c r="C1169" s="39"/>
      <c r="D1169" s="6"/>
      <c r="E1169" s="149"/>
      <c r="F1169" s="153"/>
      <c r="G1169" s="10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12"/>
      <c r="X1169" s="33"/>
      <c r="Y1169" s="6"/>
      <c r="Z1169" s="6"/>
      <c r="AA1169" s="6"/>
      <c r="AB1169" s="6"/>
      <c r="AC1169" s="9"/>
      <c r="AD1169" s="9"/>
      <c r="AE1169" s="9"/>
      <c r="AF1169" s="9"/>
      <c r="AG1169" s="5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59"/>
      <c r="AR1169" s="21"/>
      <c r="AS1169" s="21"/>
      <c r="AT1169" s="3"/>
      <c r="AU1169" s="3"/>
      <c r="AV1169" s="3"/>
      <c r="AW1169" s="3"/>
      <c r="AX1169" s="3"/>
      <c r="AY1169" s="3"/>
      <c r="AZ1169" s="3"/>
      <c r="BA1169" s="3"/>
      <c r="BB1169" s="53"/>
      <c r="BC1169" s="3"/>
      <c r="BD1169" s="59"/>
      <c r="BE1169" s="3"/>
      <c r="BF1169" s="53"/>
      <c r="BG1169" s="59"/>
    </row>
    <row r="1170" spans="1:59" customFormat="1" ht="15" x14ac:dyDescent="0.35">
      <c r="A1170" s="50"/>
      <c r="B1170" s="63"/>
      <c r="C1170" s="39"/>
      <c r="D1170" s="6"/>
      <c r="E1170" s="149"/>
      <c r="F1170" s="153"/>
      <c r="G1170" s="10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12"/>
      <c r="X1170" s="33"/>
      <c r="Y1170" s="6"/>
      <c r="Z1170" s="6"/>
      <c r="AA1170" s="6"/>
      <c r="AB1170" s="6"/>
      <c r="AC1170" s="9"/>
      <c r="AD1170" s="9"/>
      <c r="AE1170" s="9"/>
      <c r="AF1170" s="9"/>
      <c r="AG1170" s="5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59"/>
      <c r="AR1170" s="21"/>
      <c r="AS1170" s="21"/>
      <c r="AT1170" s="3"/>
      <c r="AU1170" s="3"/>
      <c r="AV1170" s="3"/>
      <c r="AW1170" s="3"/>
      <c r="AX1170" s="3"/>
      <c r="AY1170" s="3"/>
      <c r="AZ1170" s="3"/>
      <c r="BA1170" s="3"/>
      <c r="BB1170" s="53"/>
      <c r="BC1170" s="3"/>
      <c r="BD1170" s="59"/>
      <c r="BE1170" s="3"/>
      <c r="BF1170" s="53"/>
      <c r="BG1170" s="59"/>
    </row>
    <row r="1171" spans="1:59" customFormat="1" ht="15" x14ac:dyDescent="0.35">
      <c r="A1171" s="50"/>
      <c r="B1171" s="63"/>
      <c r="C1171" s="39"/>
      <c r="D1171" s="6"/>
      <c r="E1171" s="149"/>
      <c r="F1171" s="153"/>
      <c r="G1171" s="10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12"/>
      <c r="X1171" s="33"/>
      <c r="Y1171" s="6"/>
      <c r="Z1171" s="6"/>
      <c r="AA1171" s="6"/>
      <c r="AB1171" s="6"/>
      <c r="AC1171" s="9"/>
      <c r="AD1171" s="9"/>
      <c r="AE1171" s="9"/>
      <c r="AF1171" s="9"/>
      <c r="AG1171" s="5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59"/>
      <c r="AR1171" s="21"/>
      <c r="AS1171" s="21"/>
      <c r="AT1171" s="3"/>
      <c r="AU1171" s="3"/>
      <c r="AV1171" s="3"/>
      <c r="AW1171" s="3"/>
      <c r="AX1171" s="3"/>
      <c r="AY1171" s="3"/>
      <c r="AZ1171" s="3"/>
      <c r="BA1171" s="3"/>
      <c r="BB1171" s="53"/>
      <c r="BC1171" s="3"/>
      <c r="BD1171" s="59"/>
      <c r="BE1171" s="3"/>
      <c r="BF1171" s="53"/>
      <c r="BG1171" s="59"/>
    </row>
    <row r="1172" spans="1:59" customFormat="1" ht="15" x14ac:dyDescent="0.35">
      <c r="A1172" s="50"/>
      <c r="B1172" s="63"/>
      <c r="C1172" s="39"/>
      <c r="D1172" s="6"/>
      <c r="E1172" s="149"/>
      <c r="F1172" s="153"/>
      <c r="G1172" s="10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12"/>
      <c r="X1172" s="33"/>
      <c r="Y1172" s="6"/>
      <c r="Z1172" s="6"/>
      <c r="AA1172" s="6"/>
      <c r="AB1172" s="6"/>
      <c r="AC1172" s="9"/>
      <c r="AD1172" s="9"/>
      <c r="AE1172" s="9"/>
      <c r="AF1172" s="9"/>
      <c r="AG1172" s="5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59"/>
      <c r="AR1172" s="21"/>
      <c r="AS1172" s="21"/>
      <c r="AT1172" s="3"/>
      <c r="AU1172" s="3"/>
      <c r="AV1172" s="3"/>
      <c r="AW1172" s="3"/>
      <c r="AX1172" s="3"/>
      <c r="AY1172" s="3"/>
      <c r="AZ1172" s="3"/>
      <c r="BA1172" s="3"/>
      <c r="BB1172" s="53"/>
      <c r="BC1172" s="3"/>
      <c r="BD1172" s="59"/>
      <c r="BE1172" s="3"/>
      <c r="BF1172" s="53"/>
      <c r="BG1172" s="59"/>
    </row>
    <row r="1173" spans="1:59" customFormat="1" ht="15" x14ac:dyDescent="0.35">
      <c r="A1173" s="50"/>
      <c r="B1173" s="63"/>
      <c r="C1173" s="39"/>
      <c r="D1173" s="6"/>
      <c r="E1173" s="149"/>
      <c r="F1173" s="153"/>
      <c r="G1173" s="10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5"/>
      <c r="V1173" s="5"/>
      <c r="W1173" s="13"/>
      <c r="X1173" s="4"/>
      <c r="Y1173" s="4"/>
      <c r="Z1173" s="4"/>
      <c r="AA1173" s="6"/>
      <c r="AB1173" s="5"/>
      <c r="AC1173" s="9"/>
      <c r="AD1173" s="9"/>
      <c r="AE1173" s="9"/>
      <c r="AF1173" s="9"/>
      <c r="AG1173" s="54"/>
      <c r="AH1173" s="3"/>
      <c r="AI1173" s="2"/>
      <c r="AJ1173" s="2"/>
      <c r="AK1173" s="2"/>
      <c r="AL1173" s="3"/>
      <c r="AM1173" s="3"/>
      <c r="AN1173" s="3"/>
      <c r="AO1173" s="3"/>
      <c r="AP1173" s="3"/>
      <c r="AQ1173" s="59"/>
      <c r="AR1173" s="21"/>
      <c r="AS1173" s="21"/>
      <c r="AT1173" s="3"/>
      <c r="AU1173" s="3"/>
      <c r="AV1173" s="3"/>
      <c r="AW1173" s="3"/>
      <c r="AX1173" s="3"/>
      <c r="AY1173" s="3"/>
      <c r="AZ1173" s="3"/>
      <c r="BA1173" s="3"/>
      <c r="BB1173" s="53"/>
      <c r="BC1173" s="3"/>
      <c r="BD1173" s="59"/>
      <c r="BE1173" s="3"/>
      <c r="BF1173" s="53"/>
      <c r="BG1173" s="59"/>
    </row>
    <row r="1174" spans="1:59" customFormat="1" ht="15" x14ac:dyDescent="0.35">
      <c r="A1174" s="19"/>
      <c r="B1174" s="49"/>
      <c r="C1174" s="14"/>
      <c r="D1174" s="1"/>
      <c r="E1174" s="149"/>
      <c r="F1174" s="153"/>
      <c r="G1174" s="10"/>
      <c r="H1174" s="17"/>
      <c r="I1174" s="17"/>
      <c r="J1174" s="17"/>
      <c r="K1174" s="30"/>
      <c r="L1174" s="30"/>
      <c r="M1174" s="30"/>
      <c r="N1174" s="30"/>
      <c r="O1174" s="30"/>
      <c r="P1174" s="30"/>
      <c r="Q1174" s="30"/>
      <c r="R1174" s="30"/>
      <c r="S1174" s="30"/>
      <c r="T1174" s="30"/>
      <c r="U1174" s="30"/>
      <c r="V1174" s="30"/>
      <c r="W1174" s="29"/>
      <c r="X1174" s="15"/>
      <c r="Y1174" s="30"/>
      <c r="Z1174" s="30"/>
      <c r="AA1174" s="30"/>
      <c r="AB1174" s="30"/>
      <c r="AC1174" s="17"/>
      <c r="AD1174" s="17"/>
      <c r="AE1174" s="17"/>
      <c r="AF1174" s="17"/>
      <c r="AG1174" s="20"/>
      <c r="AH1174" s="21"/>
      <c r="AI1174" s="21"/>
      <c r="AJ1174" s="21"/>
      <c r="AK1174" s="21"/>
      <c r="AL1174" s="21"/>
      <c r="AM1174" s="21"/>
      <c r="AN1174" s="21"/>
      <c r="AO1174" s="22"/>
      <c r="AP1174" s="21"/>
      <c r="AQ1174" s="24"/>
      <c r="AR1174" s="21"/>
      <c r="AS1174" s="21"/>
      <c r="AT1174" s="21"/>
      <c r="AU1174" s="21"/>
      <c r="AV1174" s="21"/>
      <c r="AW1174" s="21"/>
      <c r="AX1174" s="22"/>
      <c r="AY1174" s="21"/>
      <c r="AZ1174" s="22"/>
      <c r="BA1174" s="21"/>
      <c r="BB1174" s="20"/>
      <c r="BC1174" s="21"/>
      <c r="BD1174" s="25"/>
      <c r="BE1174" s="26"/>
      <c r="BF1174" s="27"/>
      <c r="BG1174" s="28"/>
    </row>
    <row r="1175" spans="1:59" customFormat="1" ht="15" x14ac:dyDescent="0.35">
      <c r="A1175" s="50"/>
      <c r="B1175" s="63"/>
      <c r="C1175" s="39"/>
      <c r="D1175" s="6"/>
      <c r="E1175" s="149"/>
      <c r="F1175" s="153"/>
      <c r="G1175" s="10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12"/>
      <c r="X1175" s="33"/>
      <c r="Y1175" s="6"/>
      <c r="Z1175" s="6"/>
      <c r="AA1175" s="6"/>
      <c r="AB1175" s="6"/>
      <c r="AC1175" s="9"/>
      <c r="AD1175" s="9"/>
      <c r="AE1175" s="9"/>
      <c r="AF1175" s="9"/>
      <c r="AG1175" s="5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59"/>
      <c r="AR1175" s="21"/>
      <c r="AS1175" s="21"/>
      <c r="AT1175" s="3"/>
      <c r="AU1175" s="3"/>
      <c r="AV1175" s="3"/>
      <c r="AW1175" s="3"/>
      <c r="AX1175" s="3"/>
      <c r="AY1175" s="3"/>
      <c r="AZ1175" s="3"/>
      <c r="BA1175" s="3"/>
      <c r="BB1175" s="53"/>
      <c r="BC1175" s="3"/>
      <c r="BD1175" s="59"/>
      <c r="BE1175" s="3"/>
      <c r="BF1175" s="53"/>
      <c r="BG1175" s="59"/>
    </row>
    <row r="1176" spans="1:59" customFormat="1" ht="15" x14ac:dyDescent="0.35">
      <c r="A1176" s="50"/>
      <c r="B1176" s="63"/>
      <c r="C1176" s="39"/>
      <c r="D1176" s="6"/>
      <c r="E1176" s="149"/>
      <c r="F1176" s="153"/>
      <c r="G1176" s="10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12"/>
      <c r="X1176" s="33"/>
      <c r="Y1176" s="6"/>
      <c r="Z1176" s="6"/>
      <c r="AA1176" s="6"/>
      <c r="AB1176" s="6"/>
      <c r="AC1176" s="9"/>
      <c r="AD1176" s="9"/>
      <c r="AE1176" s="9"/>
      <c r="AF1176" s="9"/>
      <c r="AG1176" s="5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59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53"/>
      <c r="BC1176" s="3"/>
      <c r="BD1176" s="59"/>
      <c r="BE1176" s="3"/>
      <c r="BF1176" s="53"/>
      <c r="BG1176" s="59"/>
    </row>
    <row r="1177" spans="1:59" customFormat="1" ht="15" x14ac:dyDescent="0.35">
      <c r="A1177" s="50"/>
      <c r="B1177" s="63"/>
      <c r="C1177" s="39"/>
      <c r="D1177" s="6"/>
      <c r="E1177" s="149"/>
      <c r="F1177" s="153"/>
      <c r="G1177" s="10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12"/>
      <c r="X1177" s="33"/>
      <c r="Y1177" s="6"/>
      <c r="Z1177" s="6"/>
      <c r="AA1177" s="6"/>
      <c r="AB1177" s="6"/>
      <c r="AC1177" s="9"/>
      <c r="AD1177" s="9"/>
      <c r="AE1177" s="9"/>
      <c r="AF1177" s="9"/>
      <c r="AG1177" s="5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59"/>
      <c r="AR1177" s="21"/>
      <c r="AS1177" s="21"/>
      <c r="AT1177" s="3"/>
      <c r="AU1177" s="3"/>
      <c r="AV1177" s="3"/>
      <c r="AW1177" s="3"/>
      <c r="AX1177" s="3"/>
      <c r="AY1177" s="3"/>
      <c r="AZ1177" s="3"/>
      <c r="BA1177" s="3"/>
      <c r="BB1177" s="53"/>
      <c r="BC1177" s="3"/>
      <c r="BD1177" s="59"/>
      <c r="BE1177" s="3"/>
      <c r="BF1177" s="53"/>
      <c r="BG1177" s="59"/>
    </row>
    <row r="1178" spans="1:59" customFormat="1" ht="15" x14ac:dyDescent="0.35">
      <c r="A1178" s="50"/>
      <c r="B1178" s="63"/>
      <c r="C1178" s="39"/>
      <c r="D1178" s="6"/>
      <c r="E1178" s="149"/>
      <c r="F1178" s="153"/>
      <c r="G1178" s="10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5"/>
      <c r="V1178" s="5"/>
      <c r="W1178" s="13"/>
      <c r="X1178" s="4"/>
      <c r="Y1178" s="4"/>
      <c r="Z1178" s="4"/>
      <c r="AA1178" s="6"/>
      <c r="AB1178" s="5"/>
      <c r="AC1178" s="9"/>
      <c r="AD1178" s="9"/>
      <c r="AE1178" s="9"/>
      <c r="AF1178" s="9"/>
      <c r="AG1178" s="54"/>
      <c r="AH1178" s="3"/>
      <c r="AI1178" s="2"/>
      <c r="AJ1178" s="2"/>
      <c r="AK1178" s="2"/>
      <c r="AL1178" s="3"/>
      <c r="AM1178" s="3"/>
      <c r="AN1178" s="3"/>
      <c r="AO1178" s="3"/>
      <c r="AP1178" s="3"/>
      <c r="AQ1178" s="59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53"/>
      <c r="BC1178" s="3"/>
      <c r="BD1178" s="59"/>
      <c r="BE1178" s="3"/>
      <c r="BF1178" s="53"/>
      <c r="BG1178" s="59"/>
    </row>
    <row r="1179" spans="1:59" customFormat="1" ht="15" x14ac:dyDescent="0.35">
      <c r="A1179" s="19"/>
      <c r="B1179" s="49"/>
      <c r="C1179" s="14"/>
      <c r="D1179" s="1"/>
      <c r="E1179" s="149"/>
      <c r="F1179" s="153"/>
      <c r="G1179" s="10"/>
      <c r="H1179" s="17"/>
      <c r="I1179" s="17"/>
      <c r="J1179" s="17"/>
      <c r="K1179" s="30"/>
      <c r="L1179" s="30"/>
      <c r="M1179" s="30"/>
      <c r="N1179" s="30"/>
      <c r="O1179" s="30"/>
      <c r="P1179" s="30"/>
      <c r="Q1179" s="30"/>
      <c r="R1179" s="30"/>
      <c r="S1179" s="30"/>
      <c r="T1179" s="30"/>
      <c r="U1179" s="30"/>
      <c r="V1179" s="30"/>
      <c r="W1179" s="29"/>
      <c r="X1179" s="15"/>
      <c r="Y1179" s="30"/>
      <c r="Z1179" s="30"/>
      <c r="AA1179" s="30"/>
      <c r="AB1179" s="30"/>
      <c r="AC1179" s="17"/>
      <c r="AD1179" s="17"/>
      <c r="AE1179" s="17"/>
      <c r="AF1179" s="17"/>
      <c r="AG1179" s="20"/>
      <c r="AH1179" s="21"/>
      <c r="AI1179" s="21"/>
      <c r="AJ1179" s="21"/>
      <c r="AK1179" s="21"/>
      <c r="AL1179" s="21"/>
      <c r="AM1179" s="21"/>
      <c r="AN1179" s="21"/>
      <c r="AO1179" s="22"/>
      <c r="AP1179" s="21"/>
      <c r="AQ1179" s="24"/>
      <c r="AR1179" s="21"/>
      <c r="AS1179" s="21"/>
      <c r="AT1179" s="21"/>
      <c r="AU1179" s="21"/>
      <c r="AV1179" s="21"/>
      <c r="AW1179" s="21"/>
      <c r="AX1179" s="22"/>
      <c r="AY1179" s="21"/>
      <c r="AZ1179" s="22"/>
      <c r="BA1179" s="21"/>
      <c r="BB1179" s="20"/>
      <c r="BC1179" s="21"/>
      <c r="BD1179" s="25"/>
      <c r="BE1179" s="26"/>
      <c r="BF1179" s="27"/>
      <c r="BG1179" s="28"/>
    </row>
    <row r="1180" spans="1:59" customFormat="1" ht="15" x14ac:dyDescent="0.35">
      <c r="A1180" s="50"/>
      <c r="B1180" s="63"/>
      <c r="C1180" s="39"/>
      <c r="D1180" s="6"/>
      <c r="E1180" s="149"/>
      <c r="F1180" s="153"/>
      <c r="G1180" s="10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5"/>
      <c r="V1180" s="5"/>
      <c r="W1180" s="13"/>
      <c r="X1180" s="4"/>
      <c r="Y1180" s="4"/>
      <c r="Z1180" s="4"/>
      <c r="AA1180" s="6"/>
      <c r="AB1180" s="5"/>
      <c r="AC1180" s="9"/>
      <c r="AD1180" s="9"/>
      <c r="AE1180" s="9"/>
      <c r="AF1180" s="9"/>
      <c r="AG1180" s="54"/>
      <c r="AH1180" s="3"/>
      <c r="AI1180" s="2"/>
      <c r="AJ1180" s="2"/>
      <c r="AK1180" s="2"/>
      <c r="AL1180" s="3"/>
      <c r="AM1180" s="3"/>
      <c r="AN1180" s="3"/>
      <c r="AO1180" s="3"/>
      <c r="AP1180" s="3"/>
      <c r="AQ1180" s="59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53"/>
      <c r="BC1180" s="3"/>
      <c r="BD1180" s="59"/>
      <c r="BE1180" s="3"/>
      <c r="BF1180" s="53"/>
      <c r="BG1180" s="59"/>
    </row>
    <row r="1181" spans="1:59" customFormat="1" ht="15" x14ac:dyDescent="0.35">
      <c r="A1181" s="50"/>
      <c r="B1181" s="63"/>
      <c r="C1181" s="39"/>
      <c r="D1181" s="6"/>
      <c r="E1181" s="149"/>
      <c r="F1181" s="153"/>
      <c r="G1181" s="10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12"/>
      <c r="X1181" s="33"/>
      <c r="Y1181" s="6"/>
      <c r="Z1181" s="6"/>
      <c r="AA1181" s="6"/>
      <c r="AB1181" s="6"/>
      <c r="AC1181" s="9"/>
      <c r="AD1181" s="9"/>
      <c r="AE1181" s="9"/>
      <c r="AF1181" s="9"/>
      <c r="AG1181" s="5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59"/>
      <c r="AR1181" s="21"/>
      <c r="AS1181" s="21"/>
      <c r="AT1181" s="3"/>
      <c r="AU1181" s="3"/>
      <c r="AV1181" s="3"/>
      <c r="AW1181" s="3"/>
      <c r="AX1181" s="3"/>
      <c r="AY1181" s="3"/>
      <c r="AZ1181" s="3"/>
      <c r="BA1181" s="3"/>
      <c r="BB1181" s="53"/>
      <c r="BC1181" s="3"/>
      <c r="BD1181" s="59"/>
      <c r="BE1181" s="3"/>
      <c r="BF1181" s="53"/>
      <c r="BG1181" s="59"/>
    </row>
    <row r="1182" spans="1:59" customFormat="1" ht="15" x14ac:dyDescent="0.35">
      <c r="A1182" s="19"/>
      <c r="B1182" s="49"/>
      <c r="C1182" s="14"/>
      <c r="D1182" s="1"/>
      <c r="E1182" s="149"/>
      <c r="F1182" s="153"/>
      <c r="G1182" s="10"/>
      <c r="H1182" s="17"/>
      <c r="I1182" s="17"/>
      <c r="J1182" s="17"/>
      <c r="K1182" s="30"/>
      <c r="L1182" s="30"/>
      <c r="M1182" s="30"/>
      <c r="N1182" s="30"/>
      <c r="O1182" s="30"/>
      <c r="P1182" s="30"/>
      <c r="Q1182" s="30"/>
      <c r="R1182" s="30"/>
      <c r="S1182" s="30"/>
      <c r="T1182" s="30"/>
      <c r="U1182" s="30"/>
      <c r="V1182" s="30"/>
      <c r="W1182" s="29"/>
      <c r="X1182" s="15"/>
      <c r="Y1182" s="30"/>
      <c r="Z1182" s="30"/>
      <c r="AA1182" s="30"/>
      <c r="AB1182" s="30"/>
      <c r="AC1182" s="17"/>
      <c r="AD1182" s="17"/>
      <c r="AE1182" s="17"/>
      <c r="AF1182" s="17"/>
      <c r="AG1182" s="20"/>
      <c r="AH1182" s="21"/>
      <c r="AI1182" s="21"/>
      <c r="AJ1182" s="21"/>
      <c r="AK1182" s="21"/>
      <c r="AL1182" s="21"/>
      <c r="AM1182" s="21"/>
      <c r="AN1182" s="21"/>
      <c r="AO1182" s="22"/>
      <c r="AP1182" s="21"/>
      <c r="AQ1182" s="24"/>
      <c r="AR1182" s="21"/>
      <c r="AS1182" s="21"/>
      <c r="AT1182" s="21"/>
      <c r="AU1182" s="21"/>
      <c r="AV1182" s="21"/>
      <c r="AW1182" s="21"/>
      <c r="AX1182" s="22"/>
      <c r="AY1182" s="21"/>
      <c r="AZ1182" s="22"/>
      <c r="BA1182" s="21"/>
      <c r="BB1182" s="20"/>
      <c r="BC1182" s="21"/>
      <c r="BD1182" s="25"/>
      <c r="BE1182" s="26"/>
      <c r="BF1182" s="27"/>
      <c r="BG1182" s="28"/>
    </row>
    <row r="1183" spans="1:59" customFormat="1" ht="15" x14ac:dyDescent="0.35">
      <c r="A1183" s="19"/>
      <c r="B1183" s="49"/>
      <c r="C1183" s="14"/>
      <c r="D1183" s="1"/>
      <c r="E1183" s="149"/>
      <c r="F1183" s="153"/>
      <c r="G1183" s="10"/>
      <c r="H1183" s="17"/>
      <c r="I1183" s="17"/>
      <c r="J1183" s="17"/>
      <c r="K1183" s="30"/>
      <c r="L1183" s="30"/>
      <c r="M1183" s="30"/>
      <c r="N1183" s="30"/>
      <c r="O1183" s="30"/>
      <c r="P1183" s="30"/>
      <c r="Q1183" s="30"/>
      <c r="R1183" s="30"/>
      <c r="S1183" s="30"/>
      <c r="T1183" s="30"/>
      <c r="U1183" s="30"/>
      <c r="V1183" s="30"/>
      <c r="W1183" s="29"/>
      <c r="X1183" s="15"/>
      <c r="Y1183" s="30"/>
      <c r="Z1183" s="30"/>
      <c r="AA1183" s="30"/>
      <c r="AB1183" s="30"/>
      <c r="AC1183" s="17"/>
      <c r="AD1183" s="17"/>
      <c r="AE1183" s="17"/>
      <c r="AF1183" s="17"/>
      <c r="AG1183" s="20"/>
      <c r="AH1183" s="21"/>
      <c r="AI1183" s="21"/>
      <c r="AJ1183" s="21"/>
      <c r="AK1183" s="21"/>
      <c r="AL1183" s="21"/>
      <c r="AM1183" s="21"/>
      <c r="AN1183" s="21"/>
      <c r="AO1183" s="22"/>
      <c r="AP1183" s="21"/>
      <c r="AQ1183" s="24"/>
      <c r="AR1183" s="21"/>
      <c r="AS1183" s="21"/>
      <c r="AT1183" s="21"/>
      <c r="AU1183" s="21"/>
      <c r="AV1183" s="21"/>
      <c r="AW1183" s="21"/>
      <c r="AX1183" s="22"/>
      <c r="AY1183" s="21"/>
      <c r="AZ1183" s="22"/>
      <c r="BA1183" s="21"/>
      <c r="BB1183" s="20"/>
      <c r="BC1183" s="21"/>
      <c r="BD1183" s="25"/>
      <c r="BE1183" s="26"/>
      <c r="BF1183" s="27"/>
      <c r="BG1183" s="28"/>
    </row>
    <row r="1184" spans="1:59" customFormat="1" ht="15" x14ac:dyDescent="0.35">
      <c r="A1184" s="50"/>
      <c r="B1184" s="63"/>
      <c r="C1184" s="39"/>
      <c r="D1184" s="6"/>
      <c r="E1184" s="149"/>
      <c r="F1184" s="153"/>
      <c r="G1184" s="10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12"/>
      <c r="X1184" s="33"/>
      <c r="Y1184" s="6"/>
      <c r="Z1184" s="6"/>
      <c r="AA1184" s="6"/>
      <c r="AB1184" s="6"/>
      <c r="AC1184" s="9"/>
      <c r="AD1184" s="9"/>
      <c r="AE1184" s="9"/>
      <c r="AF1184" s="9"/>
      <c r="AG1184" s="5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59"/>
      <c r="AR1184" s="21"/>
      <c r="AS1184" s="21"/>
      <c r="AT1184" s="3"/>
      <c r="AU1184" s="3"/>
      <c r="AV1184" s="3"/>
      <c r="AW1184" s="3"/>
      <c r="AX1184" s="3"/>
      <c r="AY1184" s="3"/>
      <c r="AZ1184" s="3"/>
      <c r="BA1184" s="3"/>
      <c r="BB1184" s="53"/>
      <c r="BC1184" s="3"/>
      <c r="BD1184" s="59"/>
      <c r="BE1184" s="3"/>
      <c r="BF1184" s="53"/>
      <c r="BG1184" s="59"/>
    </row>
    <row r="1185" spans="1:59" customFormat="1" ht="15" x14ac:dyDescent="0.35">
      <c r="A1185" s="19"/>
      <c r="B1185" s="49"/>
      <c r="C1185" s="14"/>
      <c r="D1185" s="1"/>
      <c r="E1185" s="149"/>
      <c r="F1185" s="153"/>
      <c r="G1185" s="10"/>
      <c r="H1185" s="17"/>
      <c r="I1185" s="17"/>
      <c r="J1185" s="17"/>
      <c r="K1185" s="30"/>
      <c r="L1185" s="30"/>
      <c r="M1185" s="30"/>
      <c r="N1185" s="30"/>
      <c r="O1185" s="30"/>
      <c r="P1185" s="30"/>
      <c r="Q1185" s="30"/>
      <c r="R1185" s="30"/>
      <c r="S1185" s="30"/>
      <c r="T1185" s="30"/>
      <c r="U1185" s="30"/>
      <c r="V1185" s="30"/>
      <c r="W1185" s="29"/>
      <c r="X1185" s="15"/>
      <c r="Y1185" s="30"/>
      <c r="Z1185" s="30"/>
      <c r="AA1185" s="30"/>
      <c r="AB1185" s="30"/>
      <c r="AC1185" s="17"/>
      <c r="AD1185" s="17"/>
      <c r="AE1185" s="17"/>
      <c r="AF1185" s="17"/>
      <c r="AG1185" s="20"/>
      <c r="AH1185" s="21"/>
      <c r="AI1185" s="21"/>
      <c r="AJ1185" s="21"/>
      <c r="AK1185" s="21"/>
      <c r="AL1185" s="21"/>
      <c r="AM1185" s="21"/>
      <c r="AN1185" s="21"/>
      <c r="AO1185" s="22"/>
      <c r="AP1185" s="21"/>
      <c r="AQ1185" s="24"/>
      <c r="AR1185" s="21"/>
      <c r="AS1185" s="21"/>
      <c r="AT1185" s="21"/>
      <c r="AU1185" s="21"/>
      <c r="AV1185" s="21"/>
      <c r="AW1185" s="21"/>
      <c r="AX1185" s="22"/>
      <c r="AY1185" s="21"/>
      <c r="AZ1185" s="22"/>
      <c r="BA1185" s="21"/>
      <c r="BB1185" s="20"/>
      <c r="BC1185" s="21"/>
      <c r="BD1185" s="25"/>
      <c r="BE1185" s="26"/>
      <c r="BF1185" s="27"/>
      <c r="BG1185" s="28"/>
    </row>
    <row r="1186" spans="1:59" customFormat="1" ht="15" x14ac:dyDescent="0.35">
      <c r="A1186" s="50"/>
      <c r="B1186" s="63"/>
      <c r="C1186" s="39"/>
      <c r="D1186" s="6"/>
      <c r="E1186" s="149"/>
      <c r="F1186" s="153"/>
      <c r="G1186" s="10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5"/>
      <c r="V1186" s="5"/>
      <c r="W1186" s="13"/>
      <c r="X1186" s="4"/>
      <c r="Y1186" s="4"/>
      <c r="Z1186" s="4"/>
      <c r="AA1186" s="6"/>
      <c r="AB1186" s="5"/>
      <c r="AC1186" s="9"/>
      <c r="AD1186" s="9"/>
      <c r="AE1186" s="9"/>
      <c r="AF1186" s="9"/>
      <c r="AG1186" s="54"/>
      <c r="AH1186" s="3"/>
      <c r="AI1186" s="2"/>
      <c r="AJ1186" s="2"/>
      <c r="AK1186" s="2"/>
      <c r="AL1186" s="3"/>
      <c r="AM1186" s="3"/>
      <c r="AN1186" s="3"/>
      <c r="AO1186" s="3"/>
      <c r="AP1186" s="3"/>
      <c r="AQ1186" s="59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53"/>
      <c r="BC1186" s="3"/>
      <c r="BD1186" s="59"/>
      <c r="BE1186" s="3"/>
      <c r="BF1186" s="53"/>
      <c r="BG1186" s="59"/>
    </row>
    <row r="1187" spans="1:59" customFormat="1" ht="15" x14ac:dyDescent="0.35">
      <c r="A1187" s="50"/>
      <c r="B1187" s="63"/>
      <c r="C1187" s="39"/>
      <c r="D1187" s="6"/>
      <c r="E1187" s="149"/>
      <c r="F1187" s="153"/>
      <c r="G1187" s="10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5"/>
      <c r="V1187" s="5"/>
      <c r="W1187" s="13"/>
      <c r="X1187" s="4"/>
      <c r="Y1187" s="4"/>
      <c r="Z1187" s="4"/>
      <c r="AA1187" s="6"/>
      <c r="AB1187" s="5"/>
      <c r="AC1187" s="9"/>
      <c r="AD1187" s="9"/>
      <c r="AE1187" s="9"/>
      <c r="AF1187" s="9"/>
      <c r="AG1187" s="54"/>
      <c r="AH1187" s="3"/>
      <c r="AI1187" s="2"/>
      <c r="AJ1187" s="2"/>
      <c r="AK1187" s="2"/>
      <c r="AL1187" s="3"/>
      <c r="AM1187" s="3"/>
      <c r="AN1187" s="3"/>
      <c r="AO1187" s="3"/>
      <c r="AP1187" s="3"/>
      <c r="AQ1187" s="59"/>
      <c r="AR1187" s="21"/>
      <c r="AS1187" s="21"/>
      <c r="AT1187" s="3"/>
      <c r="AU1187" s="3"/>
      <c r="AV1187" s="3"/>
      <c r="AW1187" s="3"/>
      <c r="AX1187" s="3"/>
      <c r="AY1187" s="3"/>
      <c r="AZ1187" s="3"/>
      <c r="BA1187" s="3"/>
      <c r="BB1187" s="53"/>
      <c r="BC1187" s="3"/>
      <c r="BD1187" s="59"/>
      <c r="BE1187" s="3"/>
      <c r="BF1187" s="53"/>
      <c r="BG1187" s="59"/>
    </row>
    <row r="1188" spans="1:59" customFormat="1" ht="15" x14ac:dyDescent="0.35">
      <c r="A1188" s="50"/>
      <c r="B1188" s="63"/>
      <c r="C1188" s="39"/>
      <c r="D1188" s="6"/>
      <c r="E1188" s="149"/>
      <c r="F1188" s="153"/>
      <c r="G1188" s="10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12"/>
      <c r="X1188" s="33"/>
      <c r="Y1188" s="6"/>
      <c r="Z1188" s="6"/>
      <c r="AA1188" s="6"/>
      <c r="AB1188" s="6"/>
      <c r="AC1188" s="9"/>
      <c r="AD1188" s="9"/>
      <c r="AE1188" s="9"/>
      <c r="AF1188" s="9"/>
      <c r="AG1188" s="5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59"/>
      <c r="AR1188" s="21"/>
      <c r="AS1188" s="21"/>
      <c r="AT1188" s="3"/>
      <c r="AU1188" s="3"/>
      <c r="AV1188" s="3"/>
      <c r="AW1188" s="3"/>
      <c r="AX1188" s="3"/>
      <c r="AY1188" s="3"/>
      <c r="AZ1188" s="3"/>
      <c r="BA1188" s="3"/>
      <c r="BB1188" s="53"/>
      <c r="BC1188" s="3"/>
      <c r="BD1188" s="59"/>
      <c r="BE1188" s="3"/>
      <c r="BF1188" s="53"/>
      <c r="BG1188" s="59"/>
    </row>
    <row r="1189" spans="1:59" customFormat="1" ht="15" x14ac:dyDescent="0.35">
      <c r="A1189" s="50"/>
      <c r="B1189" s="63"/>
      <c r="C1189" s="39"/>
      <c r="D1189" s="6"/>
      <c r="E1189" s="149"/>
      <c r="F1189" s="153"/>
      <c r="G1189" s="10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12"/>
      <c r="X1189" s="33"/>
      <c r="Y1189" s="6"/>
      <c r="Z1189" s="6"/>
      <c r="AA1189" s="6"/>
      <c r="AB1189" s="6"/>
      <c r="AC1189" s="9"/>
      <c r="AD1189" s="9"/>
      <c r="AE1189" s="9"/>
      <c r="AF1189" s="9"/>
      <c r="AG1189" s="5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59"/>
      <c r="AR1189" s="21"/>
      <c r="AS1189" s="21"/>
      <c r="AT1189" s="3"/>
      <c r="AU1189" s="3"/>
      <c r="AV1189" s="3"/>
      <c r="AW1189" s="3"/>
      <c r="AX1189" s="3"/>
      <c r="AY1189" s="3"/>
      <c r="AZ1189" s="3"/>
      <c r="BA1189" s="3"/>
      <c r="BB1189" s="53"/>
      <c r="BC1189" s="3"/>
      <c r="BD1189" s="59"/>
      <c r="BE1189" s="3"/>
      <c r="BF1189" s="53"/>
      <c r="BG1189" s="65"/>
    </row>
    <row r="1190" spans="1:59" customFormat="1" ht="15" x14ac:dyDescent="0.35">
      <c r="A1190" s="50"/>
      <c r="B1190" s="63"/>
      <c r="C1190" s="39"/>
      <c r="D1190" s="6"/>
      <c r="E1190" s="149"/>
      <c r="F1190" s="153"/>
      <c r="G1190" s="10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5"/>
      <c r="V1190" s="5"/>
      <c r="W1190" s="13"/>
      <c r="X1190" s="4"/>
      <c r="Y1190" s="4"/>
      <c r="Z1190" s="4"/>
      <c r="AA1190" s="6"/>
      <c r="AB1190" s="5"/>
      <c r="AC1190" s="9"/>
      <c r="AD1190" s="9"/>
      <c r="AE1190" s="9"/>
      <c r="AF1190" s="9"/>
      <c r="AG1190" s="54"/>
      <c r="AH1190" s="3"/>
      <c r="AI1190" s="2"/>
      <c r="AJ1190" s="2"/>
      <c r="AK1190" s="2"/>
      <c r="AL1190" s="3"/>
      <c r="AM1190" s="3"/>
      <c r="AN1190" s="3"/>
      <c r="AO1190" s="3"/>
      <c r="AP1190" s="3"/>
      <c r="AQ1190" s="59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53"/>
      <c r="BC1190" s="3"/>
      <c r="BD1190" s="59"/>
      <c r="BE1190" s="3"/>
      <c r="BF1190" s="53"/>
      <c r="BG1190" s="59"/>
    </row>
    <row r="1191" spans="1:59" customFormat="1" ht="15" x14ac:dyDescent="0.35">
      <c r="A1191" s="50"/>
      <c r="B1191" s="63"/>
      <c r="C1191" s="39"/>
      <c r="D1191" s="6"/>
      <c r="E1191" s="149"/>
      <c r="F1191" s="153"/>
      <c r="G1191" s="10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12"/>
      <c r="X1191" s="33"/>
      <c r="Y1191" s="6"/>
      <c r="Z1191" s="6"/>
      <c r="AA1191" s="6"/>
      <c r="AB1191" s="6"/>
      <c r="AC1191" s="9"/>
      <c r="AD1191" s="9"/>
      <c r="AE1191" s="9"/>
      <c r="AF1191" s="9"/>
      <c r="AG1191" s="5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59"/>
      <c r="AR1191" s="21"/>
      <c r="AS1191" s="21"/>
      <c r="AT1191" s="3"/>
      <c r="AU1191" s="3"/>
      <c r="AV1191" s="3"/>
      <c r="AW1191" s="3"/>
      <c r="AX1191" s="3"/>
      <c r="AY1191" s="3"/>
      <c r="AZ1191" s="3"/>
      <c r="BA1191" s="3"/>
      <c r="BB1191" s="53"/>
      <c r="BC1191" s="3"/>
      <c r="BD1191" s="59"/>
      <c r="BE1191" s="3"/>
      <c r="BF1191" s="53"/>
      <c r="BG1191" s="59"/>
    </row>
    <row r="1192" spans="1:59" customFormat="1" ht="15" x14ac:dyDescent="0.35">
      <c r="A1192" s="19"/>
      <c r="B1192" s="49"/>
      <c r="C1192" s="39"/>
      <c r="D1192" s="1"/>
      <c r="E1192" s="149"/>
      <c r="F1192" s="153"/>
      <c r="G1192" s="10"/>
      <c r="H1192" s="17"/>
      <c r="I1192" s="17"/>
      <c r="J1192" s="17"/>
      <c r="K1192" s="30"/>
      <c r="L1192" s="30"/>
      <c r="M1192" s="30"/>
      <c r="N1192" s="30"/>
      <c r="O1192" s="30"/>
      <c r="P1192" s="30"/>
      <c r="Q1192" s="30"/>
      <c r="R1192" s="30"/>
      <c r="S1192" s="30"/>
      <c r="T1192" s="30"/>
      <c r="U1192" s="30"/>
      <c r="V1192" s="30"/>
      <c r="W1192" s="29"/>
      <c r="X1192" s="15"/>
      <c r="Y1192" s="30"/>
      <c r="Z1192" s="30"/>
      <c r="AA1192" s="30"/>
      <c r="AB1192" s="30"/>
      <c r="AC1192" s="17"/>
      <c r="AD1192" s="17"/>
      <c r="AE1192" s="17"/>
      <c r="AF1192" s="17"/>
      <c r="AG1192" s="20"/>
      <c r="AH1192" s="21"/>
      <c r="AI1192" s="21"/>
      <c r="AJ1192" s="21"/>
      <c r="AK1192" s="21"/>
      <c r="AL1192" s="21"/>
      <c r="AM1192" s="21"/>
      <c r="AN1192" s="21"/>
      <c r="AO1192" s="22"/>
      <c r="AP1192" s="21"/>
      <c r="AQ1192" s="24"/>
      <c r="AR1192" s="21"/>
      <c r="AS1192" s="21"/>
      <c r="AT1192" s="21"/>
      <c r="AU1192" s="21"/>
      <c r="AV1192" s="21"/>
      <c r="AW1192" s="21"/>
      <c r="AX1192" s="22"/>
      <c r="AY1192" s="21"/>
      <c r="AZ1192" s="22"/>
      <c r="BA1192" s="21"/>
      <c r="BB1192" s="20"/>
      <c r="BC1192" s="21"/>
      <c r="BD1192" s="25"/>
      <c r="BE1192" s="26"/>
      <c r="BF1192" s="27"/>
      <c r="BG1192" s="28"/>
    </row>
    <row r="1193" spans="1:59" customFormat="1" ht="15" x14ac:dyDescent="0.35">
      <c r="A1193" s="19"/>
      <c r="B1193" s="49"/>
      <c r="C1193" s="14"/>
      <c r="D1193" s="1"/>
      <c r="E1193" s="149"/>
      <c r="F1193" s="153"/>
      <c r="G1193" s="10"/>
      <c r="H1193" s="17"/>
      <c r="I1193" s="17"/>
      <c r="J1193" s="17"/>
      <c r="K1193" s="30"/>
      <c r="L1193" s="30"/>
      <c r="M1193" s="30"/>
      <c r="N1193" s="30"/>
      <c r="O1193" s="30"/>
      <c r="P1193" s="30"/>
      <c r="Q1193" s="30"/>
      <c r="R1193" s="30"/>
      <c r="S1193" s="30"/>
      <c r="T1193" s="30"/>
      <c r="U1193" s="30"/>
      <c r="V1193" s="30"/>
      <c r="W1193" s="29"/>
      <c r="X1193" s="15"/>
      <c r="Y1193" s="30"/>
      <c r="Z1193" s="30"/>
      <c r="AA1193" s="30"/>
      <c r="AB1193" s="30"/>
      <c r="AC1193" s="17"/>
      <c r="AD1193" s="17"/>
      <c r="AE1193" s="17"/>
      <c r="AF1193" s="17"/>
      <c r="AG1193" s="20"/>
      <c r="AH1193" s="21"/>
      <c r="AI1193" s="21"/>
      <c r="AJ1193" s="21"/>
      <c r="AK1193" s="21"/>
      <c r="AL1193" s="21"/>
      <c r="AM1193" s="21"/>
      <c r="AN1193" s="21"/>
      <c r="AO1193" s="22"/>
      <c r="AP1193" s="21"/>
      <c r="AQ1193" s="24"/>
      <c r="AR1193" s="21"/>
      <c r="AS1193" s="21"/>
      <c r="AT1193" s="21"/>
      <c r="AU1193" s="21"/>
      <c r="AV1193" s="21"/>
      <c r="AW1193" s="21"/>
      <c r="AX1193" s="22"/>
      <c r="AY1193" s="21"/>
      <c r="AZ1193" s="22"/>
      <c r="BA1193" s="21"/>
      <c r="BB1193" s="20"/>
      <c r="BC1193" s="21"/>
      <c r="BD1193" s="25"/>
      <c r="BE1193" s="26"/>
      <c r="BF1193" s="27"/>
      <c r="BG1193" s="28"/>
    </row>
    <row r="1194" spans="1:59" customFormat="1" ht="15" x14ac:dyDescent="0.35">
      <c r="A1194" s="50"/>
      <c r="B1194" s="63"/>
      <c r="C1194" s="39"/>
      <c r="D1194" s="6"/>
      <c r="E1194" s="149"/>
      <c r="F1194" s="153"/>
      <c r="G1194" s="10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5"/>
      <c r="V1194" s="5"/>
      <c r="W1194" s="13"/>
      <c r="X1194" s="4"/>
      <c r="Y1194" s="4"/>
      <c r="Z1194" s="4"/>
      <c r="AA1194" s="6"/>
      <c r="AB1194" s="5"/>
      <c r="AC1194" s="9"/>
      <c r="AD1194" s="9"/>
      <c r="AE1194" s="9"/>
      <c r="AF1194" s="9"/>
      <c r="AG1194" s="54"/>
      <c r="AH1194" s="3"/>
      <c r="AI1194" s="2"/>
      <c r="AJ1194" s="2"/>
      <c r="AK1194" s="2"/>
      <c r="AL1194" s="3"/>
      <c r="AM1194" s="3"/>
      <c r="AN1194" s="3"/>
      <c r="AO1194" s="3"/>
      <c r="AP1194" s="3"/>
      <c r="AQ1194" s="59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53"/>
      <c r="BC1194" s="3"/>
      <c r="BD1194" s="59"/>
      <c r="BE1194" s="3"/>
      <c r="BF1194" s="53"/>
      <c r="BG1194" s="59"/>
    </row>
    <row r="1195" spans="1:59" customFormat="1" ht="15" x14ac:dyDescent="0.35">
      <c r="A1195" s="50"/>
      <c r="B1195" s="63"/>
      <c r="C1195" s="39"/>
      <c r="D1195" s="6"/>
      <c r="E1195" s="149"/>
      <c r="F1195" s="153"/>
      <c r="G1195" s="10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12"/>
      <c r="X1195" s="33"/>
      <c r="Y1195" s="6"/>
      <c r="Z1195" s="6"/>
      <c r="AA1195" s="6"/>
      <c r="AB1195" s="6"/>
      <c r="AC1195" s="9"/>
      <c r="AD1195" s="9"/>
      <c r="AE1195" s="9"/>
      <c r="AF1195" s="9"/>
      <c r="AG1195" s="5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59"/>
      <c r="AR1195" s="21"/>
      <c r="AS1195" s="21"/>
      <c r="AT1195" s="3"/>
      <c r="AU1195" s="3"/>
      <c r="AV1195" s="3"/>
      <c r="AW1195" s="3"/>
      <c r="AX1195" s="3"/>
      <c r="AY1195" s="3"/>
      <c r="AZ1195" s="3"/>
      <c r="BA1195" s="3"/>
      <c r="BB1195" s="53"/>
      <c r="BC1195" s="3"/>
      <c r="BD1195" s="59"/>
      <c r="BE1195" s="3"/>
      <c r="BF1195" s="53"/>
      <c r="BG1195" s="59"/>
    </row>
    <row r="1196" spans="1:59" customFormat="1" ht="15" x14ac:dyDescent="0.35">
      <c r="A1196" s="50"/>
      <c r="B1196" s="63"/>
      <c r="C1196" s="39"/>
      <c r="D1196" s="6"/>
      <c r="E1196" s="149"/>
      <c r="F1196" s="153"/>
      <c r="G1196" s="10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12"/>
      <c r="X1196" s="33"/>
      <c r="Y1196" s="6"/>
      <c r="Z1196" s="6"/>
      <c r="AA1196" s="6"/>
      <c r="AB1196" s="6"/>
      <c r="AC1196" s="9"/>
      <c r="AD1196" s="9"/>
      <c r="AE1196" s="9"/>
      <c r="AF1196" s="9"/>
      <c r="AG1196" s="5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59"/>
      <c r="AR1196" s="21"/>
      <c r="AS1196" s="21"/>
      <c r="AT1196" s="3"/>
      <c r="AU1196" s="3"/>
      <c r="AV1196" s="3"/>
      <c r="AW1196" s="3"/>
      <c r="AX1196" s="3"/>
      <c r="AY1196" s="3"/>
      <c r="AZ1196" s="3"/>
      <c r="BA1196" s="3"/>
      <c r="BB1196" s="53"/>
      <c r="BC1196" s="3"/>
      <c r="BD1196" s="59"/>
      <c r="BE1196" s="3"/>
      <c r="BF1196" s="53"/>
      <c r="BG1196" s="59"/>
    </row>
    <row r="1197" spans="1:59" customFormat="1" ht="15" x14ac:dyDescent="0.35">
      <c r="A1197" s="50"/>
      <c r="B1197" s="63"/>
      <c r="C1197" s="39"/>
      <c r="D1197" s="6"/>
      <c r="E1197" s="149"/>
      <c r="F1197" s="153"/>
      <c r="G1197" s="10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12"/>
      <c r="X1197" s="33"/>
      <c r="Y1197" s="6"/>
      <c r="Z1197" s="6"/>
      <c r="AA1197" s="6"/>
      <c r="AB1197" s="6"/>
      <c r="AC1197" s="9"/>
      <c r="AD1197" s="9"/>
      <c r="AE1197" s="9"/>
      <c r="AF1197" s="9"/>
      <c r="AG1197" s="5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59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53"/>
      <c r="BC1197" s="3"/>
      <c r="BD1197" s="59"/>
      <c r="BE1197" s="3"/>
      <c r="BF1197" s="53"/>
      <c r="BG1197" s="59"/>
    </row>
    <row r="1198" spans="1:59" customFormat="1" ht="15" x14ac:dyDescent="0.35">
      <c r="A1198" s="19"/>
      <c r="B1198" s="49"/>
      <c r="C1198" s="14"/>
      <c r="D1198" s="1"/>
      <c r="E1198" s="149"/>
      <c r="F1198" s="153"/>
      <c r="G1198" s="10"/>
      <c r="H1198" s="17"/>
      <c r="I1198" s="17"/>
      <c r="J1198" s="17"/>
      <c r="K1198" s="30"/>
      <c r="L1198" s="30"/>
      <c r="M1198" s="30"/>
      <c r="N1198" s="30"/>
      <c r="O1198" s="30"/>
      <c r="P1198" s="30"/>
      <c r="Q1198" s="30"/>
      <c r="R1198" s="30"/>
      <c r="S1198" s="30"/>
      <c r="T1198" s="30"/>
      <c r="U1198" s="30"/>
      <c r="V1198" s="30"/>
      <c r="W1198" s="29"/>
      <c r="X1198" s="15"/>
      <c r="Y1198" s="30"/>
      <c r="Z1198" s="30"/>
      <c r="AA1198" s="30"/>
      <c r="AB1198" s="30"/>
      <c r="AC1198" s="17"/>
      <c r="AD1198" s="17"/>
      <c r="AE1198" s="17"/>
      <c r="AF1198" s="17"/>
      <c r="AG1198" s="20"/>
      <c r="AH1198" s="21"/>
      <c r="AI1198" s="21"/>
      <c r="AJ1198" s="21"/>
      <c r="AK1198" s="21"/>
      <c r="AL1198" s="21"/>
      <c r="AM1198" s="21"/>
      <c r="AN1198" s="21"/>
      <c r="AO1198" s="22"/>
      <c r="AP1198" s="21"/>
      <c r="AQ1198" s="24"/>
      <c r="AR1198" s="21"/>
      <c r="AS1198" s="21"/>
      <c r="AT1198" s="21"/>
      <c r="AU1198" s="21"/>
      <c r="AV1198" s="21"/>
      <c r="AW1198" s="21"/>
      <c r="AX1198" s="22"/>
      <c r="AY1198" s="21"/>
      <c r="AZ1198" s="22"/>
      <c r="BA1198" s="21"/>
      <c r="BB1198" s="20"/>
      <c r="BC1198" s="21"/>
      <c r="BD1198" s="25"/>
      <c r="BE1198" s="26"/>
      <c r="BF1198" s="27"/>
      <c r="BG1198" s="28"/>
    </row>
    <row r="1199" spans="1:59" customFormat="1" ht="15" x14ac:dyDescent="0.35">
      <c r="A1199" s="19"/>
      <c r="B1199" s="49"/>
      <c r="C1199" s="14"/>
      <c r="D1199" s="1"/>
      <c r="E1199" s="149"/>
      <c r="F1199" s="153"/>
      <c r="G1199" s="10"/>
      <c r="H1199" s="17"/>
      <c r="I1199" s="17"/>
      <c r="J1199" s="17"/>
      <c r="K1199" s="30"/>
      <c r="L1199" s="30"/>
      <c r="M1199" s="30"/>
      <c r="N1199" s="30"/>
      <c r="O1199" s="30"/>
      <c r="P1199" s="30"/>
      <c r="Q1199" s="30"/>
      <c r="R1199" s="30"/>
      <c r="S1199" s="30"/>
      <c r="T1199" s="30"/>
      <c r="U1199" s="30"/>
      <c r="V1199" s="30"/>
      <c r="W1199" s="29"/>
      <c r="X1199" s="15"/>
      <c r="Y1199" s="30"/>
      <c r="Z1199" s="30"/>
      <c r="AA1199" s="30"/>
      <c r="AB1199" s="30"/>
      <c r="AC1199" s="17"/>
      <c r="AD1199" s="17"/>
      <c r="AE1199" s="17"/>
      <c r="AF1199" s="17"/>
      <c r="AG1199" s="20"/>
      <c r="AH1199" s="21"/>
      <c r="AI1199" s="21"/>
      <c r="AJ1199" s="21"/>
      <c r="AK1199" s="21"/>
      <c r="AL1199" s="21"/>
      <c r="AM1199" s="21"/>
      <c r="AN1199" s="21"/>
      <c r="AO1199" s="22"/>
      <c r="AP1199" s="21"/>
      <c r="AQ1199" s="24"/>
      <c r="AR1199" s="21"/>
      <c r="AS1199" s="21"/>
      <c r="AT1199" s="21"/>
      <c r="AU1199" s="21"/>
      <c r="AV1199" s="21"/>
      <c r="AW1199" s="21"/>
      <c r="AX1199" s="22"/>
      <c r="AY1199" s="21"/>
      <c r="AZ1199" s="22"/>
      <c r="BA1199" s="21"/>
      <c r="BB1199" s="20"/>
      <c r="BC1199" s="21"/>
      <c r="BD1199" s="25"/>
      <c r="BE1199" s="26"/>
      <c r="BF1199" s="27"/>
      <c r="BG1199" s="28"/>
    </row>
    <row r="1200" spans="1:59" customFormat="1" ht="15" x14ac:dyDescent="0.35">
      <c r="A1200" s="50"/>
      <c r="B1200" s="63"/>
      <c r="C1200" s="39"/>
      <c r="D1200" s="6"/>
      <c r="E1200" s="149"/>
      <c r="F1200" s="153"/>
      <c r="G1200" s="10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5"/>
      <c r="V1200" s="5"/>
      <c r="W1200" s="13"/>
      <c r="X1200" s="4"/>
      <c r="Y1200" s="4"/>
      <c r="Z1200" s="4"/>
      <c r="AA1200" s="6"/>
      <c r="AB1200" s="5"/>
      <c r="AC1200" s="9"/>
      <c r="AD1200" s="9"/>
      <c r="AE1200" s="9"/>
      <c r="AF1200" s="9"/>
      <c r="AG1200" s="54"/>
      <c r="AH1200" s="3"/>
      <c r="AI1200" s="2"/>
      <c r="AJ1200" s="2"/>
      <c r="AK1200" s="2"/>
      <c r="AL1200" s="3"/>
      <c r="AM1200" s="3"/>
      <c r="AN1200" s="3"/>
      <c r="AO1200" s="3"/>
      <c r="AP1200" s="3"/>
      <c r="AQ1200" s="59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53"/>
      <c r="BC1200" s="3"/>
      <c r="BD1200" s="59"/>
      <c r="BE1200" s="3"/>
      <c r="BF1200" s="53"/>
      <c r="BG1200" s="59"/>
    </row>
    <row r="1201" spans="1:59" customFormat="1" ht="15" x14ac:dyDescent="0.35">
      <c r="A1201" s="19"/>
      <c r="B1201" s="49"/>
      <c r="C1201" s="14"/>
      <c r="D1201" s="1"/>
      <c r="E1201" s="149"/>
      <c r="F1201" s="153"/>
      <c r="G1201" s="10"/>
      <c r="H1201" s="17"/>
      <c r="I1201" s="17"/>
      <c r="J1201" s="17"/>
      <c r="K1201" s="30"/>
      <c r="L1201" s="30"/>
      <c r="M1201" s="30"/>
      <c r="N1201" s="30"/>
      <c r="O1201" s="30"/>
      <c r="P1201" s="30"/>
      <c r="Q1201" s="30"/>
      <c r="R1201" s="30"/>
      <c r="S1201" s="30"/>
      <c r="T1201" s="30"/>
      <c r="U1201" s="30"/>
      <c r="V1201" s="30"/>
      <c r="W1201" s="29"/>
      <c r="X1201" s="15"/>
      <c r="Y1201" s="30"/>
      <c r="Z1201" s="30"/>
      <c r="AA1201" s="30"/>
      <c r="AB1201" s="30"/>
      <c r="AC1201" s="17"/>
      <c r="AD1201" s="17"/>
      <c r="AE1201" s="17"/>
      <c r="AF1201" s="17"/>
      <c r="AG1201" s="20"/>
      <c r="AH1201" s="21"/>
      <c r="AI1201" s="21"/>
      <c r="AJ1201" s="21"/>
      <c r="AK1201" s="21"/>
      <c r="AL1201" s="21"/>
      <c r="AM1201" s="21"/>
      <c r="AN1201" s="21"/>
      <c r="AO1201" s="22"/>
      <c r="AP1201" s="21"/>
      <c r="AQ1201" s="24"/>
      <c r="AR1201" s="21"/>
      <c r="AS1201" s="21"/>
      <c r="AT1201" s="21"/>
      <c r="AU1201" s="21"/>
      <c r="AV1201" s="21"/>
      <c r="AW1201" s="21"/>
      <c r="AX1201" s="22"/>
      <c r="AY1201" s="21"/>
      <c r="AZ1201" s="22"/>
      <c r="BA1201" s="21"/>
      <c r="BB1201" s="20"/>
      <c r="BC1201" s="21"/>
      <c r="BD1201" s="25"/>
      <c r="BE1201" s="26"/>
      <c r="BF1201" s="27"/>
      <c r="BG1201" s="28"/>
    </row>
    <row r="1202" spans="1:59" customFormat="1" ht="15" x14ac:dyDescent="0.35">
      <c r="A1202" s="50"/>
      <c r="B1202" s="63"/>
      <c r="C1202" s="39"/>
      <c r="D1202" s="6"/>
      <c r="E1202" s="149"/>
      <c r="F1202" s="153"/>
      <c r="G1202" s="10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12"/>
      <c r="X1202" s="33"/>
      <c r="Y1202" s="6"/>
      <c r="Z1202" s="6"/>
      <c r="AA1202" s="6"/>
      <c r="AB1202" s="6"/>
      <c r="AC1202" s="9"/>
      <c r="AD1202" s="9"/>
      <c r="AE1202" s="9"/>
      <c r="AF1202" s="9"/>
      <c r="AG1202" s="5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59"/>
      <c r="AR1202" s="21"/>
      <c r="AS1202" s="21"/>
      <c r="AT1202" s="3"/>
      <c r="AU1202" s="3"/>
      <c r="AV1202" s="3"/>
      <c r="AW1202" s="3"/>
      <c r="AX1202" s="3"/>
      <c r="AY1202" s="3"/>
      <c r="AZ1202" s="3"/>
      <c r="BA1202" s="3"/>
      <c r="BB1202" s="53"/>
      <c r="BC1202" s="3"/>
      <c r="BD1202" s="59"/>
      <c r="BE1202" s="3"/>
      <c r="BF1202" s="53"/>
      <c r="BG1202" s="59"/>
    </row>
    <row r="1203" spans="1:59" customFormat="1" ht="15" x14ac:dyDescent="0.35">
      <c r="A1203" s="19"/>
      <c r="B1203" s="49"/>
      <c r="C1203" s="14"/>
      <c r="D1203" s="1"/>
      <c r="E1203" s="149"/>
      <c r="F1203" s="153"/>
      <c r="G1203" s="10"/>
      <c r="H1203" s="17"/>
      <c r="I1203" s="17"/>
      <c r="J1203" s="17"/>
      <c r="K1203" s="30"/>
      <c r="L1203" s="30"/>
      <c r="M1203" s="30"/>
      <c r="N1203" s="30"/>
      <c r="O1203" s="30"/>
      <c r="P1203" s="30"/>
      <c r="Q1203" s="30"/>
      <c r="R1203" s="30"/>
      <c r="S1203" s="30"/>
      <c r="T1203" s="30"/>
      <c r="U1203" s="30"/>
      <c r="V1203" s="30"/>
      <c r="W1203" s="29"/>
      <c r="X1203" s="15"/>
      <c r="Y1203" s="30"/>
      <c r="Z1203" s="30"/>
      <c r="AA1203" s="30"/>
      <c r="AB1203" s="30"/>
      <c r="AC1203" s="17"/>
      <c r="AD1203" s="17"/>
      <c r="AE1203" s="17"/>
      <c r="AF1203" s="17"/>
      <c r="AG1203" s="20"/>
      <c r="AH1203" s="21"/>
      <c r="AI1203" s="21"/>
      <c r="AJ1203" s="21"/>
      <c r="AK1203" s="21"/>
      <c r="AL1203" s="21"/>
      <c r="AM1203" s="21"/>
      <c r="AN1203" s="21"/>
      <c r="AO1203" s="22"/>
      <c r="AP1203" s="21"/>
      <c r="AQ1203" s="24"/>
      <c r="AR1203" s="21"/>
      <c r="AS1203" s="21"/>
      <c r="AT1203" s="21"/>
      <c r="AU1203" s="21"/>
      <c r="AV1203" s="21"/>
      <c r="AW1203" s="21"/>
      <c r="AX1203" s="22"/>
      <c r="AY1203" s="21"/>
      <c r="AZ1203" s="22"/>
      <c r="BA1203" s="21"/>
      <c r="BB1203" s="20"/>
      <c r="BC1203" s="21"/>
      <c r="BD1203" s="25"/>
      <c r="BE1203" s="26"/>
      <c r="BF1203" s="27"/>
      <c r="BG1203" s="28"/>
    </row>
    <row r="1204" spans="1:59" customFormat="1" ht="15" x14ac:dyDescent="0.35">
      <c r="A1204" s="50"/>
      <c r="B1204" s="63"/>
      <c r="C1204" s="39"/>
      <c r="D1204" s="6"/>
      <c r="E1204" s="149"/>
      <c r="F1204" s="153"/>
      <c r="G1204" s="10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5"/>
      <c r="V1204" s="5"/>
      <c r="W1204" s="13"/>
      <c r="X1204" s="4"/>
      <c r="Y1204" s="4"/>
      <c r="Z1204" s="4"/>
      <c r="AA1204" s="6"/>
      <c r="AB1204" s="5"/>
      <c r="AC1204" s="9"/>
      <c r="AD1204" s="9"/>
      <c r="AE1204" s="9"/>
      <c r="AF1204" s="9"/>
      <c r="AG1204" s="54"/>
      <c r="AH1204" s="3"/>
      <c r="AI1204" s="2"/>
      <c r="AJ1204" s="2"/>
      <c r="AK1204" s="2"/>
      <c r="AL1204" s="3"/>
      <c r="AM1204" s="3"/>
      <c r="AN1204" s="3"/>
      <c r="AO1204" s="3"/>
      <c r="AP1204" s="3"/>
      <c r="AQ1204" s="59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53"/>
      <c r="BC1204" s="3"/>
      <c r="BD1204" s="59"/>
      <c r="BE1204" s="3"/>
      <c r="BF1204" s="53"/>
      <c r="BG1204" s="59"/>
    </row>
    <row r="1205" spans="1:59" customFormat="1" ht="15" x14ac:dyDescent="0.35">
      <c r="A1205" s="50"/>
      <c r="B1205" s="63"/>
      <c r="C1205" s="39"/>
      <c r="D1205" s="6"/>
      <c r="E1205" s="149"/>
      <c r="F1205" s="153"/>
      <c r="G1205" s="10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12"/>
      <c r="X1205" s="33"/>
      <c r="Y1205" s="6"/>
      <c r="Z1205" s="6"/>
      <c r="AA1205" s="6"/>
      <c r="AB1205" s="6"/>
      <c r="AC1205" s="9"/>
      <c r="AD1205" s="9"/>
      <c r="AE1205" s="9"/>
      <c r="AF1205" s="9"/>
      <c r="AG1205" s="5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59"/>
      <c r="AR1205" s="21"/>
      <c r="AS1205" s="21"/>
      <c r="AT1205" s="3"/>
      <c r="AU1205" s="3"/>
      <c r="AV1205" s="3"/>
      <c r="AW1205" s="3"/>
      <c r="AX1205" s="3"/>
      <c r="AY1205" s="3"/>
      <c r="AZ1205" s="3"/>
      <c r="BA1205" s="3"/>
      <c r="BB1205" s="53"/>
      <c r="BC1205" s="3"/>
      <c r="BD1205" s="59"/>
      <c r="BE1205" s="3"/>
      <c r="BF1205" s="53"/>
      <c r="BG1205" s="59"/>
    </row>
    <row r="1206" spans="1:59" customFormat="1" ht="15" x14ac:dyDescent="0.35">
      <c r="A1206" s="50"/>
      <c r="B1206" s="63"/>
      <c r="C1206" s="39"/>
      <c r="D1206" s="6"/>
      <c r="E1206" s="149"/>
      <c r="F1206" s="153"/>
      <c r="G1206" s="10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12"/>
      <c r="X1206" s="33"/>
      <c r="Y1206" s="6"/>
      <c r="Z1206" s="6"/>
      <c r="AA1206" s="6"/>
      <c r="AB1206" s="6"/>
      <c r="AC1206" s="9"/>
      <c r="AD1206" s="9"/>
      <c r="AE1206" s="9"/>
      <c r="AF1206" s="9"/>
      <c r="AG1206" s="5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59"/>
      <c r="AR1206" s="21"/>
      <c r="AS1206" s="21"/>
      <c r="AT1206" s="3"/>
      <c r="AU1206" s="3"/>
      <c r="AV1206" s="3"/>
      <c r="AW1206" s="3"/>
      <c r="AX1206" s="3"/>
      <c r="AY1206" s="3"/>
      <c r="AZ1206" s="3"/>
      <c r="BA1206" s="3"/>
      <c r="BB1206" s="53"/>
      <c r="BC1206" s="3"/>
      <c r="BD1206" s="59"/>
      <c r="BE1206" s="3"/>
      <c r="BF1206" s="53"/>
      <c r="BG1206" s="59"/>
    </row>
    <row r="1207" spans="1:59" customFormat="1" ht="15" x14ac:dyDescent="0.35">
      <c r="A1207" s="50"/>
      <c r="B1207" s="63"/>
      <c r="C1207" s="39"/>
      <c r="D1207" s="6"/>
      <c r="E1207" s="149"/>
      <c r="F1207" s="153"/>
      <c r="G1207" s="10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12"/>
      <c r="X1207" s="33"/>
      <c r="Y1207" s="6"/>
      <c r="Z1207" s="6"/>
      <c r="AA1207" s="6"/>
      <c r="AB1207" s="6"/>
      <c r="AC1207" s="9"/>
      <c r="AD1207" s="9"/>
      <c r="AE1207" s="9"/>
      <c r="AF1207" s="9"/>
      <c r="AG1207" s="5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59"/>
      <c r="AR1207" s="21"/>
      <c r="AS1207" s="21"/>
      <c r="AT1207" s="3"/>
      <c r="AU1207" s="3"/>
      <c r="AV1207" s="3"/>
      <c r="AW1207" s="3"/>
      <c r="AX1207" s="3"/>
      <c r="AY1207" s="3"/>
      <c r="AZ1207" s="3"/>
      <c r="BA1207" s="3"/>
      <c r="BB1207" s="53"/>
      <c r="BC1207" s="3"/>
      <c r="BD1207" s="59"/>
      <c r="BE1207" s="3"/>
      <c r="BF1207" s="53"/>
      <c r="BG1207" s="59"/>
    </row>
    <row r="1208" spans="1:59" customFormat="1" ht="15" x14ac:dyDescent="0.35">
      <c r="A1208" s="50"/>
      <c r="B1208" s="63"/>
      <c r="C1208" s="39"/>
      <c r="D1208" s="6"/>
      <c r="E1208" s="149"/>
      <c r="F1208" s="153"/>
      <c r="G1208" s="10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12"/>
      <c r="X1208" s="33"/>
      <c r="Y1208" s="6"/>
      <c r="Z1208" s="6"/>
      <c r="AA1208" s="6"/>
      <c r="AB1208" s="6"/>
      <c r="AC1208" s="9"/>
      <c r="AD1208" s="9"/>
      <c r="AE1208" s="9"/>
      <c r="AF1208" s="9"/>
      <c r="AG1208" s="5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59"/>
      <c r="AR1208" s="21"/>
      <c r="AS1208" s="21"/>
      <c r="AT1208" s="3"/>
      <c r="AU1208" s="3"/>
      <c r="AV1208" s="3"/>
      <c r="AW1208" s="3"/>
      <c r="AX1208" s="3"/>
      <c r="AY1208" s="3"/>
      <c r="AZ1208" s="3"/>
      <c r="BA1208" s="3"/>
      <c r="BB1208" s="53"/>
      <c r="BC1208" s="3"/>
      <c r="BD1208" s="59"/>
      <c r="BE1208" s="3"/>
      <c r="BF1208" s="53"/>
      <c r="BG1208" s="59"/>
    </row>
    <row r="1209" spans="1:59" customFormat="1" ht="15" x14ac:dyDescent="0.35">
      <c r="A1209" s="50"/>
      <c r="B1209" s="63"/>
      <c r="C1209" s="39"/>
      <c r="D1209" s="6"/>
      <c r="E1209" s="149"/>
      <c r="F1209" s="153"/>
      <c r="G1209" s="10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12"/>
      <c r="X1209" s="33"/>
      <c r="Y1209" s="6"/>
      <c r="Z1209" s="6"/>
      <c r="AA1209" s="6"/>
      <c r="AB1209" s="6"/>
      <c r="AC1209" s="9"/>
      <c r="AD1209" s="9"/>
      <c r="AE1209" s="9"/>
      <c r="AF1209" s="9"/>
      <c r="AG1209" s="5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59"/>
      <c r="AR1209" s="21"/>
      <c r="AS1209" s="21"/>
      <c r="AT1209" s="3"/>
      <c r="AU1209" s="3"/>
      <c r="AV1209" s="3"/>
      <c r="AW1209" s="3"/>
      <c r="AX1209" s="3"/>
      <c r="AY1209" s="3"/>
      <c r="AZ1209" s="3"/>
      <c r="BA1209" s="3"/>
      <c r="BB1209" s="53"/>
      <c r="BC1209" s="3"/>
      <c r="BD1209" s="59"/>
      <c r="BE1209" s="3"/>
      <c r="BF1209" s="53"/>
      <c r="BG1209" s="59"/>
    </row>
    <row r="1210" spans="1:59" customFormat="1" ht="15" x14ac:dyDescent="0.35">
      <c r="A1210" s="50"/>
      <c r="B1210" s="63"/>
      <c r="C1210" s="39"/>
      <c r="D1210" s="6"/>
      <c r="E1210" s="149"/>
      <c r="F1210" s="153"/>
      <c r="G1210" s="10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12"/>
      <c r="X1210" s="33"/>
      <c r="Y1210" s="6"/>
      <c r="Z1210" s="6"/>
      <c r="AA1210" s="6"/>
      <c r="AB1210" s="6"/>
      <c r="AC1210" s="9"/>
      <c r="AD1210" s="9"/>
      <c r="AE1210" s="9"/>
      <c r="AF1210" s="9"/>
      <c r="AG1210" s="5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59"/>
      <c r="AR1210" s="21"/>
      <c r="AS1210" s="21"/>
      <c r="AT1210" s="3"/>
      <c r="AU1210" s="3"/>
      <c r="AV1210" s="3"/>
      <c r="AW1210" s="3"/>
      <c r="AX1210" s="3"/>
      <c r="AY1210" s="3"/>
      <c r="AZ1210" s="3"/>
      <c r="BA1210" s="3"/>
      <c r="BB1210" s="53"/>
      <c r="BC1210" s="3"/>
      <c r="BD1210" s="59"/>
      <c r="BE1210" s="3"/>
      <c r="BF1210" s="53"/>
      <c r="BG1210" s="59"/>
    </row>
    <row r="1211" spans="1:59" customFormat="1" ht="15" x14ac:dyDescent="0.35">
      <c r="A1211" s="19"/>
      <c r="B1211" s="49"/>
      <c r="C1211" s="14"/>
      <c r="D1211" s="1"/>
      <c r="E1211" s="149"/>
      <c r="F1211" s="153"/>
      <c r="G1211" s="10"/>
      <c r="H1211" s="17"/>
      <c r="I1211" s="17"/>
      <c r="J1211" s="17"/>
      <c r="K1211" s="30"/>
      <c r="L1211" s="30"/>
      <c r="M1211" s="30"/>
      <c r="N1211" s="30"/>
      <c r="O1211" s="30"/>
      <c r="P1211" s="30"/>
      <c r="Q1211" s="30"/>
      <c r="R1211" s="30"/>
      <c r="S1211" s="30"/>
      <c r="T1211" s="30"/>
      <c r="U1211" s="30"/>
      <c r="V1211" s="30"/>
      <c r="W1211" s="29"/>
      <c r="X1211" s="15"/>
      <c r="Y1211" s="30"/>
      <c r="Z1211" s="30"/>
      <c r="AA1211" s="30"/>
      <c r="AB1211" s="30"/>
      <c r="AC1211" s="17"/>
      <c r="AD1211" s="17"/>
      <c r="AE1211" s="17"/>
      <c r="AF1211" s="17"/>
      <c r="AG1211" s="20"/>
      <c r="AH1211" s="21"/>
      <c r="AI1211" s="21"/>
      <c r="AJ1211" s="21"/>
      <c r="AK1211" s="21"/>
      <c r="AL1211" s="21"/>
      <c r="AM1211" s="21"/>
      <c r="AN1211" s="21"/>
      <c r="AO1211" s="22"/>
      <c r="AP1211" s="21"/>
      <c r="AQ1211" s="24"/>
      <c r="AR1211" s="21"/>
      <c r="AS1211" s="21"/>
      <c r="AT1211" s="21"/>
      <c r="AU1211" s="21"/>
      <c r="AV1211" s="21"/>
      <c r="AW1211" s="21"/>
      <c r="AX1211" s="22"/>
      <c r="AY1211" s="21"/>
      <c r="AZ1211" s="22"/>
      <c r="BA1211" s="21"/>
      <c r="BB1211" s="20"/>
      <c r="BC1211" s="21"/>
      <c r="BD1211" s="25"/>
      <c r="BE1211" s="26"/>
      <c r="BF1211" s="27"/>
      <c r="BG1211" s="28"/>
    </row>
    <row r="1212" spans="1:59" customFormat="1" ht="15" x14ac:dyDescent="0.35">
      <c r="A1212" s="50"/>
      <c r="B1212" s="63"/>
      <c r="C1212" s="39"/>
      <c r="D1212" s="6"/>
      <c r="E1212" s="149"/>
      <c r="F1212" s="153"/>
      <c r="G1212" s="10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5"/>
      <c r="V1212" s="5"/>
      <c r="W1212" s="13"/>
      <c r="X1212" s="4"/>
      <c r="Y1212" s="4"/>
      <c r="Z1212" s="4"/>
      <c r="AA1212" s="6"/>
      <c r="AB1212" s="5"/>
      <c r="AC1212" s="9"/>
      <c r="AD1212" s="9"/>
      <c r="AE1212" s="9"/>
      <c r="AF1212" s="9"/>
      <c r="AG1212" s="54"/>
      <c r="AH1212" s="3"/>
      <c r="AI1212" s="2"/>
      <c r="AJ1212" s="2"/>
      <c r="AK1212" s="2"/>
      <c r="AL1212" s="3"/>
      <c r="AM1212" s="3"/>
      <c r="AN1212" s="3"/>
      <c r="AO1212" s="3"/>
      <c r="AP1212" s="3"/>
      <c r="AQ1212" s="59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53"/>
      <c r="BC1212" s="3"/>
      <c r="BD1212" s="59"/>
      <c r="BE1212" s="3"/>
      <c r="BF1212" s="53"/>
      <c r="BG1212" s="59"/>
    </row>
    <row r="1213" spans="1:59" customFormat="1" ht="15" x14ac:dyDescent="0.35">
      <c r="A1213" s="50"/>
      <c r="B1213" s="63"/>
      <c r="C1213" s="39"/>
      <c r="D1213" s="6"/>
      <c r="E1213" s="149"/>
      <c r="F1213" s="153"/>
      <c r="G1213" s="10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12"/>
      <c r="X1213" s="33"/>
      <c r="Y1213" s="6"/>
      <c r="Z1213" s="6"/>
      <c r="AA1213" s="6"/>
      <c r="AB1213" s="6"/>
      <c r="AC1213" s="9"/>
      <c r="AD1213" s="9"/>
      <c r="AE1213" s="9"/>
      <c r="AF1213" s="9"/>
      <c r="AG1213" s="5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59"/>
      <c r="AR1213" s="21"/>
      <c r="AS1213" s="21"/>
      <c r="AT1213" s="3"/>
      <c r="AU1213" s="3"/>
      <c r="AV1213" s="3"/>
      <c r="AW1213" s="3"/>
      <c r="AX1213" s="3"/>
      <c r="AY1213" s="3"/>
      <c r="AZ1213" s="3"/>
      <c r="BA1213" s="3"/>
      <c r="BB1213" s="53"/>
      <c r="BC1213" s="3"/>
      <c r="BD1213" s="59"/>
      <c r="BE1213" s="3"/>
      <c r="BF1213" s="53"/>
      <c r="BG1213" s="59"/>
    </row>
    <row r="1214" spans="1:59" customFormat="1" ht="15" x14ac:dyDescent="0.35">
      <c r="A1214" s="19"/>
      <c r="B1214" s="49"/>
      <c r="C1214" s="39"/>
      <c r="D1214" s="1"/>
      <c r="E1214" s="149"/>
      <c r="F1214" s="153"/>
      <c r="G1214" s="10"/>
      <c r="H1214" s="17"/>
      <c r="I1214" s="17"/>
      <c r="J1214" s="17"/>
      <c r="K1214" s="30"/>
      <c r="L1214" s="30"/>
      <c r="M1214" s="30"/>
      <c r="N1214" s="30"/>
      <c r="O1214" s="30"/>
      <c r="P1214" s="30"/>
      <c r="Q1214" s="30"/>
      <c r="R1214" s="30"/>
      <c r="S1214" s="30"/>
      <c r="T1214" s="30"/>
      <c r="U1214" s="30"/>
      <c r="V1214" s="30"/>
      <c r="W1214" s="29"/>
      <c r="X1214" s="15"/>
      <c r="Y1214" s="30"/>
      <c r="Z1214" s="30"/>
      <c r="AA1214" s="30"/>
      <c r="AB1214" s="30"/>
      <c r="AC1214" s="17"/>
      <c r="AD1214" s="17"/>
      <c r="AE1214" s="17"/>
      <c r="AF1214" s="17"/>
      <c r="AG1214" s="20"/>
      <c r="AH1214" s="21"/>
      <c r="AI1214" s="21"/>
      <c r="AJ1214" s="21"/>
      <c r="AK1214" s="21"/>
      <c r="AL1214" s="21"/>
      <c r="AM1214" s="21"/>
      <c r="AN1214" s="21"/>
      <c r="AO1214" s="22"/>
      <c r="AP1214" s="21"/>
      <c r="AQ1214" s="24"/>
      <c r="AR1214" s="21"/>
      <c r="AS1214" s="21"/>
      <c r="AT1214" s="21"/>
      <c r="AU1214" s="21"/>
      <c r="AV1214" s="21"/>
      <c r="AW1214" s="21"/>
      <c r="AX1214" s="22"/>
      <c r="AY1214" s="21"/>
      <c r="AZ1214" s="22"/>
      <c r="BA1214" s="21"/>
      <c r="BB1214" s="20"/>
      <c r="BC1214" s="21"/>
      <c r="BD1214" s="25"/>
      <c r="BE1214" s="26"/>
      <c r="BF1214" s="27"/>
      <c r="BG1214" s="28"/>
    </row>
    <row r="1215" spans="1:59" customFormat="1" ht="15" x14ac:dyDescent="0.35">
      <c r="A1215" s="19"/>
      <c r="B1215" s="49"/>
      <c r="C1215" s="14"/>
      <c r="D1215" s="1"/>
      <c r="E1215" s="149"/>
      <c r="F1215" s="153"/>
      <c r="G1215" s="10"/>
      <c r="H1215" s="17"/>
      <c r="I1215" s="17"/>
      <c r="J1215" s="17"/>
      <c r="K1215" s="30"/>
      <c r="L1215" s="30"/>
      <c r="M1215" s="30"/>
      <c r="N1215" s="30"/>
      <c r="O1215" s="30"/>
      <c r="P1215" s="30"/>
      <c r="Q1215" s="30"/>
      <c r="R1215" s="30"/>
      <c r="S1215" s="30"/>
      <c r="T1215" s="30"/>
      <c r="U1215" s="30"/>
      <c r="V1215" s="30"/>
      <c r="W1215" s="29"/>
      <c r="X1215" s="15"/>
      <c r="Y1215" s="30"/>
      <c r="Z1215" s="30"/>
      <c r="AA1215" s="30"/>
      <c r="AB1215" s="30"/>
      <c r="AC1215" s="17"/>
      <c r="AD1215" s="17"/>
      <c r="AE1215" s="17"/>
      <c r="AF1215" s="17"/>
      <c r="AG1215" s="20"/>
      <c r="AH1215" s="21"/>
      <c r="AI1215" s="21"/>
      <c r="AJ1215" s="21"/>
      <c r="AK1215" s="21"/>
      <c r="AL1215" s="21"/>
      <c r="AM1215" s="21"/>
      <c r="AN1215" s="21"/>
      <c r="AO1215" s="22"/>
      <c r="AP1215" s="21"/>
      <c r="AQ1215" s="24"/>
      <c r="AR1215" s="21"/>
      <c r="AS1215" s="21"/>
      <c r="AT1215" s="21"/>
      <c r="AU1215" s="21"/>
      <c r="AV1215" s="21"/>
      <c r="AW1215" s="21"/>
      <c r="AX1215" s="22"/>
      <c r="AY1215" s="21"/>
      <c r="AZ1215" s="22"/>
      <c r="BA1215" s="21"/>
      <c r="BB1215" s="20"/>
      <c r="BC1215" s="21"/>
      <c r="BD1215" s="25"/>
      <c r="BE1215" s="26"/>
      <c r="BF1215" s="27"/>
      <c r="BG1215" s="28"/>
    </row>
    <row r="1216" spans="1:59" customFormat="1" ht="15" x14ac:dyDescent="0.35">
      <c r="A1216" s="50"/>
      <c r="B1216" s="63"/>
      <c r="C1216" s="39"/>
      <c r="D1216" s="6"/>
      <c r="E1216" s="149"/>
      <c r="F1216" s="153"/>
      <c r="G1216" s="10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12"/>
      <c r="X1216" s="33"/>
      <c r="Y1216" s="6"/>
      <c r="Z1216" s="6"/>
      <c r="AA1216" s="6"/>
      <c r="AB1216" s="6"/>
      <c r="AC1216" s="9"/>
      <c r="AD1216" s="9"/>
      <c r="AE1216" s="9"/>
      <c r="AF1216" s="9"/>
      <c r="AG1216" s="5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59"/>
      <c r="AR1216" s="21"/>
      <c r="AS1216" s="21"/>
      <c r="AT1216" s="3"/>
      <c r="AU1216" s="3"/>
      <c r="AV1216" s="3"/>
      <c r="AW1216" s="3"/>
      <c r="AX1216" s="3"/>
      <c r="AY1216" s="3"/>
      <c r="AZ1216" s="3"/>
      <c r="BA1216" s="3"/>
      <c r="BB1216" s="53"/>
      <c r="BC1216" s="3"/>
      <c r="BD1216" s="59"/>
      <c r="BE1216" s="3"/>
      <c r="BF1216" s="53"/>
      <c r="BG1216" s="59"/>
    </row>
    <row r="1217" spans="1:59" customFormat="1" ht="15" x14ac:dyDescent="0.35">
      <c r="A1217" s="50"/>
      <c r="B1217" s="63"/>
      <c r="C1217" s="39"/>
      <c r="D1217" s="6"/>
      <c r="E1217" s="149"/>
      <c r="F1217" s="153"/>
      <c r="G1217" s="10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12"/>
      <c r="X1217" s="33"/>
      <c r="Y1217" s="6"/>
      <c r="Z1217" s="6"/>
      <c r="AA1217" s="6"/>
      <c r="AB1217" s="6"/>
      <c r="AC1217" s="9"/>
      <c r="AD1217" s="9"/>
      <c r="AE1217" s="9"/>
      <c r="AF1217" s="9"/>
      <c r="AG1217" s="5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59"/>
      <c r="AR1217" s="21"/>
      <c r="AS1217" s="21"/>
      <c r="AT1217" s="3"/>
      <c r="AU1217" s="3"/>
      <c r="AV1217" s="3"/>
      <c r="AW1217" s="3"/>
      <c r="AX1217" s="3"/>
      <c r="AY1217" s="3"/>
      <c r="AZ1217" s="3"/>
      <c r="BA1217" s="3"/>
      <c r="BB1217" s="53"/>
      <c r="BC1217" s="3"/>
      <c r="BD1217" s="59"/>
      <c r="BE1217" s="3"/>
      <c r="BF1217" s="53"/>
      <c r="BG1217" s="59"/>
    </row>
    <row r="1218" spans="1:59" customFormat="1" ht="15" x14ac:dyDescent="0.35">
      <c r="A1218" s="50"/>
      <c r="B1218" s="63"/>
      <c r="C1218" s="39"/>
      <c r="D1218" s="6"/>
      <c r="E1218" s="149"/>
      <c r="F1218" s="153"/>
      <c r="G1218" s="10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12"/>
      <c r="X1218" s="33"/>
      <c r="Y1218" s="6"/>
      <c r="Z1218" s="6"/>
      <c r="AA1218" s="6"/>
      <c r="AB1218" s="6"/>
      <c r="AC1218" s="9"/>
      <c r="AD1218" s="9"/>
      <c r="AE1218" s="9"/>
      <c r="AF1218" s="9"/>
      <c r="AG1218" s="5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59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53"/>
      <c r="BC1218" s="3"/>
      <c r="BD1218" s="59"/>
      <c r="BE1218" s="3"/>
      <c r="BF1218" s="53"/>
      <c r="BG1218" s="59"/>
    </row>
    <row r="1219" spans="1:59" customFormat="1" ht="15" x14ac:dyDescent="0.35">
      <c r="A1219" s="50"/>
      <c r="B1219" s="63"/>
      <c r="C1219" s="39"/>
      <c r="D1219" s="6"/>
      <c r="E1219" s="149"/>
      <c r="F1219" s="153"/>
      <c r="G1219" s="10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5"/>
      <c r="V1219" s="5"/>
      <c r="W1219" s="13"/>
      <c r="X1219" s="4"/>
      <c r="Y1219" s="4"/>
      <c r="Z1219" s="4"/>
      <c r="AA1219" s="6"/>
      <c r="AB1219" s="5"/>
      <c r="AC1219" s="9"/>
      <c r="AD1219" s="9"/>
      <c r="AE1219" s="9"/>
      <c r="AF1219" s="9"/>
      <c r="AG1219" s="54"/>
      <c r="AH1219" s="3"/>
      <c r="AI1219" s="2"/>
      <c r="AJ1219" s="2"/>
      <c r="AK1219" s="2"/>
      <c r="AL1219" s="3"/>
      <c r="AM1219" s="3"/>
      <c r="AN1219" s="3"/>
      <c r="AO1219" s="3"/>
      <c r="AP1219" s="3"/>
      <c r="AQ1219" s="59"/>
      <c r="AR1219" s="21"/>
      <c r="AS1219" s="21"/>
      <c r="AT1219" s="3"/>
      <c r="AU1219" s="3"/>
      <c r="AV1219" s="3"/>
      <c r="AW1219" s="3"/>
      <c r="AX1219" s="3"/>
      <c r="AY1219" s="3"/>
      <c r="AZ1219" s="3"/>
      <c r="BA1219" s="3"/>
      <c r="BB1219" s="53"/>
      <c r="BC1219" s="3"/>
      <c r="BD1219" s="59"/>
      <c r="BE1219" s="3"/>
      <c r="BF1219" s="53"/>
      <c r="BG1219" s="59"/>
    </row>
    <row r="1220" spans="1:59" customFormat="1" ht="15" x14ac:dyDescent="0.35">
      <c r="A1220" s="50"/>
      <c r="B1220" s="63"/>
      <c r="C1220" s="39"/>
      <c r="D1220" s="6"/>
      <c r="E1220" s="149"/>
      <c r="F1220" s="153"/>
      <c r="G1220" s="10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12"/>
      <c r="X1220" s="33"/>
      <c r="Y1220" s="6"/>
      <c r="Z1220" s="6"/>
      <c r="AA1220" s="6"/>
      <c r="AB1220" s="6"/>
      <c r="AC1220" s="9"/>
      <c r="AD1220" s="9"/>
      <c r="AE1220" s="9"/>
      <c r="AF1220" s="9"/>
      <c r="AG1220" s="5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59"/>
      <c r="AR1220" s="21"/>
      <c r="AS1220" s="21"/>
      <c r="AT1220" s="3"/>
      <c r="AU1220" s="3"/>
      <c r="AV1220" s="3"/>
      <c r="AW1220" s="3"/>
      <c r="AX1220" s="3"/>
      <c r="AY1220" s="3"/>
      <c r="AZ1220" s="3"/>
      <c r="BA1220" s="3"/>
      <c r="BB1220" s="53"/>
      <c r="BC1220" s="3"/>
      <c r="BD1220" s="59"/>
      <c r="BE1220" s="3"/>
      <c r="BF1220" s="53"/>
      <c r="BG1220" s="59"/>
    </row>
    <row r="1221" spans="1:59" customFormat="1" ht="15" x14ac:dyDescent="0.35">
      <c r="A1221" s="50"/>
      <c r="B1221" s="63"/>
      <c r="C1221" s="39"/>
      <c r="D1221" s="6"/>
      <c r="E1221" s="149"/>
      <c r="F1221" s="153"/>
      <c r="G1221" s="10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12"/>
      <c r="X1221" s="33"/>
      <c r="Y1221" s="6"/>
      <c r="Z1221" s="6"/>
      <c r="AA1221" s="6"/>
      <c r="AB1221" s="6"/>
      <c r="AC1221" s="9"/>
      <c r="AD1221" s="9"/>
      <c r="AE1221" s="9"/>
      <c r="AF1221" s="9"/>
      <c r="AG1221" s="5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59"/>
      <c r="AR1221" s="21"/>
      <c r="AS1221" s="21"/>
      <c r="AT1221" s="3"/>
      <c r="AU1221" s="3"/>
      <c r="AV1221" s="3"/>
      <c r="AW1221" s="3"/>
      <c r="AX1221" s="3"/>
      <c r="AY1221" s="3"/>
      <c r="AZ1221" s="3"/>
      <c r="BA1221" s="3"/>
      <c r="BB1221" s="53"/>
      <c r="BC1221" s="3"/>
      <c r="BD1221" s="59"/>
      <c r="BE1221" s="3"/>
      <c r="BF1221" s="53"/>
      <c r="BG1221" s="59"/>
    </row>
    <row r="1222" spans="1:59" customFormat="1" ht="15" x14ac:dyDescent="0.35">
      <c r="A1222" s="50"/>
      <c r="B1222" s="63"/>
      <c r="C1222" s="39"/>
      <c r="D1222" s="6"/>
      <c r="E1222" s="149"/>
      <c r="F1222" s="153"/>
      <c r="G1222" s="10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12"/>
      <c r="X1222" s="33"/>
      <c r="Y1222" s="6"/>
      <c r="Z1222" s="6"/>
      <c r="AA1222" s="6"/>
      <c r="AB1222" s="6"/>
      <c r="AC1222" s="9"/>
      <c r="AD1222" s="9"/>
      <c r="AE1222" s="9"/>
      <c r="AF1222" s="9"/>
      <c r="AG1222" s="5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59"/>
      <c r="AR1222" s="21"/>
      <c r="AS1222" s="21"/>
      <c r="AT1222" s="3"/>
      <c r="AU1222" s="3"/>
      <c r="AV1222" s="3"/>
      <c r="AW1222" s="3"/>
      <c r="AX1222" s="3"/>
      <c r="AY1222" s="3"/>
      <c r="AZ1222" s="3"/>
      <c r="BA1222" s="3"/>
      <c r="BB1222" s="53"/>
      <c r="BC1222" s="3"/>
      <c r="BD1222" s="59"/>
      <c r="BE1222" s="3"/>
      <c r="BF1222" s="53"/>
      <c r="BG1222" s="59"/>
    </row>
    <row r="1223" spans="1:59" customFormat="1" ht="15" x14ac:dyDescent="0.35">
      <c r="A1223" s="50"/>
      <c r="B1223" s="63"/>
      <c r="C1223" s="39"/>
      <c r="D1223" s="6"/>
      <c r="E1223" s="149"/>
      <c r="F1223" s="153"/>
      <c r="G1223" s="10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12"/>
      <c r="X1223" s="33"/>
      <c r="Y1223" s="6"/>
      <c r="Z1223" s="6"/>
      <c r="AA1223" s="6"/>
      <c r="AB1223" s="6"/>
      <c r="AC1223" s="9"/>
      <c r="AD1223" s="9"/>
      <c r="AE1223" s="9"/>
      <c r="AF1223" s="9"/>
      <c r="AG1223" s="5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59"/>
      <c r="AR1223" s="21"/>
      <c r="AS1223" s="21"/>
      <c r="AT1223" s="3"/>
      <c r="AU1223" s="3"/>
      <c r="AV1223" s="3"/>
      <c r="AW1223" s="3"/>
      <c r="AX1223" s="3"/>
      <c r="AY1223" s="3"/>
      <c r="AZ1223" s="3"/>
      <c r="BA1223" s="3"/>
      <c r="BB1223" s="53"/>
      <c r="BC1223" s="3"/>
      <c r="BD1223" s="59"/>
      <c r="BE1223" s="3"/>
      <c r="BF1223" s="53"/>
      <c r="BG1223" s="59"/>
    </row>
    <row r="1224" spans="1:59" customFormat="1" ht="15" x14ac:dyDescent="0.35">
      <c r="A1224" s="50"/>
      <c r="B1224" s="63"/>
      <c r="C1224" s="39"/>
      <c r="D1224" s="6"/>
      <c r="E1224" s="149"/>
      <c r="F1224" s="153"/>
      <c r="G1224" s="10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12"/>
      <c r="X1224" s="33"/>
      <c r="Y1224" s="6"/>
      <c r="Z1224" s="6"/>
      <c r="AA1224" s="6"/>
      <c r="AB1224" s="6"/>
      <c r="AC1224" s="9"/>
      <c r="AD1224" s="9"/>
      <c r="AE1224" s="9"/>
      <c r="AF1224" s="9"/>
      <c r="AG1224" s="5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59"/>
      <c r="AR1224" s="21"/>
      <c r="AS1224" s="21"/>
      <c r="AT1224" s="3"/>
      <c r="AU1224" s="3"/>
      <c r="AV1224" s="3"/>
      <c r="AW1224" s="3"/>
      <c r="AX1224" s="3"/>
      <c r="AY1224" s="3"/>
      <c r="AZ1224" s="3"/>
      <c r="BA1224" s="3"/>
      <c r="BB1224" s="53"/>
      <c r="BC1224" s="3"/>
      <c r="BD1224" s="59"/>
      <c r="BE1224" s="3"/>
      <c r="BF1224" s="53"/>
      <c r="BG1224" s="59"/>
    </row>
    <row r="1225" spans="1:59" customFormat="1" ht="15" x14ac:dyDescent="0.35">
      <c r="A1225" s="50"/>
      <c r="B1225" s="63"/>
      <c r="C1225" s="39"/>
      <c r="D1225" s="6"/>
      <c r="E1225" s="149"/>
      <c r="F1225" s="153"/>
      <c r="G1225" s="10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12"/>
      <c r="X1225" s="33"/>
      <c r="Y1225" s="6"/>
      <c r="Z1225" s="6"/>
      <c r="AA1225" s="6"/>
      <c r="AB1225" s="6"/>
      <c r="AC1225" s="9"/>
      <c r="AD1225" s="9"/>
      <c r="AE1225" s="9"/>
      <c r="AF1225" s="9"/>
      <c r="AG1225" s="5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59"/>
      <c r="AR1225" s="21"/>
      <c r="AS1225" s="21"/>
      <c r="AT1225" s="3"/>
      <c r="AU1225" s="3"/>
      <c r="AV1225" s="3"/>
      <c r="AW1225" s="3"/>
      <c r="AX1225" s="3"/>
      <c r="AY1225" s="3"/>
      <c r="AZ1225" s="3"/>
      <c r="BA1225" s="3"/>
      <c r="BB1225" s="53"/>
      <c r="BC1225" s="3"/>
      <c r="BD1225" s="59"/>
      <c r="BE1225" s="3"/>
      <c r="BF1225" s="53"/>
      <c r="BG1225" s="59"/>
    </row>
    <row r="1226" spans="1:59" customFormat="1" ht="15" x14ac:dyDescent="0.35">
      <c r="A1226" s="19"/>
      <c r="B1226" s="49"/>
      <c r="C1226" s="14"/>
      <c r="D1226" s="1"/>
      <c r="E1226" s="149"/>
      <c r="F1226" s="153"/>
      <c r="G1226" s="10"/>
      <c r="H1226" s="17"/>
      <c r="I1226" s="17"/>
      <c r="J1226" s="17"/>
      <c r="K1226" s="30"/>
      <c r="L1226" s="30"/>
      <c r="M1226" s="30"/>
      <c r="N1226" s="30"/>
      <c r="O1226" s="30"/>
      <c r="P1226" s="30"/>
      <c r="Q1226" s="30"/>
      <c r="R1226" s="30"/>
      <c r="S1226" s="30"/>
      <c r="T1226" s="30"/>
      <c r="U1226" s="30"/>
      <c r="V1226" s="30"/>
      <c r="W1226" s="29"/>
      <c r="X1226" s="15"/>
      <c r="Y1226" s="30"/>
      <c r="Z1226" s="30"/>
      <c r="AA1226" s="30"/>
      <c r="AB1226" s="30"/>
      <c r="AC1226" s="17"/>
      <c r="AD1226" s="17"/>
      <c r="AE1226" s="17"/>
      <c r="AF1226" s="17"/>
      <c r="AG1226" s="20"/>
      <c r="AH1226" s="21"/>
      <c r="AI1226" s="21"/>
      <c r="AJ1226" s="21"/>
      <c r="AK1226" s="21"/>
      <c r="AL1226" s="21"/>
      <c r="AM1226" s="21"/>
      <c r="AN1226" s="21"/>
      <c r="AO1226" s="22"/>
      <c r="AP1226" s="21"/>
      <c r="AQ1226" s="24"/>
      <c r="AR1226" s="21"/>
      <c r="AS1226" s="21"/>
      <c r="AT1226" s="21"/>
      <c r="AU1226" s="21"/>
      <c r="AV1226" s="21"/>
      <c r="AW1226" s="21"/>
      <c r="AX1226" s="22"/>
      <c r="AY1226" s="21"/>
      <c r="AZ1226" s="22"/>
      <c r="BA1226" s="21"/>
      <c r="BB1226" s="20"/>
      <c r="BC1226" s="21"/>
      <c r="BD1226" s="25"/>
      <c r="BE1226" s="26"/>
      <c r="BF1226" s="27"/>
      <c r="BG1226" s="28"/>
    </row>
    <row r="1227" spans="1:59" customFormat="1" ht="15" x14ac:dyDescent="0.35">
      <c r="A1227" s="19"/>
      <c r="B1227" s="49"/>
      <c r="C1227" s="39"/>
      <c r="D1227" s="1"/>
      <c r="E1227" s="149"/>
      <c r="F1227" s="153"/>
      <c r="G1227" s="10"/>
      <c r="H1227" s="17"/>
      <c r="I1227" s="17"/>
      <c r="J1227" s="17"/>
      <c r="K1227" s="30"/>
      <c r="L1227" s="30"/>
      <c r="M1227" s="30"/>
      <c r="N1227" s="30"/>
      <c r="O1227" s="30"/>
      <c r="P1227" s="30"/>
      <c r="Q1227" s="30"/>
      <c r="R1227" s="30"/>
      <c r="S1227" s="30"/>
      <c r="T1227" s="30"/>
      <c r="U1227" s="30"/>
      <c r="V1227" s="30"/>
      <c r="W1227" s="29"/>
      <c r="X1227" s="15"/>
      <c r="Y1227" s="30"/>
      <c r="Z1227" s="30"/>
      <c r="AA1227" s="30"/>
      <c r="AB1227" s="30"/>
      <c r="AC1227" s="17"/>
      <c r="AD1227" s="17"/>
      <c r="AE1227" s="17"/>
      <c r="AF1227" s="17"/>
      <c r="AG1227" s="20"/>
      <c r="AH1227" s="21"/>
      <c r="AI1227" s="21"/>
      <c r="AJ1227" s="21"/>
      <c r="AK1227" s="21"/>
      <c r="AL1227" s="21"/>
      <c r="AM1227" s="21"/>
      <c r="AN1227" s="21"/>
      <c r="AO1227" s="22"/>
      <c r="AP1227" s="21"/>
      <c r="AQ1227" s="24"/>
      <c r="AR1227" s="21"/>
      <c r="AS1227" s="21"/>
      <c r="AT1227" s="21"/>
      <c r="AU1227" s="21"/>
      <c r="AV1227" s="21"/>
      <c r="AW1227" s="21"/>
      <c r="AX1227" s="22"/>
      <c r="AY1227" s="21"/>
      <c r="AZ1227" s="22"/>
      <c r="BA1227" s="21"/>
      <c r="BB1227" s="20"/>
      <c r="BC1227" s="21"/>
      <c r="BD1227" s="25"/>
      <c r="BE1227" s="26"/>
      <c r="BF1227" s="27"/>
      <c r="BG1227" s="28"/>
    </row>
    <row r="1228" spans="1:59" customFormat="1" ht="15" x14ac:dyDescent="0.35">
      <c r="A1228" s="19"/>
      <c r="B1228" s="49"/>
      <c r="C1228" s="14"/>
      <c r="D1228" s="1"/>
      <c r="E1228" s="149"/>
      <c r="F1228" s="153"/>
      <c r="G1228" s="10"/>
      <c r="H1228" s="17"/>
      <c r="I1228" s="17"/>
      <c r="J1228" s="17"/>
      <c r="K1228" s="30"/>
      <c r="L1228" s="30"/>
      <c r="M1228" s="30"/>
      <c r="N1228" s="30"/>
      <c r="O1228" s="30"/>
      <c r="P1228" s="30"/>
      <c r="Q1228" s="30"/>
      <c r="R1228" s="30"/>
      <c r="S1228" s="30"/>
      <c r="T1228" s="30"/>
      <c r="U1228" s="30"/>
      <c r="V1228" s="30"/>
      <c r="W1228" s="29"/>
      <c r="X1228" s="15"/>
      <c r="Y1228" s="30"/>
      <c r="Z1228" s="30"/>
      <c r="AA1228" s="30"/>
      <c r="AB1228" s="30"/>
      <c r="AC1228" s="17"/>
      <c r="AD1228" s="17"/>
      <c r="AE1228" s="17"/>
      <c r="AF1228" s="17"/>
      <c r="AG1228" s="20"/>
      <c r="AH1228" s="21"/>
      <c r="AI1228" s="21"/>
      <c r="AJ1228" s="21"/>
      <c r="AK1228" s="21"/>
      <c r="AL1228" s="21"/>
      <c r="AM1228" s="21"/>
      <c r="AN1228" s="21"/>
      <c r="AO1228" s="22"/>
      <c r="AP1228" s="21"/>
      <c r="AQ1228" s="24"/>
      <c r="AR1228" s="21"/>
      <c r="AS1228" s="21"/>
      <c r="AT1228" s="21"/>
      <c r="AU1228" s="21"/>
      <c r="AV1228" s="21"/>
      <c r="AW1228" s="21"/>
      <c r="AX1228" s="22"/>
      <c r="AY1228" s="21"/>
      <c r="AZ1228" s="22"/>
      <c r="BA1228" s="21"/>
      <c r="BB1228" s="20"/>
      <c r="BC1228" s="21"/>
      <c r="BD1228" s="25"/>
      <c r="BE1228" s="26"/>
      <c r="BF1228" s="27"/>
      <c r="BG1228" s="28"/>
    </row>
    <row r="1229" spans="1:59" customFormat="1" ht="15" x14ac:dyDescent="0.35">
      <c r="A1229" s="50"/>
      <c r="B1229" s="63"/>
      <c r="C1229" s="39"/>
      <c r="D1229" s="6"/>
      <c r="E1229" s="149"/>
      <c r="F1229" s="153"/>
      <c r="G1229" s="10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12"/>
      <c r="X1229" s="33"/>
      <c r="Y1229" s="6"/>
      <c r="Z1229" s="6"/>
      <c r="AA1229" s="6"/>
      <c r="AB1229" s="6"/>
      <c r="AC1229" s="9"/>
      <c r="AD1229" s="9"/>
      <c r="AE1229" s="9"/>
      <c r="AF1229" s="9"/>
      <c r="AG1229" s="5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59"/>
      <c r="AR1229" s="21"/>
      <c r="AS1229" s="21"/>
      <c r="AT1229" s="3"/>
      <c r="AU1229" s="3"/>
      <c r="AV1229" s="3"/>
      <c r="AW1229" s="3"/>
      <c r="AX1229" s="3"/>
      <c r="AY1229" s="3"/>
      <c r="AZ1229" s="3"/>
      <c r="BA1229" s="3"/>
      <c r="BB1229" s="53"/>
      <c r="BC1229" s="3"/>
      <c r="BD1229" s="59"/>
      <c r="BE1229" s="3"/>
      <c r="BF1229" s="53"/>
      <c r="BG1229" s="59"/>
    </row>
    <row r="1230" spans="1:59" customFormat="1" ht="15" x14ac:dyDescent="0.35">
      <c r="A1230" s="50"/>
      <c r="B1230" s="63"/>
      <c r="C1230" s="39"/>
      <c r="D1230" s="6"/>
      <c r="E1230" s="149"/>
      <c r="F1230" s="153"/>
      <c r="G1230" s="10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5"/>
      <c r="V1230" s="5"/>
      <c r="W1230" s="13"/>
      <c r="X1230" s="4"/>
      <c r="Y1230" s="4"/>
      <c r="Z1230" s="4"/>
      <c r="AA1230" s="6"/>
      <c r="AB1230" s="5"/>
      <c r="AC1230" s="9"/>
      <c r="AD1230" s="9"/>
      <c r="AE1230" s="9"/>
      <c r="AF1230" s="9"/>
      <c r="AG1230" s="54"/>
      <c r="AH1230" s="3"/>
      <c r="AI1230" s="2"/>
      <c r="AJ1230" s="2"/>
      <c r="AK1230" s="2"/>
      <c r="AL1230" s="3"/>
      <c r="AM1230" s="3"/>
      <c r="AN1230" s="3"/>
      <c r="AO1230" s="3"/>
      <c r="AP1230" s="3"/>
      <c r="AQ1230" s="59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53"/>
      <c r="BC1230" s="3"/>
      <c r="BD1230" s="59"/>
      <c r="BE1230" s="3"/>
      <c r="BF1230" s="53"/>
      <c r="BG1230" s="59"/>
    </row>
    <row r="1231" spans="1:59" customFormat="1" ht="15" x14ac:dyDescent="0.35">
      <c r="A1231" s="50"/>
      <c r="B1231" s="63"/>
      <c r="C1231" s="39"/>
      <c r="D1231" s="6"/>
      <c r="E1231" s="149"/>
      <c r="F1231" s="153"/>
      <c r="G1231" s="10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5"/>
      <c r="V1231" s="5"/>
      <c r="W1231" s="13"/>
      <c r="X1231" s="4"/>
      <c r="Y1231" s="4"/>
      <c r="Z1231" s="4"/>
      <c r="AA1231" s="6"/>
      <c r="AB1231" s="5"/>
      <c r="AC1231" s="9"/>
      <c r="AD1231" s="9"/>
      <c r="AE1231" s="9"/>
      <c r="AF1231" s="9"/>
      <c r="AG1231" s="54"/>
      <c r="AH1231" s="3"/>
      <c r="AI1231" s="2"/>
      <c r="AJ1231" s="2"/>
      <c r="AK1231" s="2"/>
      <c r="AL1231" s="3"/>
      <c r="AM1231" s="3"/>
      <c r="AN1231" s="3"/>
      <c r="AO1231" s="3"/>
      <c r="AP1231" s="3"/>
      <c r="AQ1231" s="59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53"/>
      <c r="BC1231" s="3"/>
      <c r="BD1231" s="59"/>
      <c r="BE1231" s="3"/>
      <c r="BF1231" s="53"/>
      <c r="BG1231" s="59"/>
    </row>
    <row r="1232" spans="1:59" customFormat="1" ht="15" x14ac:dyDescent="0.35">
      <c r="A1232" s="50"/>
      <c r="B1232" s="63"/>
      <c r="C1232" s="39"/>
      <c r="D1232" s="6"/>
      <c r="E1232" s="149"/>
      <c r="F1232" s="153"/>
      <c r="G1232" s="10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12"/>
      <c r="X1232" s="33"/>
      <c r="Y1232" s="6"/>
      <c r="Z1232" s="6"/>
      <c r="AA1232" s="6"/>
      <c r="AB1232" s="6"/>
      <c r="AC1232" s="9"/>
      <c r="AD1232" s="9"/>
      <c r="AE1232" s="9"/>
      <c r="AF1232" s="9"/>
      <c r="AG1232" s="5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59"/>
      <c r="AR1232" s="21"/>
      <c r="AS1232" s="21"/>
      <c r="AT1232" s="3"/>
      <c r="AU1232" s="3"/>
      <c r="AV1232" s="3"/>
      <c r="AW1232" s="3"/>
      <c r="AX1232" s="3"/>
      <c r="AY1232" s="3"/>
      <c r="AZ1232" s="3"/>
      <c r="BA1232" s="3"/>
      <c r="BB1232" s="53"/>
      <c r="BC1232" s="3"/>
      <c r="BD1232" s="59"/>
      <c r="BE1232" s="3"/>
      <c r="BF1232" s="53"/>
      <c r="BG1232" s="59"/>
    </row>
    <row r="1233" spans="1:59" customFormat="1" ht="15" x14ac:dyDescent="0.35">
      <c r="A1233" s="50"/>
      <c r="B1233" s="63"/>
      <c r="C1233" s="39"/>
      <c r="D1233" s="6"/>
      <c r="E1233" s="149"/>
      <c r="F1233" s="153"/>
      <c r="G1233" s="10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12"/>
      <c r="X1233" s="33"/>
      <c r="Y1233" s="6"/>
      <c r="Z1233" s="6"/>
      <c r="AA1233" s="6"/>
      <c r="AB1233" s="6"/>
      <c r="AC1233" s="9"/>
      <c r="AD1233" s="9"/>
      <c r="AE1233" s="9"/>
      <c r="AF1233" s="9"/>
      <c r="AG1233" s="5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59"/>
      <c r="AR1233" s="21"/>
      <c r="AS1233" s="21"/>
      <c r="AT1233" s="3"/>
      <c r="AU1233" s="3"/>
      <c r="AV1233" s="3"/>
      <c r="AW1233" s="3"/>
      <c r="AX1233" s="3"/>
      <c r="AY1233" s="3"/>
      <c r="AZ1233" s="3"/>
      <c r="BA1233" s="3"/>
      <c r="BB1233" s="53"/>
      <c r="BC1233" s="3"/>
      <c r="BD1233" s="59"/>
      <c r="BE1233" s="3"/>
      <c r="BF1233" s="53"/>
      <c r="BG1233" s="59"/>
    </row>
    <row r="1234" spans="1:59" customFormat="1" ht="15" x14ac:dyDescent="0.35">
      <c r="A1234" s="50"/>
      <c r="B1234" s="63"/>
      <c r="C1234" s="39"/>
      <c r="D1234" s="6"/>
      <c r="E1234" s="149"/>
      <c r="F1234" s="153"/>
      <c r="G1234" s="10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12"/>
      <c r="X1234" s="33"/>
      <c r="Y1234" s="6"/>
      <c r="Z1234" s="6"/>
      <c r="AA1234" s="6"/>
      <c r="AB1234" s="6"/>
      <c r="AC1234" s="9"/>
      <c r="AD1234" s="9"/>
      <c r="AE1234" s="9"/>
      <c r="AF1234" s="9"/>
      <c r="AG1234" s="5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59"/>
      <c r="AR1234" s="21"/>
      <c r="AS1234" s="21"/>
      <c r="AT1234" s="3"/>
      <c r="AU1234" s="3"/>
      <c r="AV1234" s="3"/>
      <c r="AW1234" s="3"/>
      <c r="AX1234" s="3"/>
      <c r="AY1234" s="3"/>
      <c r="AZ1234" s="3"/>
      <c r="BA1234" s="3"/>
      <c r="BB1234" s="53"/>
      <c r="BC1234" s="3"/>
      <c r="BD1234" s="59"/>
      <c r="BE1234" s="3"/>
      <c r="BF1234" s="53"/>
      <c r="BG1234" s="59"/>
    </row>
    <row r="1235" spans="1:59" customFormat="1" ht="15" x14ac:dyDescent="0.35">
      <c r="A1235" s="19"/>
      <c r="B1235" s="49"/>
      <c r="C1235" s="14"/>
      <c r="D1235" s="1"/>
      <c r="E1235" s="149"/>
      <c r="F1235" s="153"/>
      <c r="G1235" s="10"/>
      <c r="H1235" s="17"/>
      <c r="I1235" s="17"/>
      <c r="J1235" s="17"/>
      <c r="K1235" s="30"/>
      <c r="L1235" s="30"/>
      <c r="M1235" s="30"/>
      <c r="N1235" s="30"/>
      <c r="O1235" s="30"/>
      <c r="P1235" s="30"/>
      <c r="Q1235" s="30"/>
      <c r="R1235" s="30"/>
      <c r="S1235" s="30"/>
      <c r="T1235" s="30"/>
      <c r="U1235" s="30"/>
      <c r="V1235" s="30"/>
      <c r="W1235" s="29"/>
      <c r="X1235" s="15"/>
      <c r="Y1235" s="30"/>
      <c r="Z1235" s="30"/>
      <c r="AA1235" s="30"/>
      <c r="AB1235" s="30"/>
      <c r="AC1235" s="17"/>
      <c r="AD1235" s="17"/>
      <c r="AE1235" s="17"/>
      <c r="AF1235" s="17"/>
      <c r="AG1235" s="20"/>
      <c r="AH1235" s="21"/>
      <c r="AI1235" s="21"/>
      <c r="AJ1235" s="21"/>
      <c r="AK1235" s="21"/>
      <c r="AL1235" s="21"/>
      <c r="AM1235" s="21"/>
      <c r="AN1235" s="21"/>
      <c r="AO1235" s="22"/>
      <c r="AP1235" s="21"/>
      <c r="AQ1235" s="24"/>
      <c r="AR1235" s="21"/>
      <c r="AS1235" s="21"/>
      <c r="AT1235" s="21"/>
      <c r="AU1235" s="21"/>
      <c r="AV1235" s="21"/>
      <c r="AW1235" s="21"/>
      <c r="AX1235" s="22"/>
      <c r="AY1235" s="21"/>
      <c r="AZ1235" s="22"/>
      <c r="BA1235" s="21"/>
      <c r="BB1235" s="20"/>
      <c r="BC1235" s="21"/>
      <c r="BD1235" s="25"/>
      <c r="BE1235" s="26"/>
      <c r="BF1235" s="27"/>
      <c r="BG1235" s="28"/>
    </row>
    <row r="1236" spans="1:59" customFormat="1" ht="15" x14ac:dyDescent="0.35">
      <c r="A1236" s="19"/>
      <c r="B1236" s="49"/>
      <c r="C1236" s="14"/>
      <c r="D1236" s="1"/>
      <c r="E1236" s="149"/>
      <c r="F1236" s="153"/>
      <c r="G1236" s="10"/>
      <c r="H1236" s="17"/>
      <c r="I1236" s="17"/>
      <c r="J1236" s="17"/>
      <c r="K1236" s="30"/>
      <c r="L1236" s="30"/>
      <c r="M1236" s="30"/>
      <c r="N1236" s="30"/>
      <c r="O1236" s="30"/>
      <c r="P1236" s="30"/>
      <c r="Q1236" s="30"/>
      <c r="R1236" s="30"/>
      <c r="S1236" s="30"/>
      <c r="T1236" s="30"/>
      <c r="U1236" s="30"/>
      <c r="V1236" s="30"/>
      <c r="W1236" s="29"/>
      <c r="X1236" s="15"/>
      <c r="Y1236" s="30"/>
      <c r="Z1236" s="30"/>
      <c r="AA1236" s="30"/>
      <c r="AB1236" s="30"/>
      <c r="AC1236" s="17"/>
      <c r="AD1236" s="17"/>
      <c r="AE1236" s="17"/>
      <c r="AF1236" s="17"/>
      <c r="AG1236" s="20"/>
      <c r="AH1236" s="21"/>
      <c r="AI1236" s="21"/>
      <c r="AJ1236" s="21"/>
      <c r="AK1236" s="21"/>
      <c r="AL1236" s="21"/>
      <c r="AM1236" s="21"/>
      <c r="AN1236" s="21"/>
      <c r="AO1236" s="22"/>
      <c r="AP1236" s="21"/>
      <c r="AQ1236" s="24"/>
      <c r="AR1236" s="21"/>
      <c r="AS1236" s="21"/>
      <c r="AT1236" s="21"/>
      <c r="AU1236" s="21"/>
      <c r="AV1236" s="21"/>
      <c r="AW1236" s="21"/>
      <c r="AX1236" s="22"/>
      <c r="AY1236" s="21"/>
      <c r="AZ1236" s="22"/>
      <c r="BA1236" s="21"/>
      <c r="BB1236" s="20"/>
      <c r="BC1236" s="21"/>
      <c r="BD1236" s="25"/>
      <c r="BE1236" s="26"/>
      <c r="BF1236" s="27"/>
      <c r="BG1236" s="28"/>
    </row>
    <row r="1237" spans="1:59" customFormat="1" ht="15" x14ac:dyDescent="0.35">
      <c r="A1237" s="50"/>
      <c r="B1237" s="63"/>
      <c r="C1237" s="39"/>
      <c r="D1237" s="6"/>
      <c r="E1237" s="149"/>
      <c r="F1237" s="153"/>
      <c r="G1237" s="10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5"/>
      <c r="V1237" s="5"/>
      <c r="W1237" s="13"/>
      <c r="X1237" s="4"/>
      <c r="Y1237" s="4"/>
      <c r="Z1237" s="4"/>
      <c r="AA1237" s="6"/>
      <c r="AB1237" s="5"/>
      <c r="AC1237" s="9"/>
      <c r="AD1237" s="9"/>
      <c r="AE1237" s="9"/>
      <c r="AF1237" s="9"/>
      <c r="AG1237" s="54"/>
      <c r="AH1237" s="3"/>
      <c r="AI1237" s="2"/>
      <c r="AJ1237" s="2"/>
      <c r="AK1237" s="2"/>
      <c r="AL1237" s="3"/>
      <c r="AM1237" s="3"/>
      <c r="AN1237" s="3"/>
      <c r="AO1237" s="3"/>
      <c r="AP1237" s="3"/>
      <c r="AQ1237" s="59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53"/>
      <c r="BC1237" s="3"/>
      <c r="BD1237" s="59"/>
      <c r="BE1237" s="3"/>
      <c r="BF1237" s="53"/>
      <c r="BG1237" s="59"/>
    </row>
    <row r="1238" spans="1:59" customFormat="1" ht="15" x14ac:dyDescent="0.35">
      <c r="A1238" s="19"/>
      <c r="B1238" s="49"/>
      <c r="C1238" s="39"/>
      <c r="D1238" s="1"/>
      <c r="E1238" s="149"/>
      <c r="F1238" s="153"/>
      <c r="G1238" s="10"/>
      <c r="H1238" s="17"/>
      <c r="I1238" s="17"/>
      <c r="J1238" s="17"/>
      <c r="K1238" s="30"/>
      <c r="L1238" s="30"/>
      <c r="M1238" s="30"/>
      <c r="N1238" s="30"/>
      <c r="O1238" s="30"/>
      <c r="P1238" s="30"/>
      <c r="Q1238" s="30"/>
      <c r="R1238" s="30"/>
      <c r="S1238" s="30"/>
      <c r="T1238" s="30"/>
      <c r="U1238" s="30"/>
      <c r="V1238" s="30"/>
      <c r="W1238" s="29"/>
      <c r="X1238" s="15"/>
      <c r="Y1238" s="30"/>
      <c r="Z1238" s="30"/>
      <c r="AA1238" s="30"/>
      <c r="AB1238" s="30"/>
      <c r="AC1238" s="17"/>
      <c r="AD1238" s="17"/>
      <c r="AE1238" s="17"/>
      <c r="AF1238" s="17"/>
      <c r="AG1238" s="20"/>
      <c r="AH1238" s="21"/>
      <c r="AI1238" s="21"/>
      <c r="AJ1238" s="21"/>
      <c r="AK1238" s="21"/>
      <c r="AL1238" s="21"/>
      <c r="AM1238" s="21"/>
      <c r="AN1238" s="21"/>
      <c r="AO1238" s="22"/>
      <c r="AP1238" s="21"/>
      <c r="AQ1238" s="24"/>
      <c r="AR1238" s="21"/>
      <c r="AS1238" s="21"/>
      <c r="AT1238" s="21"/>
      <c r="AU1238" s="21"/>
      <c r="AV1238" s="21"/>
      <c r="AW1238" s="21"/>
      <c r="AX1238" s="22"/>
      <c r="AY1238" s="21"/>
      <c r="AZ1238" s="22"/>
      <c r="BA1238" s="21"/>
      <c r="BB1238" s="20"/>
      <c r="BC1238" s="21"/>
      <c r="BD1238" s="25"/>
      <c r="BE1238" s="26"/>
      <c r="BF1238" s="27"/>
      <c r="BG1238" s="28"/>
    </row>
    <row r="1239" spans="1:59" customFormat="1" ht="15" x14ac:dyDescent="0.35">
      <c r="A1239" s="50"/>
      <c r="B1239" s="63"/>
      <c r="C1239" s="39"/>
      <c r="D1239" s="6"/>
      <c r="E1239" s="149"/>
      <c r="F1239" s="153"/>
      <c r="G1239" s="10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5"/>
      <c r="V1239" s="5"/>
      <c r="W1239" s="13"/>
      <c r="X1239" s="4"/>
      <c r="Y1239" s="4"/>
      <c r="Z1239" s="4"/>
      <c r="AA1239" s="6"/>
      <c r="AB1239" s="5"/>
      <c r="AC1239" s="9"/>
      <c r="AD1239" s="9"/>
      <c r="AE1239" s="9"/>
      <c r="AF1239" s="9"/>
      <c r="AG1239" s="54"/>
      <c r="AH1239" s="3"/>
      <c r="AI1239" s="2"/>
      <c r="AJ1239" s="2"/>
      <c r="AK1239" s="2"/>
      <c r="AL1239" s="3"/>
      <c r="AM1239" s="3"/>
      <c r="AN1239" s="3"/>
      <c r="AO1239" s="3"/>
      <c r="AP1239" s="3"/>
      <c r="AQ1239" s="59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53"/>
      <c r="BC1239" s="3"/>
      <c r="BD1239" s="59"/>
      <c r="BE1239" s="3"/>
      <c r="BF1239" s="53"/>
      <c r="BG1239" s="59"/>
    </row>
    <row r="1240" spans="1:59" customFormat="1" ht="15" x14ac:dyDescent="0.35">
      <c r="A1240" s="50"/>
      <c r="B1240" s="63"/>
      <c r="C1240" s="39"/>
      <c r="D1240" s="6"/>
      <c r="E1240" s="149"/>
      <c r="F1240" s="153"/>
      <c r="G1240" s="10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12"/>
      <c r="X1240" s="33"/>
      <c r="Y1240" s="6"/>
      <c r="Z1240" s="6"/>
      <c r="AA1240" s="6"/>
      <c r="AB1240" s="6"/>
      <c r="AC1240" s="9"/>
      <c r="AD1240" s="9"/>
      <c r="AE1240" s="9"/>
      <c r="AF1240" s="9"/>
      <c r="AG1240" s="5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59"/>
      <c r="AR1240" s="21"/>
      <c r="AS1240" s="21"/>
      <c r="AT1240" s="3"/>
      <c r="AU1240" s="3"/>
      <c r="AV1240" s="3"/>
      <c r="AW1240" s="3"/>
      <c r="AX1240" s="3"/>
      <c r="AY1240" s="3"/>
      <c r="AZ1240" s="3"/>
      <c r="BA1240" s="3"/>
      <c r="BB1240" s="53"/>
      <c r="BC1240" s="3"/>
      <c r="BD1240" s="59"/>
      <c r="BE1240" s="3"/>
      <c r="BF1240" s="53"/>
      <c r="BG1240" s="59"/>
    </row>
    <row r="1241" spans="1:59" customFormat="1" ht="15" x14ac:dyDescent="0.35">
      <c r="A1241" s="19"/>
      <c r="B1241" s="49"/>
      <c r="C1241" s="39"/>
      <c r="D1241" s="1"/>
      <c r="E1241" s="149"/>
      <c r="F1241" s="153"/>
      <c r="G1241" s="10"/>
      <c r="H1241" s="17"/>
      <c r="I1241" s="17"/>
      <c r="J1241" s="17"/>
      <c r="K1241" s="30"/>
      <c r="L1241" s="30"/>
      <c r="M1241" s="30"/>
      <c r="N1241" s="30"/>
      <c r="O1241" s="30"/>
      <c r="P1241" s="30"/>
      <c r="Q1241" s="30"/>
      <c r="R1241" s="30"/>
      <c r="S1241" s="30"/>
      <c r="T1241" s="30"/>
      <c r="U1241" s="30"/>
      <c r="V1241" s="30"/>
      <c r="W1241" s="29"/>
      <c r="X1241" s="15"/>
      <c r="Y1241" s="30"/>
      <c r="Z1241" s="30"/>
      <c r="AA1241" s="30"/>
      <c r="AB1241" s="30"/>
      <c r="AC1241" s="17"/>
      <c r="AD1241" s="17"/>
      <c r="AE1241" s="17"/>
      <c r="AF1241" s="17"/>
      <c r="AG1241" s="20"/>
      <c r="AH1241" s="21"/>
      <c r="AI1241" s="21"/>
      <c r="AJ1241" s="21"/>
      <c r="AK1241" s="21"/>
      <c r="AL1241" s="21"/>
      <c r="AM1241" s="21"/>
      <c r="AN1241" s="21"/>
      <c r="AO1241" s="22"/>
      <c r="AP1241" s="21"/>
      <c r="AQ1241" s="24"/>
      <c r="AR1241" s="21"/>
      <c r="AS1241" s="21"/>
      <c r="AT1241" s="21"/>
      <c r="AU1241" s="21"/>
      <c r="AV1241" s="21"/>
      <c r="AW1241" s="21"/>
      <c r="AX1241" s="22"/>
      <c r="AY1241" s="21"/>
      <c r="AZ1241" s="22"/>
      <c r="BA1241" s="21"/>
      <c r="BB1241" s="20"/>
      <c r="BC1241" s="21"/>
      <c r="BD1241" s="25"/>
      <c r="BE1241" s="26"/>
      <c r="BF1241" s="27"/>
      <c r="BG1241" s="28"/>
    </row>
    <row r="1242" spans="1:59" customFormat="1" ht="15" x14ac:dyDescent="0.35">
      <c r="A1242" s="50"/>
      <c r="B1242" s="63"/>
      <c r="C1242" s="39"/>
      <c r="D1242" s="6"/>
      <c r="E1242" s="149"/>
      <c r="F1242" s="153"/>
      <c r="G1242" s="10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5"/>
      <c r="V1242" s="5"/>
      <c r="W1242" s="13"/>
      <c r="X1242" s="4"/>
      <c r="Y1242" s="4"/>
      <c r="Z1242" s="4"/>
      <c r="AA1242" s="6"/>
      <c r="AB1242" s="5"/>
      <c r="AC1242" s="9"/>
      <c r="AD1242" s="9"/>
      <c r="AE1242" s="9"/>
      <c r="AF1242" s="9"/>
      <c r="AG1242" s="54"/>
      <c r="AH1242" s="3"/>
      <c r="AI1242" s="2"/>
      <c r="AJ1242" s="2"/>
      <c r="AK1242" s="2"/>
      <c r="AL1242" s="3"/>
      <c r="AM1242" s="3"/>
      <c r="AN1242" s="3"/>
      <c r="AO1242" s="3"/>
      <c r="AP1242" s="3"/>
      <c r="AQ1242" s="59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53"/>
      <c r="BC1242" s="3"/>
      <c r="BD1242" s="59"/>
      <c r="BE1242" s="3"/>
      <c r="BF1242" s="53"/>
      <c r="BG1242" s="59"/>
    </row>
    <row r="1243" spans="1:59" customFormat="1" ht="15" x14ac:dyDescent="0.35">
      <c r="A1243" s="19"/>
      <c r="B1243" s="49"/>
      <c r="C1243" s="14"/>
      <c r="D1243" s="1"/>
      <c r="E1243" s="149"/>
      <c r="F1243" s="153"/>
      <c r="G1243" s="10"/>
      <c r="H1243" s="17"/>
      <c r="I1243" s="17"/>
      <c r="J1243" s="17"/>
      <c r="K1243" s="30"/>
      <c r="L1243" s="30"/>
      <c r="M1243" s="30"/>
      <c r="N1243" s="30"/>
      <c r="O1243" s="30"/>
      <c r="P1243" s="30"/>
      <c r="Q1243" s="30"/>
      <c r="R1243" s="30"/>
      <c r="S1243" s="30"/>
      <c r="T1243" s="30"/>
      <c r="U1243" s="30"/>
      <c r="V1243" s="30"/>
      <c r="W1243" s="29"/>
      <c r="X1243" s="15"/>
      <c r="Y1243" s="30"/>
      <c r="Z1243" s="30"/>
      <c r="AA1243" s="30"/>
      <c r="AB1243" s="30"/>
      <c r="AC1243" s="17"/>
      <c r="AD1243" s="17"/>
      <c r="AE1243" s="17"/>
      <c r="AF1243" s="17"/>
      <c r="AG1243" s="20"/>
      <c r="AH1243" s="21"/>
      <c r="AI1243" s="21"/>
      <c r="AJ1243" s="21"/>
      <c r="AK1243" s="21"/>
      <c r="AL1243" s="21"/>
      <c r="AM1243" s="21"/>
      <c r="AN1243" s="21"/>
      <c r="AO1243" s="22"/>
      <c r="AP1243" s="21"/>
      <c r="AQ1243" s="24"/>
      <c r="AR1243" s="21"/>
      <c r="AS1243" s="21"/>
      <c r="AT1243" s="21"/>
      <c r="AU1243" s="21"/>
      <c r="AV1243" s="21"/>
      <c r="AW1243" s="21"/>
      <c r="AX1243" s="22"/>
      <c r="AY1243" s="21"/>
      <c r="AZ1243" s="22"/>
      <c r="BA1243" s="21"/>
      <c r="BB1243" s="20"/>
      <c r="BC1243" s="21"/>
      <c r="BD1243" s="25"/>
      <c r="BE1243" s="26"/>
      <c r="BF1243" s="27"/>
      <c r="BG1243" s="28"/>
    </row>
    <row r="1244" spans="1:59" customFormat="1" ht="15" x14ac:dyDescent="0.35">
      <c r="A1244" s="19"/>
      <c r="B1244" s="49"/>
      <c r="C1244" s="14"/>
      <c r="D1244" s="1"/>
      <c r="E1244" s="149"/>
      <c r="F1244" s="153"/>
      <c r="G1244" s="10"/>
      <c r="H1244" s="17"/>
      <c r="I1244" s="17"/>
      <c r="J1244" s="17"/>
      <c r="K1244" s="30"/>
      <c r="L1244" s="30"/>
      <c r="M1244" s="30"/>
      <c r="N1244" s="30"/>
      <c r="O1244" s="30"/>
      <c r="P1244" s="30"/>
      <c r="Q1244" s="30"/>
      <c r="R1244" s="30"/>
      <c r="S1244" s="30"/>
      <c r="T1244" s="30"/>
      <c r="U1244" s="30"/>
      <c r="V1244" s="30"/>
      <c r="W1244" s="29"/>
      <c r="X1244" s="15"/>
      <c r="Y1244" s="30"/>
      <c r="Z1244" s="30"/>
      <c r="AA1244" s="30"/>
      <c r="AB1244" s="30"/>
      <c r="AC1244" s="17"/>
      <c r="AD1244" s="17"/>
      <c r="AE1244" s="17"/>
      <c r="AF1244" s="17"/>
      <c r="AG1244" s="20"/>
      <c r="AH1244" s="21"/>
      <c r="AI1244" s="21"/>
      <c r="AJ1244" s="21"/>
      <c r="AK1244" s="21"/>
      <c r="AL1244" s="21"/>
      <c r="AM1244" s="21"/>
      <c r="AN1244" s="21"/>
      <c r="AO1244" s="22"/>
      <c r="AP1244" s="21"/>
      <c r="AQ1244" s="24"/>
      <c r="AR1244" s="21"/>
      <c r="AS1244" s="21"/>
      <c r="AT1244" s="21"/>
      <c r="AU1244" s="21"/>
      <c r="AV1244" s="21"/>
      <c r="AW1244" s="21"/>
      <c r="AX1244" s="22"/>
      <c r="AY1244" s="21"/>
      <c r="AZ1244" s="22"/>
      <c r="BA1244" s="21"/>
      <c r="BB1244" s="20"/>
      <c r="BC1244" s="21"/>
      <c r="BD1244" s="25"/>
      <c r="BE1244" s="26"/>
      <c r="BF1244" s="27"/>
      <c r="BG1244" s="28"/>
    </row>
    <row r="1245" spans="1:59" customFormat="1" ht="15" x14ac:dyDescent="0.35">
      <c r="A1245" s="50"/>
      <c r="B1245" s="63"/>
      <c r="C1245" s="39"/>
      <c r="D1245" s="6"/>
      <c r="E1245" s="149"/>
      <c r="F1245" s="153"/>
      <c r="G1245" s="10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12"/>
      <c r="X1245" s="33"/>
      <c r="Y1245" s="6"/>
      <c r="Z1245" s="6"/>
      <c r="AA1245" s="6"/>
      <c r="AB1245" s="6"/>
      <c r="AC1245" s="9"/>
      <c r="AD1245" s="9"/>
      <c r="AE1245" s="9"/>
      <c r="AF1245" s="9"/>
      <c r="AG1245" s="5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59"/>
      <c r="AR1245" s="21"/>
      <c r="AS1245" s="21"/>
      <c r="AT1245" s="3"/>
      <c r="AU1245" s="3"/>
      <c r="AV1245" s="3"/>
      <c r="AW1245" s="3"/>
      <c r="AX1245" s="3"/>
      <c r="AY1245" s="3"/>
      <c r="AZ1245" s="3"/>
      <c r="BA1245" s="3"/>
      <c r="BB1245" s="53"/>
      <c r="BC1245" s="3"/>
      <c r="BD1245" s="59"/>
      <c r="BE1245" s="3"/>
      <c r="BF1245" s="53"/>
      <c r="BG1245" s="59"/>
    </row>
    <row r="1246" spans="1:59" customFormat="1" ht="15" x14ac:dyDescent="0.35">
      <c r="A1246" s="50"/>
      <c r="B1246" s="63"/>
      <c r="C1246" s="39"/>
      <c r="D1246" s="6"/>
      <c r="E1246" s="149"/>
      <c r="F1246" s="153"/>
      <c r="G1246" s="10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5"/>
      <c r="V1246" s="5"/>
      <c r="W1246" s="13"/>
      <c r="X1246" s="4"/>
      <c r="Y1246" s="4"/>
      <c r="Z1246" s="4"/>
      <c r="AA1246" s="6"/>
      <c r="AB1246" s="5"/>
      <c r="AC1246" s="9"/>
      <c r="AD1246" s="9"/>
      <c r="AE1246" s="9"/>
      <c r="AF1246" s="9"/>
      <c r="AG1246" s="54"/>
      <c r="AH1246" s="3"/>
      <c r="AI1246" s="2"/>
      <c r="AJ1246" s="2"/>
      <c r="AK1246" s="2"/>
      <c r="AL1246" s="3"/>
      <c r="AM1246" s="3"/>
      <c r="AN1246" s="3"/>
      <c r="AO1246" s="3"/>
      <c r="AP1246" s="3"/>
      <c r="AQ1246" s="59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53"/>
      <c r="BC1246" s="3"/>
      <c r="BD1246" s="59"/>
      <c r="BE1246" s="3"/>
      <c r="BF1246" s="53"/>
      <c r="BG1246" s="59"/>
    </row>
    <row r="1247" spans="1:59" customFormat="1" ht="15" x14ac:dyDescent="0.35">
      <c r="A1247" s="50"/>
      <c r="B1247" s="63"/>
      <c r="C1247" s="39"/>
      <c r="D1247" s="6"/>
      <c r="E1247" s="149"/>
      <c r="F1247" s="153"/>
      <c r="G1247" s="10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12"/>
      <c r="X1247" s="33"/>
      <c r="Y1247" s="6"/>
      <c r="Z1247" s="6"/>
      <c r="AA1247" s="6"/>
      <c r="AB1247" s="6"/>
      <c r="AC1247" s="9"/>
      <c r="AD1247" s="9"/>
      <c r="AE1247" s="9"/>
      <c r="AF1247" s="9"/>
      <c r="AG1247" s="5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59"/>
      <c r="AR1247" s="21"/>
      <c r="AS1247" s="21"/>
      <c r="AT1247" s="3"/>
      <c r="AU1247" s="3"/>
      <c r="AV1247" s="3"/>
      <c r="AW1247" s="3"/>
      <c r="AX1247" s="3"/>
      <c r="AY1247" s="3"/>
      <c r="AZ1247" s="3"/>
      <c r="BA1247" s="3"/>
      <c r="BB1247" s="53"/>
      <c r="BC1247" s="3"/>
      <c r="BD1247" s="59"/>
      <c r="BE1247" s="3"/>
      <c r="BF1247" s="53"/>
      <c r="BG1247" s="59"/>
    </row>
    <row r="1248" spans="1:59" customFormat="1" ht="15" x14ac:dyDescent="0.35">
      <c r="A1248" s="50"/>
      <c r="B1248" s="63"/>
      <c r="C1248" s="39"/>
      <c r="D1248" s="6"/>
      <c r="E1248" s="149"/>
      <c r="F1248" s="153"/>
      <c r="G1248" s="10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12"/>
      <c r="X1248" s="33"/>
      <c r="Y1248" s="6"/>
      <c r="Z1248" s="6"/>
      <c r="AA1248" s="6"/>
      <c r="AB1248" s="6"/>
      <c r="AC1248" s="9"/>
      <c r="AD1248" s="9"/>
      <c r="AE1248" s="9"/>
      <c r="AF1248" s="9"/>
      <c r="AG1248" s="5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59"/>
      <c r="AR1248" s="21"/>
      <c r="AS1248" s="21"/>
      <c r="AT1248" s="3"/>
      <c r="AU1248" s="3"/>
      <c r="AV1248" s="3"/>
      <c r="AW1248" s="3"/>
      <c r="AX1248" s="3"/>
      <c r="AY1248" s="3"/>
      <c r="AZ1248" s="3"/>
      <c r="BA1248" s="3"/>
      <c r="BB1248" s="53"/>
      <c r="BC1248" s="3"/>
      <c r="BD1248" s="59"/>
      <c r="BE1248" s="3"/>
      <c r="BF1248" s="53"/>
      <c r="BG1248" s="59"/>
    </row>
    <row r="1249" spans="1:59" customFormat="1" ht="15" x14ac:dyDescent="0.35">
      <c r="A1249" s="19"/>
      <c r="B1249" s="49"/>
      <c r="C1249" s="39"/>
      <c r="D1249" s="1"/>
      <c r="E1249" s="149"/>
      <c r="F1249" s="153"/>
      <c r="G1249" s="10"/>
      <c r="H1249" s="17"/>
      <c r="I1249" s="17"/>
      <c r="J1249" s="17"/>
      <c r="K1249" s="30"/>
      <c r="L1249" s="30"/>
      <c r="M1249" s="30"/>
      <c r="N1249" s="30"/>
      <c r="O1249" s="30"/>
      <c r="P1249" s="30"/>
      <c r="Q1249" s="30"/>
      <c r="R1249" s="30"/>
      <c r="S1249" s="30"/>
      <c r="T1249" s="30"/>
      <c r="U1249" s="30"/>
      <c r="V1249" s="30"/>
      <c r="W1249" s="29"/>
      <c r="X1249" s="15"/>
      <c r="Y1249" s="30"/>
      <c r="Z1249" s="30"/>
      <c r="AA1249" s="30"/>
      <c r="AB1249" s="30"/>
      <c r="AC1249" s="17"/>
      <c r="AD1249" s="17"/>
      <c r="AE1249" s="17"/>
      <c r="AF1249" s="17"/>
      <c r="AG1249" s="20"/>
      <c r="AH1249" s="21"/>
      <c r="AI1249" s="21"/>
      <c r="AJ1249" s="21"/>
      <c r="AK1249" s="21"/>
      <c r="AL1249" s="21"/>
      <c r="AM1249" s="21"/>
      <c r="AN1249" s="21"/>
      <c r="AO1249" s="22"/>
      <c r="AP1249" s="21"/>
      <c r="AQ1249" s="24"/>
      <c r="AR1249" s="21"/>
      <c r="AS1249" s="21"/>
      <c r="AT1249" s="21"/>
      <c r="AU1249" s="21"/>
      <c r="AV1249" s="21"/>
      <c r="AW1249" s="21"/>
      <c r="AX1249" s="22"/>
      <c r="AY1249" s="21"/>
      <c r="AZ1249" s="22"/>
      <c r="BA1249" s="21"/>
      <c r="BB1249" s="20"/>
      <c r="BC1249" s="21"/>
      <c r="BD1249" s="25"/>
      <c r="BE1249" s="26"/>
      <c r="BF1249" s="27"/>
      <c r="BG1249" s="28"/>
    </row>
    <row r="1250" spans="1:59" customFormat="1" ht="15" x14ac:dyDescent="0.35">
      <c r="A1250" s="19"/>
      <c r="B1250" s="49"/>
      <c r="C1250" s="39"/>
      <c r="D1250" s="1"/>
      <c r="E1250" s="149"/>
      <c r="F1250" s="153"/>
      <c r="G1250" s="10"/>
      <c r="H1250" s="17"/>
      <c r="I1250" s="17"/>
      <c r="J1250" s="17"/>
      <c r="K1250" s="30"/>
      <c r="L1250" s="30"/>
      <c r="M1250" s="30"/>
      <c r="N1250" s="30"/>
      <c r="O1250" s="30"/>
      <c r="P1250" s="30"/>
      <c r="Q1250" s="30"/>
      <c r="R1250" s="30"/>
      <c r="S1250" s="30"/>
      <c r="T1250" s="30"/>
      <c r="U1250" s="30"/>
      <c r="V1250" s="30"/>
      <c r="W1250" s="29"/>
      <c r="X1250" s="15"/>
      <c r="Y1250" s="30"/>
      <c r="Z1250" s="30"/>
      <c r="AA1250" s="30"/>
      <c r="AB1250" s="30"/>
      <c r="AC1250" s="17"/>
      <c r="AD1250" s="17"/>
      <c r="AE1250" s="17"/>
      <c r="AF1250" s="17"/>
      <c r="AG1250" s="20"/>
      <c r="AH1250" s="21"/>
      <c r="AI1250" s="21"/>
      <c r="AJ1250" s="21"/>
      <c r="AK1250" s="21"/>
      <c r="AL1250" s="21"/>
      <c r="AM1250" s="21"/>
      <c r="AN1250" s="21"/>
      <c r="AO1250" s="22"/>
      <c r="AP1250" s="21"/>
      <c r="AQ1250" s="24"/>
      <c r="AR1250" s="21"/>
      <c r="AS1250" s="21"/>
      <c r="AT1250" s="21"/>
      <c r="AU1250" s="21"/>
      <c r="AV1250" s="21"/>
      <c r="AW1250" s="21"/>
      <c r="AX1250" s="22"/>
      <c r="AY1250" s="21"/>
      <c r="AZ1250" s="22"/>
      <c r="BA1250" s="21"/>
      <c r="BB1250" s="20"/>
      <c r="BC1250" s="21"/>
      <c r="BD1250" s="25"/>
      <c r="BE1250" s="26"/>
      <c r="BF1250" s="27"/>
      <c r="BG1250" s="28"/>
    </row>
    <row r="1251" spans="1:59" customFormat="1" ht="15" x14ac:dyDescent="0.35">
      <c r="A1251" s="50"/>
      <c r="B1251" s="63"/>
      <c r="C1251" s="39"/>
      <c r="D1251" s="6"/>
      <c r="E1251" s="149"/>
      <c r="F1251" s="153"/>
      <c r="G1251" s="10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5"/>
      <c r="V1251" s="5"/>
      <c r="W1251" s="13"/>
      <c r="X1251" s="4"/>
      <c r="Y1251" s="4"/>
      <c r="Z1251" s="4"/>
      <c r="AA1251" s="6"/>
      <c r="AB1251" s="5"/>
      <c r="AC1251" s="9"/>
      <c r="AD1251" s="9"/>
      <c r="AE1251" s="9"/>
      <c r="AF1251" s="9"/>
      <c r="AG1251" s="54"/>
      <c r="AH1251" s="3"/>
      <c r="AI1251" s="2"/>
      <c r="AJ1251" s="2"/>
      <c r="AK1251" s="2"/>
      <c r="AL1251" s="3"/>
      <c r="AM1251" s="3"/>
      <c r="AN1251" s="3"/>
      <c r="AO1251" s="3"/>
      <c r="AP1251" s="3"/>
      <c r="AQ1251" s="59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53"/>
      <c r="BC1251" s="3"/>
      <c r="BD1251" s="59"/>
      <c r="BE1251" s="3"/>
      <c r="BF1251" s="53"/>
      <c r="BG1251" s="59"/>
    </row>
    <row r="1252" spans="1:59" customFormat="1" ht="15" x14ac:dyDescent="0.35">
      <c r="A1252" s="50"/>
      <c r="B1252" s="63"/>
      <c r="C1252" s="39"/>
      <c r="D1252" s="6"/>
      <c r="E1252" s="149"/>
      <c r="F1252" s="153"/>
      <c r="G1252" s="10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12"/>
      <c r="X1252" s="33"/>
      <c r="Y1252" s="6"/>
      <c r="Z1252" s="6"/>
      <c r="AA1252" s="6"/>
      <c r="AB1252" s="6"/>
      <c r="AC1252" s="9"/>
      <c r="AD1252" s="9"/>
      <c r="AE1252" s="9"/>
      <c r="AF1252" s="9"/>
      <c r="AG1252" s="5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59"/>
      <c r="AR1252" s="21"/>
      <c r="AS1252" s="21"/>
      <c r="AT1252" s="3"/>
      <c r="AU1252" s="3"/>
      <c r="AV1252" s="3"/>
      <c r="AW1252" s="3"/>
      <c r="AX1252" s="3"/>
      <c r="AY1252" s="3"/>
      <c r="AZ1252" s="3"/>
      <c r="BA1252" s="3"/>
      <c r="BB1252" s="53"/>
      <c r="BC1252" s="3"/>
      <c r="BD1252" s="59"/>
      <c r="BE1252" s="3"/>
      <c r="BF1252" s="53"/>
      <c r="BG1252" s="59"/>
    </row>
    <row r="1253" spans="1:59" customFormat="1" ht="15" x14ac:dyDescent="0.35">
      <c r="A1253" s="50"/>
      <c r="B1253" s="63"/>
      <c r="C1253" s="39"/>
      <c r="D1253" s="6"/>
      <c r="E1253" s="149"/>
      <c r="F1253" s="153"/>
      <c r="G1253" s="10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12"/>
      <c r="X1253" s="33"/>
      <c r="Y1253" s="6"/>
      <c r="Z1253" s="6"/>
      <c r="AA1253" s="6"/>
      <c r="AB1253" s="6"/>
      <c r="AC1253" s="9"/>
      <c r="AD1253" s="9"/>
      <c r="AE1253" s="9"/>
      <c r="AF1253" s="9"/>
      <c r="AG1253" s="5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59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53"/>
      <c r="BC1253" s="3"/>
      <c r="BD1253" s="59"/>
      <c r="BE1253" s="3"/>
      <c r="BF1253" s="53"/>
      <c r="BG1253" s="59"/>
    </row>
    <row r="1254" spans="1:59" customFormat="1" ht="15" x14ac:dyDescent="0.35">
      <c r="A1254" s="50"/>
      <c r="B1254" s="63"/>
      <c r="C1254" s="39"/>
      <c r="D1254" s="6"/>
      <c r="E1254" s="149"/>
      <c r="F1254" s="153"/>
      <c r="G1254" s="10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5"/>
      <c r="V1254" s="5"/>
      <c r="W1254" s="13"/>
      <c r="X1254" s="4"/>
      <c r="Y1254" s="4"/>
      <c r="Z1254" s="4"/>
      <c r="AA1254" s="6"/>
      <c r="AB1254" s="5"/>
      <c r="AC1254" s="9"/>
      <c r="AD1254" s="9"/>
      <c r="AE1254" s="9"/>
      <c r="AF1254" s="9"/>
      <c r="AG1254" s="54"/>
      <c r="AH1254" s="3"/>
      <c r="AI1254" s="2"/>
      <c r="AJ1254" s="2"/>
      <c r="AK1254" s="2"/>
      <c r="AL1254" s="3"/>
      <c r="AM1254" s="3"/>
      <c r="AN1254" s="3"/>
      <c r="AO1254" s="3"/>
      <c r="AP1254" s="3"/>
      <c r="AQ1254" s="59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53"/>
      <c r="BC1254" s="3"/>
      <c r="BD1254" s="59"/>
      <c r="BE1254" s="3"/>
      <c r="BF1254" s="53"/>
      <c r="BG1254" s="59"/>
    </row>
    <row r="1255" spans="1:59" customFormat="1" ht="15" x14ac:dyDescent="0.35">
      <c r="A1255" s="50"/>
      <c r="B1255" s="63"/>
      <c r="C1255" s="39"/>
      <c r="D1255" s="6"/>
      <c r="E1255" s="149"/>
      <c r="F1255" s="153"/>
      <c r="G1255" s="10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5"/>
      <c r="V1255" s="5"/>
      <c r="W1255" s="13"/>
      <c r="X1255" s="4"/>
      <c r="Y1255" s="4"/>
      <c r="Z1255" s="4"/>
      <c r="AA1255" s="6"/>
      <c r="AB1255" s="5"/>
      <c r="AC1255" s="9"/>
      <c r="AD1255" s="9"/>
      <c r="AE1255" s="9"/>
      <c r="AF1255" s="9"/>
      <c r="AG1255" s="54"/>
      <c r="AH1255" s="3"/>
      <c r="AI1255" s="2"/>
      <c r="AJ1255" s="2"/>
      <c r="AK1255" s="2"/>
      <c r="AL1255" s="3"/>
      <c r="AM1255" s="3"/>
      <c r="AN1255" s="3"/>
      <c r="AO1255" s="3"/>
      <c r="AP1255" s="3"/>
      <c r="AQ1255" s="59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53"/>
      <c r="BC1255" s="3"/>
      <c r="BD1255" s="59"/>
      <c r="BE1255" s="3"/>
      <c r="BF1255" s="53"/>
      <c r="BG1255" s="59"/>
    </row>
    <row r="1256" spans="1:59" customFormat="1" ht="15" x14ac:dyDescent="0.35">
      <c r="A1256" s="19"/>
      <c r="B1256" s="49"/>
      <c r="C1256" s="39"/>
      <c r="D1256" s="1"/>
      <c r="E1256" s="149"/>
      <c r="F1256" s="153"/>
      <c r="G1256" s="10"/>
      <c r="H1256" s="17"/>
      <c r="I1256" s="17"/>
      <c r="J1256" s="17"/>
      <c r="K1256" s="30"/>
      <c r="L1256" s="30"/>
      <c r="M1256" s="30"/>
      <c r="N1256" s="30"/>
      <c r="O1256" s="30"/>
      <c r="P1256" s="30"/>
      <c r="Q1256" s="30"/>
      <c r="R1256" s="30"/>
      <c r="S1256" s="30"/>
      <c r="T1256" s="30"/>
      <c r="U1256" s="30"/>
      <c r="V1256" s="30"/>
      <c r="W1256" s="29"/>
      <c r="X1256" s="15"/>
      <c r="Y1256" s="30"/>
      <c r="Z1256" s="30"/>
      <c r="AA1256" s="30"/>
      <c r="AB1256" s="30"/>
      <c r="AC1256" s="17"/>
      <c r="AD1256" s="17"/>
      <c r="AE1256" s="17"/>
      <c r="AF1256" s="17"/>
      <c r="AG1256" s="20"/>
      <c r="AH1256" s="21"/>
      <c r="AI1256" s="21"/>
      <c r="AJ1256" s="21"/>
      <c r="AK1256" s="21"/>
      <c r="AL1256" s="21"/>
      <c r="AM1256" s="21"/>
      <c r="AN1256" s="21"/>
      <c r="AO1256" s="22"/>
      <c r="AP1256" s="21"/>
      <c r="AQ1256" s="24"/>
      <c r="AR1256" s="21"/>
      <c r="AS1256" s="21"/>
      <c r="AT1256" s="21"/>
      <c r="AU1256" s="21"/>
      <c r="AV1256" s="21"/>
      <c r="AW1256" s="21"/>
      <c r="AX1256" s="22"/>
      <c r="AY1256" s="21"/>
      <c r="AZ1256" s="22"/>
      <c r="BA1256" s="21"/>
      <c r="BB1256" s="20"/>
      <c r="BC1256" s="21"/>
      <c r="BD1256" s="25"/>
      <c r="BE1256" s="26"/>
      <c r="BF1256" s="27"/>
      <c r="BG1256" s="28"/>
    </row>
    <row r="1257" spans="1:59" customFormat="1" ht="15" x14ac:dyDescent="0.35">
      <c r="A1257" s="50"/>
      <c r="B1257" s="63"/>
      <c r="C1257" s="39"/>
      <c r="D1257" s="6"/>
      <c r="E1257" s="149"/>
      <c r="F1257" s="153"/>
      <c r="G1257" s="10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12"/>
      <c r="X1257" s="33"/>
      <c r="Y1257" s="6"/>
      <c r="Z1257" s="6"/>
      <c r="AA1257" s="6"/>
      <c r="AB1257" s="6"/>
      <c r="AC1257" s="9"/>
      <c r="AD1257" s="9"/>
      <c r="AE1257" s="9"/>
      <c r="AF1257" s="9"/>
      <c r="AG1257" s="5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59"/>
      <c r="AR1257" s="21"/>
      <c r="AS1257" s="21"/>
      <c r="AT1257" s="3"/>
      <c r="AU1257" s="3"/>
      <c r="AV1257" s="3"/>
      <c r="AW1257" s="3"/>
      <c r="AX1257" s="3"/>
      <c r="AY1257" s="3"/>
      <c r="AZ1257" s="3"/>
      <c r="BA1257" s="3"/>
      <c r="BB1257" s="53"/>
      <c r="BC1257" s="3"/>
      <c r="BD1257" s="59"/>
      <c r="BE1257" s="3"/>
      <c r="BF1257" s="53"/>
      <c r="BG1257" s="59"/>
    </row>
    <row r="1258" spans="1:59" customFormat="1" ht="15" x14ac:dyDescent="0.35">
      <c r="A1258" s="19"/>
      <c r="B1258" s="49"/>
      <c r="C1258" s="39"/>
      <c r="D1258" s="1"/>
      <c r="E1258" s="149"/>
      <c r="F1258" s="153"/>
      <c r="G1258" s="10"/>
      <c r="H1258" s="17"/>
      <c r="I1258" s="17"/>
      <c r="J1258" s="17"/>
      <c r="K1258" s="30"/>
      <c r="L1258" s="30"/>
      <c r="M1258" s="30"/>
      <c r="N1258" s="30"/>
      <c r="O1258" s="30"/>
      <c r="P1258" s="30"/>
      <c r="Q1258" s="30"/>
      <c r="R1258" s="30"/>
      <c r="S1258" s="30"/>
      <c r="T1258" s="30"/>
      <c r="U1258" s="30"/>
      <c r="V1258" s="30"/>
      <c r="W1258" s="29"/>
      <c r="X1258" s="15"/>
      <c r="Y1258" s="30"/>
      <c r="Z1258" s="30"/>
      <c r="AA1258" s="30"/>
      <c r="AB1258" s="30"/>
      <c r="AC1258" s="17"/>
      <c r="AD1258" s="17"/>
      <c r="AE1258" s="17"/>
      <c r="AF1258" s="17"/>
      <c r="AG1258" s="20"/>
      <c r="AH1258" s="21"/>
      <c r="AI1258" s="21"/>
      <c r="AJ1258" s="21"/>
      <c r="AK1258" s="21"/>
      <c r="AL1258" s="21"/>
      <c r="AM1258" s="21"/>
      <c r="AN1258" s="21"/>
      <c r="AO1258" s="22"/>
      <c r="AP1258" s="21"/>
      <c r="AQ1258" s="24"/>
      <c r="AR1258" s="21"/>
      <c r="AS1258" s="21"/>
      <c r="AT1258" s="21"/>
      <c r="AU1258" s="21"/>
      <c r="AV1258" s="21"/>
      <c r="AW1258" s="21"/>
      <c r="AX1258" s="22"/>
      <c r="AY1258" s="21"/>
      <c r="AZ1258" s="22"/>
      <c r="BA1258" s="21"/>
      <c r="BB1258" s="20"/>
      <c r="BC1258" s="21"/>
      <c r="BD1258" s="25"/>
      <c r="BE1258" s="26"/>
      <c r="BF1258" s="27"/>
      <c r="BG1258" s="28"/>
    </row>
    <row r="1259" spans="1:59" customFormat="1" ht="15" x14ac:dyDescent="0.35">
      <c r="A1259" s="19"/>
      <c r="B1259" s="49"/>
      <c r="C1259" s="14"/>
      <c r="D1259" s="1"/>
      <c r="E1259" s="149"/>
      <c r="F1259" s="153"/>
      <c r="G1259" s="10"/>
      <c r="H1259" s="17"/>
      <c r="I1259" s="17"/>
      <c r="J1259" s="17"/>
      <c r="K1259" s="30"/>
      <c r="L1259" s="30"/>
      <c r="M1259" s="30"/>
      <c r="N1259" s="30"/>
      <c r="O1259" s="30"/>
      <c r="P1259" s="30"/>
      <c r="Q1259" s="30"/>
      <c r="R1259" s="30"/>
      <c r="S1259" s="30"/>
      <c r="T1259" s="30"/>
      <c r="U1259" s="30"/>
      <c r="V1259" s="30"/>
      <c r="W1259" s="29"/>
      <c r="X1259" s="15"/>
      <c r="Y1259" s="30"/>
      <c r="Z1259" s="30"/>
      <c r="AA1259" s="30"/>
      <c r="AB1259" s="30"/>
      <c r="AC1259" s="17"/>
      <c r="AD1259" s="17"/>
      <c r="AE1259" s="17"/>
      <c r="AF1259" s="17"/>
      <c r="AG1259" s="20"/>
      <c r="AH1259" s="21"/>
      <c r="AI1259" s="21"/>
      <c r="AJ1259" s="21"/>
      <c r="AK1259" s="21"/>
      <c r="AL1259" s="21"/>
      <c r="AM1259" s="21"/>
      <c r="AN1259" s="21"/>
      <c r="AO1259" s="22"/>
      <c r="AP1259" s="21"/>
      <c r="AQ1259" s="24"/>
      <c r="AR1259" s="21"/>
      <c r="AS1259" s="21"/>
      <c r="AT1259" s="21"/>
      <c r="AU1259" s="21"/>
      <c r="AV1259" s="21"/>
      <c r="AW1259" s="21"/>
      <c r="AX1259" s="22"/>
      <c r="AY1259" s="21"/>
      <c r="AZ1259" s="22"/>
      <c r="BA1259" s="21"/>
      <c r="BB1259" s="20"/>
      <c r="BC1259" s="21"/>
      <c r="BD1259" s="25"/>
      <c r="BE1259" s="26"/>
      <c r="BF1259" s="27"/>
      <c r="BG1259" s="28"/>
    </row>
    <row r="1260" spans="1:59" customFormat="1" ht="15" x14ac:dyDescent="0.35">
      <c r="A1260" s="19"/>
      <c r="B1260" s="49"/>
      <c r="C1260" s="14"/>
      <c r="D1260" s="1"/>
      <c r="E1260" s="149"/>
      <c r="F1260" s="153"/>
      <c r="G1260" s="10"/>
      <c r="H1260" s="17"/>
      <c r="I1260" s="17"/>
      <c r="J1260" s="17"/>
      <c r="K1260" s="30"/>
      <c r="L1260" s="30"/>
      <c r="M1260" s="30"/>
      <c r="N1260" s="30"/>
      <c r="O1260" s="30"/>
      <c r="P1260" s="30"/>
      <c r="Q1260" s="30"/>
      <c r="R1260" s="30"/>
      <c r="S1260" s="30"/>
      <c r="T1260" s="30"/>
      <c r="U1260" s="30"/>
      <c r="V1260" s="30"/>
      <c r="W1260" s="29"/>
      <c r="X1260" s="15"/>
      <c r="Y1260" s="30"/>
      <c r="Z1260" s="30"/>
      <c r="AA1260" s="30"/>
      <c r="AB1260" s="30"/>
      <c r="AC1260" s="17"/>
      <c r="AD1260" s="17"/>
      <c r="AE1260" s="17"/>
      <c r="AF1260" s="17"/>
      <c r="AG1260" s="20"/>
      <c r="AH1260" s="21"/>
      <c r="AI1260" s="21"/>
      <c r="AJ1260" s="21"/>
      <c r="AK1260" s="21"/>
      <c r="AL1260" s="21"/>
      <c r="AM1260" s="21"/>
      <c r="AN1260" s="21"/>
      <c r="AO1260" s="22"/>
      <c r="AP1260" s="21"/>
      <c r="AQ1260" s="24"/>
      <c r="AR1260" s="21"/>
      <c r="AS1260" s="21"/>
      <c r="AT1260" s="21"/>
      <c r="AU1260" s="21"/>
      <c r="AV1260" s="21"/>
      <c r="AW1260" s="21"/>
      <c r="AX1260" s="22"/>
      <c r="AY1260" s="21"/>
      <c r="AZ1260" s="22"/>
      <c r="BA1260" s="21"/>
      <c r="BB1260" s="20"/>
      <c r="BC1260" s="21"/>
      <c r="BD1260" s="25"/>
      <c r="BE1260" s="26"/>
      <c r="BF1260" s="27"/>
      <c r="BG1260" s="28"/>
    </row>
    <row r="1261" spans="1:59" customFormat="1" ht="15" x14ac:dyDescent="0.35">
      <c r="A1261" s="19"/>
      <c r="B1261" s="49"/>
      <c r="C1261" s="14"/>
      <c r="D1261" s="1"/>
      <c r="E1261" s="149"/>
      <c r="F1261" s="153"/>
      <c r="G1261" s="10"/>
      <c r="H1261" s="17"/>
      <c r="I1261" s="17"/>
      <c r="J1261" s="17"/>
      <c r="K1261" s="30"/>
      <c r="L1261" s="30"/>
      <c r="M1261" s="30"/>
      <c r="N1261" s="30"/>
      <c r="O1261" s="30"/>
      <c r="P1261" s="30"/>
      <c r="Q1261" s="30"/>
      <c r="R1261" s="30"/>
      <c r="S1261" s="30"/>
      <c r="T1261" s="30"/>
      <c r="U1261" s="30"/>
      <c r="V1261" s="30"/>
      <c r="W1261" s="29"/>
      <c r="X1261" s="15"/>
      <c r="Y1261" s="30"/>
      <c r="Z1261" s="30"/>
      <c r="AA1261" s="30"/>
      <c r="AB1261" s="30"/>
      <c r="AC1261" s="17"/>
      <c r="AD1261" s="17"/>
      <c r="AE1261" s="17"/>
      <c r="AF1261" s="17"/>
      <c r="AG1261" s="20"/>
      <c r="AH1261" s="21"/>
      <c r="AI1261" s="21"/>
      <c r="AJ1261" s="21"/>
      <c r="AK1261" s="21"/>
      <c r="AL1261" s="21"/>
      <c r="AM1261" s="21"/>
      <c r="AN1261" s="21"/>
      <c r="AO1261" s="22"/>
      <c r="AP1261" s="21"/>
      <c r="AQ1261" s="24"/>
      <c r="AR1261" s="21"/>
      <c r="AS1261" s="21"/>
      <c r="AT1261" s="21"/>
      <c r="AU1261" s="21"/>
      <c r="AV1261" s="21"/>
      <c r="AW1261" s="21"/>
      <c r="AX1261" s="22"/>
      <c r="AY1261" s="21"/>
      <c r="AZ1261" s="22"/>
      <c r="BA1261" s="21"/>
      <c r="BB1261" s="20"/>
      <c r="BC1261" s="21"/>
      <c r="BD1261" s="25"/>
      <c r="BE1261" s="26"/>
      <c r="BF1261" s="27"/>
      <c r="BG1261" s="28"/>
    </row>
    <row r="1262" spans="1:59" customFormat="1" ht="15" x14ac:dyDescent="0.35">
      <c r="A1262" s="50"/>
      <c r="B1262" s="63"/>
      <c r="C1262" s="39"/>
      <c r="D1262" s="6"/>
      <c r="E1262" s="149"/>
      <c r="F1262" s="153"/>
      <c r="G1262" s="10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5"/>
      <c r="V1262" s="5"/>
      <c r="W1262" s="13"/>
      <c r="X1262" s="4"/>
      <c r="Y1262" s="4"/>
      <c r="Z1262" s="4"/>
      <c r="AA1262" s="6"/>
      <c r="AB1262" s="5"/>
      <c r="AC1262" s="9"/>
      <c r="AD1262" s="9"/>
      <c r="AE1262" s="9"/>
      <c r="AF1262" s="9"/>
      <c r="AG1262" s="54"/>
      <c r="AH1262" s="3"/>
      <c r="AI1262" s="2"/>
      <c r="AJ1262" s="2"/>
      <c r="AK1262" s="2"/>
      <c r="AL1262" s="3"/>
      <c r="AM1262" s="3"/>
      <c r="AN1262" s="3"/>
      <c r="AO1262" s="3"/>
      <c r="AP1262" s="3"/>
      <c r="AQ1262" s="59"/>
      <c r="AR1262" s="21"/>
      <c r="AS1262" s="21"/>
      <c r="AT1262" s="3"/>
      <c r="AU1262" s="3"/>
      <c r="AV1262" s="3"/>
      <c r="AW1262" s="3"/>
      <c r="AX1262" s="3"/>
      <c r="AY1262" s="3"/>
      <c r="AZ1262" s="3"/>
      <c r="BA1262" s="3"/>
      <c r="BB1262" s="53"/>
      <c r="BC1262" s="3"/>
      <c r="BD1262" s="59"/>
      <c r="BE1262" s="3"/>
      <c r="BF1262" s="53"/>
      <c r="BG1262" s="59"/>
    </row>
    <row r="1263" spans="1:59" customFormat="1" ht="15" x14ac:dyDescent="0.35">
      <c r="A1263" s="19"/>
      <c r="B1263" s="49"/>
      <c r="C1263" s="39"/>
      <c r="D1263" s="1"/>
      <c r="E1263" s="149"/>
      <c r="F1263" s="153"/>
      <c r="G1263" s="10"/>
      <c r="H1263" s="17"/>
      <c r="I1263" s="17"/>
      <c r="J1263" s="17"/>
      <c r="K1263" s="30"/>
      <c r="L1263" s="30"/>
      <c r="M1263" s="30"/>
      <c r="N1263" s="30"/>
      <c r="O1263" s="30"/>
      <c r="P1263" s="30"/>
      <c r="Q1263" s="30"/>
      <c r="R1263" s="30"/>
      <c r="S1263" s="30"/>
      <c r="T1263" s="30"/>
      <c r="U1263" s="30"/>
      <c r="V1263" s="30"/>
      <c r="W1263" s="29"/>
      <c r="X1263" s="15"/>
      <c r="Y1263" s="30"/>
      <c r="Z1263" s="30"/>
      <c r="AA1263" s="30"/>
      <c r="AB1263" s="30"/>
      <c r="AC1263" s="17"/>
      <c r="AD1263" s="17"/>
      <c r="AE1263" s="17"/>
      <c r="AF1263" s="17"/>
      <c r="AG1263" s="20"/>
      <c r="AH1263" s="21"/>
      <c r="AI1263" s="21"/>
      <c r="AJ1263" s="21"/>
      <c r="AK1263" s="21"/>
      <c r="AL1263" s="21"/>
      <c r="AM1263" s="21"/>
      <c r="AN1263" s="21"/>
      <c r="AO1263" s="22"/>
      <c r="AP1263" s="21"/>
      <c r="AQ1263" s="24"/>
      <c r="AR1263" s="21"/>
      <c r="AS1263" s="21"/>
      <c r="AT1263" s="21"/>
      <c r="AU1263" s="21"/>
      <c r="AV1263" s="21"/>
      <c r="AW1263" s="21"/>
      <c r="AX1263" s="22"/>
      <c r="AY1263" s="21"/>
      <c r="AZ1263" s="22"/>
      <c r="BA1263" s="21"/>
      <c r="BB1263" s="20"/>
      <c r="BC1263" s="21"/>
      <c r="BD1263" s="25"/>
      <c r="BE1263" s="26"/>
      <c r="BF1263" s="27"/>
      <c r="BG1263" s="28"/>
    </row>
    <row r="1264" spans="1:59" customFormat="1" ht="15" x14ac:dyDescent="0.35">
      <c r="A1264" s="19"/>
      <c r="B1264" s="49"/>
      <c r="C1264" s="39"/>
      <c r="D1264" s="1"/>
      <c r="E1264" s="149"/>
      <c r="F1264" s="153"/>
      <c r="G1264" s="10"/>
      <c r="H1264" s="17"/>
      <c r="I1264" s="17"/>
      <c r="J1264" s="17"/>
      <c r="K1264" s="30"/>
      <c r="L1264" s="30"/>
      <c r="M1264" s="30"/>
      <c r="N1264" s="30"/>
      <c r="O1264" s="30"/>
      <c r="P1264" s="30"/>
      <c r="Q1264" s="30"/>
      <c r="R1264" s="30"/>
      <c r="S1264" s="30"/>
      <c r="T1264" s="30"/>
      <c r="U1264" s="30"/>
      <c r="V1264" s="30"/>
      <c r="W1264" s="29"/>
      <c r="X1264" s="15"/>
      <c r="Y1264" s="30"/>
      <c r="Z1264" s="30"/>
      <c r="AA1264" s="30"/>
      <c r="AB1264" s="30"/>
      <c r="AC1264" s="17"/>
      <c r="AD1264" s="17"/>
      <c r="AE1264" s="17"/>
      <c r="AF1264" s="17"/>
      <c r="AG1264" s="20"/>
      <c r="AH1264" s="21"/>
      <c r="AI1264" s="21"/>
      <c r="AJ1264" s="21"/>
      <c r="AK1264" s="21"/>
      <c r="AL1264" s="21"/>
      <c r="AM1264" s="21"/>
      <c r="AN1264" s="21"/>
      <c r="AO1264" s="22"/>
      <c r="AP1264" s="21"/>
      <c r="AQ1264" s="24"/>
      <c r="AR1264" s="21"/>
      <c r="AS1264" s="21"/>
      <c r="AT1264" s="21"/>
      <c r="AU1264" s="21"/>
      <c r="AV1264" s="21"/>
      <c r="AW1264" s="21"/>
      <c r="AX1264" s="22"/>
      <c r="AY1264" s="21"/>
      <c r="AZ1264" s="22"/>
      <c r="BA1264" s="21"/>
      <c r="BB1264" s="20"/>
      <c r="BC1264" s="21"/>
      <c r="BD1264" s="25"/>
      <c r="BE1264" s="26"/>
      <c r="BF1264" s="27"/>
      <c r="BG1264" s="28"/>
    </row>
    <row r="1265" spans="1:59" customFormat="1" ht="15" x14ac:dyDescent="0.35">
      <c r="A1265" s="50"/>
      <c r="B1265" s="63"/>
      <c r="C1265" s="39"/>
      <c r="D1265" s="6"/>
      <c r="E1265" s="149"/>
      <c r="F1265" s="153"/>
      <c r="G1265" s="10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5"/>
      <c r="V1265" s="5"/>
      <c r="W1265" s="13"/>
      <c r="X1265" s="4"/>
      <c r="Y1265" s="4"/>
      <c r="Z1265" s="4"/>
      <c r="AA1265" s="6"/>
      <c r="AB1265" s="5"/>
      <c r="AC1265" s="9"/>
      <c r="AD1265" s="9"/>
      <c r="AE1265" s="9"/>
      <c r="AF1265" s="9"/>
      <c r="AG1265" s="54"/>
      <c r="AH1265" s="3"/>
      <c r="AI1265" s="2"/>
      <c r="AJ1265" s="2"/>
      <c r="AK1265" s="2"/>
      <c r="AL1265" s="3"/>
      <c r="AM1265" s="3"/>
      <c r="AN1265" s="3"/>
      <c r="AO1265" s="3"/>
      <c r="AP1265" s="3"/>
      <c r="AQ1265" s="59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53"/>
      <c r="BC1265" s="3"/>
      <c r="BD1265" s="59"/>
      <c r="BE1265" s="3"/>
      <c r="BF1265" s="53"/>
      <c r="BG1265" s="59"/>
    </row>
    <row r="1266" spans="1:59" customFormat="1" ht="15" x14ac:dyDescent="0.35">
      <c r="A1266" s="50"/>
      <c r="B1266" s="63"/>
      <c r="C1266" s="39"/>
      <c r="D1266" s="6"/>
      <c r="E1266" s="149"/>
      <c r="F1266" s="153"/>
      <c r="G1266" s="10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12"/>
      <c r="X1266" s="33"/>
      <c r="Y1266" s="6"/>
      <c r="Z1266" s="6"/>
      <c r="AA1266" s="6"/>
      <c r="AB1266" s="6"/>
      <c r="AC1266" s="9"/>
      <c r="AD1266" s="9"/>
      <c r="AE1266" s="9"/>
      <c r="AF1266" s="9"/>
      <c r="AG1266" s="5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59"/>
      <c r="AR1266" s="21"/>
      <c r="AS1266" s="21"/>
      <c r="AT1266" s="3"/>
      <c r="AU1266" s="3"/>
      <c r="AV1266" s="3"/>
      <c r="AW1266" s="3"/>
      <c r="AX1266" s="3"/>
      <c r="AY1266" s="3"/>
      <c r="AZ1266" s="3"/>
      <c r="BA1266" s="3"/>
      <c r="BB1266" s="53"/>
      <c r="BC1266" s="3"/>
      <c r="BD1266" s="59"/>
      <c r="BE1266" s="3"/>
      <c r="BF1266" s="53"/>
      <c r="BG1266" s="59"/>
    </row>
    <row r="1267" spans="1:59" customFormat="1" ht="15" x14ac:dyDescent="0.35">
      <c r="A1267" s="50"/>
      <c r="B1267" s="63"/>
      <c r="C1267" s="39"/>
      <c r="D1267" s="6"/>
      <c r="E1267" s="149"/>
      <c r="F1267" s="153"/>
      <c r="G1267" s="10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5"/>
      <c r="V1267" s="5"/>
      <c r="W1267" s="13"/>
      <c r="X1267" s="4"/>
      <c r="Y1267" s="4"/>
      <c r="Z1267" s="4"/>
      <c r="AA1267" s="6"/>
      <c r="AB1267" s="5"/>
      <c r="AC1267" s="9"/>
      <c r="AD1267" s="9"/>
      <c r="AE1267" s="9"/>
      <c r="AF1267" s="9"/>
      <c r="AG1267" s="54"/>
      <c r="AH1267" s="3"/>
      <c r="AI1267" s="2"/>
      <c r="AJ1267" s="2"/>
      <c r="AK1267" s="2"/>
      <c r="AL1267" s="3"/>
      <c r="AM1267" s="3"/>
      <c r="AN1267" s="3"/>
      <c r="AO1267" s="3"/>
      <c r="AP1267" s="3"/>
      <c r="AQ1267" s="59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53"/>
      <c r="BC1267" s="3"/>
      <c r="BD1267" s="59"/>
      <c r="BE1267" s="3"/>
      <c r="BF1267" s="53"/>
      <c r="BG1267" s="59"/>
    </row>
    <row r="1268" spans="1:59" customFormat="1" ht="15" x14ac:dyDescent="0.35">
      <c r="A1268" s="50"/>
      <c r="B1268" s="63"/>
      <c r="C1268" s="39"/>
      <c r="D1268" s="6"/>
      <c r="E1268" s="149"/>
      <c r="F1268" s="153"/>
      <c r="G1268" s="10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5"/>
      <c r="V1268" s="5"/>
      <c r="W1268" s="13"/>
      <c r="X1268" s="4"/>
      <c r="Y1268" s="4"/>
      <c r="Z1268" s="4"/>
      <c r="AA1268" s="6"/>
      <c r="AB1268" s="5"/>
      <c r="AC1268" s="9"/>
      <c r="AD1268" s="9"/>
      <c r="AE1268" s="9"/>
      <c r="AF1268" s="9"/>
      <c r="AG1268" s="54"/>
      <c r="AH1268" s="3"/>
      <c r="AI1268" s="2"/>
      <c r="AJ1268" s="2"/>
      <c r="AK1268" s="2"/>
      <c r="AL1268" s="3"/>
      <c r="AM1268" s="3"/>
      <c r="AN1268" s="3"/>
      <c r="AO1268" s="3"/>
      <c r="AP1268" s="3"/>
      <c r="AQ1268" s="59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53"/>
      <c r="BC1268" s="3"/>
      <c r="BD1268" s="59"/>
      <c r="BE1268" s="3"/>
      <c r="BF1268" s="53"/>
      <c r="BG1268" s="59"/>
    </row>
    <row r="1269" spans="1:59" customFormat="1" ht="15" x14ac:dyDescent="0.35">
      <c r="A1269" s="50"/>
      <c r="B1269" s="63"/>
      <c r="C1269" s="39"/>
      <c r="D1269" s="6"/>
      <c r="E1269" s="149"/>
      <c r="F1269" s="153"/>
      <c r="G1269" s="10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12"/>
      <c r="X1269" s="33"/>
      <c r="Y1269" s="6"/>
      <c r="Z1269" s="6"/>
      <c r="AA1269" s="6"/>
      <c r="AB1269" s="6"/>
      <c r="AC1269" s="9"/>
      <c r="AD1269" s="9"/>
      <c r="AE1269" s="9"/>
      <c r="AF1269" s="9"/>
      <c r="AG1269" s="5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59"/>
      <c r="AR1269" s="21"/>
      <c r="AS1269" s="21"/>
      <c r="AT1269" s="3"/>
      <c r="AU1269" s="3"/>
      <c r="AV1269" s="3"/>
      <c r="AW1269" s="3"/>
      <c r="AX1269" s="3"/>
      <c r="AY1269" s="3"/>
      <c r="AZ1269" s="3"/>
      <c r="BA1269" s="3"/>
      <c r="BB1269" s="53"/>
      <c r="BC1269" s="3"/>
      <c r="BD1269" s="59"/>
      <c r="BE1269" s="3"/>
      <c r="BF1269" s="53"/>
      <c r="BG1269" s="59"/>
    </row>
    <row r="1270" spans="1:59" customFormat="1" ht="15" x14ac:dyDescent="0.35">
      <c r="A1270" s="50"/>
      <c r="B1270" s="63"/>
      <c r="C1270" s="39"/>
      <c r="D1270" s="6"/>
      <c r="E1270" s="149"/>
      <c r="F1270" s="153"/>
      <c r="G1270" s="10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12"/>
      <c r="X1270" s="33"/>
      <c r="Y1270" s="6"/>
      <c r="Z1270" s="6"/>
      <c r="AA1270" s="6"/>
      <c r="AB1270" s="6"/>
      <c r="AC1270" s="9"/>
      <c r="AD1270" s="9"/>
      <c r="AE1270" s="9"/>
      <c r="AF1270" s="9"/>
      <c r="AG1270" s="5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59"/>
      <c r="AR1270" s="21"/>
      <c r="AS1270" s="21"/>
      <c r="AT1270" s="3"/>
      <c r="AU1270" s="3"/>
      <c r="AV1270" s="3"/>
      <c r="AW1270" s="3"/>
      <c r="AX1270" s="3"/>
      <c r="AY1270" s="3"/>
      <c r="AZ1270" s="3"/>
      <c r="BA1270" s="3"/>
      <c r="BB1270" s="53"/>
      <c r="BC1270" s="3"/>
      <c r="BD1270" s="59"/>
      <c r="BE1270" s="3"/>
      <c r="BF1270" s="53"/>
      <c r="BG1270" s="59"/>
    </row>
    <row r="1271" spans="1:59" customFormat="1" ht="15" x14ac:dyDescent="0.35">
      <c r="A1271" s="50"/>
      <c r="B1271" s="63"/>
      <c r="C1271" s="39"/>
      <c r="D1271" s="6"/>
      <c r="E1271" s="149"/>
      <c r="F1271" s="153"/>
      <c r="G1271" s="10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5"/>
      <c r="V1271" s="5"/>
      <c r="W1271" s="13"/>
      <c r="X1271" s="4"/>
      <c r="Y1271" s="4"/>
      <c r="Z1271" s="4"/>
      <c r="AA1271" s="6"/>
      <c r="AB1271" s="5"/>
      <c r="AC1271" s="9"/>
      <c r="AD1271" s="9"/>
      <c r="AE1271" s="9"/>
      <c r="AF1271" s="9"/>
      <c r="AG1271" s="54"/>
      <c r="AH1271" s="3"/>
      <c r="AI1271" s="2"/>
      <c r="AJ1271" s="2"/>
      <c r="AK1271" s="2"/>
      <c r="AL1271" s="3"/>
      <c r="AM1271" s="3"/>
      <c r="AN1271" s="3"/>
      <c r="AO1271" s="3"/>
      <c r="AP1271" s="3"/>
      <c r="AQ1271" s="59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53"/>
      <c r="BC1271" s="3"/>
      <c r="BD1271" s="59"/>
      <c r="BE1271" s="3"/>
      <c r="BF1271" s="53"/>
      <c r="BG1271" s="59"/>
    </row>
    <row r="1272" spans="1:59" customFormat="1" ht="15" x14ac:dyDescent="0.35">
      <c r="A1272" s="50"/>
      <c r="B1272" s="63"/>
      <c r="C1272" s="39"/>
      <c r="D1272" s="6"/>
      <c r="E1272" s="149"/>
      <c r="F1272" s="153"/>
      <c r="G1272" s="10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12"/>
      <c r="X1272" s="33"/>
      <c r="Y1272" s="6"/>
      <c r="Z1272" s="6"/>
      <c r="AA1272" s="6"/>
      <c r="AB1272" s="6"/>
      <c r="AC1272" s="9"/>
      <c r="AD1272" s="9"/>
      <c r="AE1272" s="9"/>
      <c r="AF1272" s="9"/>
      <c r="AG1272" s="5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59"/>
      <c r="AR1272" s="21"/>
      <c r="AS1272" s="21"/>
      <c r="AT1272" s="3"/>
      <c r="AU1272" s="3"/>
      <c r="AV1272" s="3"/>
      <c r="AW1272" s="3"/>
      <c r="AX1272" s="3"/>
      <c r="AY1272" s="3"/>
      <c r="AZ1272" s="3"/>
      <c r="BA1272" s="3"/>
      <c r="BB1272" s="53"/>
      <c r="BC1272" s="3"/>
      <c r="BD1272" s="59"/>
      <c r="BE1272" s="3"/>
      <c r="BF1272" s="53"/>
      <c r="BG1272" s="59"/>
    </row>
    <row r="1273" spans="1:59" customFormat="1" ht="15" x14ac:dyDescent="0.35">
      <c r="A1273" s="50"/>
      <c r="B1273" s="63"/>
      <c r="C1273" s="39"/>
      <c r="D1273" s="6"/>
      <c r="E1273" s="149"/>
      <c r="F1273" s="153"/>
      <c r="G1273" s="10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5"/>
      <c r="V1273" s="5"/>
      <c r="W1273" s="13"/>
      <c r="X1273" s="4"/>
      <c r="Y1273" s="4"/>
      <c r="Z1273" s="4"/>
      <c r="AA1273" s="6"/>
      <c r="AB1273" s="5"/>
      <c r="AC1273" s="9"/>
      <c r="AD1273" s="9"/>
      <c r="AE1273" s="9"/>
      <c r="AF1273" s="9"/>
      <c r="AG1273" s="54"/>
      <c r="AH1273" s="3"/>
      <c r="AI1273" s="2"/>
      <c r="AJ1273" s="2"/>
      <c r="AK1273" s="2"/>
      <c r="AL1273" s="3"/>
      <c r="AM1273" s="3"/>
      <c r="AN1273" s="3"/>
      <c r="AO1273" s="3"/>
      <c r="AP1273" s="3"/>
      <c r="AQ1273" s="59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53"/>
      <c r="BC1273" s="3"/>
      <c r="BD1273" s="59"/>
      <c r="BE1273" s="3"/>
      <c r="BF1273" s="53"/>
      <c r="BG1273" s="59"/>
    </row>
    <row r="1274" spans="1:59" customFormat="1" ht="15" x14ac:dyDescent="0.35">
      <c r="A1274" s="50"/>
      <c r="B1274" s="63"/>
      <c r="C1274" s="39"/>
      <c r="D1274" s="6"/>
      <c r="E1274" s="149"/>
      <c r="F1274" s="153"/>
      <c r="G1274" s="10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12"/>
      <c r="X1274" s="33"/>
      <c r="Y1274" s="6"/>
      <c r="Z1274" s="6"/>
      <c r="AA1274" s="6"/>
      <c r="AB1274" s="6"/>
      <c r="AC1274" s="9"/>
      <c r="AD1274" s="9"/>
      <c r="AE1274" s="9"/>
      <c r="AF1274" s="9"/>
      <c r="AG1274" s="5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59"/>
      <c r="AR1274" s="21"/>
      <c r="AS1274" s="21"/>
      <c r="AT1274" s="3"/>
      <c r="AU1274" s="3"/>
      <c r="AV1274" s="3"/>
      <c r="AW1274" s="3"/>
      <c r="AX1274" s="3"/>
      <c r="AY1274" s="3"/>
      <c r="AZ1274" s="3"/>
      <c r="BA1274" s="3"/>
      <c r="BB1274" s="53"/>
      <c r="BC1274" s="3"/>
      <c r="BD1274" s="59"/>
      <c r="BE1274" s="3"/>
      <c r="BF1274" s="53"/>
      <c r="BG1274" s="65"/>
    </row>
    <row r="1275" spans="1:59" customFormat="1" ht="15" x14ac:dyDescent="0.35">
      <c r="A1275" s="50"/>
      <c r="B1275" s="63"/>
      <c r="C1275" s="39"/>
      <c r="D1275" s="6"/>
      <c r="E1275" s="149"/>
      <c r="F1275" s="153"/>
      <c r="G1275" s="10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5"/>
      <c r="V1275" s="5"/>
      <c r="W1275" s="13"/>
      <c r="X1275" s="4"/>
      <c r="Y1275" s="4"/>
      <c r="Z1275" s="4"/>
      <c r="AA1275" s="6"/>
      <c r="AB1275" s="5"/>
      <c r="AC1275" s="9"/>
      <c r="AD1275" s="9"/>
      <c r="AE1275" s="9"/>
      <c r="AF1275" s="9"/>
      <c r="AG1275" s="54"/>
      <c r="AH1275" s="3"/>
      <c r="AI1275" s="2"/>
      <c r="AJ1275" s="2"/>
      <c r="AK1275" s="2"/>
      <c r="AL1275" s="3"/>
      <c r="AM1275" s="3"/>
      <c r="AN1275" s="3"/>
      <c r="AO1275" s="3"/>
      <c r="AP1275" s="3"/>
      <c r="AQ1275" s="59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53"/>
      <c r="BC1275" s="3"/>
      <c r="BD1275" s="59"/>
      <c r="BE1275" s="3"/>
      <c r="BF1275" s="53"/>
      <c r="BG1275" s="59"/>
    </row>
    <row r="1276" spans="1:59" customFormat="1" ht="15" x14ac:dyDescent="0.35">
      <c r="A1276" s="50"/>
      <c r="B1276" s="63"/>
      <c r="C1276" s="39"/>
      <c r="D1276" s="6"/>
      <c r="E1276" s="149"/>
      <c r="F1276" s="153"/>
      <c r="G1276" s="10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5"/>
      <c r="V1276" s="5"/>
      <c r="W1276" s="13"/>
      <c r="X1276" s="4"/>
      <c r="Y1276" s="4"/>
      <c r="Z1276" s="4"/>
      <c r="AA1276" s="6"/>
      <c r="AB1276" s="5"/>
      <c r="AC1276" s="9"/>
      <c r="AD1276" s="9"/>
      <c r="AE1276" s="9"/>
      <c r="AF1276" s="9"/>
      <c r="AG1276" s="54"/>
      <c r="AH1276" s="3"/>
      <c r="AI1276" s="2"/>
      <c r="AJ1276" s="2"/>
      <c r="AK1276" s="2"/>
      <c r="AL1276" s="3"/>
      <c r="AM1276" s="3"/>
      <c r="AN1276" s="3"/>
      <c r="AO1276" s="3"/>
      <c r="AP1276" s="3"/>
      <c r="AQ1276" s="59"/>
      <c r="AR1276" s="21"/>
      <c r="AS1276" s="21"/>
      <c r="AT1276" s="3"/>
      <c r="AU1276" s="3"/>
      <c r="AV1276" s="3"/>
      <c r="AW1276" s="3"/>
      <c r="AX1276" s="3"/>
      <c r="AY1276" s="3"/>
      <c r="AZ1276" s="3"/>
      <c r="BA1276" s="3"/>
      <c r="BB1276" s="53"/>
      <c r="BC1276" s="3"/>
      <c r="BD1276" s="59"/>
      <c r="BE1276" s="3"/>
      <c r="BF1276" s="53"/>
      <c r="BG1276" s="59"/>
    </row>
    <row r="1277" spans="1:59" customFormat="1" ht="15" x14ac:dyDescent="0.35">
      <c r="A1277" s="50"/>
      <c r="B1277" s="63"/>
      <c r="C1277" s="39"/>
      <c r="D1277" s="6"/>
      <c r="E1277" s="149"/>
      <c r="F1277" s="153"/>
      <c r="G1277" s="10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5"/>
      <c r="V1277" s="5"/>
      <c r="W1277" s="13"/>
      <c r="X1277" s="4"/>
      <c r="Y1277" s="4"/>
      <c r="Z1277" s="4"/>
      <c r="AA1277" s="6"/>
      <c r="AB1277" s="5"/>
      <c r="AC1277" s="9"/>
      <c r="AD1277" s="9"/>
      <c r="AE1277" s="9"/>
      <c r="AF1277" s="9"/>
      <c r="AG1277" s="54"/>
      <c r="AH1277" s="3"/>
      <c r="AI1277" s="2"/>
      <c r="AJ1277" s="2"/>
      <c r="AK1277" s="2"/>
      <c r="AL1277" s="3"/>
      <c r="AM1277" s="3"/>
      <c r="AN1277" s="3"/>
      <c r="AO1277" s="3"/>
      <c r="AP1277" s="3"/>
      <c r="AQ1277" s="59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53"/>
      <c r="BC1277" s="3"/>
      <c r="BD1277" s="59"/>
      <c r="BE1277" s="3"/>
      <c r="BF1277" s="53"/>
      <c r="BG1277" s="59"/>
    </row>
    <row r="1278" spans="1:59" customFormat="1" ht="15" x14ac:dyDescent="0.35">
      <c r="A1278" s="50"/>
      <c r="B1278" s="63"/>
      <c r="C1278" s="39"/>
      <c r="D1278" s="6"/>
      <c r="E1278" s="149"/>
      <c r="F1278" s="153"/>
      <c r="G1278" s="10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5"/>
      <c r="V1278" s="5"/>
      <c r="W1278" s="13"/>
      <c r="X1278" s="4"/>
      <c r="Y1278" s="4"/>
      <c r="Z1278" s="4"/>
      <c r="AA1278" s="6"/>
      <c r="AB1278" s="5"/>
      <c r="AC1278" s="9"/>
      <c r="AD1278" s="9"/>
      <c r="AE1278" s="9"/>
      <c r="AF1278" s="9"/>
      <c r="AG1278" s="54"/>
      <c r="AH1278" s="3"/>
      <c r="AI1278" s="2"/>
      <c r="AJ1278" s="2"/>
      <c r="AK1278" s="2"/>
      <c r="AL1278" s="3"/>
      <c r="AM1278" s="3"/>
      <c r="AN1278" s="3"/>
      <c r="AO1278" s="3"/>
      <c r="AP1278" s="3"/>
      <c r="AQ1278" s="59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53"/>
      <c r="BC1278" s="3"/>
      <c r="BD1278" s="59"/>
      <c r="BE1278" s="3"/>
      <c r="BF1278" s="53"/>
      <c r="BG1278" s="59"/>
    </row>
    <row r="1279" spans="1:59" customFormat="1" ht="15" x14ac:dyDescent="0.35">
      <c r="A1279" s="19"/>
      <c r="B1279" s="49"/>
      <c r="C1279" s="39"/>
      <c r="D1279" s="1"/>
      <c r="E1279" s="149"/>
      <c r="F1279" s="153"/>
      <c r="G1279" s="10"/>
      <c r="H1279" s="17"/>
      <c r="I1279" s="17"/>
      <c r="J1279" s="17"/>
      <c r="K1279" s="30"/>
      <c r="L1279" s="30"/>
      <c r="M1279" s="30"/>
      <c r="N1279" s="30"/>
      <c r="O1279" s="30"/>
      <c r="P1279" s="30"/>
      <c r="Q1279" s="30"/>
      <c r="R1279" s="30"/>
      <c r="S1279" s="30"/>
      <c r="T1279" s="30"/>
      <c r="U1279" s="30"/>
      <c r="V1279" s="30"/>
      <c r="W1279" s="29"/>
      <c r="X1279" s="15"/>
      <c r="Y1279" s="30"/>
      <c r="Z1279" s="30"/>
      <c r="AA1279" s="30"/>
      <c r="AB1279" s="30"/>
      <c r="AC1279" s="17"/>
      <c r="AD1279" s="17"/>
      <c r="AE1279" s="17"/>
      <c r="AF1279" s="17"/>
      <c r="AG1279" s="20"/>
      <c r="AH1279" s="21"/>
      <c r="AI1279" s="21"/>
      <c r="AJ1279" s="21"/>
      <c r="AK1279" s="21"/>
      <c r="AL1279" s="21"/>
      <c r="AM1279" s="21"/>
      <c r="AN1279" s="21"/>
      <c r="AO1279" s="22"/>
      <c r="AP1279" s="21"/>
      <c r="AQ1279" s="24"/>
      <c r="AR1279" s="21"/>
      <c r="AS1279" s="21"/>
      <c r="AT1279" s="21"/>
      <c r="AU1279" s="21"/>
      <c r="AV1279" s="21"/>
      <c r="AW1279" s="21"/>
      <c r="AX1279" s="22"/>
      <c r="AY1279" s="21"/>
      <c r="AZ1279" s="22"/>
      <c r="BA1279" s="21"/>
      <c r="BB1279" s="20"/>
      <c r="BC1279" s="21"/>
      <c r="BD1279" s="25"/>
      <c r="BE1279" s="26"/>
      <c r="BF1279" s="27"/>
      <c r="BG1279" s="28"/>
    </row>
    <row r="1280" spans="1:59" customFormat="1" ht="15" x14ac:dyDescent="0.35">
      <c r="A1280" s="50"/>
      <c r="B1280" s="63"/>
      <c r="C1280" s="39"/>
      <c r="D1280" s="6"/>
      <c r="E1280" s="149"/>
      <c r="F1280" s="153"/>
      <c r="G1280" s="10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5"/>
      <c r="V1280" s="5"/>
      <c r="W1280" s="13"/>
      <c r="X1280" s="4"/>
      <c r="Y1280" s="4"/>
      <c r="Z1280" s="4"/>
      <c r="AA1280" s="6"/>
      <c r="AB1280" s="5"/>
      <c r="AC1280" s="9"/>
      <c r="AD1280" s="9"/>
      <c r="AE1280" s="9"/>
      <c r="AF1280" s="9"/>
      <c r="AG1280" s="54"/>
      <c r="AH1280" s="3"/>
      <c r="AI1280" s="2"/>
      <c r="AJ1280" s="2"/>
      <c r="AK1280" s="2"/>
      <c r="AL1280" s="3"/>
      <c r="AM1280" s="3"/>
      <c r="AN1280" s="3"/>
      <c r="AO1280" s="3"/>
      <c r="AP1280" s="3"/>
      <c r="AQ1280" s="59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53"/>
      <c r="BC1280" s="3"/>
      <c r="BD1280" s="59"/>
      <c r="BE1280" s="3"/>
      <c r="BF1280" s="53"/>
      <c r="BG1280" s="59"/>
    </row>
    <row r="1281" spans="1:59" customFormat="1" ht="15" x14ac:dyDescent="0.35">
      <c r="A1281" s="50"/>
      <c r="B1281" s="63"/>
      <c r="C1281" s="39"/>
      <c r="D1281" s="6"/>
      <c r="E1281" s="149"/>
      <c r="F1281" s="153"/>
      <c r="G1281" s="10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12"/>
      <c r="X1281" s="33"/>
      <c r="Y1281" s="6"/>
      <c r="Z1281" s="6"/>
      <c r="AA1281" s="6"/>
      <c r="AB1281" s="6"/>
      <c r="AC1281" s="9"/>
      <c r="AD1281" s="9"/>
      <c r="AE1281" s="9"/>
      <c r="AF1281" s="9"/>
      <c r="AG1281" s="5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59"/>
      <c r="AR1281" s="21"/>
      <c r="AS1281" s="21"/>
      <c r="AT1281" s="3"/>
      <c r="AU1281" s="3"/>
      <c r="AV1281" s="3"/>
      <c r="AW1281" s="3"/>
      <c r="AX1281" s="3"/>
      <c r="AY1281" s="3"/>
      <c r="AZ1281" s="3"/>
      <c r="BA1281" s="3"/>
      <c r="BB1281" s="53"/>
      <c r="BC1281" s="3"/>
      <c r="BD1281" s="59"/>
      <c r="BE1281" s="3"/>
      <c r="BF1281" s="53"/>
      <c r="BG1281" s="59"/>
    </row>
    <row r="1282" spans="1:59" customFormat="1" ht="15" x14ac:dyDescent="0.35">
      <c r="A1282" s="50"/>
      <c r="B1282" s="63"/>
      <c r="C1282" s="39"/>
      <c r="D1282" s="6"/>
      <c r="E1282" s="149"/>
      <c r="F1282" s="153"/>
      <c r="G1282" s="10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12"/>
      <c r="X1282" s="33"/>
      <c r="Y1282" s="6"/>
      <c r="Z1282" s="6"/>
      <c r="AA1282" s="6"/>
      <c r="AB1282" s="6"/>
      <c r="AC1282" s="9"/>
      <c r="AD1282" s="9"/>
      <c r="AE1282" s="9"/>
      <c r="AF1282" s="9"/>
      <c r="AG1282" s="5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59"/>
      <c r="AR1282" s="21"/>
      <c r="AS1282" s="21"/>
      <c r="AT1282" s="3"/>
      <c r="AU1282" s="3"/>
      <c r="AV1282" s="3"/>
      <c r="AW1282" s="3"/>
      <c r="AX1282" s="3"/>
      <c r="AY1282" s="3"/>
      <c r="AZ1282" s="3"/>
      <c r="BA1282" s="3"/>
      <c r="BB1282" s="53"/>
      <c r="BC1282" s="3"/>
      <c r="BD1282" s="59"/>
      <c r="BE1282" s="3"/>
      <c r="BF1282" s="53"/>
      <c r="BG1282" s="59"/>
    </row>
    <row r="1283" spans="1:59" customFormat="1" ht="15" x14ac:dyDescent="0.35">
      <c r="A1283" s="19"/>
      <c r="B1283" s="49"/>
      <c r="C1283" s="14"/>
      <c r="D1283" s="1"/>
      <c r="E1283" s="149"/>
      <c r="F1283" s="153"/>
      <c r="G1283" s="10"/>
      <c r="H1283" s="17"/>
      <c r="I1283" s="17"/>
      <c r="J1283" s="17"/>
      <c r="K1283" s="30"/>
      <c r="L1283" s="30"/>
      <c r="M1283" s="30"/>
      <c r="N1283" s="30"/>
      <c r="O1283" s="30"/>
      <c r="P1283" s="30"/>
      <c r="Q1283" s="30"/>
      <c r="R1283" s="30"/>
      <c r="S1283" s="30"/>
      <c r="T1283" s="30"/>
      <c r="U1283" s="30"/>
      <c r="V1283" s="30"/>
      <c r="W1283" s="29"/>
      <c r="X1283" s="15"/>
      <c r="Y1283" s="30"/>
      <c r="Z1283" s="30"/>
      <c r="AA1283" s="30"/>
      <c r="AB1283" s="30"/>
      <c r="AC1283" s="17"/>
      <c r="AD1283" s="17"/>
      <c r="AE1283" s="17"/>
      <c r="AF1283" s="17"/>
      <c r="AG1283" s="20"/>
      <c r="AH1283" s="21"/>
      <c r="AI1283" s="21"/>
      <c r="AJ1283" s="21"/>
      <c r="AK1283" s="21"/>
      <c r="AL1283" s="21"/>
      <c r="AM1283" s="21"/>
      <c r="AN1283" s="21"/>
      <c r="AO1283" s="22"/>
      <c r="AP1283" s="21"/>
      <c r="AQ1283" s="24"/>
      <c r="AR1283" s="21"/>
      <c r="AS1283" s="21"/>
      <c r="AT1283" s="21"/>
      <c r="AU1283" s="21"/>
      <c r="AV1283" s="21"/>
      <c r="AW1283" s="21"/>
      <c r="AX1283" s="22"/>
      <c r="AY1283" s="21"/>
      <c r="AZ1283" s="22"/>
      <c r="BA1283" s="21"/>
      <c r="BB1283" s="20"/>
      <c r="BC1283" s="21"/>
      <c r="BD1283" s="25"/>
      <c r="BE1283" s="26"/>
      <c r="BF1283" s="27"/>
      <c r="BG1283" s="28"/>
    </row>
    <row r="1284" spans="1:59" customFormat="1" ht="15" x14ac:dyDescent="0.35">
      <c r="A1284" s="50"/>
      <c r="B1284" s="63"/>
      <c r="C1284" s="39"/>
      <c r="D1284" s="6"/>
      <c r="E1284" s="149"/>
      <c r="F1284" s="153"/>
      <c r="G1284" s="10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5"/>
      <c r="V1284" s="5"/>
      <c r="W1284" s="13"/>
      <c r="X1284" s="4"/>
      <c r="Y1284" s="4"/>
      <c r="Z1284" s="4"/>
      <c r="AA1284" s="6"/>
      <c r="AB1284" s="5"/>
      <c r="AC1284" s="9"/>
      <c r="AD1284" s="9"/>
      <c r="AE1284" s="9"/>
      <c r="AF1284" s="9"/>
      <c r="AG1284" s="54"/>
      <c r="AH1284" s="3"/>
      <c r="AI1284" s="2"/>
      <c r="AJ1284" s="2"/>
      <c r="AK1284" s="2"/>
      <c r="AL1284" s="3"/>
      <c r="AM1284" s="3"/>
      <c r="AN1284" s="3"/>
      <c r="AO1284" s="3"/>
      <c r="AP1284" s="3"/>
      <c r="AQ1284" s="59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53"/>
      <c r="BC1284" s="3"/>
      <c r="BD1284" s="59"/>
      <c r="BE1284" s="3"/>
      <c r="BF1284" s="53"/>
      <c r="BG1284" s="59"/>
    </row>
    <row r="1285" spans="1:59" customFormat="1" ht="15" x14ac:dyDescent="0.35">
      <c r="A1285" s="50"/>
      <c r="B1285" s="63"/>
      <c r="C1285" s="39"/>
      <c r="D1285" s="6"/>
      <c r="E1285" s="149"/>
      <c r="F1285" s="153"/>
      <c r="G1285" s="10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12"/>
      <c r="X1285" s="33"/>
      <c r="Y1285" s="6"/>
      <c r="Z1285" s="6"/>
      <c r="AA1285" s="6"/>
      <c r="AB1285" s="6"/>
      <c r="AC1285" s="9"/>
      <c r="AD1285" s="9"/>
      <c r="AE1285" s="9"/>
      <c r="AF1285" s="9"/>
      <c r="AG1285" s="5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59"/>
      <c r="AR1285" s="21"/>
      <c r="AS1285" s="21"/>
      <c r="AT1285" s="3"/>
      <c r="AU1285" s="3"/>
      <c r="AV1285" s="3"/>
      <c r="AW1285" s="3"/>
      <c r="AX1285" s="3"/>
      <c r="AY1285" s="3"/>
      <c r="AZ1285" s="3"/>
      <c r="BA1285" s="3"/>
      <c r="BB1285" s="53"/>
      <c r="BC1285" s="3"/>
      <c r="BD1285" s="59"/>
      <c r="BE1285" s="3"/>
      <c r="BF1285" s="53"/>
      <c r="BG1285" s="59"/>
    </row>
    <row r="1286" spans="1:59" customFormat="1" ht="15" x14ac:dyDescent="0.35">
      <c r="A1286" s="19"/>
      <c r="B1286" s="49"/>
      <c r="C1286" s="14"/>
      <c r="D1286" s="1"/>
      <c r="E1286" s="149"/>
      <c r="F1286" s="153"/>
      <c r="G1286" s="10"/>
      <c r="H1286" s="17"/>
      <c r="I1286" s="17"/>
      <c r="J1286" s="17"/>
      <c r="K1286" s="30"/>
      <c r="L1286" s="30"/>
      <c r="M1286" s="30"/>
      <c r="N1286" s="30"/>
      <c r="O1286" s="30"/>
      <c r="P1286" s="30"/>
      <c r="Q1286" s="30"/>
      <c r="R1286" s="30"/>
      <c r="S1286" s="30"/>
      <c r="T1286" s="30"/>
      <c r="U1286" s="30"/>
      <c r="V1286" s="30"/>
      <c r="W1286" s="29"/>
      <c r="X1286" s="15"/>
      <c r="Y1286" s="30"/>
      <c r="Z1286" s="30"/>
      <c r="AA1286" s="30"/>
      <c r="AB1286" s="30"/>
      <c r="AC1286" s="17"/>
      <c r="AD1286" s="17"/>
      <c r="AE1286" s="17"/>
      <c r="AF1286" s="17"/>
      <c r="AG1286" s="20"/>
      <c r="AH1286" s="21"/>
      <c r="AI1286" s="21"/>
      <c r="AJ1286" s="21"/>
      <c r="AK1286" s="21"/>
      <c r="AL1286" s="21"/>
      <c r="AM1286" s="21"/>
      <c r="AN1286" s="21"/>
      <c r="AO1286" s="22"/>
      <c r="AP1286" s="21"/>
      <c r="AQ1286" s="24"/>
      <c r="AR1286" s="21"/>
      <c r="AS1286" s="21"/>
      <c r="AT1286" s="21"/>
      <c r="AU1286" s="21"/>
      <c r="AV1286" s="21"/>
      <c r="AW1286" s="21"/>
      <c r="AX1286" s="22"/>
      <c r="AY1286" s="21"/>
      <c r="AZ1286" s="22"/>
      <c r="BA1286" s="21"/>
      <c r="BB1286" s="20"/>
      <c r="BC1286" s="21"/>
      <c r="BD1286" s="25"/>
      <c r="BE1286" s="26"/>
      <c r="BF1286" s="27"/>
      <c r="BG1286" s="28"/>
    </row>
    <row r="1287" spans="1:59" customFormat="1" ht="15" x14ac:dyDescent="0.35">
      <c r="A1287" s="19"/>
      <c r="B1287" s="49"/>
      <c r="C1287" s="14"/>
      <c r="D1287" s="1"/>
      <c r="E1287" s="149"/>
      <c r="F1287" s="153"/>
      <c r="G1287" s="10"/>
      <c r="H1287" s="17"/>
      <c r="I1287" s="17"/>
      <c r="J1287" s="17"/>
      <c r="K1287" s="30"/>
      <c r="L1287" s="30"/>
      <c r="M1287" s="30"/>
      <c r="N1287" s="30"/>
      <c r="O1287" s="30"/>
      <c r="P1287" s="30"/>
      <c r="Q1287" s="30"/>
      <c r="R1287" s="30"/>
      <c r="S1287" s="30"/>
      <c r="T1287" s="30"/>
      <c r="U1287" s="30"/>
      <c r="V1287" s="30"/>
      <c r="W1287" s="29"/>
      <c r="X1287" s="15"/>
      <c r="Y1287" s="30"/>
      <c r="Z1287" s="30"/>
      <c r="AA1287" s="30"/>
      <c r="AB1287" s="30"/>
      <c r="AC1287" s="17"/>
      <c r="AD1287" s="17"/>
      <c r="AE1287" s="17"/>
      <c r="AF1287" s="17"/>
      <c r="AG1287" s="20"/>
      <c r="AH1287" s="21"/>
      <c r="AI1287" s="21"/>
      <c r="AJ1287" s="21"/>
      <c r="AK1287" s="21"/>
      <c r="AL1287" s="21"/>
      <c r="AM1287" s="21"/>
      <c r="AN1287" s="21"/>
      <c r="AO1287" s="22"/>
      <c r="AP1287" s="21"/>
      <c r="AQ1287" s="24"/>
      <c r="AR1287" s="21"/>
      <c r="AS1287" s="21"/>
      <c r="AT1287" s="21"/>
      <c r="AU1287" s="21"/>
      <c r="AV1287" s="21"/>
      <c r="AW1287" s="21"/>
      <c r="AX1287" s="22"/>
      <c r="AY1287" s="21"/>
      <c r="AZ1287" s="22"/>
      <c r="BA1287" s="21"/>
      <c r="BB1287" s="20"/>
      <c r="BC1287" s="21"/>
      <c r="BD1287" s="25"/>
      <c r="BE1287" s="26"/>
      <c r="BF1287" s="27"/>
      <c r="BG1287" s="28"/>
    </row>
    <row r="1288" spans="1:59" customFormat="1" ht="15" x14ac:dyDescent="0.35">
      <c r="A1288" s="50"/>
      <c r="B1288" s="63"/>
      <c r="C1288" s="39"/>
      <c r="D1288" s="6"/>
      <c r="E1288" s="149"/>
      <c r="F1288" s="153"/>
      <c r="G1288" s="10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12"/>
      <c r="X1288" s="33"/>
      <c r="Y1288" s="6"/>
      <c r="Z1288" s="6"/>
      <c r="AA1288" s="6"/>
      <c r="AB1288" s="6"/>
      <c r="AC1288" s="9"/>
      <c r="AD1288" s="9"/>
      <c r="AE1288" s="9"/>
      <c r="AF1288" s="9"/>
      <c r="AG1288" s="5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59"/>
      <c r="AR1288" s="21"/>
      <c r="AS1288" s="21"/>
      <c r="AT1288" s="3"/>
      <c r="AU1288" s="3"/>
      <c r="AV1288" s="3"/>
      <c r="AW1288" s="3"/>
      <c r="AX1288" s="3"/>
      <c r="AY1288" s="3"/>
      <c r="AZ1288" s="3"/>
      <c r="BA1288" s="3"/>
      <c r="BB1288" s="53"/>
      <c r="BC1288" s="3"/>
      <c r="BD1288" s="59"/>
      <c r="BE1288" s="3"/>
      <c r="BF1288" s="53"/>
      <c r="BG1288" s="59"/>
    </row>
    <row r="1289" spans="1:59" customFormat="1" ht="15" x14ac:dyDescent="0.35">
      <c r="A1289" s="19"/>
      <c r="B1289" s="49"/>
      <c r="C1289" s="14"/>
      <c r="D1289" s="1"/>
      <c r="E1289" s="149"/>
      <c r="F1289" s="153"/>
      <c r="G1289" s="10"/>
      <c r="H1289" s="17"/>
      <c r="I1289" s="17"/>
      <c r="J1289" s="17"/>
      <c r="K1289" s="30"/>
      <c r="L1289" s="30"/>
      <c r="M1289" s="30"/>
      <c r="N1289" s="30"/>
      <c r="O1289" s="30"/>
      <c r="P1289" s="30"/>
      <c r="Q1289" s="30"/>
      <c r="R1289" s="30"/>
      <c r="S1289" s="30"/>
      <c r="T1289" s="30"/>
      <c r="U1289" s="30"/>
      <c r="V1289" s="30"/>
      <c r="W1289" s="29"/>
      <c r="X1289" s="15"/>
      <c r="Y1289" s="30"/>
      <c r="Z1289" s="30"/>
      <c r="AA1289" s="30"/>
      <c r="AB1289" s="30"/>
      <c r="AC1289" s="17"/>
      <c r="AD1289" s="17"/>
      <c r="AE1289" s="17"/>
      <c r="AF1289" s="17"/>
      <c r="AG1289" s="20"/>
      <c r="AH1289" s="21"/>
      <c r="AI1289" s="21"/>
      <c r="AJ1289" s="21"/>
      <c r="AK1289" s="21"/>
      <c r="AL1289" s="21"/>
      <c r="AM1289" s="21"/>
      <c r="AN1289" s="21"/>
      <c r="AO1289" s="22"/>
      <c r="AP1289" s="21"/>
      <c r="AQ1289" s="24"/>
      <c r="AR1289" s="21"/>
      <c r="AS1289" s="21"/>
      <c r="AT1289" s="21"/>
      <c r="AU1289" s="21"/>
      <c r="AV1289" s="21"/>
      <c r="AW1289" s="21"/>
      <c r="AX1289" s="22"/>
      <c r="AY1289" s="21"/>
      <c r="AZ1289" s="22"/>
      <c r="BA1289" s="21"/>
      <c r="BB1289" s="20"/>
      <c r="BC1289" s="21"/>
      <c r="BD1289" s="25"/>
      <c r="BE1289" s="26"/>
      <c r="BF1289" s="27"/>
      <c r="BG1289" s="28"/>
    </row>
    <row r="1290" spans="1:59" customFormat="1" ht="15" x14ac:dyDescent="0.35">
      <c r="A1290" s="50"/>
      <c r="B1290" s="63"/>
      <c r="C1290" s="39"/>
      <c r="D1290" s="6"/>
      <c r="E1290" s="149"/>
      <c r="F1290" s="153"/>
      <c r="G1290" s="10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5"/>
      <c r="V1290" s="5"/>
      <c r="W1290" s="13"/>
      <c r="X1290" s="4"/>
      <c r="Y1290" s="4"/>
      <c r="Z1290" s="4"/>
      <c r="AA1290" s="6"/>
      <c r="AB1290" s="11"/>
      <c r="AC1290" s="9"/>
      <c r="AD1290" s="9"/>
      <c r="AE1290" s="9"/>
      <c r="AF1290" s="9"/>
      <c r="AG1290" s="54"/>
      <c r="AH1290" s="3"/>
      <c r="AI1290" s="2"/>
      <c r="AJ1290" s="2"/>
      <c r="AK1290" s="2"/>
      <c r="AL1290" s="3"/>
      <c r="AM1290" s="3"/>
      <c r="AN1290" s="3"/>
      <c r="AO1290" s="3"/>
      <c r="AP1290" s="3"/>
      <c r="AQ1290" s="59"/>
      <c r="AR1290" s="3"/>
      <c r="AS1290" s="3"/>
      <c r="AT1290" s="3"/>
      <c r="AU1290" s="3"/>
      <c r="AV1290" s="3"/>
      <c r="AW1290" s="3"/>
      <c r="AX1290" s="12"/>
      <c r="AY1290" s="3"/>
      <c r="AZ1290" s="3"/>
      <c r="BA1290" s="3"/>
      <c r="BB1290" s="53"/>
      <c r="BC1290" s="3"/>
      <c r="BD1290" s="59"/>
      <c r="BE1290" s="3"/>
      <c r="BF1290" s="53"/>
      <c r="BG1290" s="59"/>
    </row>
    <row r="1291" spans="1:59" customFormat="1" ht="15" x14ac:dyDescent="0.35">
      <c r="A1291" s="50"/>
      <c r="B1291" s="63"/>
      <c r="C1291" s="39"/>
      <c r="D1291" s="6"/>
      <c r="E1291" s="149"/>
      <c r="F1291" s="153"/>
      <c r="G1291" s="10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12"/>
      <c r="X1291" s="33"/>
      <c r="Y1291" s="6"/>
      <c r="Z1291" s="6"/>
      <c r="AA1291" s="6"/>
      <c r="AB1291" s="6"/>
      <c r="AC1291" s="9"/>
      <c r="AD1291" s="9"/>
      <c r="AE1291" s="9"/>
      <c r="AF1291" s="9"/>
      <c r="AG1291" s="5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59"/>
      <c r="AR1291" s="21"/>
      <c r="AS1291" s="21"/>
      <c r="AT1291" s="3"/>
      <c r="AU1291" s="3"/>
      <c r="AV1291" s="3"/>
      <c r="AW1291" s="3"/>
      <c r="AX1291" s="3"/>
      <c r="AY1291" s="3"/>
      <c r="AZ1291" s="3"/>
      <c r="BA1291" s="3"/>
      <c r="BB1291" s="53"/>
      <c r="BC1291" s="3"/>
      <c r="BD1291" s="59"/>
      <c r="BE1291" s="3"/>
      <c r="BF1291" s="53"/>
      <c r="BG1291" s="59"/>
    </row>
    <row r="1292" spans="1:59" customFormat="1" ht="15" x14ac:dyDescent="0.35">
      <c r="A1292" s="50"/>
      <c r="B1292" s="63"/>
      <c r="C1292" s="39"/>
      <c r="D1292" s="6"/>
      <c r="E1292" s="149"/>
      <c r="F1292" s="153"/>
      <c r="G1292" s="10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12"/>
      <c r="X1292" s="33"/>
      <c r="Y1292" s="6"/>
      <c r="Z1292" s="6"/>
      <c r="AA1292" s="6"/>
      <c r="AB1292" s="6"/>
      <c r="AC1292" s="9"/>
      <c r="AD1292" s="9"/>
      <c r="AE1292" s="9"/>
      <c r="AF1292" s="9"/>
      <c r="AG1292" s="5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59"/>
      <c r="AR1292" s="21"/>
      <c r="AS1292" s="21"/>
      <c r="AT1292" s="3"/>
      <c r="AU1292" s="3"/>
      <c r="AV1292" s="3"/>
      <c r="AW1292" s="3"/>
      <c r="AX1292" s="3"/>
      <c r="AY1292" s="3"/>
      <c r="AZ1292" s="3"/>
      <c r="BA1292" s="3"/>
      <c r="BB1292" s="53"/>
      <c r="BC1292" s="3"/>
      <c r="BD1292" s="59"/>
      <c r="BE1292" s="3"/>
      <c r="BF1292" s="53"/>
      <c r="BG1292" s="59"/>
    </row>
    <row r="1293" spans="1:59" customFormat="1" ht="15" x14ac:dyDescent="0.35">
      <c r="A1293" s="19"/>
      <c r="B1293" s="49"/>
      <c r="C1293" s="39"/>
      <c r="D1293" s="1"/>
      <c r="E1293" s="149"/>
      <c r="F1293" s="153"/>
      <c r="G1293" s="10"/>
      <c r="H1293" s="17"/>
      <c r="I1293" s="17"/>
      <c r="J1293" s="17"/>
      <c r="K1293" s="30"/>
      <c r="L1293" s="30"/>
      <c r="M1293" s="30"/>
      <c r="N1293" s="30"/>
      <c r="O1293" s="30"/>
      <c r="P1293" s="30"/>
      <c r="Q1293" s="30"/>
      <c r="R1293" s="30"/>
      <c r="S1293" s="30"/>
      <c r="T1293" s="30"/>
      <c r="U1293" s="30"/>
      <c r="V1293" s="30"/>
      <c r="W1293" s="29"/>
      <c r="X1293" s="15"/>
      <c r="Y1293" s="30"/>
      <c r="Z1293" s="30"/>
      <c r="AA1293" s="30"/>
      <c r="AB1293" s="30"/>
      <c r="AC1293" s="17"/>
      <c r="AD1293" s="17"/>
      <c r="AE1293" s="17"/>
      <c r="AF1293" s="17"/>
      <c r="AG1293" s="20"/>
      <c r="AH1293" s="21"/>
      <c r="AI1293" s="21"/>
      <c r="AJ1293" s="21"/>
      <c r="AK1293" s="21"/>
      <c r="AL1293" s="21"/>
      <c r="AM1293" s="21"/>
      <c r="AN1293" s="21"/>
      <c r="AO1293" s="22"/>
      <c r="AP1293" s="21"/>
      <c r="AQ1293" s="24"/>
      <c r="AR1293" s="21"/>
      <c r="AS1293" s="21"/>
      <c r="AT1293" s="21"/>
      <c r="AU1293" s="21"/>
      <c r="AV1293" s="21"/>
      <c r="AW1293" s="21"/>
      <c r="AX1293" s="22"/>
      <c r="AY1293" s="21"/>
      <c r="AZ1293" s="22"/>
      <c r="BA1293" s="21"/>
      <c r="BB1293" s="20"/>
      <c r="BC1293" s="21"/>
      <c r="BD1293" s="25"/>
      <c r="BE1293" s="26"/>
      <c r="BF1293" s="27"/>
      <c r="BG1293" s="28"/>
    </row>
    <row r="1294" spans="1:59" customFormat="1" ht="15" x14ac:dyDescent="0.35">
      <c r="A1294" s="50"/>
      <c r="B1294" s="63"/>
      <c r="C1294" s="39"/>
      <c r="D1294" s="6"/>
      <c r="E1294" s="149"/>
      <c r="F1294" s="153"/>
      <c r="G1294" s="10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12"/>
      <c r="X1294" s="33"/>
      <c r="Y1294" s="6"/>
      <c r="Z1294" s="6"/>
      <c r="AA1294" s="6"/>
      <c r="AB1294" s="6"/>
      <c r="AC1294" s="9"/>
      <c r="AD1294" s="9"/>
      <c r="AE1294" s="9"/>
      <c r="AF1294" s="9"/>
      <c r="AG1294" s="5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59"/>
      <c r="AR1294" s="21"/>
      <c r="AS1294" s="21"/>
      <c r="AT1294" s="3"/>
      <c r="AU1294" s="3"/>
      <c r="AV1294" s="3"/>
      <c r="AW1294" s="3"/>
      <c r="AX1294" s="3"/>
      <c r="AY1294" s="3"/>
      <c r="AZ1294" s="3"/>
      <c r="BA1294" s="3"/>
      <c r="BB1294" s="53"/>
      <c r="BC1294" s="3"/>
      <c r="BD1294" s="59"/>
      <c r="BE1294" s="3"/>
      <c r="BF1294" s="53"/>
      <c r="BG1294" s="59"/>
    </row>
    <row r="1295" spans="1:59" customFormat="1" ht="15" x14ac:dyDescent="0.35">
      <c r="A1295" s="50"/>
      <c r="B1295" s="63"/>
      <c r="C1295" s="39"/>
      <c r="D1295" s="6"/>
      <c r="E1295" s="149"/>
      <c r="F1295" s="153"/>
      <c r="G1295" s="10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5"/>
      <c r="V1295" s="5"/>
      <c r="W1295" s="13"/>
      <c r="X1295" s="4"/>
      <c r="Y1295" s="4"/>
      <c r="Z1295" s="4"/>
      <c r="AA1295" s="6"/>
      <c r="AB1295" s="5"/>
      <c r="AC1295" s="9"/>
      <c r="AD1295" s="9"/>
      <c r="AE1295" s="9"/>
      <c r="AF1295" s="9"/>
      <c r="AG1295" s="54"/>
      <c r="AH1295" s="3"/>
      <c r="AI1295" s="2"/>
      <c r="AJ1295" s="2"/>
      <c r="AK1295" s="2"/>
      <c r="AL1295" s="3"/>
      <c r="AM1295" s="3"/>
      <c r="AN1295" s="3"/>
      <c r="AO1295" s="3"/>
      <c r="AP1295" s="3"/>
      <c r="AQ1295" s="59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53"/>
      <c r="BC1295" s="3"/>
      <c r="BD1295" s="59"/>
      <c r="BE1295" s="3"/>
      <c r="BF1295" s="53"/>
      <c r="BG1295" s="59"/>
    </row>
    <row r="1296" spans="1:59" customFormat="1" ht="15" x14ac:dyDescent="0.35">
      <c r="A1296" s="50"/>
      <c r="B1296" s="63"/>
      <c r="C1296" s="39"/>
      <c r="D1296" s="6"/>
      <c r="E1296" s="149"/>
      <c r="F1296" s="153"/>
      <c r="G1296" s="10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5"/>
      <c r="V1296" s="5"/>
      <c r="W1296" s="13"/>
      <c r="X1296" s="4"/>
      <c r="Y1296" s="4"/>
      <c r="Z1296" s="4"/>
      <c r="AA1296" s="6"/>
      <c r="AB1296" s="5"/>
      <c r="AC1296" s="9"/>
      <c r="AD1296" s="9"/>
      <c r="AE1296" s="9"/>
      <c r="AF1296" s="9"/>
      <c r="AG1296" s="54"/>
      <c r="AH1296" s="3"/>
      <c r="AI1296" s="2"/>
      <c r="AJ1296" s="2"/>
      <c r="AK1296" s="2"/>
      <c r="AL1296" s="3"/>
      <c r="AM1296" s="3"/>
      <c r="AN1296" s="3"/>
      <c r="AO1296" s="3"/>
      <c r="AP1296" s="3"/>
      <c r="AQ1296" s="59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53"/>
      <c r="BC1296" s="3"/>
      <c r="BD1296" s="59"/>
      <c r="BE1296" s="3"/>
      <c r="BF1296" s="53"/>
      <c r="BG1296" s="59"/>
    </row>
    <row r="1297" spans="1:59" customFormat="1" ht="15" x14ac:dyDescent="0.35">
      <c r="A1297" s="50"/>
      <c r="B1297" s="63"/>
      <c r="C1297" s="39"/>
      <c r="D1297" s="6"/>
      <c r="E1297" s="149"/>
      <c r="F1297" s="153"/>
      <c r="G1297" s="10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5"/>
      <c r="V1297" s="5"/>
      <c r="W1297" s="13"/>
      <c r="X1297" s="4"/>
      <c r="Y1297" s="4"/>
      <c r="Z1297" s="4"/>
      <c r="AA1297" s="6"/>
      <c r="AB1297" s="5"/>
      <c r="AC1297" s="9"/>
      <c r="AD1297" s="9"/>
      <c r="AE1297" s="9"/>
      <c r="AF1297" s="9"/>
      <c r="AG1297" s="54"/>
      <c r="AH1297" s="3"/>
      <c r="AI1297" s="2"/>
      <c r="AJ1297" s="2"/>
      <c r="AK1297" s="2"/>
      <c r="AL1297" s="3"/>
      <c r="AM1297" s="3"/>
      <c r="AN1297" s="3"/>
      <c r="AO1297" s="3"/>
      <c r="AP1297" s="3"/>
      <c r="AQ1297" s="59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53"/>
      <c r="BC1297" s="3"/>
      <c r="BD1297" s="59"/>
      <c r="BE1297" s="3"/>
      <c r="BF1297" s="53"/>
      <c r="BG1297" s="59"/>
    </row>
    <row r="1298" spans="1:59" customFormat="1" ht="15" x14ac:dyDescent="0.35">
      <c r="A1298" s="19"/>
      <c r="B1298" s="49"/>
      <c r="C1298" s="14"/>
      <c r="D1298" s="1"/>
      <c r="E1298" s="149"/>
      <c r="F1298" s="153"/>
      <c r="G1298" s="10"/>
      <c r="H1298" s="17"/>
      <c r="I1298" s="17"/>
      <c r="J1298" s="17"/>
      <c r="K1298" s="30"/>
      <c r="L1298" s="30"/>
      <c r="M1298" s="30"/>
      <c r="N1298" s="30"/>
      <c r="O1298" s="30"/>
      <c r="P1298" s="30"/>
      <c r="Q1298" s="30"/>
      <c r="R1298" s="30"/>
      <c r="S1298" s="30"/>
      <c r="T1298" s="30"/>
      <c r="U1298" s="30"/>
      <c r="V1298" s="30"/>
      <c r="W1298" s="29"/>
      <c r="X1298" s="15"/>
      <c r="Y1298" s="30"/>
      <c r="Z1298" s="30"/>
      <c r="AA1298" s="30"/>
      <c r="AB1298" s="30"/>
      <c r="AC1298" s="17"/>
      <c r="AD1298" s="17"/>
      <c r="AE1298" s="17"/>
      <c r="AF1298" s="17"/>
      <c r="AG1298" s="20"/>
      <c r="AH1298" s="21"/>
      <c r="AI1298" s="21"/>
      <c r="AJ1298" s="21"/>
      <c r="AK1298" s="21"/>
      <c r="AL1298" s="21"/>
      <c r="AM1298" s="21"/>
      <c r="AN1298" s="21"/>
      <c r="AO1298" s="22"/>
      <c r="AP1298" s="21"/>
      <c r="AQ1298" s="24"/>
      <c r="AR1298" s="21"/>
      <c r="AS1298" s="21"/>
      <c r="AT1298" s="21"/>
      <c r="AU1298" s="21"/>
      <c r="AV1298" s="21"/>
      <c r="AW1298" s="21"/>
      <c r="AX1298" s="22"/>
      <c r="AY1298" s="21"/>
      <c r="AZ1298" s="22"/>
      <c r="BA1298" s="21"/>
      <c r="BB1298" s="20"/>
      <c r="BC1298" s="21"/>
      <c r="BD1298" s="25"/>
      <c r="BE1298" s="26"/>
      <c r="BF1298" s="27"/>
      <c r="BG1298" s="28"/>
    </row>
    <row r="1299" spans="1:59" customFormat="1" ht="15" x14ac:dyDescent="0.35">
      <c r="A1299" s="50"/>
      <c r="B1299" s="63"/>
      <c r="C1299" s="39"/>
      <c r="D1299" s="6"/>
      <c r="E1299" s="149"/>
      <c r="F1299" s="153"/>
      <c r="G1299" s="10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5"/>
      <c r="V1299" s="5"/>
      <c r="W1299" s="13"/>
      <c r="X1299" s="4"/>
      <c r="Y1299" s="4"/>
      <c r="Z1299" s="4"/>
      <c r="AA1299" s="6"/>
      <c r="AB1299" s="5"/>
      <c r="AC1299" s="9"/>
      <c r="AD1299" s="9"/>
      <c r="AE1299" s="9"/>
      <c r="AF1299" s="9"/>
      <c r="AG1299" s="54"/>
      <c r="AH1299" s="3"/>
      <c r="AI1299" s="2"/>
      <c r="AJ1299" s="2"/>
      <c r="AK1299" s="2"/>
      <c r="AL1299" s="3"/>
      <c r="AM1299" s="3"/>
      <c r="AN1299" s="3"/>
      <c r="AO1299" s="3"/>
      <c r="AP1299" s="3"/>
      <c r="AQ1299" s="59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53"/>
      <c r="BC1299" s="3"/>
      <c r="BD1299" s="59"/>
      <c r="BE1299" s="3"/>
      <c r="BF1299" s="53"/>
      <c r="BG1299" s="59"/>
    </row>
    <row r="1300" spans="1:59" customFormat="1" ht="15" x14ac:dyDescent="0.35">
      <c r="A1300" s="50"/>
      <c r="B1300" s="63"/>
      <c r="C1300" s="39"/>
      <c r="D1300" s="6"/>
      <c r="E1300" s="149"/>
      <c r="F1300" s="153"/>
      <c r="G1300" s="10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12"/>
      <c r="X1300" s="33"/>
      <c r="Y1300" s="6"/>
      <c r="Z1300" s="6"/>
      <c r="AA1300" s="6"/>
      <c r="AB1300" s="6"/>
      <c r="AC1300" s="9"/>
      <c r="AD1300" s="9"/>
      <c r="AE1300" s="9"/>
      <c r="AF1300" s="9"/>
      <c r="AG1300" s="5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59"/>
      <c r="AR1300" s="21"/>
      <c r="AS1300" s="21"/>
      <c r="AT1300" s="3"/>
      <c r="AU1300" s="3"/>
      <c r="AV1300" s="3"/>
      <c r="AW1300" s="3"/>
      <c r="AX1300" s="3"/>
      <c r="AY1300" s="3"/>
      <c r="AZ1300" s="3"/>
      <c r="BA1300" s="3"/>
      <c r="BB1300" s="53"/>
      <c r="BC1300" s="3"/>
      <c r="BD1300" s="59"/>
      <c r="BE1300" s="3"/>
      <c r="BF1300" s="53"/>
      <c r="BG1300" s="59"/>
    </row>
    <row r="1301" spans="1:59" customFormat="1" ht="15" x14ac:dyDescent="0.35">
      <c r="A1301" s="19"/>
      <c r="B1301" s="49"/>
      <c r="C1301" s="14"/>
      <c r="D1301" s="1"/>
      <c r="E1301" s="149"/>
      <c r="F1301" s="153"/>
      <c r="G1301" s="10"/>
      <c r="H1301" s="17"/>
      <c r="I1301" s="17"/>
      <c r="J1301" s="17"/>
      <c r="K1301" s="30"/>
      <c r="L1301" s="30"/>
      <c r="M1301" s="30"/>
      <c r="N1301" s="30"/>
      <c r="O1301" s="30"/>
      <c r="P1301" s="30"/>
      <c r="Q1301" s="30"/>
      <c r="R1301" s="30"/>
      <c r="S1301" s="30"/>
      <c r="T1301" s="30"/>
      <c r="U1301" s="30"/>
      <c r="V1301" s="30"/>
      <c r="W1301" s="29"/>
      <c r="X1301" s="15"/>
      <c r="Y1301" s="30"/>
      <c r="Z1301" s="30"/>
      <c r="AA1301" s="30"/>
      <c r="AB1301" s="30"/>
      <c r="AC1301" s="17"/>
      <c r="AD1301" s="17"/>
      <c r="AE1301" s="17"/>
      <c r="AF1301" s="17"/>
      <c r="AG1301" s="20"/>
      <c r="AH1301" s="21"/>
      <c r="AI1301" s="21"/>
      <c r="AJ1301" s="21"/>
      <c r="AK1301" s="21"/>
      <c r="AL1301" s="21"/>
      <c r="AM1301" s="21"/>
      <c r="AN1301" s="21"/>
      <c r="AO1301" s="22"/>
      <c r="AP1301" s="21"/>
      <c r="AQ1301" s="24"/>
      <c r="AR1301" s="21"/>
      <c r="AS1301" s="21"/>
      <c r="AT1301" s="21"/>
      <c r="AU1301" s="21"/>
      <c r="AV1301" s="21"/>
      <c r="AW1301" s="21"/>
      <c r="AX1301" s="22"/>
      <c r="AY1301" s="21"/>
      <c r="AZ1301" s="22"/>
      <c r="BA1301" s="21"/>
      <c r="BB1301" s="20"/>
      <c r="BC1301" s="21"/>
      <c r="BD1301" s="25"/>
      <c r="BE1301" s="26"/>
      <c r="BF1301" s="27"/>
      <c r="BG1301" s="28"/>
    </row>
    <row r="1302" spans="1:59" customFormat="1" ht="15" x14ac:dyDescent="0.35">
      <c r="A1302" s="50"/>
      <c r="B1302" s="63"/>
      <c r="C1302" s="39"/>
      <c r="D1302" s="6"/>
      <c r="E1302" s="149"/>
      <c r="F1302" s="153"/>
      <c r="G1302" s="10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5"/>
      <c r="V1302" s="5"/>
      <c r="W1302" s="13"/>
      <c r="X1302" s="4"/>
      <c r="Y1302" s="4"/>
      <c r="Z1302" s="4"/>
      <c r="AA1302" s="6"/>
      <c r="AB1302" s="5"/>
      <c r="AC1302" s="9"/>
      <c r="AD1302" s="9"/>
      <c r="AE1302" s="9"/>
      <c r="AF1302" s="9"/>
      <c r="AG1302" s="54"/>
      <c r="AH1302" s="3"/>
      <c r="AI1302" s="2"/>
      <c r="AJ1302" s="2"/>
      <c r="AK1302" s="2"/>
      <c r="AL1302" s="3"/>
      <c r="AM1302" s="3"/>
      <c r="AN1302" s="3"/>
      <c r="AO1302" s="3"/>
      <c r="AP1302" s="3"/>
      <c r="AQ1302" s="59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53"/>
      <c r="BC1302" s="3"/>
      <c r="BD1302" s="59"/>
      <c r="BE1302" s="3"/>
      <c r="BF1302" s="53"/>
      <c r="BG1302" s="59"/>
    </row>
    <row r="1303" spans="1:59" customFormat="1" ht="15" x14ac:dyDescent="0.35">
      <c r="A1303" s="50"/>
      <c r="B1303" s="63"/>
      <c r="C1303" s="39"/>
      <c r="D1303" s="6"/>
      <c r="E1303" s="149"/>
      <c r="F1303" s="153"/>
      <c r="G1303" s="10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12"/>
      <c r="X1303" s="33"/>
      <c r="Y1303" s="6"/>
      <c r="Z1303" s="6"/>
      <c r="AA1303" s="6"/>
      <c r="AB1303" s="6"/>
      <c r="AC1303" s="9"/>
      <c r="AD1303" s="9"/>
      <c r="AE1303" s="9"/>
      <c r="AF1303" s="9"/>
      <c r="AG1303" s="5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59"/>
      <c r="AR1303" s="21"/>
      <c r="AS1303" s="21"/>
      <c r="AT1303" s="3"/>
      <c r="AU1303" s="3"/>
      <c r="AV1303" s="3"/>
      <c r="AW1303" s="3"/>
      <c r="AX1303" s="3"/>
      <c r="AY1303" s="3"/>
      <c r="AZ1303" s="3"/>
      <c r="BA1303" s="3"/>
      <c r="BB1303" s="53"/>
      <c r="BC1303" s="3"/>
      <c r="BD1303" s="59"/>
      <c r="BE1303" s="3"/>
      <c r="BF1303" s="53"/>
      <c r="BG1303" s="59"/>
    </row>
    <row r="1304" spans="1:59" customFormat="1" ht="15" x14ac:dyDescent="0.35">
      <c r="A1304" s="50"/>
      <c r="B1304" s="63"/>
      <c r="C1304" s="39"/>
      <c r="D1304" s="6"/>
      <c r="E1304" s="149"/>
      <c r="F1304" s="153"/>
      <c r="G1304" s="10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12"/>
      <c r="X1304" s="33"/>
      <c r="Y1304" s="6"/>
      <c r="Z1304" s="6"/>
      <c r="AA1304" s="6"/>
      <c r="AB1304" s="6"/>
      <c r="AC1304" s="9"/>
      <c r="AD1304" s="9"/>
      <c r="AE1304" s="9"/>
      <c r="AF1304" s="9"/>
      <c r="AG1304" s="5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59"/>
      <c r="AR1304" s="21"/>
      <c r="AS1304" s="21"/>
      <c r="AT1304" s="3"/>
      <c r="AU1304" s="3"/>
      <c r="AV1304" s="3"/>
      <c r="AW1304" s="3"/>
      <c r="AX1304" s="3"/>
      <c r="AY1304" s="3"/>
      <c r="AZ1304" s="3"/>
      <c r="BA1304" s="3"/>
      <c r="BB1304" s="53"/>
      <c r="BC1304" s="3"/>
      <c r="BD1304" s="59"/>
      <c r="BE1304" s="3"/>
      <c r="BF1304" s="53"/>
      <c r="BG1304" s="59"/>
    </row>
    <row r="1305" spans="1:59" customFormat="1" ht="15" x14ac:dyDescent="0.35">
      <c r="A1305" s="19"/>
      <c r="B1305" s="49"/>
      <c r="C1305" s="14"/>
      <c r="D1305" s="1"/>
      <c r="E1305" s="149"/>
      <c r="F1305" s="153"/>
      <c r="G1305" s="10"/>
      <c r="H1305" s="17"/>
      <c r="I1305" s="17"/>
      <c r="J1305" s="17"/>
      <c r="K1305" s="30"/>
      <c r="L1305" s="30"/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29"/>
      <c r="X1305" s="15"/>
      <c r="Y1305" s="30"/>
      <c r="Z1305" s="30"/>
      <c r="AA1305" s="30"/>
      <c r="AB1305" s="30"/>
      <c r="AC1305" s="17"/>
      <c r="AD1305" s="17"/>
      <c r="AE1305" s="17"/>
      <c r="AF1305" s="17"/>
      <c r="AG1305" s="20"/>
      <c r="AH1305" s="21"/>
      <c r="AI1305" s="21"/>
      <c r="AJ1305" s="21"/>
      <c r="AK1305" s="21"/>
      <c r="AL1305" s="21"/>
      <c r="AM1305" s="21"/>
      <c r="AN1305" s="21"/>
      <c r="AO1305" s="22"/>
      <c r="AP1305" s="21"/>
      <c r="AQ1305" s="24"/>
      <c r="AR1305" s="21"/>
      <c r="AS1305" s="21"/>
      <c r="AT1305" s="21"/>
      <c r="AU1305" s="21"/>
      <c r="AV1305" s="21"/>
      <c r="AW1305" s="21"/>
      <c r="AX1305" s="22"/>
      <c r="AY1305" s="21"/>
      <c r="AZ1305" s="22"/>
      <c r="BA1305" s="21"/>
      <c r="BB1305" s="20"/>
      <c r="BC1305" s="21"/>
      <c r="BD1305" s="25"/>
      <c r="BE1305" s="26"/>
      <c r="BF1305" s="27"/>
      <c r="BG1305" s="28"/>
    </row>
    <row r="1306" spans="1:59" customFormat="1" ht="15" x14ac:dyDescent="0.35">
      <c r="A1306" s="50"/>
      <c r="B1306" s="63"/>
      <c r="C1306" s="39"/>
      <c r="D1306" s="6"/>
      <c r="E1306" s="149"/>
      <c r="F1306" s="153"/>
      <c r="G1306" s="10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12"/>
      <c r="X1306" s="33"/>
      <c r="Y1306" s="6"/>
      <c r="Z1306" s="6"/>
      <c r="AA1306" s="6"/>
      <c r="AB1306" s="6"/>
      <c r="AC1306" s="9"/>
      <c r="AD1306" s="9"/>
      <c r="AE1306" s="9"/>
      <c r="AF1306" s="9"/>
      <c r="AG1306" s="5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59"/>
      <c r="AR1306" s="21"/>
      <c r="AS1306" s="21"/>
      <c r="AT1306" s="3"/>
      <c r="AU1306" s="3"/>
      <c r="AV1306" s="3"/>
      <c r="AW1306" s="3"/>
      <c r="AX1306" s="3"/>
      <c r="AY1306" s="3"/>
      <c r="AZ1306" s="3"/>
      <c r="BA1306" s="3"/>
      <c r="BB1306" s="53"/>
      <c r="BC1306" s="3"/>
      <c r="BD1306" s="59"/>
      <c r="BE1306" s="3"/>
      <c r="BF1306" s="53"/>
      <c r="BG1306" s="59"/>
    </row>
    <row r="1307" spans="1:59" customFormat="1" ht="15" x14ac:dyDescent="0.35">
      <c r="A1307" s="50"/>
      <c r="B1307" s="63"/>
      <c r="C1307" s="39"/>
      <c r="D1307" s="6"/>
      <c r="E1307" s="149"/>
      <c r="F1307" s="153"/>
      <c r="G1307" s="10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12"/>
      <c r="X1307" s="33"/>
      <c r="Y1307" s="6"/>
      <c r="Z1307" s="6"/>
      <c r="AA1307" s="6"/>
      <c r="AB1307" s="6"/>
      <c r="AC1307" s="9"/>
      <c r="AD1307" s="9"/>
      <c r="AE1307" s="9"/>
      <c r="AF1307" s="9"/>
      <c r="AG1307" s="5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59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53"/>
      <c r="BC1307" s="3"/>
      <c r="BD1307" s="59"/>
      <c r="BE1307" s="3"/>
      <c r="BF1307" s="53"/>
      <c r="BG1307" s="59"/>
    </row>
    <row r="1308" spans="1:59" customFormat="1" ht="15" x14ac:dyDescent="0.35">
      <c r="A1308" s="19"/>
      <c r="B1308" s="49"/>
      <c r="C1308" s="39"/>
      <c r="D1308" s="1"/>
      <c r="E1308" s="149"/>
      <c r="F1308" s="153"/>
      <c r="G1308" s="10"/>
      <c r="H1308" s="17"/>
      <c r="I1308" s="17"/>
      <c r="J1308" s="17"/>
      <c r="K1308" s="30"/>
      <c r="L1308" s="30"/>
      <c r="M1308" s="30"/>
      <c r="N1308" s="30"/>
      <c r="O1308" s="30"/>
      <c r="P1308" s="30"/>
      <c r="Q1308" s="30"/>
      <c r="R1308" s="30"/>
      <c r="S1308" s="30"/>
      <c r="T1308" s="30"/>
      <c r="U1308" s="30"/>
      <c r="V1308" s="30"/>
      <c r="W1308" s="29"/>
      <c r="X1308" s="15"/>
      <c r="Y1308" s="30"/>
      <c r="Z1308" s="30"/>
      <c r="AA1308" s="30"/>
      <c r="AB1308" s="30"/>
      <c r="AC1308" s="17"/>
      <c r="AD1308" s="17"/>
      <c r="AE1308" s="17"/>
      <c r="AF1308" s="17"/>
      <c r="AG1308" s="20"/>
      <c r="AH1308" s="21"/>
      <c r="AI1308" s="21"/>
      <c r="AJ1308" s="21"/>
      <c r="AK1308" s="21"/>
      <c r="AL1308" s="21"/>
      <c r="AM1308" s="21"/>
      <c r="AN1308" s="21"/>
      <c r="AO1308" s="22"/>
      <c r="AP1308" s="21"/>
      <c r="AQ1308" s="24"/>
      <c r="AR1308" s="21"/>
      <c r="AS1308" s="21"/>
      <c r="AT1308" s="21"/>
      <c r="AU1308" s="21"/>
      <c r="AV1308" s="21"/>
      <c r="AW1308" s="21"/>
      <c r="AX1308" s="22"/>
      <c r="AY1308" s="21"/>
      <c r="AZ1308" s="22"/>
      <c r="BA1308" s="21"/>
      <c r="BB1308" s="20"/>
      <c r="BC1308" s="21"/>
      <c r="BD1308" s="25"/>
      <c r="BE1308" s="26"/>
      <c r="BF1308" s="27"/>
      <c r="BG1308" s="28"/>
    </row>
    <row r="1309" spans="1:59" customFormat="1" ht="15" x14ac:dyDescent="0.35">
      <c r="A1309" s="50"/>
      <c r="B1309" s="63"/>
      <c r="C1309" s="39"/>
      <c r="D1309" s="6"/>
      <c r="E1309" s="149"/>
      <c r="F1309" s="153"/>
      <c r="G1309" s="10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5"/>
      <c r="V1309" s="5"/>
      <c r="W1309" s="13"/>
      <c r="X1309" s="4"/>
      <c r="Y1309" s="4"/>
      <c r="Z1309" s="4"/>
      <c r="AA1309" s="6"/>
      <c r="AB1309" s="5"/>
      <c r="AC1309" s="9"/>
      <c r="AD1309" s="9"/>
      <c r="AE1309" s="9"/>
      <c r="AF1309" s="9"/>
      <c r="AG1309" s="54"/>
      <c r="AH1309" s="3"/>
      <c r="AI1309" s="2"/>
      <c r="AJ1309" s="2"/>
      <c r="AK1309" s="2"/>
      <c r="AL1309" s="3"/>
      <c r="AM1309" s="3"/>
      <c r="AN1309" s="3"/>
      <c r="AO1309" s="3"/>
      <c r="AP1309" s="3"/>
      <c r="AQ1309" s="59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53"/>
      <c r="BC1309" s="3"/>
      <c r="BD1309" s="59"/>
      <c r="BE1309" s="3"/>
      <c r="BF1309" s="53"/>
      <c r="BG1309" s="59"/>
    </row>
    <row r="1310" spans="1:59" customFormat="1" ht="15" x14ac:dyDescent="0.35">
      <c r="A1310" s="50"/>
      <c r="B1310" s="63"/>
      <c r="C1310" s="39"/>
      <c r="D1310" s="6"/>
      <c r="E1310" s="149"/>
      <c r="F1310" s="153"/>
      <c r="G1310" s="10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12"/>
      <c r="X1310" s="33"/>
      <c r="Y1310" s="6"/>
      <c r="Z1310" s="6"/>
      <c r="AA1310" s="6"/>
      <c r="AB1310" s="6"/>
      <c r="AC1310" s="9"/>
      <c r="AD1310" s="9"/>
      <c r="AE1310" s="9"/>
      <c r="AF1310" s="9"/>
      <c r="AG1310" s="5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59"/>
      <c r="AR1310" s="21"/>
      <c r="AS1310" s="21"/>
      <c r="AT1310" s="3"/>
      <c r="AU1310" s="3"/>
      <c r="AV1310" s="3"/>
      <c r="AW1310" s="3"/>
      <c r="AX1310" s="3"/>
      <c r="AY1310" s="3"/>
      <c r="AZ1310" s="3"/>
      <c r="BA1310" s="3"/>
      <c r="BB1310" s="53"/>
      <c r="BC1310" s="3"/>
      <c r="BD1310" s="59"/>
      <c r="BE1310" s="3"/>
      <c r="BF1310" s="53"/>
      <c r="BG1310" s="59"/>
    </row>
    <row r="1311" spans="1:59" customFormat="1" ht="15" x14ac:dyDescent="0.35">
      <c r="A1311" s="50"/>
      <c r="B1311" s="63"/>
      <c r="C1311" s="39"/>
      <c r="D1311" s="6"/>
      <c r="E1311" s="149"/>
      <c r="F1311" s="153"/>
      <c r="G1311" s="10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12"/>
      <c r="X1311" s="33"/>
      <c r="Y1311" s="6"/>
      <c r="Z1311" s="6"/>
      <c r="AA1311" s="6"/>
      <c r="AB1311" s="6"/>
      <c r="AC1311" s="9"/>
      <c r="AD1311" s="9"/>
      <c r="AE1311" s="9"/>
      <c r="AF1311" s="9"/>
      <c r="AG1311" s="5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59"/>
      <c r="AR1311" s="21"/>
      <c r="AS1311" s="21"/>
      <c r="AT1311" s="3"/>
      <c r="AU1311" s="3"/>
      <c r="AV1311" s="3"/>
      <c r="AW1311" s="3"/>
      <c r="AX1311" s="3"/>
      <c r="AY1311" s="3"/>
      <c r="AZ1311" s="3"/>
      <c r="BA1311" s="3"/>
      <c r="BB1311" s="53"/>
      <c r="BC1311" s="3"/>
      <c r="BD1311" s="59"/>
      <c r="BE1311" s="3"/>
      <c r="BF1311" s="53"/>
      <c r="BG1311" s="59"/>
    </row>
    <row r="1312" spans="1:59" customFormat="1" ht="15" x14ac:dyDescent="0.35">
      <c r="A1312" s="50"/>
      <c r="B1312" s="63"/>
      <c r="C1312" s="39"/>
      <c r="D1312" s="6"/>
      <c r="E1312" s="149"/>
      <c r="F1312" s="153"/>
      <c r="G1312" s="10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12"/>
      <c r="X1312" s="33"/>
      <c r="Y1312" s="6"/>
      <c r="Z1312" s="6"/>
      <c r="AA1312" s="6"/>
      <c r="AB1312" s="6"/>
      <c r="AC1312" s="9"/>
      <c r="AD1312" s="9"/>
      <c r="AE1312" s="9"/>
      <c r="AF1312" s="9"/>
      <c r="AG1312" s="5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59"/>
      <c r="AR1312" s="21"/>
      <c r="AS1312" s="21"/>
      <c r="AT1312" s="3"/>
      <c r="AU1312" s="3"/>
      <c r="AV1312" s="3"/>
      <c r="AW1312" s="3"/>
      <c r="AX1312" s="3"/>
      <c r="AY1312" s="3"/>
      <c r="AZ1312" s="3"/>
      <c r="BA1312" s="3"/>
      <c r="BB1312" s="53"/>
      <c r="BC1312" s="3"/>
      <c r="BD1312" s="59"/>
      <c r="BE1312" s="3"/>
      <c r="BF1312" s="53"/>
      <c r="BG1312" s="59"/>
    </row>
    <row r="1313" spans="1:59" customFormat="1" ht="15" x14ac:dyDescent="0.35">
      <c r="A1313" s="50"/>
      <c r="B1313" s="63"/>
      <c r="C1313" s="39"/>
      <c r="D1313" s="6"/>
      <c r="E1313" s="149"/>
      <c r="F1313" s="153"/>
      <c r="G1313" s="10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5"/>
      <c r="V1313" s="5"/>
      <c r="W1313" s="13"/>
      <c r="X1313" s="4"/>
      <c r="Y1313" s="4"/>
      <c r="Z1313" s="4"/>
      <c r="AA1313" s="6"/>
      <c r="AB1313" s="5"/>
      <c r="AC1313" s="9"/>
      <c r="AD1313" s="9"/>
      <c r="AE1313" s="9"/>
      <c r="AF1313" s="9"/>
      <c r="AG1313" s="54"/>
      <c r="AH1313" s="3"/>
      <c r="AI1313" s="2"/>
      <c r="AJ1313" s="2"/>
      <c r="AK1313" s="2"/>
      <c r="AL1313" s="3"/>
      <c r="AM1313" s="3"/>
      <c r="AN1313" s="3"/>
      <c r="AO1313" s="3"/>
      <c r="AP1313" s="3"/>
      <c r="AQ1313" s="59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53"/>
      <c r="BC1313" s="3"/>
      <c r="BD1313" s="59"/>
      <c r="BE1313" s="3"/>
      <c r="BF1313" s="53"/>
      <c r="BG1313" s="59"/>
    </row>
    <row r="1314" spans="1:59" customFormat="1" ht="15" x14ac:dyDescent="0.35">
      <c r="A1314" s="50"/>
      <c r="B1314" s="63"/>
      <c r="C1314" s="39"/>
      <c r="D1314" s="6"/>
      <c r="E1314" s="149"/>
      <c r="F1314" s="153"/>
      <c r="G1314" s="10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5"/>
      <c r="V1314" s="5"/>
      <c r="W1314" s="13"/>
      <c r="X1314" s="4"/>
      <c r="Y1314" s="4"/>
      <c r="Z1314" s="4"/>
      <c r="AA1314" s="6"/>
      <c r="AB1314" s="5"/>
      <c r="AC1314" s="9"/>
      <c r="AD1314" s="9"/>
      <c r="AE1314" s="9"/>
      <c r="AF1314" s="9"/>
      <c r="AG1314" s="54"/>
      <c r="AH1314" s="3"/>
      <c r="AI1314" s="2"/>
      <c r="AJ1314" s="2"/>
      <c r="AK1314" s="2"/>
      <c r="AL1314" s="3"/>
      <c r="AM1314" s="3"/>
      <c r="AN1314" s="3"/>
      <c r="AO1314" s="3"/>
      <c r="AP1314" s="3"/>
      <c r="AQ1314" s="59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53"/>
      <c r="BC1314" s="3"/>
      <c r="BD1314" s="59"/>
      <c r="BE1314" s="3"/>
      <c r="BF1314" s="53"/>
      <c r="BG1314" s="59"/>
    </row>
    <row r="1315" spans="1:59" customFormat="1" ht="15" x14ac:dyDescent="0.35">
      <c r="A1315" s="19"/>
      <c r="B1315" s="49"/>
      <c r="C1315" s="39"/>
      <c r="D1315" s="1"/>
      <c r="E1315" s="149"/>
      <c r="F1315" s="153"/>
      <c r="G1315" s="10"/>
      <c r="H1315" s="17"/>
      <c r="I1315" s="17"/>
      <c r="J1315" s="17"/>
      <c r="K1315" s="30"/>
      <c r="L1315" s="30"/>
      <c r="M1315" s="30"/>
      <c r="N1315" s="30"/>
      <c r="O1315" s="30"/>
      <c r="P1315" s="30"/>
      <c r="Q1315" s="30"/>
      <c r="R1315" s="30"/>
      <c r="S1315" s="30"/>
      <c r="T1315" s="30"/>
      <c r="U1315" s="30"/>
      <c r="V1315" s="30"/>
      <c r="W1315" s="29"/>
      <c r="X1315" s="15"/>
      <c r="Y1315" s="30"/>
      <c r="Z1315" s="30"/>
      <c r="AA1315" s="30"/>
      <c r="AB1315" s="30"/>
      <c r="AC1315" s="17"/>
      <c r="AD1315" s="17"/>
      <c r="AE1315" s="17"/>
      <c r="AF1315" s="17"/>
      <c r="AG1315" s="20"/>
      <c r="AH1315" s="21"/>
      <c r="AI1315" s="21"/>
      <c r="AJ1315" s="21"/>
      <c r="AK1315" s="21"/>
      <c r="AL1315" s="21"/>
      <c r="AM1315" s="21"/>
      <c r="AN1315" s="21"/>
      <c r="AO1315" s="22"/>
      <c r="AP1315" s="21"/>
      <c r="AQ1315" s="24"/>
      <c r="AR1315" s="21"/>
      <c r="AS1315" s="21"/>
      <c r="AT1315" s="21"/>
      <c r="AU1315" s="21"/>
      <c r="AV1315" s="21"/>
      <c r="AW1315" s="21"/>
      <c r="AX1315" s="22"/>
      <c r="AY1315" s="21"/>
      <c r="AZ1315" s="22"/>
      <c r="BA1315" s="21"/>
      <c r="BB1315" s="20"/>
      <c r="BC1315" s="21"/>
      <c r="BD1315" s="25"/>
      <c r="BE1315" s="26"/>
      <c r="BF1315" s="27"/>
      <c r="BG1315" s="28"/>
    </row>
    <row r="1316" spans="1:59" customFormat="1" ht="15" x14ac:dyDescent="0.35">
      <c r="A1316" s="50"/>
      <c r="B1316" s="63"/>
      <c r="C1316" s="39"/>
      <c r="D1316" s="6"/>
      <c r="E1316" s="149"/>
      <c r="F1316" s="153"/>
      <c r="G1316" s="10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5"/>
      <c r="V1316" s="5"/>
      <c r="W1316" s="13"/>
      <c r="X1316" s="4"/>
      <c r="Y1316" s="4"/>
      <c r="Z1316" s="4"/>
      <c r="AA1316" s="6"/>
      <c r="AB1316" s="5"/>
      <c r="AC1316" s="9"/>
      <c r="AD1316" s="9"/>
      <c r="AE1316" s="9"/>
      <c r="AF1316" s="9"/>
      <c r="AG1316" s="54"/>
      <c r="AH1316" s="3"/>
      <c r="AI1316" s="2"/>
      <c r="AJ1316" s="2"/>
      <c r="AK1316" s="2"/>
      <c r="AL1316" s="3"/>
      <c r="AM1316" s="3"/>
      <c r="AN1316" s="3"/>
      <c r="AO1316" s="3"/>
      <c r="AP1316" s="3"/>
      <c r="AQ1316" s="59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53"/>
      <c r="BC1316" s="3"/>
      <c r="BD1316" s="59"/>
      <c r="BE1316" s="3"/>
      <c r="BF1316" s="53"/>
      <c r="BG1316" s="59"/>
    </row>
    <row r="1317" spans="1:59" customFormat="1" ht="15" x14ac:dyDescent="0.35">
      <c r="A1317" s="50"/>
      <c r="B1317" s="63"/>
      <c r="C1317" s="39"/>
      <c r="D1317" s="6"/>
      <c r="E1317" s="149"/>
      <c r="F1317" s="153"/>
      <c r="G1317" s="10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12"/>
      <c r="X1317" s="33"/>
      <c r="Y1317" s="6"/>
      <c r="Z1317" s="6"/>
      <c r="AA1317" s="6"/>
      <c r="AB1317" s="6"/>
      <c r="AC1317" s="9"/>
      <c r="AD1317" s="9"/>
      <c r="AE1317" s="9"/>
      <c r="AF1317" s="9"/>
      <c r="AG1317" s="5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59"/>
      <c r="AR1317" s="21"/>
      <c r="AS1317" s="21"/>
      <c r="AT1317" s="3"/>
      <c r="AU1317" s="3"/>
      <c r="AV1317" s="3"/>
      <c r="AW1317" s="3"/>
      <c r="AX1317" s="3"/>
      <c r="AY1317" s="3"/>
      <c r="AZ1317" s="3"/>
      <c r="BA1317" s="3"/>
      <c r="BB1317" s="53"/>
      <c r="BC1317" s="3"/>
      <c r="BD1317" s="59"/>
      <c r="BE1317" s="3"/>
      <c r="BF1317" s="53"/>
      <c r="BG1317" s="59"/>
    </row>
    <row r="1318" spans="1:59" customFormat="1" ht="15" x14ac:dyDescent="0.35">
      <c r="A1318" s="50"/>
      <c r="B1318" s="63"/>
      <c r="C1318" s="39"/>
      <c r="D1318" s="6"/>
      <c r="E1318" s="149"/>
      <c r="F1318" s="153"/>
      <c r="G1318" s="10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5"/>
      <c r="V1318" s="5"/>
      <c r="W1318" s="13"/>
      <c r="X1318" s="4"/>
      <c r="Y1318" s="4"/>
      <c r="Z1318" s="4"/>
      <c r="AA1318" s="6"/>
      <c r="AB1318" s="5"/>
      <c r="AC1318" s="9"/>
      <c r="AD1318" s="9"/>
      <c r="AE1318" s="9"/>
      <c r="AF1318" s="9"/>
      <c r="AG1318" s="54"/>
      <c r="AH1318" s="3"/>
      <c r="AI1318" s="2"/>
      <c r="AJ1318" s="2"/>
      <c r="AK1318" s="2"/>
      <c r="AL1318" s="3"/>
      <c r="AM1318" s="3"/>
      <c r="AN1318" s="3"/>
      <c r="AO1318" s="3"/>
      <c r="AP1318" s="3"/>
      <c r="AQ1318" s="59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53"/>
      <c r="BC1318" s="3"/>
      <c r="BD1318" s="59"/>
      <c r="BE1318" s="3"/>
      <c r="BF1318" s="53"/>
      <c r="BG1318" s="59"/>
    </row>
    <row r="1319" spans="1:59" customFormat="1" ht="15" x14ac:dyDescent="0.35">
      <c r="A1319" s="19"/>
      <c r="B1319" s="49"/>
      <c r="C1319" s="14"/>
      <c r="D1319" s="1"/>
      <c r="E1319" s="149"/>
      <c r="F1319" s="153"/>
      <c r="G1319" s="10"/>
      <c r="H1319" s="17"/>
      <c r="I1319" s="17"/>
      <c r="J1319" s="17"/>
      <c r="K1319" s="30"/>
      <c r="L1319" s="30"/>
      <c r="M1319" s="30"/>
      <c r="N1319" s="30"/>
      <c r="O1319" s="30"/>
      <c r="P1319" s="30"/>
      <c r="Q1319" s="30"/>
      <c r="R1319" s="30"/>
      <c r="S1319" s="30"/>
      <c r="T1319" s="30"/>
      <c r="U1319" s="30"/>
      <c r="V1319" s="30"/>
      <c r="W1319" s="29"/>
      <c r="X1319" s="15"/>
      <c r="Y1319" s="30"/>
      <c r="Z1319" s="30"/>
      <c r="AA1319" s="30"/>
      <c r="AB1319" s="30"/>
      <c r="AC1319" s="17"/>
      <c r="AD1319" s="17"/>
      <c r="AE1319" s="17"/>
      <c r="AF1319" s="17"/>
      <c r="AG1319" s="20"/>
      <c r="AH1319" s="21"/>
      <c r="AI1319" s="21"/>
      <c r="AJ1319" s="21"/>
      <c r="AK1319" s="21"/>
      <c r="AL1319" s="21"/>
      <c r="AM1319" s="21"/>
      <c r="AN1319" s="21"/>
      <c r="AO1319" s="22"/>
      <c r="AP1319" s="21"/>
      <c r="AQ1319" s="24"/>
      <c r="AR1319" s="21"/>
      <c r="AS1319" s="21"/>
      <c r="AT1319" s="21"/>
      <c r="AU1319" s="21"/>
      <c r="AV1319" s="21"/>
      <c r="AW1319" s="21"/>
      <c r="AX1319" s="22"/>
      <c r="AY1319" s="21"/>
      <c r="AZ1319" s="22"/>
      <c r="BA1319" s="21"/>
      <c r="BB1319" s="20"/>
      <c r="BC1319" s="21"/>
      <c r="BD1319" s="25"/>
      <c r="BE1319" s="26"/>
      <c r="BF1319" s="27"/>
      <c r="BG1319" s="28"/>
    </row>
    <row r="1320" spans="1:59" customFormat="1" ht="15" x14ac:dyDescent="0.35">
      <c r="A1320" s="19"/>
      <c r="B1320" s="49"/>
      <c r="C1320" s="14"/>
      <c r="D1320" s="1"/>
      <c r="E1320" s="149"/>
      <c r="F1320" s="153"/>
      <c r="G1320" s="10"/>
      <c r="H1320" s="17"/>
      <c r="I1320" s="17"/>
      <c r="J1320" s="17"/>
      <c r="K1320" s="30"/>
      <c r="L1320" s="30"/>
      <c r="M1320" s="30"/>
      <c r="N1320" s="30"/>
      <c r="O1320" s="30"/>
      <c r="P1320" s="30"/>
      <c r="Q1320" s="30"/>
      <c r="R1320" s="30"/>
      <c r="S1320" s="30"/>
      <c r="T1320" s="30"/>
      <c r="U1320" s="30"/>
      <c r="V1320" s="30"/>
      <c r="W1320" s="29"/>
      <c r="X1320" s="15"/>
      <c r="Y1320" s="30"/>
      <c r="Z1320" s="30"/>
      <c r="AA1320" s="30"/>
      <c r="AB1320" s="30"/>
      <c r="AC1320" s="17"/>
      <c r="AD1320" s="17"/>
      <c r="AE1320" s="17"/>
      <c r="AF1320" s="17"/>
      <c r="AG1320" s="20"/>
      <c r="AH1320" s="21"/>
      <c r="AI1320" s="21"/>
      <c r="AJ1320" s="21"/>
      <c r="AK1320" s="21"/>
      <c r="AL1320" s="21"/>
      <c r="AM1320" s="21"/>
      <c r="AN1320" s="21"/>
      <c r="AO1320" s="22"/>
      <c r="AP1320" s="21"/>
      <c r="AQ1320" s="24"/>
      <c r="AR1320" s="21"/>
      <c r="AS1320" s="21"/>
      <c r="AT1320" s="21"/>
      <c r="AU1320" s="21"/>
      <c r="AV1320" s="21"/>
      <c r="AW1320" s="21"/>
      <c r="AX1320" s="22"/>
      <c r="AY1320" s="21"/>
      <c r="AZ1320" s="22"/>
      <c r="BA1320" s="21"/>
      <c r="BB1320" s="20"/>
      <c r="BC1320" s="21"/>
      <c r="BD1320" s="25"/>
      <c r="BE1320" s="26"/>
      <c r="BF1320" s="27"/>
      <c r="BG1320" s="28"/>
    </row>
    <row r="1321" spans="1:59" customFormat="1" ht="15" x14ac:dyDescent="0.35">
      <c r="A1321" s="50"/>
      <c r="B1321" s="63"/>
      <c r="C1321" s="39"/>
      <c r="D1321" s="6"/>
      <c r="E1321" s="149"/>
      <c r="F1321" s="153"/>
      <c r="G1321" s="10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12"/>
      <c r="X1321" s="33"/>
      <c r="Y1321" s="6"/>
      <c r="Z1321" s="6"/>
      <c r="AA1321" s="6"/>
      <c r="AB1321" s="6"/>
      <c r="AC1321" s="9"/>
      <c r="AD1321" s="9"/>
      <c r="AE1321" s="9"/>
      <c r="AF1321" s="9"/>
      <c r="AG1321" s="5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59"/>
      <c r="AR1321" s="21"/>
      <c r="AS1321" s="21"/>
      <c r="AT1321" s="3"/>
      <c r="AU1321" s="3"/>
      <c r="AV1321" s="3"/>
      <c r="AW1321" s="3"/>
      <c r="AX1321" s="3"/>
      <c r="AY1321" s="3"/>
      <c r="AZ1321" s="3"/>
      <c r="BA1321" s="3"/>
      <c r="BB1321" s="53"/>
      <c r="BC1321" s="3"/>
      <c r="BD1321" s="59"/>
      <c r="BE1321" s="3"/>
      <c r="BF1321" s="53"/>
      <c r="BG1321" s="59"/>
    </row>
    <row r="1322" spans="1:59" customFormat="1" ht="15" x14ac:dyDescent="0.35">
      <c r="A1322" s="50"/>
      <c r="B1322" s="63"/>
      <c r="C1322" s="39"/>
      <c r="D1322" s="6"/>
      <c r="E1322" s="149"/>
      <c r="F1322" s="153"/>
      <c r="G1322" s="10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12"/>
      <c r="X1322" s="33"/>
      <c r="Y1322" s="6"/>
      <c r="Z1322" s="6"/>
      <c r="AA1322" s="6"/>
      <c r="AB1322" s="6"/>
      <c r="AC1322" s="9"/>
      <c r="AD1322" s="9"/>
      <c r="AE1322" s="9"/>
      <c r="AF1322" s="9"/>
      <c r="AG1322" s="5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59"/>
      <c r="AR1322" s="21"/>
      <c r="AS1322" s="21"/>
      <c r="AT1322" s="3"/>
      <c r="AU1322" s="3"/>
      <c r="AV1322" s="3"/>
      <c r="AW1322" s="3"/>
      <c r="AX1322" s="3"/>
      <c r="AY1322" s="3"/>
      <c r="AZ1322" s="3"/>
      <c r="BA1322" s="3"/>
      <c r="BB1322" s="53"/>
      <c r="BC1322" s="3"/>
      <c r="BD1322" s="59"/>
      <c r="BE1322" s="3"/>
      <c r="BF1322" s="53"/>
      <c r="BG1322" s="59"/>
    </row>
    <row r="1323" spans="1:59" customFormat="1" ht="15" x14ac:dyDescent="0.35">
      <c r="A1323" s="19"/>
      <c r="B1323" s="49"/>
      <c r="C1323" s="39"/>
      <c r="D1323" s="1"/>
      <c r="E1323" s="149"/>
      <c r="F1323" s="153"/>
      <c r="G1323" s="10"/>
      <c r="H1323" s="17"/>
      <c r="I1323" s="17"/>
      <c r="J1323" s="17"/>
      <c r="K1323" s="30"/>
      <c r="L1323" s="30"/>
      <c r="M1323" s="30"/>
      <c r="N1323" s="30"/>
      <c r="O1323" s="30"/>
      <c r="P1323" s="30"/>
      <c r="Q1323" s="30"/>
      <c r="R1323" s="30"/>
      <c r="S1323" s="30"/>
      <c r="T1323" s="30"/>
      <c r="U1323" s="30"/>
      <c r="V1323" s="30"/>
      <c r="W1323" s="29"/>
      <c r="X1323" s="15"/>
      <c r="Y1323" s="30"/>
      <c r="Z1323" s="30"/>
      <c r="AA1323" s="30"/>
      <c r="AB1323" s="30"/>
      <c r="AC1323" s="17"/>
      <c r="AD1323" s="17"/>
      <c r="AE1323" s="17"/>
      <c r="AF1323" s="17"/>
      <c r="AG1323" s="20"/>
      <c r="AH1323" s="21"/>
      <c r="AI1323" s="21"/>
      <c r="AJ1323" s="21"/>
      <c r="AK1323" s="21"/>
      <c r="AL1323" s="21"/>
      <c r="AM1323" s="21"/>
      <c r="AN1323" s="21"/>
      <c r="AO1323" s="22"/>
      <c r="AP1323" s="21"/>
      <c r="AQ1323" s="24"/>
      <c r="AR1323" s="21"/>
      <c r="AS1323" s="21"/>
      <c r="AT1323" s="21"/>
      <c r="AU1323" s="21"/>
      <c r="AV1323" s="21"/>
      <c r="AW1323" s="21"/>
      <c r="AX1323" s="22"/>
      <c r="AY1323" s="21"/>
      <c r="AZ1323" s="22"/>
      <c r="BA1323" s="21"/>
      <c r="BB1323" s="20"/>
      <c r="BC1323" s="21"/>
      <c r="BD1323" s="25"/>
      <c r="BE1323" s="26"/>
      <c r="BF1323" s="27"/>
      <c r="BG1323" s="28"/>
    </row>
    <row r="1324" spans="1:59" customFormat="1" ht="15" x14ac:dyDescent="0.35">
      <c r="A1324" s="50"/>
      <c r="B1324" s="63"/>
      <c r="C1324" s="39"/>
      <c r="D1324" s="6"/>
      <c r="E1324" s="149"/>
      <c r="F1324" s="153"/>
      <c r="G1324" s="10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12"/>
      <c r="X1324" s="33"/>
      <c r="Y1324" s="6"/>
      <c r="Z1324" s="6"/>
      <c r="AA1324" s="6"/>
      <c r="AB1324" s="6"/>
      <c r="AC1324" s="9"/>
      <c r="AD1324" s="9"/>
      <c r="AE1324" s="9"/>
      <c r="AF1324" s="9"/>
      <c r="AG1324" s="5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59"/>
      <c r="AR1324" s="21"/>
      <c r="AS1324" s="21"/>
      <c r="AT1324" s="3"/>
      <c r="AU1324" s="3"/>
      <c r="AV1324" s="3"/>
      <c r="AW1324" s="3"/>
      <c r="AX1324" s="3"/>
      <c r="AY1324" s="3"/>
      <c r="AZ1324" s="3"/>
      <c r="BA1324" s="3"/>
      <c r="BB1324" s="53"/>
      <c r="BC1324" s="3"/>
      <c r="BD1324" s="59"/>
      <c r="BE1324" s="3"/>
      <c r="BF1324" s="53"/>
      <c r="BG1324" s="59"/>
    </row>
    <row r="1325" spans="1:59" customFormat="1" ht="15" x14ac:dyDescent="0.35">
      <c r="A1325" s="50"/>
      <c r="B1325" s="63"/>
      <c r="C1325" s="39"/>
      <c r="D1325" s="6"/>
      <c r="E1325" s="149"/>
      <c r="F1325" s="153"/>
      <c r="G1325" s="10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12"/>
      <c r="X1325" s="33"/>
      <c r="Y1325" s="6"/>
      <c r="Z1325" s="6"/>
      <c r="AA1325" s="6"/>
      <c r="AB1325" s="6"/>
      <c r="AC1325" s="9"/>
      <c r="AD1325" s="9"/>
      <c r="AE1325" s="9"/>
      <c r="AF1325" s="9"/>
      <c r="AG1325" s="5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59"/>
      <c r="AR1325" s="21"/>
      <c r="AS1325" s="21"/>
      <c r="AT1325" s="3"/>
      <c r="AU1325" s="3"/>
      <c r="AV1325" s="3"/>
      <c r="AW1325" s="3"/>
      <c r="AX1325" s="3"/>
      <c r="AY1325" s="3"/>
      <c r="AZ1325" s="3"/>
      <c r="BA1325" s="3"/>
      <c r="BB1325" s="53"/>
      <c r="BC1325" s="3"/>
      <c r="BD1325" s="59"/>
      <c r="BE1325" s="3"/>
      <c r="BF1325" s="53"/>
      <c r="BG1325" s="59"/>
    </row>
    <row r="1326" spans="1:59" customFormat="1" ht="15" x14ac:dyDescent="0.35">
      <c r="A1326" s="50"/>
      <c r="B1326" s="63"/>
      <c r="C1326" s="39"/>
      <c r="D1326" s="6"/>
      <c r="E1326" s="149"/>
      <c r="F1326" s="153"/>
      <c r="G1326" s="10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5"/>
      <c r="V1326" s="5"/>
      <c r="W1326" s="13"/>
      <c r="X1326" s="4"/>
      <c r="Y1326" s="4"/>
      <c r="Z1326" s="4"/>
      <c r="AA1326" s="6"/>
      <c r="AB1326" s="5"/>
      <c r="AC1326" s="9"/>
      <c r="AD1326" s="9"/>
      <c r="AE1326" s="9"/>
      <c r="AF1326" s="9"/>
      <c r="AG1326" s="54"/>
      <c r="AH1326" s="3"/>
      <c r="AI1326" s="2"/>
      <c r="AJ1326" s="2"/>
      <c r="AK1326" s="2"/>
      <c r="AL1326" s="3"/>
      <c r="AM1326" s="3"/>
      <c r="AN1326" s="3"/>
      <c r="AO1326" s="3"/>
      <c r="AP1326" s="3"/>
      <c r="AQ1326" s="59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53"/>
      <c r="BC1326" s="3"/>
      <c r="BD1326" s="59"/>
      <c r="BE1326" s="3"/>
      <c r="BF1326" s="53"/>
      <c r="BG1326" s="59"/>
    </row>
    <row r="1327" spans="1:59" customFormat="1" ht="15" x14ac:dyDescent="0.35">
      <c r="A1327" s="50"/>
      <c r="B1327" s="63"/>
      <c r="C1327" s="39"/>
      <c r="D1327" s="6"/>
      <c r="E1327" s="149"/>
      <c r="F1327" s="153"/>
      <c r="G1327" s="10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5"/>
      <c r="V1327" s="5"/>
      <c r="W1327" s="13"/>
      <c r="X1327" s="4"/>
      <c r="Y1327" s="4"/>
      <c r="Z1327" s="4"/>
      <c r="AA1327" s="6"/>
      <c r="AB1327" s="5"/>
      <c r="AC1327" s="9"/>
      <c r="AD1327" s="9"/>
      <c r="AE1327" s="9"/>
      <c r="AF1327" s="9"/>
      <c r="AG1327" s="54"/>
      <c r="AH1327" s="3"/>
      <c r="AI1327" s="2"/>
      <c r="AJ1327" s="2"/>
      <c r="AK1327" s="2"/>
      <c r="AL1327" s="3"/>
      <c r="AM1327" s="3"/>
      <c r="AN1327" s="3"/>
      <c r="AO1327" s="3"/>
      <c r="AP1327" s="3"/>
      <c r="AQ1327" s="59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53"/>
      <c r="BC1327" s="3"/>
      <c r="BD1327" s="59"/>
      <c r="BE1327" s="3"/>
      <c r="BF1327" s="53"/>
      <c r="BG1327" s="59"/>
    </row>
    <row r="1328" spans="1:59" customFormat="1" ht="15" x14ac:dyDescent="0.35">
      <c r="A1328" s="50"/>
      <c r="B1328" s="63"/>
      <c r="C1328" s="39"/>
      <c r="D1328" s="6"/>
      <c r="E1328" s="149"/>
      <c r="F1328" s="153"/>
      <c r="G1328" s="10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12"/>
      <c r="X1328" s="33"/>
      <c r="Y1328" s="6"/>
      <c r="Z1328" s="6"/>
      <c r="AA1328" s="6"/>
      <c r="AB1328" s="6"/>
      <c r="AC1328" s="9"/>
      <c r="AD1328" s="9"/>
      <c r="AE1328" s="9"/>
      <c r="AF1328" s="9"/>
      <c r="AG1328" s="5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59"/>
      <c r="AR1328" s="21"/>
      <c r="AS1328" s="21"/>
      <c r="AT1328" s="3"/>
      <c r="AU1328" s="3"/>
      <c r="AV1328" s="3"/>
      <c r="AW1328" s="3"/>
      <c r="AX1328" s="3"/>
      <c r="AY1328" s="3"/>
      <c r="AZ1328" s="3"/>
      <c r="BA1328" s="3"/>
      <c r="BB1328" s="53"/>
      <c r="BC1328" s="3"/>
      <c r="BD1328" s="59"/>
      <c r="BE1328" s="3"/>
      <c r="BF1328" s="53"/>
      <c r="BG1328" s="59"/>
    </row>
    <row r="1329" spans="1:59" customFormat="1" ht="15" x14ac:dyDescent="0.35">
      <c r="A1329" s="50"/>
      <c r="B1329" s="63"/>
      <c r="C1329" s="39"/>
      <c r="D1329" s="6"/>
      <c r="E1329" s="149"/>
      <c r="F1329" s="153"/>
      <c r="G1329" s="10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5"/>
      <c r="V1329" s="5"/>
      <c r="W1329" s="13"/>
      <c r="X1329" s="4"/>
      <c r="Y1329" s="4"/>
      <c r="Z1329" s="4"/>
      <c r="AA1329" s="6"/>
      <c r="AB1329" s="5"/>
      <c r="AC1329" s="9"/>
      <c r="AD1329" s="9"/>
      <c r="AE1329" s="9"/>
      <c r="AF1329" s="9"/>
      <c r="AG1329" s="54"/>
      <c r="AH1329" s="3"/>
      <c r="AI1329" s="2"/>
      <c r="AJ1329" s="2"/>
      <c r="AK1329" s="2"/>
      <c r="AL1329" s="3"/>
      <c r="AM1329" s="3"/>
      <c r="AN1329" s="3"/>
      <c r="AO1329" s="3"/>
      <c r="AP1329" s="3"/>
      <c r="AQ1329" s="59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53"/>
      <c r="BC1329" s="3"/>
      <c r="BD1329" s="59"/>
      <c r="BE1329" s="3"/>
      <c r="BF1329" s="53"/>
      <c r="BG1329" s="59"/>
    </row>
    <row r="1330" spans="1:59" customFormat="1" ht="15" x14ac:dyDescent="0.35">
      <c r="A1330" s="50"/>
      <c r="B1330" s="63"/>
      <c r="C1330" s="39"/>
      <c r="D1330" s="6"/>
      <c r="E1330" s="149"/>
      <c r="F1330" s="153"/>
      <c r="G1330" s="10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12"/>
      <c r="X1330" s="33"/>
      <c r="Y1330" s="6"/>
      <c r="Z1330" s="6"/>
      <c r="AA1330" s="6"/>
      <c r="AB1330" s="6"/>
      <c r="AC1330" s="9"/>
      <c r="AD1330" s="9"/>
      <c r="AE1330" s="9"/>
      <c r="AF1330" s="9"/>
      <c r="AG1330" s="5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59"/>
      <c r="AR1330" s="21"/>
      <c r="AS1330" s="21"/>
      <c r="AT1330" s="3"/>
      <c r="AU1330" s="3"/>
      <c r="AV1330" s="3"/>
      <c r="AW1330" s="3"/>
      <c r="AX1330" s="3"/>
      <c r="AY1330" s="3"/>
      <c r="AZ1330" s="3"/>
      <c r="BA1330" s="3"/>
      <c r="BB1330" s="53"/>
      <c r="BC1330" s="3"/>
      <c r="BD1330" s="59"/>
      <c r="BE1330" s="3"/>
      <c r="BF1330" s="53"/>
      <c r="BG1330" s="59"/>
    </row>
    <row r="1331" spans="1:59" customFormat="1" ht="15" x14ac:dyDescent="0.35">
      <c r="A1331" s="50"/>
      <c r="B1331" s="63"/>
      <c r="C1331" s="39"/>
      <c r="D1331" s="6"/>
      <c r="E1331" s="149"/>
      <c r="F1331" s="153"/>
      <c r="G1331" s="10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5"/>
      <c r="V1331" s="5"/>
      <c r="W1331" s="13"/>
      <c r="X1331" s="4"/>
      <c r="Y1331" s="4"/>
      <c r="Z1331" s="4"/>
      <c r="AA1331" s="6"/>
      <c r="AB1331" s="5"/>
      <c r="AC1331" s="9"/>
      <c r="AD1331" s="9"/>
      <c r="AE1331" s="9"/>
      <c r="AF1331" s="9"/>
      <c r="AG1331" s="54"/>
      <c r="AH1331" s="3"/>
      <c r="AI1331" s="2"/>
      <c r="AJ1331" s="2"/>
      <c r="AK1331" s="2"/>
      <c r="AL1331" s="3"/>
      <c r="AM1331" s="3"/>
      <c r="AN1331" s="3"/>
      <c r="AO1331" s="3"/>
      <c r="AP1331" s="3"/>
      <c r="AQ1331" s="59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53"/>
      <c r="BC1331" s="3"/>
      <c r="BD1331" s="59"/>
      <c r="BE1331" s="3"/>
      <c r="BF1331" s="53"/>
      <c r="BG1331" s="59"/>
    </row>
    <row r="1332" spans="1:59" customFormat="1" ht="15" x14ac:dyDescent="0.35">
      <c r="A1332" s="19"/>
      <c r="B1332" s="49"/>
      <c r="C1332" s="14"/>
      <c r="D1332" s="1"/>
      <c r="E1332" s="149"/>
      <c r="F1332" s="153"/>
      <c r="G1332" s="10"/>
      <c r="H1332" s="17"/>
      <c r="I1332" s="17"/>
      <c r="J1332" s="17"/>
      <c r="K1332" s="30"/>
      <c r="L1332" s="30"/>
      <c r="M1332" s="30"/>
      <c r="N1332" s="30"/>
      <c r="O1332" s="30"/>
      <c r="P1332" s="30"/>
      <c r="Q1332" s="30"/>
      <c r="R1332" s="30"/>
      <c r="S1332" s="30"/>
      <c r="T1332" s="30"/>
      <c r="U1332" s="30"/>
      <c r="V1332" s="30"/>
      <c r="W1332" s="29"/>
      <c r="X1332" s="15"/>
      <c r="Y1332" s="30"/>
      <c r="Z1332" s="30"/>
      <c r="AA1332" s="30"/>
      <c r="AB1332" s="30"/>
      <c r="AC1332" s="17"/>
      <c r="AD1332" s="17"/>
      <c r="AE1332" s="17"/>
      <c r="AF1332" s="17"/>
      <c r="AG1332" s="20"/>
      <c r="AH1332" s="21"/>
      <c r="AI1332" s="21"/>
      <c r="AJ1332" s="21"/>
      <c r="AK1332" s="21"/>
      <c r="AL1332" s="21"/>
      <c r="AM1332" s="21"/>
      <c r="AN1332" s="21"/>
      <c r="AO1332" s="22"/>
      <c r="AP1332" s="21"/>
      <c r="AQ1332" s="24"/>
      <c r="AR1332" s="21"/>
      <c r="AS1332" s="21"/>
      <c r="AT1332" s="21"/>
      <c r="AU1332" s="21"/>
      <c r="AV1332" s="21"/>
      <c r="AW1332" s="21"/>
      <c r="AX1332" s="22"/>
      <c r="AY1332" s="21"/>
      <c r="AZ1332" s="22"/>
      <c r="BA1332" s="21"/>
      <c r="BB1332" s="20"/>
      <c r="BC1332" s="21"/>
      <c r="BD1332" s="25"/>
      <c r="BE1332" s="26"/>
      <c r="BF1332" s="27"/>
      <c r="BG1332" s="28"/>
    </row>
    <row r="1333" spans="1:59" customFormat="1" ht="15" x14ac:dyDescent="0.35">
      <c r="A1333" s="50"/>
      <c r="B1333" s="63"/>
      <c r="C1333" s="39"/>
      <c r="D1333" s="6"/>
      <c r="E1333" s="149"/>
      <c r="F1333" s="153"/>
      <c r="G1333" s="10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12"/>
      <c r="X1333" s="33"/>
      <c r="Y1333" s="6"/>
      <c r="Z1333" s="6"/>
      <c r="AA1333" s="6"/>
      <c r="AB1333" s="6"/>
      <c r="AC1333" s="9"/>
      <c r="AD1333" s="9"/>
      <c r="AE1333" s="9"/>
      <c r="AF1333" s="9"/>
      <c r="AG1333" s="5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59"/>
      <c r="AR1333" s="21"/>
      <c r="AS1333" s="21"/>
      <c r="AT1333" s="3"/>
      <c r="AU1333" s="3"/>
      <c r="AV1333" s="3"/>
      <c r="AW1333" s="3"/>
      <c r="AX1333" s="3"/>
      <c r="AY1333" s="3"/>
      <c r="AZ1333" s="3"/>
      <c r="BA1333" s="3"/>
      <c r="BB1333" s="53"/>
      <c r="BC1333" s="3"/>
      <c r="BD1333" s="59"/>
      <c r="BE1333" s="3"/>
      <c r="BF1333" s="53"/>
      <c r="BG1333" s="59"/>
    </row>
    <row r="1334" spans="1:59" customFormat="1" ht="15" x14ac:dyDescent="0.35">
      <c r="A1334" s="50"/>
      <c r="B1334" s="63"/>
      <c r="C1334" s="39"/>
      <c r="D1334" s="6"/>
      <c r="E1334" s="149"/>
      <c r="F1334" s="153"/>
      <c r="G1334" s="10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12"/>
      <c r="X1334" s="33"/>
      <c r="Y1334" s="6"/>
      <c r="Z1334" s="6"/>
      <c r="AA1334" s="6"/>
      <c r="AB1334" s="6"/>
      <c r="AC1334" s="9"/>
      <c r="AD1334" s="9"/>
      <c r="AE1334" s="9"/>
      <c r="AF1334" s="9"/>
      <c r="AG1334" s="5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59"/>
      <c r="AR1334" s="21"/>
      <c r="AS1334" s="21"/>
      <c r="AT1334" s="3"/>
      <c r="AU1334" s="3"/>
      <c r="AV1334" s="3"/>
      <c r="AW1334" s="3"/>
      <c r="AX1334" s="3"/>
      <c r="AY1334" s="3"/>
      <c r="AZ1334" s="3"/>
      <c r="BA1334" s="3"/>
      <c r="BB1334" s="53"/>
      <c r="BC1334" s="3"/>
      <c r="BD1334" s="59"/>
      <c r="BE1334" s="3"/>
      <c r="BF1334" s="53"/>
      <c r="BG1334" s="59"/>
    </row>
    <row r="1335" spans="1:59" customFormat="1" ht="15" x14ac:dyDescent="0.35">
      <c r="A1335" s="50"/>
      <c r="B1335" s="63"/>
      <c r="C1335" s="39"/>
      <c r="D1335" s="6"/>
      <c r="E1335" s="149"/>
      <c r="F1335" s="153"/>
      <c r="G1335" s="10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12"/>
      <c r="X1335" s="33"/>
      <c r="Y1335" s="6"/>
      <c r="Z1335" s="6"/>
      <c r="AA1335" s="6"/>
      <c r="AB1335" s="6"/>
      <c r="AC1335" s="9"/>
      <c r="AD1335" s="9"/>
      <c r="AE1335" s="9"/>
      <c r="AF1335" s="9"/>
      <c r="AG1335" s="5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59"/>
      <c r="AR1335" s="21"/>
      <c r="AS1335" s="21"/>
      <c r="AT1335" s="3"/>
      <c r="AU1335" s="3"/>
      <c r="AV1335" s="3"/>
      <c r="AW1335" s="3"/>
      <c r="AX1335" s="3"/>
      <c r="AY1335" s="3"/>
      <c r="AZ1335" s="3"/>
      <c r="BA1335" s="3"/>
      <c r="BB1335" s="53"/>
      <c r="BC1335" s="3"/>
      <c r="BD1335" s="59"/>
      <c r="BE1335" s="3"/>
      <c r="BF1335" s="53"/>
      <c r="BG1335" s="59"/>
    </row>
    <row r="1336" spans="1:59" customFormat="1" ht="15" x14ac:dyDescent="0.35">
      <c r="A1336" s="19"/>
      <c r="B1336" s="49"/>
      <c r="C1336" s="39"/>
      <c r="D1336" s="1"/>
      <c r="E1336" s="149"/>
      <c r="F1336" s="153"/>
      <c r="G1336" s="10"/>
      <c r="H1336" s="17"/>
      <c r="I1336" s="17"/>
      <c r="J1336" s="17"/>
      <c r="K1336" s="30"/>
      <c r="L1336" s="30"/>
      <c r="M1336" s="30"/>
      <c r="N1336" s="30"/>
      <c r="O1336" s="30"/>
      <c r="P1336" s="30"/>
      <c r="Q1336" s="30"/>
      <c r="R1336" s="30"/>
      <c r="S1336" s="30"/>
      <c r="T1336" s="30"/>
      <c r="U1336" s="30"/>
      <c r="V1336" s="30"/>
      <c r="W1336" s="29"/>
      <c r="X1336" s="15"/>
      <c r="Y1336" s="30"/>
      <c r="Z1336" s="30"/>
      <c r="AA1336" s="30"/>
      <c r="AB1336" s="30"/>
      <c r="AC1336" s="17"/>
      <c r="AD1336" s="17"/>
      <c r="AE1336" s="17"/>
      <c r="AF1336" s="17"/>
      <c r="AG1336" s="20"/>
      <c r="AH1336" s="21"/>
      <c r="AI1336" s="21"/>
      <c r="AJ1336" s="21"/>
      <c r="AK1336" s="21"/>
      <c r="AL1336" s="21"/>
      <c r="AM1336" s="21"/>
      <c r="AN1336" s="21"/>
      <c r="AO1336" s="22"/>
      <c r="AP1336" s="21"/>
      <c r="AQ1336" s="24"/>
      <c r="AR1336" s="21"/>
      <c r="AS1336" s="21"/>
      <c r="AT1336" s="21"/>
      <c r="AU1336" s="21"/>
      <c r="AV1336" s="21"/>
      <c r="AW1336" s="21"/>
      <c r="AX1336" s="22"/>
      <c r="AY1336" s="21"/>
      <c r="AZ1336" s="22"/>
      <c r="BA1336" s="21"/>
      <c r="BB1336" s="20"/>
      <c r="BC1336" s="21"/>
      <c r="BD1336" s="25"/>
      <c r="BE1336" s="26"/>
      <c r="BF1336" s="27"/>
      <c r="BG1336" s="28"/>
    </row>
    <row r="1337" spans="1:59" customFormat="1" ht="15" x14ac:dyDescent="0.35">
      <c r="A1337" s="50"/>
      <c r="B1337" s="63"/>
      <c r="C1337" s="39"/>
      <c r="D1337" s="6"/>
      <c r="E1337" s="149"/>
      <c r="F1337" s="153"/>
      <c r="G1337" s="10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5"/>
      <c r="V1337" s="5"/>
      <c r="W1337" s="13"/>
      <c r="X1337" s="4"/>
      <c r="Y1337" s="4"/>
      <c r="Z1337" s="4"/>
      <c r="AA1337" s="6"/>
      <c r="AB1337" s="5"/>
      <c r="AC1337" s="9"/>
      <c r="AD1337" s="9"/>
      <c r="AE1337" s="9"/>
      <c r="AF1337" s="9"/>
      <c r="AG1337" s="54"/>
      <c r="AH1337" s="3"/>
      <c r="AI1337" s="2"/>
      <c r="AJ1337" s="2"/>
      <c r="AK1337" s="2"/>
      <c r="AL1337" s="3"/>
      <c r="AM1337" s="3"/>
      <c r="AN1337" s="3"/>
      <c r="AO1337" s="3"/>
      <c r="AP1337" s="3"/>
      <c r="AQ1337" s="59"/>
      <c r="AR1337" s="21"/>
      <c r="AS1337" s="21"/>
      <c r="AT1337" s="3"/>
      <c r="AU1337" s="3"/>
      <c r="AV1337" s="3"/>
      <c r="AW1337" s="3"/>
      <c r="AX1337" s="3"/>
      <c r="AY1337" s="3"/>
      <c r="AZ1337" s="3"/>
      <c r="BA1337" s="3"/>
      <c r="BB1337" s="53"/>
      <c r="BC1337" s="3"/>
      <c r="BD1337" s="59"/>
      <c r="BE1337" s="3"/>
      <c r="BF1337" s="53"/>
      <c r="BG1337" s="59"/>
    </row>
    <row r="1338" spans="1:59" customFormat="1" ht="15" x14ac:dyDescent="0.35">
      <c r="A1338" s="50"/>
      <c r="B1338" s="63"/>
      <c r="C1338" s="39"/>
      <c r="D1338" s="6"/>
      <c r="E1338" s="149"/>
      <c r="F1338" s="153"/>
      <c r="G1338" s="10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5"/>
      <c r="V1338" s="5"/>
      <c r="W1338" s="13"/>
      <c r="X1338" s="4"/>
      <c r="Y1338" s="4"/>
      <c r="Z1338" s="4"/>
      <c r="AA1338" s="6"/>
      <c r="AB1338" s="5"/>
      <c r="AC1338" s="9"/>
      <c r="AD1338" s="9"/>
      <c r="AE1338" s="9"/>
      <c r="AF1338" s="9"/>
      <c r="AG1338" s="54"/>
      <c r="AH1338" s="3"/>
      <c r="AI1338" s="2"/>
      <c r="AJ1338" s="2"/>
      <c r="AK1338" s="2"/>
      <c r="AL1338" s="3"/>
      <c r="AM1338" s="3"/>
      <c r="AN1338" s="3"/>
      <c r="AO1338" s="3"/>
      <c r="AP1338" s="3"/>
      <c r="AQ1338" s="59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53"/>
      <c r="BC1338" s="3"/>
      <c r="BD1338" s="59"/>
      <c r="BE1338" s="3"/>
      <c r="BF1338" s="53"/>
      <c r="BG1338" s="59"/>
    </row>
    <row r="1339" spans="1:59" customFormat="1" ht="15" x14ac:dyDescent="0.35">
      <c r="A1339" s="50"/>
      <c r="B1339" s="63"/>
      <c r="C1339" s="39"/>
      <c r="D1339" s="6"/>
      <c r="E1339" s="149"/>
      <c r="F1339" s="153"/>
      <c r="G1339" s="10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5"/>
      <c r="V1339" s="5"/>
      <c r="W1339" s="13"/>
      <c r="X1339" s="4"/>
      <c r="Y1339" s="4"/>
      <c r="Z1339" s="4"/>
      <c r="AA1339" s="6"/>
      <c r="AB1339" s="5"/>
      <c r="AC1339" s="9"/>
      <c r="AD1339" s="9"/>
      <c r="AE1339" s="9"/>
      <c r="AF1339" s="9"/>
      <c r="AG1339" s="54"/>
      <c r="AH1339" s="3"/>
      <c r="AI1339" s="2"/>
      <c r="AJ1339" s="2"/>
      <c r="AK1339" s="2"/>
      <c r="AL1339" s="3"/>
      <c r="AM1339" s="3"/>
      <c r="AN1339" s="3"/>
      <c r="AO1339" s="3"/>
      <c r="AP1339" s="3"/>
      <c r="AQ1339" s="59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53"/>
      <c r="BC1339" s="3"/>
      <c r="BD1339" s="59"/>
      <c r="BE1339" s="3"/>
      <c r="BF1339" s="53"/>
      <c r="BG1339" s="59"/>
    </row>
    <row r="1340" spans="1:59" customFormat="1" ht="15" x14ac:dyDescent="0.35">
      <c r="A1340" s="50"/>
      <c r="B1340" s="63"/>
      <c r="C1340" s="39"/>
      <c r="D1340" s="6"/>
      <c r="E1340" s="149"/>
      <c r="F1340" s="153"/>
      <c r="G1340" s="10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12"/>
      <c r="X1340" s="33"/>
      <c r="Y1340" s="6"/>
      <c r="Z1340" s="6"/>
      <c r="AA1340" s="6"/>
      <c r="AB1340" s="6"/>
      <c r="AC1340" s="9"/>
      <c r="AD1340" s="9"/>
      <c r="AE1340" s="9"/>
      <c r="AF1340" s="9"/>
      <c r="AG1340" s="5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59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53"/>
      <c r="BC1340" s="3"/>
      <c r="BD1340" s="59"/>
      <c r="BE1340" s="3"/>
      <c r="BF1340" s="53"/>
      <c r="BG1340" s="59"/>
    </row>
    <row r="1341" spans="1:59" customFormat="1" ht="15" x14ac:dyDescent="0.35">
      <c r="A1341" s="50"/>
      <c r="B1341" s="63"/>
      <c r="C1341" s="39"/>
      <c r="D1341" s="6"/>
      <c r="E1341" s="149"/>
      <c r="F1341" s="153"/>
      <c r="G1341" s="10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5"/>
      <c r="V1341" s="5"/>
      <c r="W1341" s="13"/>
      <c r="X1341" s="4"/>
      <c r="Y1341" s="4"/>
      <c r="Z1341" s="4"/>
      <c r="AA1341" s="6"/>
      <c r="AB1341" s="5"/>
      <c r="AC1341" s="9"/>
      <c r="AD1341" s="9"/>
      <c r="AE1341" s="9"/>
      <c r="AF1341" s="9"/>
      <c r="AG1341" s="54"/>
      <c r="AH1341" s="3"/>
      <c r="AI1341" s="2"/>
      <c r="AJ1341" s="2"/>
      <c r="AK1341" s="2"/>
      <c r="AL1341" s="3"/>
      <c r="AM1341" s="3"/>
      <c r="AN1341" s="3"/>
      <c r="AO1341" s="3"/>
      <c r="AP1341" s="3"/>
      <c r="AQ1341" s="59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53"/>
      <c r="BC1341" s="3"/>
      <c r="BD1341" s="59"/>
      <c r="BE1341" s="3"/>
      <c r="BF1341" s="53"/>
      <c r="BG1341" s="59"/>
    </row>
    <row r="1342" spans="1:59" customFormat="1" ht="15" x14ac:dyDescent="0.35">
      <c r="A1342" s="50"/>
      <c r="B1342" s="63"/>
      <c r="C1342" s="39"/>
      <c r="D1342" s="6"/>
      <c r="E1342" s="149"/>
      <c r="F1342" s="153"/>
      <c r="G1342" s="10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5"/>
      <c r="V1342" s="5"/>
      <c r="W1342" s="13"/>
      <c r="X1342" s="4"/>
      <c r="Y1342" s="4"/>
      <c r="Z1342" s="4"/>
      <c r="AA1342" s="6"/>
      <c r="AB1342" s="5"/>
      <c r="AC1342" s="9"/>
      <c r="AD1342" s="9"/>
      <c r="AE1342" s="9"/>
      <c r="AF1342" s="9"/>
      <c r="AG1342" s="54"/>
      <c r="AH1342" s="3"/>
      <c r="AI1342" s="2"/>
      <c r="AJ1342" s="2"/>
      <c r="AK1342" s="2"/>
      <c r="AL1342" s="3"/>
      <c r="AM1342" s="3"/>
      <c r="AN1342" s="3"/>
      <c r="AO1342" s="3"/>
      <c r="AP1342" s="3"/>
      <c r="AQ1342" s="59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53"/>
      <c r="BC1342" s="3"/>
      <c r="BD1342" s="59"/>
      <c r="BE1342" s="3"/>
      <c r="BF1342" s="53"/>
      <c r="BG1342" s="59"/>
    </row>
    <row r="1343" spans="1:59" customFormat="1" ht="15" x14ac:dyDescent="0.35">
      <c r="A1343" s="50"/>
      <c r="B1343" s="63"/>
      <c r="C1343" s="39"/>
      <c r="D1343" s="6"/>
      <c r="E1343" s="149"/>
      <c r="F1343" s="153"/>
      <c r="G1343" s="10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5"/>
      <c r="V1343" s="5"/>
      <c r="W1343" s="13"/>
      <c r="X1343" s="4"/>
      <c r="Y1343" s="4"/>
      <c r="Z1343" s="4"/>
      <c r="AA1343" s="6"/>
      <c r="AB1343" s="5"/>
      <c r="AC1343" s="9"/>
      <c r="AD1343" s="9"/>
      <c r="AE1343" s="9"/>
      <c r="AF1343" s="9"/>
      <c r="AG1343" s="54"/>
      <c r="AH1343" s="3"/>
      <c r="AI1343" s="2"/>
      <c r="AJ1343" s="2"/>
      <c r="AK1343" s="2"/>
      <c r="AL1343" s="3"/>
      <c r="AM1343" s="3"/>
      <c r="AN1343" s="3"/>
      <c r="AO1343" s="3"/>
      <c r="AP1343" s="3"/>
      <c r="AQ1343" s="59"/>
      <c r="AR1343" s="21"/>
      <c r="AS1343" s="21"/>
      <c r="AT1343" s="3"/>
      <c r="AU1343" s="3"/>
      <c r="AV1343" s="3"/>
      <c r="AW1343" s="3"/>
      <c r="AX1343" s="3"/>
      <c r="AY1343" s="3"/>
      <c r="AZ1343" s="3"/>
      <c r="BA1343" s="3"/>
      <c r="BB1343" s="53"/>
      <c r="BC1343" s="3"/>
      <c r="BD1343" s="59"/>
      <c r="BE1343" s="3"/>
      <c r="BF1343" s="53"/>
      <c r="BG1343" s="59"/>
    </row>
    <row r="1344" spans="1:59" customFormat="1" ht="15" x14ac:dyDescent="0.35">
      <c r="A1344" s="19"/>
      <c r="B1344" s="49"/>
      <c r="C1344" s="39"/>
      <c r="D1344" s="1"/>
      <c r="E1344" s="149"/>
      <c r="F1344" s="153"/>
      <c r="G1344" s="10"/>
      <c r="H1344" s="17"/>
      <c r="I1344" s="17"/>
      <c r="J1344" s="17"/>
      <c r="K1344" s="30"/>
      <c r="L1344" s="30"/>
      <c r="M1344" s="30"/>
      <c r="N1344" s="30"/>
      <c r="O1344" s="30"/>
      <c r="P1344" s="30"/>
      <c r="Q1344" s="30"/>
      <c r="R1344" s="30"/>
      <c r="S1344" s="30"/>
      <c r="T1344" s="30"/>
      <c r="U1344" s="30"/>
      <c r="V1344" s="30"/>
      <c r="W1344" s="29"/>
      <c r="X1344" s="15"/>
      <c r="Y1344" s="30"/>
      <c r="Z1344" s="30"/>
      <c r="AA1344" s="30"/>
      <c r="AB1344" s="30"/>
      <c r="AC1344" s="17"/>
      <c r="AD1344" s="17"/>
      <c r="AE1344" s="17"/>
      <c r="AF1344" s="17"/>
      <c r="AG1344" s="20"/>
      <c r="AH1344" s="21"/>
      <c r="AI1344" s="21"/>
      <c r="AJ1344" s="21"/>
      <c r="AK1344" s="21"/>
      <c r="AL1344" s="21"/>
      <c r="AM1344" s="21"/>
      <c r="AN1344" s="21"/>
      <c r="AO1344" s="22"/>
      <c r="AP1344" s="21"/>
      <c r="AQ1344" s="24"/>
      <c r="AR1344" s="21"/>
      <c r="AS1344" s="21"/>
      <c r="AT1344" s="21"/>
      <c r="AU1344" s="21"/>
      <c r="AV1344" s="21"/>
      <c r="AW1344" s="21"/>
      <c r="AX1344" s="22"/>
      <c r="AY1344" s="21"/>
      <c r="AZ1344" s="22"/>
      <c r="BA1344" s="21"/>
      <c r="BB1344" s="20"/>
      <c r="BC1344" s="21"/>
      <c r="BD1344" s="25"/>
      <c r="BE1344" s="26"/>
      <c r="BF1344" s="27"/>
      <c r="BG1344" s="28"/>
    </row>
    <row r="1345" spans="1:59" customFormat="1" ht="15" x14ac:dyDescent="0.35">
      <c r="A1345" s="19"/>
      <c r="B1345" s="49"/>
      <c r="C1345" s="39"/>
      <c r="D1345" s="1"/>
      <c r="E1345" s="149"/>
      <c r="F1345" s="153"/>
      <c r="G1345" s="10"/>
      <c r="H1345" s="17"/>
      <c r="I1345" s="17"/>
      <c r="J1345" s="17"/>
      <c r="K1345" s="30"/>
      <c r="L1345" s="30"/>
      <c r="M1345" s="30"/>
      <c r="N1345" s="30"/>
      <c r="O1345" s="30"/>
      <c r="P1345" s="30"/>
      <c r="Q1345" s="30"/>
      <c r="R1345" s="30"/>
      <c r="S1345" s="30"/>
      <c r="T1345" s="30"/>
      <c r="U1345" s="30"/>
      <c r="V1345" s="30"/>
      <c r="W1345" s="29"/>
      <c r="X1345" s="15"/>
      <c r="Y1345" s="30"/>
      <c r="Z1345" s="30"/>
      <c r="AA1345" s="30"/>
      <c r="AB1345" s="30"/>
      <c r="AC1345" s="17"/>
      <c r="AD1345" s="17"/>
      <c r="AE1345" s="17"/>
      <c r="AF1345" s="17"/>
      <c r="AG1345" s="20"/>
      <c r="AH1345" s="21"/>
      <c r="AI1345" s="21"/>
      <c r="AJ1345" s="21"/>
      <c r="AK1345" s="21"/>
      <c r="AL1345" s="21"/>
      <c r="AM1345" s="21"/>
      <c r="AN1345" s="21"/>
      <c r="AO1345" s="22"/>
      <c r="AP1345" s="21"/>
      <c r="AQ1345" s="24"/>
      <c r="AR1345" s="21"/>
      <c r="AS1345" s="21"/>
      <c r="AT1345" s="21"/>
      <c r="AU1345" s="21"/>
      <c r="AV1345" s="21"/>
      <c r="AW1345" s="21"/>
      <c r="AX1345" s="22"/>
      <c r="AY1345" s="21"/>
      <c r="AZ1345" s="22"/>
      <c r="BA1345" s="21"/>
      <c r="BB1345" s="20"/>
      <c r="BC1345" s="21"/>
      <c r="BD1345" s="25"/>
      <c r="BE1345" s="26"/>
      <c r="BF1345" s="27"/>
      <c r="BG1345" s="65"/>
    </row>
    <row r="1346" spans="1:59" customFormat="1" ht="15" x14ac:dyDescent="0.35">
      <c r="A1346" s="19"/>
      <c r="B1346" s="49"/>
      <c r="C1346" s="14"/>
      <c r="D1346" s="1"/>
      <c r="E1346" s="149"/>
      <c r="F1346" s="153"/>
      <c r="G1346" s="10"/>
      <c r="H1346" s="17"/>
      <c r="I1346" s="17"/>
      <c r="J1346" s="17"/>
      <c r="K1346" s="30"/>
      <c r="L1346" s="30"/>
      <c r="M1346" s="30"/>
      <c r="N1346" s="30"/>
      <c r="O1346" s="30"/>
      <c r="P1346" s="30"/>
      <c r="Q1346" s="30"/>
      <c r="R1346" s="30"/>
      <c r="S1346" s="30"/>
      <c r="T1346" s="30"/>
      <c r="U1346" s="30"/>
      <c r="V1346" s="30"/>
      <c r="W1346" s="29"/>
      <c r="X1346" s="15"/>
      <c r="Y1346" s="30"/>
      <c r="Z1346" s="30"/>
      <c r="AA1346" s="30"/>
      <c r="AB1346" s="30"/>
      <c r="AC1346" s="17"/>
      <c r="AD1346" s="17"/>
      <c r="AE1346" s="17"/>
      <c r="AF1346" s="17"/>
      <c r="AG1346" s="20"/>
      <c r="AH1346" s="21"/>
      <c r="AI1346" s="21"/>
      <c r="AJ1346" s="21"/>
      <c r="AK1346" s="21"/>
      <c r="AL1346" s="21"/>
      <c r="AM1346" s="21"/>
      <c r="AN1346" s="21"/>
      <c r="AO1346" s="22"/>
      <c r="AP1346" s="21"/>
      <c r="AQ1346" s="24"/>
      <c r="AR1346" s="21"/>
      <c r="AS1346" s="21"/>
      <c r="AT1346" s="21"/>
      <c r="AU1346" s="21"/>
      <c r="AV1346" s="21"/>
      <c r="AW1346" s="21"/>
      <c r="AX1346" s="22"/>
      <c r="AY1346" s="21"/>
      <c r="AZ1346" s="22"/>
      <c r="BA1346" s="21"/>
      <c r="BB1346" s="20"/>
      <c r="BC1346" s="21"/>
      <c r="BD1346" s="25"/>
      <c r="BE1346" s="26"/>
      <c r="BF1346" s="27"/>
      <c r="BG1346" s="28"/>
    </row>
    <row r="1347" spans="1:59" customFormat="1" ht="15" x14ac:dyDescent="0.35">
      <c r="A1347" s="50"/>
      <c r="B1347" s="63"/>
      <c r="C1347" s="39"/>
      <c r="D1347" s="6"/>
      <c r="E1347" s="149"/>
      <c r="F1347" s="153"/>
      <c r="G1347" s="10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12"/>
      <c r="X1347" s="33"/>
      <c r="Y1347" s="6"/>
      <c r="Z1347" s="6"/>
      <c r="AA1347" s="6"/>
      <c r="AB1347" s="6"/>
      <c r="AC1347" s="9"/>
      <c r="AD1347" s="9"/>
      <c r="AE1347" s="9"/>
      <c r="AF1347" s="9"/>
      <c r="AG1347" s="5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59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53"/>
      <c r="BC1347" s="3"/>
      <c r="BD1347" s="59"/>
      <c r="BE1347" s="3"/>
      <c r="BF1347" s="53"/>
      <c r="BG1347" s="59"/>
    </row>
    <row r="1348" spans="1:59" customFormat="1" ht="15" x14ac:dyDescent="0.35">
      <c r="A1348" s="50"/>
      <c r="B1348" s="63"/>
      <c r="C1348" s="39"/>
      <c r="D1348" s="6"/>
      <c r="E1348" s="149"/>
      <c r="F1348" s="153"/>
      <c r="G1348" s="10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5"/>
      <c r="V1348" s="5"/>
      <c r="W1348" s="13"/>
      <c r="X1348" s="4"/>
      <c r="Y1348" s="4"/>
      <c r="Z1348" s="4"/>
      <c r="AA1348" s="6"/>
      <c r="AB1348" s="5"/>
      <c r="AC1348" s="9"/>
      <c r="AD1348" s="9"/>
      <c r="AE1348" s="9"/>
      <c r="AF1348" s="9"/>
      <c r="AG1348" s="54"/>
      <c r="AH1348" s="3"/>
      <c r="AI1348" s="2"/>
      <c r="AJ1348" s="2"/>
      <c r="AK1348" s="2"/>
      <c r="AL1348" s="3"/>
      <c r="AM1348" s="3"/>
      <c r="AN1348" s="3"/>
      <c r="AO1348" s="3"/>
      <c r="AP1348" s="3"/>
      <c r="AQ1348" s="59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53"/>
      <c r="BC1348" s="3"/>
      <c r="BD1348" s="59"/>
      <c r="BE1348" s="3"/>
      <c r="BF1348" s="53"/>
      <c r="BG1348" s="59"/>
    </row>
    <row r="1349" spans="1:59" customFormat="1" ht="15" x14ac:dyDescent="0.35">
      <c r="A1349" s="50"/>
      <c r="B1349" s="63"/>
      <c r="C1349" s="39"/>
      <c r="D1349" s="6"/>
      <c r="E1349" s="149"/>
      <c r="F1349" s="153"/>
      <c r="G1349" s="10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5"/>
      <c r="V1349" s="5"/>
      <c r="W1349" s="13"/>
      <c r="X1349" s="4"/>
      <c r="Y1349" s="4"/>
      <c r="Z1349" s="4"/>
      <c r="AA1349" s="6"/>
      <c r="AB1349" s="5"/>
      <c r="AC1349" s="9"/>
      <c r="AD1349" s="9"/>
      <c r="AE1349" s="9"/>
      <c r="AF1349" s="9"/>
      <c r="AG1349" s="54"/>
      <c r="AH1349" s="3"/>
      <c r="AI1349" s="2"/>
      <c r="AJ1349" s="2"/>
      <c r="AK1349" s="2"/>
      <c r="AL1349" s="3"/>
      <c r="AM1349" s="3"/>
      <c r="AN1349" s="3"/>
      <c r="AO1349" s="3"/>
      <c r="AP1349" s="3"/>
      <c r="AQ1349" s="59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53"/>
      <c r="BC1349" s="3"/>
      <c r="BD1349" s="59"/>
      <c r="BE1349" s="3"/>
      <c r="BF1349" s="53"/>
      <c r="BG1349" s="59"/>
    </row>
    <row r="1350" spans="1:59" customFormat="1" ht="15" x14ac:dyDescent="0.35">
      <c r="A1350" s="50"/>
      <c r="B1350" s="63"/>
      <c r="C1350" s="39"/>
      <c r="D1350" s="6"/>
      <c r="E1350" s="149"/>
      <c r="F1350" s="153"/>
      <c r="G1350" s="10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5"/>
      <c r="V1350" s="5"/>
      <c r="W1350" s="13"/>
      <c r="X1350" s="4"/>
      <c r="Y1350" s="4"/>
      <c r="Z1350" s="4"/>
      <c r="AA1350" s="6"/>
      <c r="AB1350" s="5"/>
      <c r="AC1350" s="9"/>
      <c r="AD1350" s="9"/>
      <c r="AE1350" s="9"/>
      <c r="AF1350" s="9"/>
      <c r="AG1350" s="54"/>
      <c r="AH1350" s="3"/>
      <c r="AI1350" s="2"/>
      <c r="AJ1350" s="2"/>
      <c r="AK1350" s="2"/>
      <c r="AL1350" s="3"/>
      <c r="AM1350" s="3"/>
      <c r="AN1350" s="3"/>
      <c r="AO1350" s="3"/>
      <c r="AP1350" s="3"/>
      <c r="AQ1350" s="59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53"/>
      <c r="BC1350" s="3"/>
      <c r="BD1350" s="59"/>
      <c r="BE1350" s="3"/>
      <c r="BF1350" s="53"/>
      <c r="BG1350" s="59"/>
    </row>
    <row r="1351" spans="1:59" customFormat="1" ht="15" x14ac:dyDescent="0.35">
      <c r="A1351" s="50"/>
      <c r="B1351" s="63"/>
      <c r="C1351" s="39"/>
      <c r="D1351" s="6"/>
      <c r="E1351" s="149"/>
      <c r="F1351" s="153"/>
      <c r="G1351" s="10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5"/>
      <c r="V1351" s="5"/>
      <c r="W1351" s="13"/>
      <c r="X1351" s="4"/>
      <c r="Y1351" s="4"/>
      <c r="Z1351" s="4"/>
      <c r="AA1351" s="6"/>
      <c r="AB1351" s="5"/>
      <c r="AC1351" s="9"/>
      <c r="AD1351" s="9"/>
      <c r="AE1351" s="9"/>
      <c r="AF1351" s="9"/>
      <c r="AG1351" s="54"/>
      <c r="AH1351" s="3"/>
      <c r="AI1351" s="2"/>
      <c r="AJ1351" s="2"/>
      <c r="AK1351" s="2"/>
      <c r="AL1351" s="3"/>
      <c r="AM1351" s="3"/>
      <c r="AN1351" s="3"/>
      <c r="AO1351" s="3"/>
      <c r="AP1351" s="3"/>
      <c r="AQ1351" s="59"/>
      <c r="AR1351" s="21"/>
      <c r="AS1351" s="21"/>
      <c r="AT1351" s="3"/>
      <c r="AU1351" s="3"/>
      <c r="AV1351" s="3"/>
      <c r="AW1351" s="3"/>
      <c r="AX1351" s="3"/>
      <c r="AY1351" s="3"/>
      <c r="AZ1351" s="3"/>
      <c r="BA1351" s="3"/>
      <c r="BB1351" s="53"/>
      <c r="BC1351" s="3"/>
      <c r="BD1351" s="59"/>
      <c r="BE1351" s="3"/>
      <c r="BF1351" s="53"/>
      <c r="BG1351" s="59"/>
    </row>
    <row r="1352" spans="1:59" customFormat="1" ht="15" x14ac:dyDescent="0.35">
      <c r="A1352" s="19"/>
      <c r="B1352" s="49"/>
      <c r="C1352" s="14"/>
      <c r="D1352" s="1"/>
      <c r="E1352" s="149"/>
      <c r="F1352" s="153"/>
      <c r="G1352" s="10"/>
      <c r="H1352" s="17"/>
      <c r="I1352" s="17"/>
      <c r="J1352" s="17"/>
      <c r="K1352" s="30"/>
      <c r="L1352" s="30"/>
      <c r="M1352" s="30"/>
      <c r="N1352" s="30"/>
      <c r="O1352" s="30"/>
      <c r="P1352" s="30"/>
      <c r="Q1352" s="30"/>
      <c r="R1352" s="30"/>
      <c r="S1352" s="30"/>
      <c r="T1352" s="30"/>
      <c r="U1352" s="30"/>
      <c r="V1352" s="30"/>
      <c r="W1352" s="29"/>
      <c r="X1352" s="15"/>
      <c r="Y1352" s="30"/>
      <c r="Z1352" s="30"/>
      <c r="AA1352" s="30"/>
      <c r="AB1352" s="30"/>
      <c r="AC1352" s="17"/>
      <c r="AD1352" s="17"/>
      <c r="AE1352" s="17"/>
      <c r="AF1352" s="17"/>
      <c r="AG1352" s="20"/>
      <c r="AH1352" s="21"/>
      <c r="AI1352" s="21"/>
      <c r="AJ1352" s="21"/>
      <c r="AK1352" s="21"/>
      <c r="AL1352" s="21"/>
      <c r="AM1352" s="21"/>
      <c r="AN1352" s="21"/>
      <c r="AO1352" s="22"/>
      <c r="AP1352" s="21"/>
      <c r="AQ1352" s="24"/>
      <c r="AR1352" s="21"/>
      <c r="AS1352" s="21"/>
      <c r="AT1352" s="21"/>
      <c r="AU1352" s="21"/>
      <c r="AV1352" s="21"/>
      <c r="AW1352" s="21"/>
      <c r="AX1352" s="22"/>
      <c r="AY1352" s="21"/>
      <c r="AZ1352" s="22"/>
      <c r="BA1352" s="21"/>
      <c r="BB1352" s="20"/>
      <c r="BC1352" s="21"/>
      <c r="BD1352" s="25"/>
      <c r="BE1352" s="26"/>
      <c r="BF1352" s="27"/>
      <c r="BG1352" s="28"/>
    </row>
    <row r="1353" spans="1:59" customFormat="1" ht="15" x14ac:dyDescent="0.35">
      <c r="A1353" s="50"/>
      <c r="B1353" s="63"/>
      <c r="C1353" s="39"/>
      <c r="D1353" s="6"/>
      <c r="E1353" s="149"/>
      <c r="F1353" s="153"/>
      <c r="G1353" s="10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5"/>
      <c r="V1353" s="5"/>
      <c r="W1353" s="13"/>
      <c r="X1353" s="4"/>
      <c r="Y1353" s="4"/>
      <c r="Z1353" s="4"/>
      <c r="AA1353" s="6"/>
      <c r="AB1353" s="5"/>
      <c r="AC1353" s="9"/>
      <c r="AD1353" s="9"/>
      <c r="AE1353" s="9"/>
      <c r="AF1353" s="9"/>
      <c r="AG1353" s="54"/>
      <c r="AH1353" s="3"/>
      <c r="AI1353" s="2"/>
      <c r="AJ1353" s="2"/>
      <c r="AK1353" s="2"/>
      <c r="AL1353" s="3"/>
      <c r="AM1353" s="3"/>
      <c r="AN1353" s="3"/>
      <c r="AO1353" s="3"/>
      <c r="AP1353" s="3"/>
      <c r="AQ1353" s="59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53"/>
      <c r="BC1353" s="3"/>
      <c r="BD1353" s="59"/>
      <c r="BE1353" s="3"/>
      <c r="BF1353" s="53"/>
      <c r="BG1353" s="59"/>
    </row>
    <row r="1354" spans="1:59" customFormat="1" ht="15" x14ac:dyDescent="0.35">
      <c r="A1354" s="19"/>
      <c r="B1354" s="49"/>
      <c r="C1354" s="39"/>
      <c r="D1354" s="1"/>
      <c r="E1354" s="149"/>
      <c r="F1354" s="153"/>
      <c r="G1354" s="10"/>
      <c r="H1354" s="17"/>
      <c r="I1354" s="17"/>
      <c r="J1354" s="17"/>
      <c r="K1354" s="30"/>
      <c r="L1354" s="30"/>
      <c r="M1354" s="30"/>
      <c r="N1354" s="30"/>
      <c r="O1354" s="30"/>
      <c r="P1354" s="30"/>
      <c r="Q1354" s="30"/>
      <c r="R1354" s="30"/>
      <c r="S1354" s="30"/>
      <c r="T1354" s="30"/>
      <c r="U1354" s="30"/>
      <c r="V1354" s="30"/>
      <c r="W1354" s="29"/>
      <c r="X1354" s="15"/>
      <c r="Y1354" s="30"/>
      <c r="Z1354" s="30"/>
      <c r="AA1354" s="30"/>
      <c r="AB1354" s="30"/>
      <c r="AC1354" s="17"/>
      <c r="AD1354" s="17"/>
      <c r="AE1354" s="17"/>
      <c r="AF1354" s="17"/>
      <c r="AG1354" s="20"/>
      <c r="AH1354" s="21"/>
      <c r="AI1354" s="21"/>
      <c r="AJ1354" s="21"/>
      <c r="AK1354" s="21"/>
      <c r="AL1354" s="21"/>
      <c r="AM1354" s="21"/>
      <c r="AN1354" s="21"/>
      <c r="AO1354" s="22"/>
      <c r="AP1354" s="21"/>
      <c r="AQ1354" s="24"/>
      <c r="AR1354" s="21"/>
      <c r="AS1354" s="21"/>
      <c r="AT1354" s="21"/>
      <c r="AU1354" s="21"/>
      <c r="AV1354" s="21"/>
      <c r="AW1354" s="21"/>
      <c r="AX1354" s="22"/>
      <c r="AY1354" s="21"/>
      <c r="AZ1354" s="22"/>
      <c r="BA1354" s="21"/>
      <c r="BB1354" s="20"/>
      <c r="BC1354" s="21"/>
      <c r="BD1354" s="25"/>
      <c r="BE1354" s="26"/>
      <c r="BF1354" s="27"/>
      <c r="BG1354" s="28"/>
    </row>
    <row r="1355" spans="1:59" customFormat="1" ht="15" x14ac:dyDescent="0.35">
      <c r="A1355" s="19"/>
      <c r="B1355" s="49"/>
      <c r="C1355" s="14"/>
      <c r="D1355" s="1"/>
      <c r="E1355" s="149"/>
      <c r="F1355" s="153"/>
      <c r="G1355" s="10"/>
      <c r="H1355" s="17"/>
      <c r="I1355" s="17"/>
      <c r="J1355" s="17"/>
      <c r="K1355" s="30"/>
      <c r="L1355" s="30"/>
      <c r="M1355" s="30"/>
      <c r="N1355" s="30"/>
      <c r="O1355" s="30"/>
      <c r="P1355" s="30"/>
      <c r="Q1355" s="30"/>
      <c r="R1355" s="30"/>
      <c r="S1355" s="30"/>
      <c r="T1355" s="30"/>
      <c r="U1355" s="30"/>
      <c r="V1355" s="30"/>
      <c r="W1355" s="29"/>
      <c r="X1355" s="15"/>
      <c r="Y1355" s="30"/>
      <c r="Z1355" s="30"/>
      <c r="AA1355" s="30"/>
      <c r="AB1355" s="30"/>
      <c r="AC1355" s="17"/>
      <c r="AD1355" s="17"/>
      <c r="AE1355" s="17"/>
      <c r="AF1355" s="17"/>
      <c r="AG1355" s="20"/>
      <c r="AH1355" s="21"/>
      <c r="AI1355" s="21"/>
      <c r="AJ1355" s="21"/>
      <c r="AK1355" s="21"/>
      <c r="AL1355" s="21"/>
      <c r="AM1355" s="21"/>
      <c r="AN1355" s="21"/>
      <c r="AO1355" s="22"/>
      <c r="AP1355" s="21"/>
      <c r="AQ1355" s="24"/>
      <c r="AR1355" s="21"/>
      <c r="AS1355" s="21"/>
      <c r="AT1355" s="21"/>
      <c r="AU1355" s="21"/>
      <c r="AV1355" s="21"/>
      <c r="AW1355" s="21"/>
      <c r="AX1355" s="22"/>
      <c r="AY1355" s="21"/>
      <c r="AZ1355" s="22"/>
      <c r="BA1355" s="21"/>
      <c r="BB1355" s="20"/>
      <c r="BC1355" s="21"/>
      <c r="BD1355" s="25"/>
      <c r="BE1355" s="26"/>
      <c r="BF1355" s="27"/>
      <c r="BG1355" s="28"/>
    </row>
    <row r="1356" spans="1:59" customFormat="1" ht="15" x14ac:dyDescent="0.35">
      <c r="A1356" s="19"/>
      <c r="B1356" s="49"/>
      <c r="C1356" s="14"/>
      <c r="D1356" s="1"/>
      <c r="E1356" s="149"/>
      <c r="F1356" s="153"/>
      <c r="G1356" s="10"/>
      <c r="H1356" s="17"/>
      <c r="I1356" s="17"/>
      <c r="J1356" s="17"/>
      <c r="K1356" s="30"/>
      <c r="L1356" s="30"/>
      <c r="M1356" s="30"/>
      <c r="N1356" s="30"/>
      <c r="O1356" s="30"/>
      <c r="P1356" s="30"/>
      <c r="Q1356" s="30"/>
      <c r="R1356" s="30"/>
      <c r="S1356" s="30"/>
      <c r="T1356" s="30"/>
      <c r="U1356" s="30"/>
      <c r="V1356" s="30"/>
      <c r="W1356" s="29"/>
      <c r="X1356" s="15"/>
      <c r="Y1356" s="30"/>
      <c r="Z1356" s="30"/>
      <c r="AA1356" s="30"/>
      <c r="AB1356" s="30"/>
      <c r="AC1356" s="17"/>
      <c r="AD1356" s="17"/>
      <c r="AE1356" s="17"/>
      <c r="AF1356" s="17"/>
      <c r="AG1356" s="20"/>
      <c r="AH1356" s="21"/>
      <c r="AI1356" s="21"/>
      <c r="AJ1356" s="21"/>
      <c r="AK1356" s="21"/>
      <c r="AL1356" s="21"/>
      <c r="AM1356" s="21"/>
      <c r="AN1356" s="21"/>
      <c r="AO1356" s="22"/>
      <c r="AP1356" s="21"/>
      <c r="AQ1356" s="24"/>
      <c r="AR1356" s="21"/>
      <c r="AS1356" s="21"/>
      <c r="AT1356" s="21"/>
      <c r="AU1356" s="21"/>
      <c r="AV1356" s="21"/>
      <c r="AW1356" s="21"/>
      <c r="AX1356" s="22"/>
      <c r="AY1356" s="21"/>
      <c r="AZ1356" s="22"/>
      <c r="BA1356" s="21"/>
      <c r="BB1356" s="20"/>
      <c r="BC1356" s="21"/>
      <c r="BD1356" s="25"/>
      <c r="BE1356" s="26"/>
      <c r="BF1356" s="27"/>
      <c r="BG1356" s="65"/>
    </row>
    <row r="1357" spans="1:59" customFormat="1" ht="15" x14ac:dyDescent="0.35">
      <c r="A1357" s="50"/>
      <c r="B1357" s="63"/>
      <c r="C1357" s="39"/>
      <c r="D1357" s="6"/>
      <c r="E1357" s="149"/>
      <c r="F1357" s="153"/>
      <c r="G1357" s="10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5"/>
      <c r="V1357" s="5"/>
      <c r="W1357" s="13"/>
      <c r="X1357" s="4"/>
      <c r="Y1357" s="4"/>
      <c r="Z1357" s="4"/>
      <c r="AA1357" s="6"/>
      <c r="AB1357" s="5"/>
      <c r="AC1357" s="9"/>
      <c r="AD1357" s="9"/>
      <c r="AE1357" s="9"/>
      <c r="AF1357" s="9"/>
      <c r="AG1357" s="54"/>
      <c r="AH1357" s="3"/>
      <c r="AI1357" s="2"/>
      <c r="AJ1357" s="2"/>
      <c r="AK1357" s="2"/>
      <c r="AL1357" s="3"/>
      <c r="AM1357" s="3"/>
      <c r="AN1357" s="3"/>
      <c r="AO1357" s="3"/>
      <c r="AP1357" s="3"/>
      <c r="AQ1357" s="59"/>
      <c r="AR1357" s="21"/>
      <c r="AS1357" s="21"/>
      <c r="AT1357" s="3"/>
      <c r="AU1357" s="3"/>
      <c r="AV1357" s="3"/>
      <c r="AW1357" s="3"/>
      <c r="AX1357" s="3"/>
      <c r="AY1357" s="3"/>
      <c r="AZ1357" s="3"/>
      <c r="BA1357" s="3"/>
      <c r="BB1357" s="53"/>
      <c r="BC1357" s="3"/>
      <c r="BD1357" s="59"/>
      <c r="BE1357" s="3"/>
      <c r="BF1357" s="53"/>
      <c r="BG1357" s="59"/>
    </row>
    <row r="1358" spans="1:59" customFormat="1" ht="15" x14ac:dyDescent="0.35">
      <c r="A1358" s="50"/>
      <c r="B1358" s="63"/>
      <c r="C1358" s="39"/>
      <c r="D1358" s="6"/>
      <c r="E1358" s="149"/>
      <c r="F1358" s="153"/>
      <c r="G1358" s="10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12"/>
      <c r="X1358" s="33"/>
      <c r="Y1358" s="6"/>
      <c r="Z1358" s="6"/>
      <c r="AA1358" s="6"/>
      <c r="AB1358" s="6"/>
      <c r="AC1358" s="9"/>
      <c r="AD1358" s="9"/>
      <c r="AE1358" s="9"/>
      <c r="AF1358" s="9"/>
      <c r="AG1358" s="5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59"/>
      <c r="AR1358" s="21"/>
      <c r="AS1358" s="21"/>
      <c r="AT1358" s="3"/>
      <c r="AU1358" s="3"/>
      <c r="AV1358" s="3"/>
      <c r="AW1358" s="3"/>
      <c r="AX1358" s="3"/>
      <c r="AY1358" s="3"/>
      <c r="AZ1358" s="3"/>
      <c r="BA1358" s="3"/>
      <c r="BB1358" s="53"/>
      <c r="BC1358" s="3"/>
      <c r="BD1358" s="59"/>
      <c r="BE1358" s="3"/>
      <c r="BF1358" s="53"/>
      <c r="BG1358" s="59"/>
    </row>
    <row r="1359" spans="1:59" customFormat="1" ht="15" x14ac:dyDescent="0.35">
      <c r="A1359" s="50"/>
      <c r="B1359" s="63"/>
      <c r="C1359" s="39"/>
      <c r="D1359" s="6"/>
      <c r="E1359" s="149"/>
      <c r="F1359" s="153"/>
      <c r="G1359" s="10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12"/>
      <c r="X1359" s="33"/>
      <c r="Y1359" s="6"/>
      <c r="Z1359" s="6"/>
      <c r="AA1359" s="6"/>
      <c r="AB1359" s="6"/>
      <c r="AC1359" s="9"/>
      <c r="AD1359" s="9"/>
      <c r="AE1359" s="9"/>
      <c r="AF1359" s="9"/>
      <c r="AG1359" s="5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59"/>
      <c r="AR1359" s="21"/>
      <c r="AS1359" s="21"/>
      <c r="AT1359" s="3"/>
      <c r="AU1359" s="3"/>
      <c r="AV1359" s="3"/>
      <c r="AW1359" s="3"/>
      <c r="AX1359" s="3"/>
      <c r="AY1359" s="3"/>
      <c r="AZ1359" s="3"/>
      <c r="BA1359" s="3"/>
      <c r="BB1359" s="53"/>
      <c r="BC1359" s="3"/>
      <c r="BD1359" s="59"/>
      <c r="BE1359" s="3"/>
      <c r="BF1359" s="53"/>
      <c r="BG1359" s="59"/>
    </row>
    <row r="1360" spans="1:59" customFormat="1" ht="15" x14ac:dyDescent="0.35">
      <c r="A1360" s="19"/>
      <c r="B1360" s="49"/>
      <c r="C1360" s="14"/>
      <c r="D1360" s="1"/>
      <c r="E1360" s="149"/>
      <c r="F1360" s="153"/>
      <c r="G1360" s="10"/>
      <c r="H1360" s="17"/>
      <c r="I1360" s="17"/>
      <c r="J1360" s="17"/>
      <c r="K1360" s="30"/>
      <c r="L1360" s="30"/>
      <c r="M1360" s="30"/>
      <c r="N1360" s="30"/>
      <c r="O1360" s="30"/>
      <c r="P1360" s="30"/>
      <c r="Q1360" s="30"/>
      <c r="R1360" s="30"/>
      <c r="S1360" s="30"/>
      <c r="T1360" s="30"/>
      <c r="U1360" s="30"/>
      <c r="V1360" s="30"/>
      <c r="W1360" s="29"/>
      <c r="X1360" s="15"/>
      <c r="Y1360" s="30"/>
      <c r="Z1360" s="30"/>
      <c r="AA1360" s="30"/>
      <c r="AB1360" s="30"/>
      <c r="AC1360" s="17"/>
      <c r="AD1360" s="17"/>
      <c r="AE1360" s="17"/>
      <c r="AF1360" s="17"/>
      <c r="AG1360" s="20"/>
      <c r="AH1360" s="21"/>
      <c r="AI1360" s="21"/>
      <c r="AJ1360" s="21"/>
      <c r="AK1360" s="21"/>
      <c r="AL1360" s="21"/>
      <c r="AM1360" s="21"/>
      <c r="AN1360" s="21"/>
      <c r="AO1360" s="22"/>
      <c r="AP1360" s="21"/>
      <c r="AQ1360" s="24"/>
      <c r="AR1360" s="21"/>
      <c r="AS1360" s="21"/>
      <c r="AT1360" s="21"/>
      <c r="AU1360" s="21"/>
      <c r="AV1360" s="21"/>
      <c r="AW1360" s="21"/>
      <c r="AX1360" s="22"/>
      <c r="AY1360" s="21"/>
      <c r="AZ1360" s="22"/>
      <c r="BA1360" s="21"/>
      <c r="BB1360" s="20"/>
      <c r="BC1360" s="21"/>
      <c r="BD1360" s="25"/>
      <c r="BE1360" s="26"/>
      <c r="BF1360" s="27"/>
      <c r="BG1360" s="28"/>
    </row>
    <row r="1361" spans="1:59" customFormat="1" ht="15" x14ac:dyDescent="0.35">
      <c r="A1361" s="50"/>
      <c r="B1361" s="63"/>
      <c r="C1361" s="39"/>
      <c r="D1361" s="6"/>
      <c r="E1361" s="149"/>
      <c r="F1361" s="153"/>
      <c r="G1361" s="10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12"/>
      <c r="X1361" s="33"/>
      <c r="Y1361" s="6"/>
      <c r="Z1361" s="6"/>
      <c r="AA1361" s="6"/>
      <c r="AB1361" s="6"/>
      <c r="AC1361" s="9"/>
      <c r="AD1361" s="9"/>
      <c r="AE1361" s="9"/>
      <c r="AF1361" s="9"/>
      <c r="AG1361" s="5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59"/>
      <c r="AR1361" s="21"/>
      <c r="AS1361" s="21"/>
      <c r="AT1361" s="3"/>
      <c r="AU1361" s="3"/>
      <c r="AV1361" s="3"/>
      <c r="AW1361" s="3"/>
      <c r="AX1361" s="3"/>
      <c r="AY1361" s="3"/>
      <c r="AZ1361" s="3"/>
      <c r="BA1361" s="3"/>
      <c r="BB1361" s="53"/>
      <c r="BC1361" s="3"/>
      <c r="BD1361" s="59"/>
      <c r="BE1361" s="3"/>
      <c r="BF1361" s="53"/>
      <c r="BG1361" s="59"/>
    </row>
    <row r="1362" spans="1:59" customFormat="1" ht="15" x14ac:dyDescent="0.35">
      <c r="A1362" s="19"/>
      <c r="B1362" s="49"/>
      <c r="C1362" s="14"/>
      <c r="D1362" s="1"/>
      <c r="E1362" s="149"/>
      <c r="F1362" s="153"/>
      <c r="G1362" s="10"/>
      <c r="H1362" s="17"/>
      <c r="I1362" s="17"/>
      <c r="J1362" s="17"/>
      <c r="K1362" s="30"/>
      <c r="L1362" s="30"/>
      <c r="M1362" s="30"/>
      <c r="N1362" s="30"/>
      <c r="O1362" s="30"/>
      <c r="P1362" s="30"/>
      <c r="Q1362" s="30"/>
      <c r="R1362" s="30"/>
      <c r="S1362" s="30"/>
      <c r="T1362" s="30"/>
      <c r="U1362" s="30"/>
      <c r="V1362" s="30"/>
      <c r="W1362" s="29"/>
      <c r="X1362" s="15"/>
      <c r="Y1362" s="30"/>
      <c r="Z1362" s="30"/>
      <c r="AA1362" s="30"/>
      <c r="AB1362" s="30"/>
      <c r="AC1362" s="17"/>
      <c r="AD1362" s="17"/>
      <c r="AE1362" s="17"/>
      <c r="AF1362" s="17"/>
      <c r="AG1362" s="20"/>
      <c r="AH1362" s="21"/>
      <c r="AI1362" s="21"/>
      <c r="AJ1362" s="21"/>
      <c r="AK1362" s="21"/>
      <c r="AL1362" s="21"/>
      <c r="AM1362" s="21"/>
      <c r="AN1362" s="21"/>
      <c r="AO1362" s="22"/>
      <c r="AP1362" s="21"/>
      <c r="AQ1362" s="24"/>
      <c r="AR1362" s="21"/>
      <c r="AS1362" s="21"/>
      <c r="AT1362" s="21"/>
      <c r="AU1362" s="21"/>
      <c r="AV1362" s="21"/>
      <c r="AW1362" s="21"/>
      <c r="AX1362" s="22"/>
      <c r="AY1362" s="21"/>
      <c r="AZ1362" s="22"/>
      <c r="BA1362" s="21"/>
      <c r="BB1362" s="20"/>
      <c r="BC1362" s="21"/>
      <c r="BD1362" s="25"/>
      <c r="BE1362" s="26"/>
      <c r="BF1362" s="27"/>
      <c r="BG1362" s="28"/>
    </row>
    <row r="1363" spans="1:59" customFormat="1" ht="15" x14ac:dyDescent="0.35">
      <c r="A1363" s="50"/>
      <c r="B1363" s="63"/>
      <c r="C1363" s="39"/>
      <c r="D1363" s="6"/>
      <c r="E1363" s="149"/>
      <c r="F1363" s="153"/>
      <c r="G1363" s="10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12"/>
      <c r="X1363" s="33"/>
      <c r="Y1363" s="6"/>
      <c r="Z1363" s="6"/>
      <c r="AA1363" s="6"/>
      <c r="AB1363" s="6"/>
      <c r="AC1363" s="9"/>
      <c r="AD1363" s="9"/>
      <c r="AE1363" s="9"/>
      <c r="AF1363" s="9"/>
      <c r="AG1363" s="5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59"/>
      <c r="AR1363" s="21"/>
      <c r="AS1363" s="21"/>
      <c r="AT1363" s="3"/>
      <c r="AU1363" s="3"/>
      <c r="AV1363" s="3"/>
      <c r="AW1363" s="3"/>
      <c r="AX1363" s="3"/>
      <c r="AY1363" s="3"/>
      <c r="AZ1363" s="3"/>
      <c r="BA1363" s="3"/>
      <c r="BB1363" s="53"/>
      <c r="BC1363" s="3"/>
      <c r="BD1363" s="59"/>
      <c r="BE1363" s="3"/>
      <c r="BF1363" s="53"/>
      <c r="BG1363" s="59"/>
    </row>
    <row r="1364" spans="1:59" customFormat="1" ht="15" x14ac:dyDescent="0.35">
      <c r="A1364" s="19"/>
      <c r="B1364" s="49"/>
      <c r="C1364" s="39"/>
      <c r="D1364" s="1"/>
      <c r="E1364" s="149"/>
      <c r="F1364" s="153"/>
      <c r="G1364" s="10"/>
      <c r="H1364" s="17"/>
      <c r="I1364" s="17"/>
      <c r="J1364" s="17"/>
      <c r="K1364" s="30"/>
      <c r="L1364" s="30"/>
      <c r="M1364" s="30"/>
      <c r="N1364" s="30"/>
      <c r="O1364" s="30"/>
      <c r="P1364" s="30"/>
      <c r="Q1364" s="30"/>
      <c r="R1364" s="30"/>
      <c r="S1364" s="30"/>
      <c r="T1364" s="30"/>
      <c r="U1364" s="30"/>
      <c r="V1364" s="30"/>
      <c r="W1364" s="29"/>
      <c r="X1364" s="15"/>
      <c r="Y1364" s="30"/>
      <c r="Z1364" s="30"/>
      <c r="AA1364" s="30"/>
      <c r="AB1364" s="30"/>
      <c r="AC1364" s="17"/>
      <c r="AD1364" s="17"/>
      <c r="AE1364" s="17"/>
      <c r="AF1364" s="17"/>
      <c r="AG1364" s="20"/>
      <c r="AH1364" s="21"/>
      <c r="AI1364" s="21"/>
      <c r="AJ1364" s="21"/>
      <c r="AK1364" s="21"/>
      <c r="AL1364" s="21"/>
      <c r="AM1364" s="21"/>
      <c r="AN1364" s="21"/>
      <c r="AO1364" s="22"/>
      <c r="AP1364" s="21"/>
      <c r="AQ1364" s="24"/>
      <c r="AR1364" s="21"/>
      <c r="AS1364" s="21"/>
      <c r="AT1364" s="21"/>
      <c r="AU1364" s="21"/>
      <c r="AV1364" s="21"/>
      <c r="AW1364" s="21"/>
      <c r="AX1364" s="22"/>
      <c r="AY1364" s="21"/>
      <c r="AZ1364" s="22"/>
      <c r="BA1364" s="21"/>
      <c r="BB1364" s="20"/>
      <c r="BC1364" s="21"/>
      <c r="BD1364" s="25"/>
      <c r="BE1364" s="26"/>
      <c r="BF1364" s="27"/>
      <c r="BG1364" s="28"/>
    </row>
    <row r="1365" spans="1:59" customFormat="1" ht="15" x14ac:dyDescent="0.35">
      <c r="A1365" s="50"/>
      <c r="B1365" s="63"/>
      <c r="C1365" s="39"/>
      <c r="D1365" s="6"/>
      <c r="E1365" s="149"/>
      <c r="F1365" s="153"/>
      <c r="G1365" s="10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5"/>
      <c r="V1365" s="5"/>
      <c r="W1365" s="13"/>
      <c r="X1365" s="4"/>
      <c r="Y1365" s="4"/>
      <c r="Z1365" s="4"/>
      <c r="AA1365" s="6"/>
      <c r="AB1365" s="5"/>
      <c r="AC1365" s="9"/>
      <c r="AD1365" s="9"/>
      <c r="AE1365" s="9"/>
      <c r="AF1365" s="9"/>
      <c r="AG1365" s="54"/>
      <c r="AH1365" s="3"/>
      <c r="AI1365" s="2"/>
      <c r="AJ1365" s="2"/>
      <c r="AK1365" s="2"/>
      <c r="AL1365" s="3"/>
      <c r="AM1365" s="3"/>
      <c r="AN1365" s="3"/>
      <c r="AO1365" s="3"/>
      <c r="AP1365" s="3"/>
      <c r="AQ1365" s="59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53"/>
      <c r="BC1365" s="3"/>
      <c r="BD1365" s="59"/>
      <c r="BE1365" s="3"/>
      <c r="BF1365" s="53"/>
      <c r="BG1365" s="59"/>
    </row>
    <row r="1366" spans="1:59" customFormat="1" ht="15" x14ac:dyDescent="0.35">
      <c r="A1366" s="50"/>
      <c r="B1366" s="63"/>
      <c r="C1366" s="39"/>
      <c r="D1366" s="6"/>
      <c r="E1366" s="149"/>
      <c r="F1366" s="153"/>
      <c r="G1366" s="10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12"/>
      <c r="X1366" s="33"/>
      <c r="Y1366" s="6"/>
      <c r="Z1366" s="6"/>
      <c r="AA1366" s="6"/>
      <c r="AB1366" s="6"/>
      <c r="AC1366" s="9"/>
      <c r="AD1366" s="9"/>
      <c r="AE1366" s="9"/>
      <c r="AF1366" s="9"/>
      <c r="AG1366" s="5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59"/>
      <c r="AR1366" s="21"/>
      <c r="AS1366" s="21"/>
      <c r="AT1366" s="3"/>
      <c r="AU1366" s="3"/>
      <c r="AV1366" s="3"/>
      <c r="AW1366" s="3"/>
      <c r="AX1366" s="3"/>
      <c r="AY1366" s="3"/>
      <c r="AZ1366" s="3"/>
      <c r="BA1366" s="3"/>
      <c r="BB1366" s="53"/>
      <c r="BC1366" s="3"/>
      <c r="BD1366" s="59"/>
      <c r="BE1366" s="3"/>
      <c r="BF1366" s="53"/>
      <c r="BG1366" s="59"/>
    </row>
    <row r="1367" spans="1:59" customFormat="1" ht="15" x14ac:dyDescent="0.35">
      <c r="A1367" s="50"/>
      <c r="B1367" s="63"/>
      <c r="C1367" s="39"/>
      <c r="D1367" s="6"/>
      <c r="E1367" s="149"/>
      <c r="F1367" s="153"/>
      <c r="G1367" s="10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12"/>
      <c r="X1367" s="33"/>
      <c r="Y1367" s="6"/>
      <c r="Z1367" s="6"/>
      <c r="AA1367" s="6"/>
      <c r="AB1367" s="6"/>
      <c r="AC1367" s="9"/>
      <c r="AD1367" s="9"/>
      <c r="AE1367" s="9"/>
      <c r="AF1367" s="9"/>
      <c r="AG1367" s="5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59"/>
      <c r="AR1367" s="21"/>
      <c r="AS1367" s="21"/>
      <c r="AT1367" s="3"/>
      <c r="AU1367" s="3"/>
      <c r="AV1367" s="3"/>
      <c r="AW1367" s="3"/>
      <c r="AX1367" s="3"/>
      <c r="AY1367" s="3"/>
      <c r="AZ1367" s="3"/>
      <c r="BA1367" s="3"/>
      <c r="BB1367" s="53"/>
      <c r="BC1367" s="3"/>
      <c r="BD1367" s="59"/>
      <c r="BE1367" s="3"/>
      <c r="BF1367" s="53"/>
      <c r="BG1367" s="59"/>
    </row>
    <row r="1368" spans="1:59" customFormat="1" ht="15" x14ac:dyDescent="0.35">
      <c r="A1368" s="50"/>
      <c r="B1368" s="63"/>
      <c r="C1368" s="39"/>
      <c r="D1368" s="6"/>
      <c r="E1368" s="149"/>
      <c r="F1368" s="153"/>
      <c r="G1368" s="10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5"/>
      <c r="V1368" s="5"/>
      <c r="W1368" s="13"/>
      <c r="X1368" s="4"/>
      <c r="Y1368" s="4"/>
      <c r="Z1368" s="4"/>
      <c r="AA1368" s="6"/>
      <c r="AB1368" s="5"/>
      <c r="AC1368" s="9"/>
      <c r="AD1368" s="9"/>
      <c r="AE1368" s="9"/>
      <c r="AF1368" s="9"/>
      <c r="AG1368" s="54"/>
      <c r="AH1368" s="3"/>
      <c r="AI1368" s="2"/>
      <c r="AJ1368" s="2"/>
      <c r="AK1368" s="2"/>
      <c r="AL1368" s="3"/>
      <c r="AM1368" s="3"/>
      <c r="AN1368" s="3"/>
      <c r="AO1368" s="3"/>
      <c r="AP1368" s="3"/>
      <c r="AQ1368" s="59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53"/>
      <c r="BC1368" s="3"/>
      <c r="BD1368" s="59"/>
      <c r="BE1368" s="3"/>
      <c r="BF1368" s="53"/>
      <c r="BG1368" s="59"/>
    </row>
    <row r="1369" spans="1:59" customFormat="1" ht="15" x14ac:dyDescent="0.35">
      <c r="A1369" s="19"/>
      <c r="B1369" s="49"/>
      <c r="C1369" s="14"/>
      <c r="D1369" s="1"/>
      <c r="E1369" s="149"/>
      <c r="F1369" s="153"/>
      <c r="G1369" s="10"/>
      <c r="H1369" s="17"/>
      <c r="I1369" s="17"/>
      <c r="J1369" s="17"/>
      <c r="K1369" s="30"/>
      <c r="L1369" s="30"/>
      <c r="M1369" s="30"/>
      <c r="N1369" s="30"/>
      <c r="O1369" s="30"/>
      <c r="P1369" s="30"/>
      <c r="Q1369" s="30"/>
      <c r="R1369" s="30"/>
      <c r="S1369" s="30"/>
      <c r="T1369" s="30"/>
      <c r="U1369" s="30"/>
      <c r="V1369" s="30"/>
      <c r="W1369" s="29"/>
      <c r="X1369" s="15"/>
      <c r="Y1369" s="30"/>
      <c r="Z1369" s="30"/>
      <c r="AA1369" s="30"/>
      <c r="AB1369" s="30"/>
      <c r="AC1369" s="17"/>
      <c r="AD1369" s="17"/>
      <c r="AE1369" s="17"/>
      <c r="AF1369" s="17"/>
      <c r="AG1369" s="20"/>
      <c r="AH1369" s="21"/>
      <c r="AI1369" s="21"/>
      <c r="AJ1369" s="21"/>
      <c r="AK1369" s="21"/>
      <c r="AL1369" s="21"/>
      <c r="AM1369" s="21"/>
      <c r="AN1369" s="21"/>
      <c r="AO1369" s="22"/>
      <c r="AP1369" s="21"/>
      <c r="AQ1369" s="24"/>
      <c r="AR1369" s="21"/>
      <c r="AS1369" s="21"/>
      <c r="AT1369" s="21"/>
      <c r="AU1369" s="21"/>
      <c r="AV1369" s="21"/>
      <c r="AW1369" s="21"/>
      <c r="AX1369" s="22"/>
      <c r="AY1369" s="21"/>
      <c r="AZ1369" s="22"/>
      <c r="BA1369" s="21"/>
      <c r="BB1369" s="20"/>
      <c r="BC1369" s="21"/>
      <c r="BD1369" s="25"/>
      <c r="BE1369" s="26"/>
      <c r="BF1369" s="27"/>
      <c r="BG1369" s="28"/>
    </row>
    <row r="1370" spans="1:59" customFormat="1" ht="15" x14ac:dyDescent="0.35">
      <c r="A1370" s="50"/>
      <c r="B1370" s="63"/>
      <c r="C1370" s="39"/>
      <c r="D1370" s="6"/>
      <c r="E1370" s="149"/>
      <c r="F1370" s="153"/>
      <c r="G1370" s="10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5"/>
      <c r="V1370" s="5"/>
      <c r="W1370" s="13"/>
      <c r="X1370" s="4"/>
      <c r="Y1370" s="4"/>
      <c r="Z1370" s="4"/>
      <c r="AA1370" s="6"/>
      <c r="AB1370" s="5"/>
      <c r="AC1370" s="9"/>
      <c r="AD1370" s="9"/>
      <c r="AE1370" s="9"/>
      <c r="AF1370" s="9"/>
      <c r="AG1370" s="54"/>
      <c r="AH1370" s="3"/>
      <c r="AI1370" s="2"/>
      <c r="AJ1370" s="2"/>
      <c r="AK1370" s="2"/>
      <c r="AL1370" s="3"/>
      <c r="AM1370" s="3"/>
      <c r="AN1370" s="3"/>
      <c r="AO1370" s="3"/>
      <c r="AP1370" s="3"/>
      <c r="AQ1370" s="59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53"/>
      <c r="BC1370" s="3"/>
      <c r="BD1370" s="59"/>
      <c r="BE1370" s="3"/>
      <c r="BF1370" s="53"/>
      <c r="BG1370" s="59"/>
    </row>
    <row r="1371" spans="1:59" customFormat="1" ht="15" x14ac:dyDescent="0.35">
      <c r="A1371" s="19"/>
      <c r="B1371" s="49"/>
      <c r="C1371" s="14"/>
      <c r="D1371" s="1"/>
      <c r="E1371" s="149"/>
      <c r="F1371" s="153"/>
      <c r="G1371" s="10"/>
      <c r="H1371" s="17"/>
      <c r="I1371" s="17"/>
      <c r="J1371" s="17"/>
      <c r="K1371" s="30"/>
      <c r="L1371" s="30"/>
      <c r="M1371" s="30"/>
      <c r="N1371" s="30"/>
      <c r="O1371" s="30"/>
      <c r="P1371" s="30"/>
      <c r="Q1371" s="30"/>
      <c r="R1371" s="30"/>
      <c r="S1371" s="30"/>
      <c r="T1371" s="30"/>
      <c r="U1371" s="30"/>
      <c r="V1371" s="30"/>
      <c r="W1371" s="29"/>
      <c r="X1371" s="15"/>
      <c r="Y1371" s="30"/>
      <c r="Z1371" s="30"/>
      <c r="AA1371" s="30"/>
      <c r="AB1371" s="30"/>
      <c r="AC1371" s="17"/>
      <c r="AD1371" s="17"/>
      <c r="AE1371" s="17"/>
      <c r="AF1371" s="17"/>
      <c r="AG1371" s="20"/>
      <c r="AH1371" s="21"/>
      <c r="AI1371" s="21"/>
      <c r="AJ1371" s="21"/>
      <c r="AK1371" s="21"/>
      <c r="AL1371" s="21"/>
      <c r="AM1371" s="21"/>
      <c r="AN1371" s="21"/>
      <c r="AO1371" s="22"/>
      <c r="AP1371" s="21"/>
      <c r="AQ1371" s="24"/>
      <c r="AR1371" s="21"/>
      <c r="AS1371" s="21"/>
      <c r="AT1371" s="21"/>
      <c r="AU1371" s="21"/>
      <c r="AV1371" s="21"/>
      <c r="AW1371" s="21"/>
      <c r="AX1371" s="22"/>
      <c r="AY1371" s="21"/>
      <c r="AZ1371" s="22"/>
      <c r="BA1371" s="21"/>
      <c r="BB1371" s="20"/>
      <c r="BC1371" s="21"/>
      <c r="BD1371" s="25"/>
      <c r="BE1371" s="26"/>
      <c r="BF1371" s="27"/>
      <c r="BG1371" s="28"/>
    </row>
    <row r="1372" spans="1:59" customFormat="1" ht="15" x14ac:dyDescent="0.35">
      <c r="A1372" s="19"/>
      <c r="B1372" s="49"/>
      <c r="C1372" s="14"/>
      <c r="D1372" s="1"/>
      <c r="E1372" s="149"/>
      <c r="F1372" s="153"/>
      <c r="G1372" s="10"/>
      <c r="H1372" s="17"/>
      <c r="I1372" s="17"/>
      <c r="J1372" s="17"/>
      <c r="K1372" s="30"/>
      <c r="L1372" s="30"/>
      <c r="M1372" s="30"/>
      <c r="N1372" s="30"/>
      <c r="O1372" s="30"/>
      <c r="P1372" s="30"/>
      <c r="Q1372" s="30"/>
      <c r="R1372" s="30"/>
      <c r="S1372" s="30"/>
      <c r="T1372" s="30"/>
      <c r="U1372" s="30"/>
      <c r="V1372" s="30"/>
      <c r="W1372" s="29"/>
      <c r="X1372" s="15"/>
      <c r="Y1372" s="30"/>
      <c r="Z1372" s="30"/>
      <c r="AA1372" s="30"/>
      <c r="AB1372" s="30"/>
      <c r="AC1372" s="17"/>
      <c r="AD1372" s="17"/>
      <c r="AE1372" s="17"/>
      <c r="AF1372" s="17"/>
      <c r="AG1372" s="20"/>
      <c r="AH1372" s="21"/>
      <c r="AI1372" s="21"/>
      <c r="AJ1372" s="21"/>
      <c r="AK1372" s="21"/>
      <c r="AL1372" s="21"/>
      <c r="AM1372" s="21"/>
      <c r="AN1372" s="21"/>
      <c r="AO1372" s="22"/>
      <c r="AP1372" s="21"/>
      <c r="AQ1372" s="24"/>
      <c r="AR1372" s="21"/>
      <c r="AS1372" s="21"/>
      <c r="AT1372" s="21"/>
      <c r="AU1372" s="21"/>
      <c r="AV1372" s="21"/>
      <c r="AW1372" s="21"/>
      <c r="AX1372" s="22"/>
      <c r="AY1372" s="21"/>
      <c r="AZ1372" s="22"/>
      <c r="BA1372" s="21"/>
      <c r="BB1372" s="20"/>
      <c r="BC1372" s="21"/>
      <c r="BD1372" s="25"/>
      <c r="BE1372" s="26"/>
      <c r="BF1372" s="27"/>
      <c r="BG1372" s="28"/>
    </row>
    <row r="1373" spans="1:59" customFormat="1" ht="15" x14ac:dyDescent="0.35">
      <c r="A1373" s="19"/>
      <c r="B1373" s="49"/>
      <c r="C1373" s="14"/>
      <c r="D1373" s="1"/>
      <c r="E1373" s="149"/>
      <c r="F1373" s="153"/>
      <c r="G1373" s="10"/>
      <c r="H1373" s="17"/>
      <c r="I1373" s="17"/>
      <c r="J1373" s="17"/>
      <c r="K1373" s="30"/>
      <c r="L1373" s="30"/>
      <c r="M1373" s="30"/>
      <c r="N1373" s="30"/>
      <c r="O1373" s="30"/>
      <c r="P1373" s="30"/>
      <c r="Q1373" s="30"/>
      <c r="R1373" s="30"/>
      <c r="S1373" s="30"/>
      <c r="T1373" s="30"/>
      <c r="U1373" s="30"/>
      <c r="V1373" s="30"/>
      <c r="W1373" s="29"/>
      <c r="X1373" s="15"/>
      <c r="Y1373" s="30"/>
      <c r="Z1373" s="30"/>
      <c r="AA1373" s="30"/>
      <c r="AB1373" s="30"/>
      <c r="AC1373" s="17"/>
      <c r="AD1373" s="17"/>
      <c r="AE1373" s="17"/>
      <c r="AF1373" s="17"/>
      <c r="AG1373" s="20"/>
      <c r="AH1373" s="21"/>
      <c r="AI1373" s="21"/>
      <c r="AJ1373" s="21"/>
      <c r="AK1373" s="21"/>
      <c r="AL1373" s="21"/>
      <c r="AM1373" s="21"/>
      <c r="AN1373" s="21"/>
      <c r="AO1373" s="22"/>
      <c r="AP1373" s="21"/>
      <c r="AQ1373" s="24"/>
      <c r="AR1373" s="21"/>
      <c r="AS1373" s="21"/>
      <c r="AT1373" s="21"/>
      <c r="AU1373" s="21"/>
      <c r="AV1373" s="21"/>
      <c r="AW1373" s="21"/>
      <c r="AX1373" s="22"/>
      <c r="AY1373" s="21"/>
      <c r="AZ1373" s="22"/>
      <c r="BA1373" s="21"/>
      <c r="BB1373" s="20"/>
      <c r="BC1373" s="21"/>
      <c r="BD1373" s="25"/>
      <c r="BE1373" s="26"/>
      <c r="BF1373" s="27"/>
      <c r="BG1373" s="28"/>
    </row>
    <row r="1374" spans="1:59" customFormat="1" ht="15" x14ac:dyDescent="0.35">
      <c r="A1374" s="50"/>
      <c r="B1374" s="63"/>
      <c r="C1374" s="39"/>
      <c r="D1374" s="6"/>
      <c r="E1374" s="149"/>
      <c r="F1374" s="153"/>
      <c r="G1374" s="10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5"/>
      <c r="V1374" s="5"/>
      <c r="W1374" s="13"/>
      <c r="X1374" s="4"/>
      <c r="Y1374" s="4"/>
      <c r="Z1374" s="4"/>
      <c r="AA1374" s="6"/>
      <c r="AB1374" s="5"/>
      <c r="AC1374" s="9"/>
      <c r="AD1374" s="9"/>
      <c r="AE1374" s="9"/>
      <c r="AF1374" s="9"/>
      <c r="AG1374" s="54"/>
      <c r="AH1374" s="3"/>
      <c r="AI1374" s="2"/>
      <c r="AJ1374" s="2"/>
      <c r="AK1374" s="2"/>
      <c r="AL1374" s="3"/>
      <c r="AM1374" s="3"/>
      <c r="AN1374" s="3"/>
      <c r="AO1374" s="3"/>
      <c r="AP1374" s="3"/>
      <c r="AQ1374" s="59"/>
      <c r="AR1374" s="21"/>
      <c r="AS1374" s="21"/>
      <c r="AT1374" s="3"/>
      <c r="AU1374" s="3"/>
      <c r="AV1374" s="3"/>
      <c r="AW1374" s="3"/>
      <c r="AX1374" s="3"/>
      <c r="AY1374" s="3"/>
      <c r="AZ1374" s="3"/>
      <c r="BA1374" s="3"/>
      <c r="BB1374" s="53"/>
      <c r="BC1374" s="3"/>
      <c r="BD1374" s="59"/>
      <c r="BE1374" s="3"/>
      <c r="BF1374" s="53"/>
      <c r="BG1374" s="59"/>
    </row>
    <row r="1375" spans="1:59" customFormat="1" ht="15" x14ac:dyDescent="0.35">
      <c r="A1375" s="19"/>
      <c r="B1375" s="49"/>
      <c r="C1375" s="14"/>
      <c r="D1375" s="1"/>
      <c r="E1375" s="149"/>
      <c r="F1375" s="153"/>
      <c r="G1375" s="10"/>
      <c r="H1375" s="17"/>
      <c r="I1375" s="17"/>
      <c r="J1375" s="17"/>
      <c r="K1375" s="30"/>
      <c r="L1375" s="30"/>
      <c r="M1375" s="30"/>
      <c r="N1375" s="30"/>
      <c r="O1375" s="30"/>
      <c r="P1375" s="30"/>
      <c r="Q1375" s="30"/>
      <c r="R1375" s="30"/>
      <c r="S1375" s="30"/>
      <c r="T1375" s="30"/>
      <c r="U1375" s="30"/>
      <c r="V1375" s="30"/>
      <c r="W1375" s="29"/>
      <c r="X1375" s="15"/>
      <c r="Y1375" s="30"/>
      <c r="Z1375" s="30"/>
      <c r="AA1375" s="30"/>
      <c r="AB1375" s="30"/>
      <c r="AC1375" s="17"/>
      <c r="AD1375" s="17"/>
      <c r="AE1375" s="17"/>
      <c r="AF1375" s="17"/>
      <c r="AG1375" s="20"/>
      <c r="AH1375" s="21"/>
      <c r="AI1375" s="21"/>
      <c r="AJ1375" s="21"/>
      <c r="AK1375" s="21"/>
      <c r="AL1375" s="21"/>
      <c r="AM1375" s="21"/>
      <c r="AN1375" s="21"/>
      <c r="AO1375" s="22"/>
      <c r="AP1375" s="21"/>
      <c r="AQ1375" s="24"/>
      <c r="AR1375" s="21"/>
      <c r="AS1375" s="21"/>
      <c r="AT1375" s="21"/>
      <c r="AU1375" s="21"/>
      <c r="AV1375" s="21"/>
      <c r="AW1375" s="21"/>
      <c r="AX1375" s="22"/>
      <c r="AY1375" s="21"/>
      <c r="AZ1375" s="22"/>
      <c r="BA1375" s="21"/>
      <c r="BB1375" s="20"/>
      <c r="BC1375" s="21"/>
      <c r="BD1375" s="25"/>
      <c r="BE1375" s="26"/>
      <c r="BF1375" s="27"/>
      <c r="BG1375" s="28"/>
    </row>
    <row r="1376" spans="1:59" customFormat="1" ht="15" x14ac:dyDescent="0.35">
      <c r="A1376" s="50"/>
      <c r="B1376" s="63"/>
      <c r="C1376" s="39"/>
      <c r="D1376" s="6"/>
      <c r="E1376" s="149"/>
      <c r="F1376" s="153"/>
      <c r="G1376" s="10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5"/>
      <c r="V1376" s="5"/>
      <c r="W1376" s="13"/>
      <c r="X1376" s="4"/>
      <c r="Y1376" s="4"/>
      <c r="Z1376" s="4"/>
      <c r="AA1376" s="6"/>
      <c r="AB1376" s="5"/>
      <c r="AC1376" s="9"/>
      <c r="AD1376" s="9"/>
      <c r="AE1376" s="9"/>
      <c r="AF1376" s="9"/>
      <c r="AG1376" s="54"/>
      <c r="AH1376" s="3"/>
      <c r="AI1376" s="2"/>
      <c r="AJ1376" s="2"/>
      <c r="AK1376" s="2"/>
      <c r="AL1376" s="3"/>
      <c r="AM1376" s="3"/>
      <c r="AN1376" s="3"/>
      <c r="AO1376" s="3"/>
      <c r="AP1376" s="3"/>
      <c r="AQ1376" s="59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53"/>
      <c r="BC1376" s="3"/>
      <c r="BD1376" s="59"/>
      <c r="BE1376" s="3"/>
      <c r="BF1376" s="53"/>
      <c r="BG1376" s="59"/>
    </row>
    <row r="1377" spans="1:59" customFormat="1" ht="15" x14ac:dyDescent="0.35">
      <c r="A1377" s="50"/>
      <c r="B1377" s="63"/>
      <c r="C1377" s="39"/>
      <c r="D1377" s="6"/>
      <c r="E1377" s="149"/>
      <c r="F1377" s="153"/>
      <c r="G1377" s="10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12"/>
      <c r="X1377" s="33"/>
      <c r="Y1377" s="6"/>
      <c r="Z1377" s="6"/>
      <c r="AA1377" s="6"/>
      <c r="AB1377" s="6"/>
      <c r="AC1377" s="9"/>
      <c r="AD1377" s="9"/>
      <c r="AE1377" s="9"/>
      <c r="AF1377" s="9"/>
      <c r="AG1377" s="5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59"/>
      <c r="AR1377" s="21"/>
      <c r="AS1377" s="21"/>
      <c r="AT1377" s="3"/>
      <c r="AU1377" s="3"/>
      <c r="AV1377" s="3"/>
      <c r="AW1377" s="3"/>
      <c r="AX1377" s="3"/>
      <c r="AY1377" s="3"/>
      <c r="AZ1377" s="3"/>
      <c r="BA1377" s="3"/>
      <c r="BB1377" s="53"/>
      <c r="BC1377" s="3"/>
      <c r="BD1377" s="59"/>
      <c r="BE1377" s="3"/>
      <c r="BF1377" s="53"/>
      <c r="BG1377" s="65"/>
    </row>
    <row r="1378" spans="1:59" customFormat="1" ht="15" x14ac:dyDescent="0.35">
      <c r="A1378" s="50"/>
      <c r="B1378" s="63"/>
      <c r="C1378" s="39"/>
      <c r="D1378" s="6"/>
      <c r="E1378" s="149"/>
      <c r="F1378" s="153"/>
      <c r="G1378" s="10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5"/>
      <c r="V1378" s="5"/>
      <c r="W1378" s="13"/>
      <c r="X1378" s="4"/>
      <c r="Y1378" s="4"/>
      <c r="Z1378" s="4"/>
      <c r="AA1378" s="6"/>
      <c r="AB1378" s="5"/>
      <c r="AC1378" s="9"/>
      <c r="AD1378" s="9"/>
      <c r="AE1378" s="9"/>
      <c r="AF1378" s="9"/>
      <c r="AG1378" s="54"/>
      <c r="AH1378" s="3"/>
      <c r="AI1378" s="2"/>
      <c r="AJ1378" s="2"/>
      <c r="AK1378" s="2"/>
      <c r="AL1378" s="3"/>
      <c r="AM1378" s="3"/>
      <c r="AN1378" s="3"/>
      <c r="AO1378" s="3"/>
      <c r="AP1378" s="3"/>
      <c r="AQ1378" s="59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53"/>
      <c r="BC1378" s="3"/>
      <c r="BD1378" s="59"/>
      <c r="BE1378" s="3"/>
      <c r="BF1378" s="53"/>
      <c r="BG1378" s="59"/>
    </row>
    <row r="1379" spans="1:59" customFormat="1" ht="15" x14ac:dyDescent="0.35">
      <c r="A1379" s="50"/>
      <c r="B1379" s="63"/>
      <c r="C1379" s="39"/>
      <c r="D1379" s="6"/>
      <c r="E1379" s="149"/>
      <c r="F1379" s="153"/>
      <c r="G1379" s="10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12"/>
      <c r="X1379" s="33"/>
      <c r="Y1379" s="6"/>
      <c r="Z1379" s="6"/>
      <c r="AA1379" s="6"/>
      <c r="AB1379" s="6"/>
      <c r="AC1379" s="9"/>
      <c r="AD1379" s="9"/>
      <c r="AE1379" s="9"/>
      <c r="AF1379" s="9"/>
      <c r="AG1379" s="5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59"/>
      <c r="AR1379" s="21"/>
      <c r="AS1379" s="21"/>
      <c r="AT1379" s="3"/>
      <c r="AU1379" s="3"/>
      <c r="AV1379" s="3"/>
      <c r="AW1379" s="3"/>
      <c r="AX1379" s="3"/>
      <c r="AY1379" s="3"/>
      <c r="AZ1379" s="3"/>
      <c r="BA1379" s="3"/>
      <c r="BB1379" s="53"/>
      <c r="BC1379" s="3"/>
      <c r="BD1379" s="59"/>
      <c r="BE1379" s="3"/>
      <c r="BF1379" s="53"/>
      <c r="BG1379" s="59"/>
    </row>
    <row r="1380" spans="1:59" customFormat="1" ht="15" x14ac:dyDescent="0.35">
      <c r="A1380" s="50"/>
      <c r="B1380" s="63"/>
      <c r="C1380" s="39"/>
      <c r="D1380" s="6"/>
      <c r="E1380" s="149"/>
      <c r="F1380" s="153"/>
      <c r="G1380" s="10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5"/>
      <c r="V1380" s="5"/>
      <c r="W1380" s="13"/>
      <c r="X1380" s="4"/>
      <c r="Y1380" s="4"/>
      <c r="Z1380" s="4"/>
      <c r="AA1380" s="6"/>
      <c r="AB1380" s="5"/>
      <c r="AC1380" s="9"/>
      <c r="AD1380" s="9"/>
      <c r="AE1380" s="9"/>
      <c r="AF1380" s="9"/>
      <c r="AG1380" s="54"/>
      <c r="AH1380" s="3"/>
      <c r="AI1380" s="2"/>
      <c r="AJ1380" s="2"/>
      <c r="AK1380" s="2"/>
      <c r="AL1380" s="3"/>
      <c r="AM1380" s="3"/>
      <c r="AN1380" s="3"/>
      <c r="AO1380" s="3"/>
      <c r="AP1380" s="3"/>
      <c r="AQ1380" s="59"/>
      <c r="AR1380" s="21"/>
      <c r="AS1380" s="21"/>
      <c r="AT1380" s="3"/>
      <c r="AU1380" s="3"/>
      <c r="AV1380" s="3"/>
      <c r="AW1380" s="3"/>
      <c r="AX1380" s="3"/>
      <c r="AY1380" s="3"/>
      <c r="AZ1380" s="3"/>
      <c r="BA1380" s="3"/>
      <c r="BB1380" s="53"/>
      <c r="BC1380" s="3"/>
      <c r="BD1380" s="59"/>
      <c r="BE1380" s="3"/>
      <c r="BF1380" s="53"/>
      <c r="BG1380" s="59"/>
    </row>
    <row r="1381" spans="1:59" customFormat="1" ht="15" x14ac:dyDescent="0.35">
      <c r="A1381" s="50"/>
      <c r="B1381" s="63"/>
      <c r="C1381" s="39"/>
      <c r="D1381" s="6"/>
      <c r="E1381" s="149"/>
      <c r="F1381" s="153"/>
      <c r="G1381" s="10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5"/>
      <c r="V1381" s="5"/>
      <c r="W1381" s="13"/>
      <c r="X1381" s="4"/>
      <c r="Y1381" s="4"/>
      <c r="Z1381" s="4"/>
      <c r="AA1381" s="6"/>
      <c r="AB1381" s="5"/>
      <c r="AC1381" s="9"/>
      <c r="AD1381" s="9"/>
      <c r="AE1381" s="9"/>
      <c r="AF1381" s="9"/>
      <c r="AG1381" s="54"/>
      <c r="AH1381" s="3"/>
      <c r="AI1381" s="2"/>
      <c r="AJ1381" s="2"/>
      <c r="AK1381" s="2"/>
      <c r="AL1381" s="3"/>
      <c r="AM1381" s="3"/>
      <c r="AN1381" s="3"/>
      <c r="AO1381" s="3"/>
      <c r="AP1381" s="3"/>
      <c r="AQ1381" s="59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53"/>
      <c r="BC1381" s="3"/>
      <c r="BD1381" s="59"/>
      <c r="BE1381" s="3"/>
      <c r="BF1381" s="53"/>
      <c r="BG1381" s="59"/>
    </row>
    <row r="1382" spans="1:59" customFormat="1" ht="15" x14ac:dyDescent="0.35">
      <c r="A1382" s="50"/>
      <c r="B1382" s="63"/>
      <c r="C1382" s="39"/>
      <c r="D1382" s="6"/>
      <c r="E1382" s="149"/>
      <c r="F1382" s="153"/>
      <c r="G1382" s="10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12"/>
      <c r="X1382" s="33"/>
      <c r="Y1382" s="6"/>
      <c r="Z1382" s="6"/>
      <c r="AA1382" s="6"/>
      <c r="AB1382" s="6"/>
      <c r="AC1382" s="9"/>
      <c r="AD1382" s="9"/>
      <c r="AE1382" s="9"/>
      <c r="AF1382" s="9"/>
      <c r="AG1382" s="5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59"/>
      <c r="AR1382" s="21"/>
      <c r="AS1382" s="21"/>
      <c r="AT1382" s="3"/>
      <c r="AU1382" s="3"/>
      <c r="AV1382" s="3"/>
      <c r="AW1382" s="3"/>
      <c r="AX1382" s="3"/>
      <c r="AY1382" s="3"/>
      <c r="AZ1382" s="3"/>
      <c r="BA1382" s="3"/>
      <c r="BB1382" s="53"/>
      <c r="BC1382" s="3"/>
      <c r="BD1382" s="59"/>
      <c r="BE1382" s="3"/>
      <c r="BF1382" s="53"/>
      <c r="BG1382" s="59"/>
    </row>
    <row r="1383" spans="1:59" customFormat="1" ht="15" x14ac:dyDescent="0.35">
      <c r="A1383" s="50"/>
      <c r="B1383" s="63"/>
      <c r="C1383" s="39"/>
      <c r="D1383" s="6"/>
      <c r="E1383" s="149"/>
      <c r="F1383" s="153"/>
      <c r="G1383" s="10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12"/>
      <c r="X1383" s="33"/>
      <c r="Y1383" s="6"/>
      <c r="Z1383" s="6"/>
      <c r="AA1383" s="6"/>
      <c r="AB1383" s="6"/>
      <c r="AC1383" s="9"/>
      <c r="AD1383" s="9"/>
      <c r="AE1383" s="9"/>
      <c r="AF1383" s="9"/>
      <c r="AG1383" s="5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59"/>
      <c r="AR1383" s="21"/>
      <c r="AS1383" s="21"/>
      <c r="AT1383" s="3"/>
      <c r="AU1383" s="3"/>
      <c r="AV1383" s="3"/>
      <c r="AW1383" s="3"/>
      <c r="AX1383" s="3"/>
      <c r="AY1383" s="3"/>
      <c r="AZ1383" s="3"/>
      <c r="BA1383" s="3"/>
      <c r="BB1383" s="53"/>
      <c r="BC1383" s="3"/>
      <c r="BD1383" s="59"/>
      <c r="BE1383" s="3"/>
      <c r="BF1383" s="53"/>
      <c r="BG1383" s="59"/>
    </row>
    <row r="1384" spans="1:59" customFormat="1" ht="15" x14ac:dyDescent="0.35">
      <c r="A1384" s="50"/>
      <c r="B1384" s="63"/>
      <c r="C1384" s="39"/>
      <c r="D1384" s="6"/>
      <c r="E1384" s="149"/>
      <c r="F1384" s="153"/>
      <c r="G1384" s="10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5"/>
      <c r="V1384" s="5"/>
      <c r="W1384" s="13"/>
      <c r="X1384" s="4"/>
      <c r="Y1384" s="4"/>
      <c r="Z1384" s="4"/>
      <c r="AA1384" s="6"/>
      <c r="AB1384" s="5"/>
      <c r="AC1384" s="9"/>
      <c r="AD1384" s="9"/>
      <c r="AE1384" s="9"/>
      <c r="AF1384" s="9"/>
      <c r="AG1384" s="54"/>
      <c r="AH1384" s="3"/>
      <c r="AI1384" s="2"/>
      <c r="AJ1384" s="2"/>
      <c r="AK1384" s="2"/>
      <c r="AL1384" s="3"/>
      <c r="AM1384" s="3"/>
      <c r="AN1384" s="3"/>
      <c r="AO1384" s="3"/>
      <c r="AP1384" s="3"/>
      <c r="AQ1384" s="59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53"/>
      <c r="BC1384" s="3"/>
      <c r="BD1384" s="59"/>
      <c r="BE1384" s="3"/>
      <c r="BF1384" s="53"/>
      <c r="BG1384" s="59"/>
    </row>
    <row r="1385" spans="1:59" customFormat="1" ht="15" x14ac:dyDescent="0.35">
      <c r="A1385" s="50"/>
      <c r="B1385" s="63"/>
      <c r="C1385" s="39"/>
      <c r="D1385" s="6"/>
      <c r="E1385" s="149"/>
      <c r="F1385" s="153"/>
      <c r="G1385" s="10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5"/>
      <c r="V1385" s="5"/>
      <c r="W1385" s="13"/>
      <c r="X1385" s="4"/>
      <c r="Y1385" s="4"/>
      <c r="Z1385" s="4"/>
      <c r="AA1385" s="6"/>
      <c r="AB1385" s="5"/>
      <c r="AC1385" s="9"/>
      <c r="AD1385" s="9"/>
      <c r="AE1385" s="9"/>
      <c r="AF1385" s="9"/>
      <c r="AG1385" s="54"/>
      <c r="AH1385" s="3"/>
      <c r="AI1385" s="2"/>
      <c r="AJ1385" s="2"/>
      <c r="AK1385" s="2"/>
      <c r="AL1385" s="3"/>
      <c r="AM1385" s="3"/>
      <c r="AN1385" s="3"/>
      <c r="AO1385" s="3"/>
      <c r="AP1385" s="3"/>
      <c r="AQ1385" s="59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53"/>
      <c r="BC1385" s="3"/>
      <c r="BD1385" s="59"/>
      <c r="BE1385" s="3"/>
      <c r="BF1385" s="53"/>
      <c r="BG1385" s="59"/>
    </row>
    <row r="1386" spans="1:59" customFormat="1" ht="15" x14ac:dyDescent="0.35">
      <c r="A1386" s="50"/>
      <c r="B1386" s="63"/>
      <c r="C1386" s="39"/>
      <c r="D1386" s="6"/>
      <c r="E1386" s="149"/>
      <c r="F1386" s="153"/>
      <c r="G1386" s="10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5"/>
      <c r="V1386" s="5"/>
      <c r="W1386" s="13"/>
      <c r="X1386" s="4"/>
      <c r="Y1386" s="4"/>
      <c r="Z1386" s="4"/>
      <c r="AA1386" s="6"/>
      <c r="AB1386" s="5"/>
      <c r="AC1386" s="9"/>
      <c r="AD1386" s="9"/>
      <c r="AE1386" s="9"/>
      <c r="AF1386" s="9"/>
      <c r="AG1386" s="54"/>
      <c r="AH1386" s="3"/>
      <c r="AI1386" s="2"/>
      <c r="AJ1386" s="2"/>
      <c r="AK1386" s="2"/>
      <c r="AL1386" s="3"/>
      <c r="AM1386" s="3"/>
      <c r="AN1386" s="3"/>
      <c r="AO1386" s="3"/>
      <c r="AP1386" s="3"/>
      <c r="AQ1386" s="59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53"/>
      <c r="BC1386" s="3"/>
      <c r="BD1386" s="59"/>
      <c r="BE1386" s="3"/>
      <c r="BF1386" s="53"/>
      <c r="BG1386" s="59"/>
    </row>
    <row r="1387" spans="1:59" customFormat="1" ht="15" x14ac:dyDescent="0.35">
      <c r="A1387" s="50"/>
      <c r="B1387" s="63"/>
      <c r="C1387" s="39"/>
      <c r="D1387" s="6"/>
      <c r="E1387" s="149"/>
      <c r="F1387" s="153"/>
      <c r="G1387" s="10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12"/>
      <c r="X1387" s="33"/>
      <c r="Y1387" s="6"/>
      <c r="Z1387" s="6"/>
      <c r="AA1387" s="6"/>
      <c r="AB1387" s="6"/>
      <c r="AC1387" s="9"/>
      <c r="AD1387" s="9"/>
      <c r="AE1387" s="9"/>
      <c r="AF1387" s="9"/>
      <c r="AG1387" s="5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59"/>
      <c r="AR1387" s="21"/>
      <c r="AS1387" s="21"/>
      <c r="AT1387" s="3"/>
      <c r="AU1387" s="3"/>
      <c r="AV1387" s="3"/>
      <c r="AW1387" s="3"/>
      <c r="AX1387" s="3"/>
      <c r="AY1387" s="3"/>
      <c r="AZ1387" s="3"/>
      <c r="BA1387" s="3"/>
      <c r="BB1387" s="53"/>
      <c r="BC1387" s="3"/>
      <c r="BD1387" s="59"/>
      <c r="BE1387" s="3"/>
      <c r="BF1387" s="53"/>
      <c r="BG1387" s="59"/>
    </row>
    <row r="1388" spans="1:59" customFormat="1" ht="15" x14ac:dyDescent="0.35">
      <c r="A1388" s="19"/>
      <c r="B1388" s="49"/>
      <c r="C1388" s="14"/>
      <c r="D1388" s="1"/>
      <c r="E1388" s="149"/>
      <c r="F1388" s="153"/>
      <c r="G1388" s="10"/>
      <c r="H1388" s="17"/>
      <c r="I1388" s="17"/>
      <c r="J1388" s="17"/>
      <c r="K1388" s="30"/>
      <c r="L1388" s="30"/>
      <c r="M1388" s="30"/>
      <c r="N1388" s="30"/>
      <c r="O1388" s="30"/>
      <c r="P1388" s="30"/>
      <c r="Q1388" s="30"/>
      <c r="R1388" s="30"/>
      <c r="S1388" s="30"/>
      <c r="T1388" s="30"/>
      <c r="U1388" s="30"/>
      <c r="V1388" s="30"/>
      <c r="W1388" s="29"/>
      <c r="X1388" s="15"/>
      <c r="Y1388" s="30"/>
      <c r="Z1388" s="30"/>
      <c r="AA1388" s="30"/>
      <c r="AB1388" s="30"/>
      <c r="AC1388" s="17"/>
      <c r="AD1388" s="17"/>
      <c r="AE1388" s="17"/>
      <c r="AF1388" s="17"/>
      <c r="AG1388" s="20"/>
      <c r="AH1388" s="21"/>
      <c r="AI1388" s="21"/>
      <c r="AJ1388" s="21"/>
      <c r="AK1388" s="21"/>
      <c r="AL1388" s="21"/>
      <c r="AM1388" s="21"/>
      <c r="AN1388" s="21"/>
      <c r="AO1388" s="22"/>
      <c r="AP1388" s="21"/>
      <c r="AQ1388" s="24"/>
      <c r="AR1388" s="21"/>
      <c r="AS1388" s="21"/>
      <c r="AT1388" s="21"/>
      <c r="AU1388" s="21"/>
      <c r="AV1388" s="21"/>
      <c r="AW1388" s="21"/>
      <c r="AX1388" s="22"/>
      <c r="AY1388" s="21"/>
      <c r="AZ1388" s="22"/>
      <c r="BA1388" s="21"/>
      <c r="BB1388" s="20"/>
      <c r="BC1388" s="21"/>
      <c r="BD1388" s="25"/>
      <c r="BE1388" s="26"/>
      <c r="BF1388" s="27"/>
      <c r="BG1388" s="28"/>
    </row>
    <row r="1389" spans="1:59" customFormat="1" ht="15" x14ac:dyDescent="0.35">
      <c r="A1389" s="50"/>
      <c r="B1389" s="63"/>
      <c r="C1389" s="39"/>
      <c r="D1389" s="6"/>
      <c r="E1389" s="149"/>
      <c r="F1389" s="153"/>
      <c r="G1389" s="10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5"/>
      <c r="V1389" s="5"/>
      <c r="W1389" s="13"/>
      <c r="X1389" s="4"/>
      <c r="Y1389" s="4"/>
      <c r="Z1389" s="4"/>
      <c r="AA1389" s="6"/>
      <c r="AB1389" s="5"/>
      <c r="AC1389" s="9"/>
      <c r="AD1389" s="9"/>
      <c r="AE1389" s="9"/>
      <c r="AF1389" s="9"/>
      <c r="AG1389" s="54"/>
      <c r="AH1389" s="3"/>
      <c r="AI1389" s="2"/>
      <c r="AJ1389" s="2"/>
      <c r="AK1389" s="2"/>
      <c r="AL1389" s="3"/>
      <c r="AM1389" s="3"/>
      <c r="AN1389" s="3"/>
      <c r="AO1389" s="3"/>
      <c r="AP1389" s="3"/>
      <c r="AQ1389" s="59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53"/>
      <c r="BC1389" s="3"/>
      <c r="BD1389" s="59"/>
      <c r="BE1389" s="3"/>
      <c r="BF1389" s="53"/>
      <c r="BG1389" s="59"/>
    </row>
    <row r="1390" spans="1:59" customFormat="1" ht="15" x14ac:dyDescent="0.35">
      <c r="A1390" s="50"/>
      <c r="B1390" s="63"/>
      <c r="C1390" s="39"/>
      <c r="D1390" s="6"/>
      <c r="E1390" s="149"/>
      <c r="F1390" s="153"/>
      <c r="G1390" s="10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12"/>
      <c r="X1390" s="33"/>
      <c r="Y1390" s="6"/>
      <c r="Z1390" s="6"/>
      <c r="AA1390" s="6"/>
      <c r="AB1390" s="6"/>
      <c r="AC1390" s="9"/>
      <c r="AD1390" s="9"/>
      <c r="AE1390" s="9"/>
      <c r="AF1390" s="9"/>
      <c r="AG1390" s="5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59"/>
      <c r="AR1390" s="21"/>
      <c r="AS1390" s="21"/>
      <c r="AT1390" s="3"/>
      <c r="AU1390" s="3"/>
      <c r="AV1390" s="3"/>
      <c r="AW1390" s="3"/>
      <c r="AX1390" s="3"/>
      <c r="AY1390" s="3"/>
      <c r="AZ1390" s="3"/>
      <c r="BA1390" s="3"/>
      <c r="BB1390" s="53"/>
      <c r="BC1390" s="3"/>
      <c r="BD1390" s="59"/>
      <c r="BE1390" s="3"/>
      <c r="BF1390" s="53"/>
      <c r="BG1390" s="59"/>
    </row>
    <row r="1391" spans="1:59" customFormat="1" ht="15" x14ac:dyDescent="0.35">
      <c r="A1391" s="50"/>
      <c r="B1391" s="63"/>
      <c r="C1391" s="39"/>
      <c r="D1391" s="6"/>
      <c r="E1391" s="149"/>
      <c r="F1391" s="153"/>
      <c r="G1391" s="10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5"/>
      <c r="V1391" s="5"/>
      <c r="W1391" s="13"/>
      <c r="X1391" s="4"/>
      <c r="Y1391" s="4"/>
      <c r="Z1391" s="4"/>
      <c r="AA1391" s="6"/>
      <c r="AB1391" s="5"/>
      <c r="AC1391" s="9"/>
      <c r="AD1391" s="9"/>
      <c r="AE1391" s="9"/>
      <c r="AF1391" s="9"/>
      <c r="AG1391" s="54"/>
      <c r="AH1391" s="3"/>
      <c r="AI1391" s="2"/>
      <c r="AJ1391" s="2"/>
      <c r="AK1391" s="2"/>
      <c r="AL1391" s="3"/>
      <c r="AM1391" s="3"/>
      <c r="AN1391" s="3"/>
      <c r="AO1391" s="3"/>
      <c r="AP1391" s="3"/>
      <c r="AQ1391" s="59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53"/>
      <c r="BC1391" s="3"/>
      <c r="BD1391" s="59"/>
      <c r="BE1391" s="3"/>
      <c r="BF1391" s="53"/>
      <c r="BG1391" s="59"/>
    </row>
    <row r="1392" spans="1:59" customFormat="1" ht="15" x14ac:dyDescent="0.35">
      <c r="A1392" s="50"/>
      <c r="B1392" s="63"/>
      <c r="C1392" s="39"/>
      <c r="D1392" s="6"/>
      <c r="E1392" s="149"/>
      <c r="F1392" s="153"/>
      <c r="G1392" s="10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5"/>
      <c r="V1392" s="5"/>
      <c r="W1392" s="13"/>
      <c r="X1392" s="4"/>
      <c r="Y1392" s="4"/>
      <c r="Z1392" s="4"/>
      <c r="AA1392" s="6"/>
      <c r="AB1392" s="5"/>
      <c r="AC1392" s="9"/>
      <c r="AD1392" s="9"/>
      <c r="AE1392" s="9"/>
      <c r="AF1392" s="9"/>
      <c r="AG1392" s="54"/>
      <c r="AH1392" s="3"/>
      <c r="AI1392" s="2"/>
      <c r="AJ1392" s="2"/>
      <c r="AK1392" s="2"/>
      <c r="AL1392" s="3"/>
      <c r="AM1392" s="3"/>
      <c r="AN1392" s="3"/>
      <c r="AO1392" s="3"/>
      <c r="AP1392" s="3"/>
      <c r="AQ1392" s="59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53"/>
      <c r="BC1392" s="3"/>
      <c r="BD1392" s="59"/>
      <c r="BE1392" s="3"/>
      <c r="BF1392" s="53"/>
      <c r="BG1392" s="59"/>
    </row>
    <row r="1393" spans="1:59" customFormat="1" ht="15" x14ac:dyDescent="0.35">
      <c r="A1393" s="50"/>
      <c r="B1393" s="63"/>
      <c r="C1393" s="39"/>
      <c r="D1393" s="6"/>
      <c r="E1393" s="149"/>
      <c r="F1393" s="153"/>
      <c r="G1393" s="10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12"/>
      <c r="X1393" s="33"/>
      <c r="Y1393" s="6"/>
      <c r="Z1393" s="6"/>
      <c r="AA1393" s="6"/>
      <c r="AB1393" s="6"/>
      <c r="AC1393" s="9"/>
      <c r="AD1393" s="9"/>
      <c r="AE1393" s="9"/>
      <c r="AF1393" s="9"/>
      <c r="AG1393" s="5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59"/>
      <c r="AR1393" s="21"/>
      <c r="AS1393" s="21"/>
      <c r="AT1393" s="3"/>
      <c r="AU1393" s="3"/>
      <c r="AV1393" s="3"/>
      <c r="AW1393" s="3"/>
      <c r="AX1393" s="3"/>
      <c r="AY1393" s="3"/>
      <c r="AZ1393" s="3"/>
      <c r="BA1393" s="3"/>
      <c r="BB1393" s="53"/>
      <c r="BC1393" s="3"/>
      <c r="BD1393" s="59"/>
      <c r="BE1393" s="3"/>
      <c r="BF1393" s="53"/>
      <c r="BG1393" s="59"/>
    </row>
    <row r="1394" spans="1:59" customFormat="1" ht="15" x14ac:dyDescent="0.35">
      <c r="A1394" s="19"/>
      <c r="B1394" s="49"/>
      <c r="C1394" s="39"/>
      <c r="D1394" s="1"/>
      <c r="E1394" s="149"/>
      <c r="F1394" s="153"/>
      <c r="G1394" s="10"/>
      <c r="H1394" s="17"/>
      <c r="I1394" s="17"/>
      <c r="J1394" s="17"/>
      <c r="K1394" s="30"/>
      <c r="L1394" s="30"/>
      <c r="M1394" s="30"/>
      <c r="N1394" s="30"/>
      <c r="O1394" s="30"/>
      <c r="P1394" s="30"/>
      <c r="Q1394" s="30"/>
      <c r="R1394" s="30"/>
      <c r="S1394" s="30"/>
      <c r="T1394" s="30"/>
      <c r="U1394" s="30"/>
      <c r="V1394" s="30"/>
      <c r="W1394" s="29"/>
      <c r="X1394" s="15"/>
      <c r="Y1394" s="30"/>
      <c r="Z1394" s="30"/>
      <c r="AA1394" s="30"/>
      <c r="AB1394" s="30"/>
      <c r="AC1394" s="17"/>
      <c r="AD1394" s="17"/>
      <c r="AE1394" s="17"/>
      <c r="AF1394" s="17"/>
      <c r="AG1394" s="20"/>
      <c r="AH1394" s="21"/>
      <c r="AI1394" s="21"/>
      <c r="AJ1394" s="21"/>
      <c r="AK1394" s="21"/>
      <c r="AL1394" s="21"/>
      <c r="AM1394" s="21"/>
      <c r="AN1394" s="21"/>
      <c r="AO1394" s="22"/>
      <c r="AP1394" s="21"/>
      <c r="AQ1394" s="24"/>
      <c r="AR1394" s="21"/>
      <c r="AS1394" s="21"/>
      <c r="AT1394" s="21"/>
      <c r="AU1394" s="21"/>
      <c r="AV1394" s="21"/>
      <c r="AW1394" s="21"/>
      <c r="AX1394" s="22"/>
      <c r="AY1394" s="21"/>
      <c r="AZ1394" s="22"/>
      <c r="BA1394" s="21"/>
      <c r="BB1394" s="20"/>
      <c r="BC1394" s="21"/>
      <c r="BD1394" s="25"/>
      <c r="BE1394" s="26"/>
      <c r="BF1394" s="27"/>
      <c r="BG1394" s="28"/>
    </row>
    <row r="1395" spans="1:59" customFormat="1" ht="15" x14ac:dyDescent="0.35">
      <c r="A1395" s="19"/>
      <c r="B1395" s="49"/>
      <c r="C1395" s="14"/>
      <c r="D1395" s="1"/>
      <c r="E1395" s="149"/>
      <c r="F1395" s="153"/>
      <c r="G1395" s="10"/>
      <c r="H1395" s="17"/>
      <c r="I1395" s="17"/>
      <c r="J1395" s="17"/>
      <c r="K1395" s="30"/>
      <c r="L1395" s="30"/>
      <c r="M1395" s="30"/>
      <c r="N1395" s="30"/>
      <c r="O1395" s="30"/>
      <c r="P1395" s="30"/>
      <c r="Q1395" s="30"/>
      <c r="R1395" s="30"/>
      <c r="S1395" s="30"/>
      <c r="T1395" s="30"/>
      <c r="U1395" s="30"/>
      <c r="V1395" s="30"/>
      <c r="W1395" s="29"/>
      <c r="X1395" s="15"/>
      <c r="Y1395" s="30"/>
      <c r="Z1395" s="30"/>
      <c r="AA1395" s="30"/>
      <c r="AB1395" s="30"/>
      <c r="AC1395" s="17"/>
      <c r="AD1395" s="17"/>
      <c r="AE1395" s="17"/>
      <c r="AF1395" s="17"/>
      <c r="AG1395" s="20"/>
      <c r="AH1395" s="21"/>
      <c r="AI1395" s="21"/>
      <c r="AJ1395" s="21"/>
      <c r="AK1395" s="21"/>
      <c r="AL1395" s="21"/>
      <c r="AM1395" s="21"/>
      <c r="AN1395" s="21"/>
      <c r="AO1395" s="22"/>
      <c r="AP1395" s="21"/>
      <c r="AQ1395" s="24"/>
      <c r="AR1395" s="21"/>
      <c r="AS1395" s="21"/>
      <c r="AT1395" s="21"/>
      <c r="AU1395" s="21"/>
      <c r="AV1395" s="21"/>
      <c r="AW1395" s="21"/>
      <c r="AX1395" s="22"/>
      <c r="AY1395" s="21"/>
      <c r="AZ1395" s="22"/>
      <c r="BA1395" s="21"/>
      <c r="BB1395" s="20"/>
      <c r="BC1395" s="21"/>
      <c r="BD1395" s="25"/>
      <c r="BE1395" s="26"/>
      <c r="BF1395" s="27"/>
      <c r="BG1395" s="28"/>
    </row>
    <row r="1396" spans="1:59" customFormat="1" ht="15" x14ac:dyDescent="0.35">
      <c r="A1396" s="50"/>
      <c r="B1396" s="63"/>
      <c r="C1396" s="39"/>
      <c r="D1396" s="6"/>
      <c r="E1396" s="149"/>
      <c r="F1396" s="153"/>
      <c r="G1396" s="10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12"/>
      <c r="X1396" s="33"/>
      <c r="Y1396" s="6"/>
      <c r="Z1396" s="6"/>
      <c r="AA1396" s="6"/>
      <c r="AB1396" s="6"/>
      <c r="AC1396" s="9"/>
      <c r="AD1396" s="9"/>
      <c r="AE1396" s="9"/>
      <c r="AF1396" s="9"/>
      <c r="AG1396" s="5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59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53"/>
      <c r="BC1396" s="3"/>
      <c r="BD1396" s="59"/>
      <c r="BE1396" s="3"/>
      <c r="BF1396" s="53"/>
      <c r="BG1396" s="59"/>
    </row>
    <row r="1397" spans="1:59" customFormat="1" ht="15" x14ac:dyDescent="0.35">
      <c r="A1397" s="19"/>
      <c r="B1397" s="49"/>
      <c r="C1397" s="14"/>
      <c r="D1397" s="1"/>
      <c r="E1397" s="149"/>
      <c r="F1397" s="153"/>
      <c r="G1397" s="10"/>
      <c r="H1397" s="17"/>
      <c r="I1397" s="17"/>
      <c r="J1397" s="17"/>
      <c r="K1397" s="30"/>
      <c r="L1397" s="30"/>
      <c r="M1397" s="30"/>
      <c r="N1397" s="30"/>
      <c r="O1397" s="30"/>
      <c r="P1397" s="30"/>
      <c r="Q1397" s="30"/>
      <c r="R1397" s="30"/>
      <c r="S1397" s="30"/>
      <c r="T1397" s="30"/>
      <c r="U1397" s="30"/>
      <c r="V1397" s="30"/>
      <c r="W1397" s="29"/>
      <c r="X1397" s="15"/>
      <c r="Y1397" s="30"/>
      <c r="Z1397" s="30"/>
      <c r="AA1397" s="30"/>
      <c r="AB1397" s="30"/>
      <c r="AC1397" s="17"/>
      <c r="AD1397" s="17"/>
      <c r="AE1397" s="17"/>
      <c r="AF1397" s="17"/>
      <c r="AG1397" s="20"/>
      <c r="AH1397" s="21"/>
      <c r="AI1397" s="21"/>
      <c r="AJ1397" s="21"/>
      <c r="AK1397" s="21"/>
      <c r="AL1397" s="21"/>
      <c r="AM1397" s="21"/>
      <c r="AN1397" s="21"/>
      <c r="AO1397" s="22"/>
      <c r="AP1397" s="21"/>
      <c r="AQ1397" s="24"/>
      <c r="AR1397" s="21"/>
      <c r="AS1397" s="21"/>
      <c r="AT1397" s="21"/>
      <c r="AU1397" s="21"/>
      <c r="AV1397" s="21"/>
      <c r="AW1397" s="21"/>
      <c r="AX1397" s="22"/>
      <c r="AY1397" s="21"/>
      <c r="AZ1397" s="22"/>
      <c r="BA1397" s="21"/>
      <c r="BB1397" s="20"/>
      <c r="BC1397" s="21"/>
      <c r="BD1397" s="25"/>
      <c r="BE1397" s="26"/>
      <c r="BF1397" s="27"/>
      <c r="BG1397" s="28"/>
    </row>
    <row r="1398" spans="1:59" customFormat="1" ht="15" x14ac:dyDescent="0.35">
      <c r="A1398" s="50"/>
      <c r="B1398" s="63"/>
      <c r="C1398" s="39"/>
      <c r="D1398" s="6"/>
      <c r="E1398" s="149"/>
      <c r="F1398" s="153"/>
      <c r="G1398" s="10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5"/>
      <c r="V1398" s="5"/>
      <c r="W1398" s="13"/>
      <c r="X1398" s="4"/>
      <c r="Y1398" s="4"/>
      <c r="Z1398" s="4"/>
      <c r="AA1398" s="6"/>
      <c r="AB1398" s="5"/>
      <c r="AC1398" s="9"/>
      <c r="AD1398" s="9"/>
      <c r="AE1398" s="9"/>
      <c r="AF1398" s="9"/>
      <c r="AG1398" s="54"/>
      <c r="AH1398" s="3"/>
      <c r="AI1398" s="2"/>
      <c r="AJ1398" s="2"/>
      <c r="AK1398" s="2"/>
      <c r="AL1398" s="3"/>
      <c r="AM1398" s="3"/>
      <c r="AN1398" s="3"/>
      <c r="AO1398" s="3"/>
      <c r="AP1398" s="3"/>
      <c r="AQ1398" s="59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53"/>
      <c r="BC1398" s="3"/>
      <c r="BD1398" s="59"/>
      <c r="BE1398" s="3"/>
      <c r="BF1398" s="53"/>
      <c r="BG1398" s="59"/>
    </row>
    <row r="1399" spans="1:59" customFormat="1" ht="15" x14ac:dyDescent="0.35">
      <c r="A1399" s="50"/>
      <c r="B1399" s="63"/>
      <c r="C1399" s="39"/>
      <c r="D1399" s="6"/>
      <c r="E1399" s="149"/>
      <c r="F1399" s="153"/>
      <c r="G1399" s="10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5"/>
      <c r="V1399" s="5"/>
      <c r="W1399" s="13"/>
      <c r="X1399" s="4"/>
      <c r="Y1399" s="4"/>
      <c r="Z1399" s="4"/>
      <c r="AA1399" s="6"/>
      <c r="AB1399" s="5"/>
      <c r="AC1399" s="9"/>
      <c r="AD1399" s="9"/>
      <c r="AE1399" s="9"/>
      <c r="AF1399" s="9"/>
      <c r="AG1399" s="54"/>
      <c r="AH1399" s="3"/>
      <c r="AI1399" s="2"/>
      <c r="AJ1399" s="2"/>
      <c r="AK1399" s="2"/>
      <c r="AL1399" s="3"/>
      <c r="AM1399" s="3"/>
      <c r="AN1399" s="3"/>
      <c r="AO1399" s="3"/>
      <c r="AP1399" s="3"/>
      <c r="AQ1399" s="59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53"/>
      <c r="BC1399" s="3"/>
      <c r="BD1399" s="59"/>
      <c r="BE1399" s="3"/>
      <c r="BF1399" s="53"/>
      <c r="BG1399" s="59"/>
    </row>
    <row r="1400" spans="1:59" customFormat="1" ht="15" x14ac:dyDescent="0.35">
      <c r="A1400" s="50"/>
      <c r="B1400" s="63"/>
      <c r="C1400" s="39"/>
      <c r="D1400" s="6"/>
      <c r="E1400" s="149"/>
      <c r="F1400" s="153"/>
      <c r="G1400" s="10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12"/>
      <c r="X1400" s="33"/>
      <c r="Y1400" s="6"/>
      <c r="Z1400" s="6"/>
      <c r="AA1400" s="6"/>
      <c r="AB1400" s="6"/>
      <c r="AC1400" s="9"/>
      <c r="AD1400" s="9"/>
      <c r="AE1400" s="9"/>
      <c r="AF1400" s="9"/>
      <c r="AG1400" s="5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59"/>
      <c r="AR1400" s="21"/>
      <c r="AS1400" s="21"/>
      <c r="AT1400" s="3"/>
      <c r="AU1400" s="3"/>
      <c r="AV1400" s="3"/>
      <c r="AW1400" s="3"/>
      <c r="AX1400" s="3"/>
      <c r="AY1400" s="3"/>
      <c r="AZ1400" s="3"/>
      <c r="BA1400" s="3"/>
      <c r="BB1400" s="53"/>
      <c r="BC1400" s="3"/>
      <c r="BD1400" s="59"/>
      <c r="BE1400" s="3"/>
      <c r="BF1400" s="53"/>
      <c r="BG1400" s="59"/>
    </row>
    <row r="1401" spans="1:59" customFormat="1" ht="15" x14ac:dyDescent="0.35">
      <c r="A1401" s="50"/>
      <c r="B1401" s="63"/>
      <c r="C1401" s="39"/>
      <c r="D1401" s="6"/>
      <c r="E1401" s="149"/>
      <c r="F1401" s="153"/>
      <c r="G1401" s="10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5"/>
      <c r="V1401" s="5"/>
      <c r="W1401" s="13"/>
      <c r="X1401" s="4"/>
      <c r="Y1401" s="4"/>
      <c r="Z1401" s="4"/>
      <c r="AA1401" s="6"/>
      <c r="AB1401" s="11"/>
      <c r="AC1401" s="9"/>
      <c r="AD1401" s="9"/>
      <c r="AE1401" s="9"/>
      <c r="AF1401" s="9"/>
      <c r="AG1401" s="54"/>
      <c r="AH1401" s="3"/>
      <c r="AI1401" s="2"/>
      <c r="AJ1401" s="2"/>
      <c r="AK1401" s="2"/>
      <c r="AL1401" s="3"/>
      <c r="AM1401" s="3"/>
      <c r="AN1401" s="3"/>
      <c r="AO1401" s="3"/>
      <c r="AP1401" s="3"/>
      <c r="AQ1401" s="59"/>
      <c r="AR1401" s="21"/>
      <c r="AS1401" s="21"/>
      <c r="AT1401" s="3"/>
      <c r="AU1401" s="3"/>
      <c r="AV1401" s="3"/>
      <c r="AW1401" s="3"/>
      <c r="AX1401" s="12"/>
      <c r="AY1401" s="3"/>
      <c r="AZ1401" s="3"/>
      <c r="BA1401" s="3"/>
      <c r="BB1401" s="53"/>
      <c r="BC1401" s="3"/>
      <c r="BD1401" s="59"/>
      <c r="BE1401" s="3"/>
      <c r="BF1401" s="53"/>
      <c r="BG1401" s="59"/>
    </row>
    <row r="1402" spans="1:59" customFormat="1" ht="15" x14ac:dyDescent="0.35">
      <c r="A1402" s="50"/>
      <c r="B1402" s="63"/>
      <c r="C1402" s="39"/>
      <c r="D1402" s="6"/>
      <c r="E1402" s="149"/>
      <c r="F1402" s="153"/>
      <c r="G1402" s="10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12"/>
      <c r="X1402" s="33"/>
      <c r="Y1402" s="6"/>
      <c r="Z1402" s="6"/>
      <c r="AA1402" s="6"/>
      <c r="AB1402" s="6"/>
      <c r="AC1402" s="9"/>
      <c r="AD1402" s="9"/>
      <c r="AE1402" s="9"/>
      <c r="AF1402" s="9"/>
      <c r="AG1402" s="5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59"/>
      <c r="AR1402" s="21"/>
      <c r="AS1402" s="21"/>
      <c r="AT1402" s="3"/>
      <c r="AU1402" s="3"/>
      <c r="AV1402" s="3"/>
      <c r="AW1402" s="3"/>
      <c r="AX1402" s="3"/>
      <c r="AY1402" s="3"/>
      <c r="AZ1402" s="3"/>
      <c r="BA1402" s="3"/>
      <c r="BB1402" s="53"/>
      <c r="BC1402" s="3"/>
      <c r="BD1402" s="59"/>
      <c r="BE1402" s="3"/>
      <c r="BF1402" s="53"/>
      <c r="BG1402" s="59"/>
    </row>
    <row r="1403" spans="1:59" customFormat="1" ht="15" x14ac:dyDescent="0.35">
      <c r="A1403" s="19"/>
      <c r="B1403" s="49"/>
      <c r="C1403" s="14"/>
      <c r="D1403" s="1"/>
      <c r="E1403" s="149"/>
      <c r="F1403" s="153"/>
      <c r="G1403" s="10"/>
      <c r="H1403" s="17"/>
      <c r="I1403" s="17"/>
      <c r="J1403" s="17"/>
      <c r="K1403" s="30"/>
      <c r="L1403" s="30"/>
      <c r="M1403" s="30"/>
      <c r="N1403" s="30"/>
      <c r="O1403" s="30"/>
      <c r="P1403" s="30"/>
      <c r="Q1403" s="30"/>
      <c r="R1403" s="30"/>
      <c r="S1403" s="30"/>
      <c r="T1403" s="30"/>
      <c r="U1403" s="30"/>
      <c r="V1403" s="30"/>
      <c r="W1403" s="29"/>
      <c r="X1403" s="15"/>
      <c r="Y1403" s="30"/>
      <c r="Z1403" s="30"/>
      <c r="AA1403" s="30"/>
      <c r="AB1403" s="30"/>
      <c r="AC1403" s="17"/>
      <c r="AD1403" s="17"/>
      <c r="AE1403" s="17"/>
      <c r="AF1403" s="17"/>
      <c r="AG1403" s="20"/>
      <c r="AH1403" s="21"/>
      <c r="AI1403" s="21"/>
      <c r="AJ1403" s="21"/>
      <c r="AK1403" s="21"/>
      <c r="AL1403" s="21"/>
      <c r="AM1403" s="21"/>
      <c r="AN1403" s="21"/>
      <c r="AO1403" s="22"/>
      <c r="AP1403" s="21"/>
      <c r="AQ1403" s="24"/>
      <c r="AR1403" s="21"/>
      <c r="AS1403" s="21"/>
      <c r="AT1403" s="21"/>
      <c r="AU1403" s="21"/>
      <c r="AV1403" s="21"/>
      <c r="AW1403" s="21"/>
      <c r="AX1403" s="22"/>
      <c r="AY1403" s="21"/>
      <c r="AZ1403" s="22"/>
      <c r="BA1403" s="21"/>
      <c r="BB1403" s="20"/>
      <c r="BC1403" s="21"/>
      <c r="BD1403" s="25"/>
      <c r="BE1403" s="26"/>
      <c r="BF1403" s="27"/>
      <c r="BG1403" s="28"/>
    </row>
    <row r="1404" spans="1:59" customFormat="1" ht="15" x14ac:dyDescent="0.35">
      <c r="A1404" s="50"/>
      <c r="B1404" s="63"/>
      <c r="C1404" s="39"/>
      <c r="D1404" s="6"/>
      <c r="E1404" s="149"/>
      <c r="F1404" s="153"/>
      <c r="G1404" s="10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12"/>
      <c r="X1404" s="33"/>
      <c r="Y1404" s="6"/>
      <c r="Z1404" s="6"/>
      <c r="AA1404" s="6"/>
      <c r="AB1404" s="6"/>
      <c r="AC1404" s="9"/>
      <c r="AD1404" s="9"/>
      <c r="AE1404" s="9"/>
      <c r="AF1404" s="9"/>
      <c r="AG1404" s="5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59"/>
      <c r="AR1404" s="21"/>
      <c r="AS1404" s="21"/>
      <c r="AT1404" s="3"/>
      <c r="AU1404" s="3"/>
      <c r="AV1404" s="3"/>
      <c r="AW1404" s="3"/>
      <c r="AX1404" s="3"/>
      <c r="AY1404" s="3"/>
      <c r="AZ1404" s="3"/>
      <c r="BA1404" s="3"/>
      <c r="BB1404" s="53"/>
      <c r="BC1404" s="3"/>
      <c r="BD1404" s="59"/>
      <c r="BE1404" s="3"/>
      <c r="BF1404" s="53"/>
      <c r="BG1404" s="59"/>
    </row>
    <row r="1405" spans="1:59" customFormat="1" ht="15" x14ac:dyDescent="0.35">
      <c r="A1405" s="50"/>
      <c r="B1405" s="63"/>
      <c r="C1405" s="39"/>
      <c r="D1405" s="6"/>
      <c r="E1405" s="149"/>
      <c r="F1405" s="153"/>
      <c r="G1405" s="10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5"/>
      <c r="V1405" s="5"/>
      <c r="W1405" s="13"/>
      <c r="X1405" s="4"/>
      <c r="Y1405" s="4"/>
      <c r="Z1405" s="4"/>
      <c r="AA1405" s="6"/>
      <c r="AB1405" s="5"/>
      <c r="AC1405" s="9"/>
      <c r="AD1405" s="9"/>
      <c r="AE1405" s="9"/>
      <c r="AF1405" s="9"/>
      <c r="AG1405" s="54"/>
      <c r="AH1405" s="3"/>
      <c r="AI1405" s="2"/>
      <c r="AJ1405" s="2"/>
      <c r="AK1405" s="2"/>
      <c r="AL1405" s="3"/>
      <c r="AM1405" s="3"/>
      <c r="AN1405" s="3"/>
      <c r="AO1405" s="3"/>
      <c r="AP1405" s="3"/>
      <c r="AQ1405" s="59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53"/>
      <c r="BC1405" s="3"/>
      <c r="BD1405" s="59"/>
      <c r="BE1405" s="3"/>
      <c r="BF1405" s="53"/>
      <c r="BG1405" s="59"/>
    </row>
    <row r="1406" spans="1:59" customFormat="1" ht="15" x14ac:dyDescent="0.35">
      <c r="A1406" s="50"/>
      <c r="B1406" s="63"/>
      <c r="C1406" s="39"/>
      <c r="D1406" s="6"/>
      <c r="E1406" s="149"/>
      <c r="F1406" s="153"/>
      <c r="G1406" s="10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5"/>
      <c r="V1406" s="5"/>
      <c r="W1406" s="13"/>
      <c r="X1406" s="4"/>
      <c r="Y1406" s="4"/>
      <c r="Z1406" s="4"/>
      <c r="AA1406" s="6"/>
      <c r="AB1406" s="5"/>
      <c r="AC1406" s="9"/>
      <c r="AD1406" s="9"/>
      <c r="AE1406" s="9"/>
      <c r="AF1406" s="9"/>
      <c r="AG1406" s="54"/>
      <c r="AH1406" s="3"/>
      <c r="AI1406" s="2"/>
      <c r="AJ1406" s="2"/>
      <c r="AK1406" s="2"/>
      <c r="AL1406" s="3"/>
      <c r="AM1406" s="3"/>
      <c r="AN1406" s="3"/>
      <c r="AO1406" s="3"/>
      <c r="AP1406" s="3"/>
      <c r="AQ1406" s="59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53"/>
      <c r="BC1406" s="3"/>
      <c r="BD1406" s="59"/>
      <c r="BE1406" s="3"/>
      <c r="BF1406" s="53"/>
      <c r="BG1406" s="59"/>
    </row>
    <row r="1407" spans="1:59" customFormat="1" ht="15" x14ac:dyDescent="0.35">
      <c r="A1407" s="50"/>
      <c r="B1407" s="63"/>
      <c r="C1407" s="39"/>
      <c r="D1407" s="6"/>
      <c r="E1407" s="149"/>
      <c r="F1407" s="153"/>
      <c r="G1407" s="10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5"/>
      <c r="V1407" s="5"/>
      <c r="W1407" s="13"/>
      <c r="X1407" s="4"/>
      <c r="Y1407" s="4"/>
      <c r="Z1407" s="4"/>
      <c r="AA1407" s="6"/>
      <c r="AB1407" s="5"/>
      <c r="AC1407" s="9"/>
      <c r="AD1407" s="9"/>
      <c r="AE1407" s="9"/>
      <c r="AF1407" s="9"/>
      <c r="AG1407" s="54"/>
      <c r="AH1407" s="3"/>
      <c r="AI1407" s="2"/>
      <c r="AJ1407" s="2"/>
      <c r="AK1407" s="2"/>
      <c r="AL1407" s="3"/>
      <c r="AM1407" s="3"/>
      <c r="AN1407" s="3"/>
      <c r="AO1407" s="3"/>
      <c r="AP1407" s="3"/>
      <c r="AQ1407" s="59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53"/>
      <c r="BC1407" s="3"/>
      <c r="BD1407" s="59"/>
      <c r="BE1407" s="3"/>
      <c r="BF1407" s="53"/>
      <c r="BG1407" s="59"/>
    </row>
    <row r="1408" spans="1:59" customFormat="1" ht="15" x14ac:dyDescent="0.35">
      <c r="A1408" s="50"/>
      <c r="B1408" s="63"/>
      <c r="C1408" s="39"/>
      <c r="D1408" s="6"/>
      <c r="E1408" s="149"/>
      <c r="F1408" s="153"/>
      <c r="G1408" s="10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12"/>
      <c r="X1408" s="33"/>
      <c r="Y1408" s="6"/>
      <c r="Z1408" s="6"/>
      <c r="AA1408" s="6"/>
      <c r="AB1408" s="6"/>
      <c r="AC1408" s="9"/>
      <c r="AD1408" s="9"/>
      <c r="AE1408" s="9"/>
      <c r="AF1408" s="9"/>
      <c r="AG1408" s="5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59"/>
      <c r="AR1408" s="21"/>
      <c r="AS1408" s="21"/>
      <c r="AT1408" s="3"/>
      <c r="AU1408" s="3"/>
      <c r="AV1408" s="3"/>
      <c r="AW1408" s="3"/>
      <c r="AX1408" s="3"/>
      <c r="AY1408" s="3"/>
      <c r="AZ1408" s="3"/>
      <c r="BA1408" s="3"/>
      <c r="BB1408" s="53"/>
      <c r="BC1408" s="3"/>
      <c r="BD1408" s="59"/>
      <c r="BE1408" s="3"/>
      <c r="BF1408" s="53"/>
      <c r="BG1408" s="59"/>
    </row>
    <row r="1409" spans="1:59" customFormat="1" ht="15" x14ac:dyDescent="0.35">
      <c r="A1409" s="50"/>
      <c r="B1409" s="63"/>
      <c r="C1409" s="39"/>
      <c r="D1409" s="6"/>
      <c r="E1409" s="149"/>
      <c r="F1409" s="153"/>
      <c r="G1409" s="10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5"/>
      <c r="V1409" s="5"/>
      <c r="W1409" s="13"/>
      <c r="X1409" s="4"/>
      <c r="Y1409" s="4"/>
      <c r="Z1409" s="4"/>
      <c r="AA1409" s="6"/>
      <c r="AB1409" s="5"/>
      <c r="AC1409" s="9"/>
      <c r="AD1409" s="9"/>
      <c r="AE1409" s="9"/>
      <c r="AF1409" s="9"/>
      <c r="AG1409" s="54"/>
      <c r="AH1409" s="3"/>
      <c r="AI1409" s="2"/>
      <c r="AJ1409" s="2"/>
      <c r="AK1409" s="2"/>
      <c r="AL1409" s="3"/>
      <c r="AM1409" s="3"/>
      <c r="AN1409" s="3"/>
      <c r="AO1409" s="3"/>
      <c r="AP1409" s="3"/>
      <c r="AQ1409" s="59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53"/>
      <c r="BC1409" s="3"/>
      <c r="BD1409" s="59"/>
      <c r="BE1409" s="3"/>
      <c r="BF1409" s="53"/>
      <c r="BG1409" s="59"/>
    </row>
    <row r="1410" spans="1:59" customFormat="1" ht="15" x14ac:dyDescent="0.35">
      <c r="A1410" s="50"/>
      <c r="B1410" s="63"/>
      <c r="C1410" s="39"/>
      <c r="D1410" s="6"/>
      <c r="E1410" s="149"/>
      <c r="F1410" s="153"/>
      <c r="G1410" s="10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12"/>
      <c r="X1410" s="33"/>
      <c r="Y1410" s="6"/>
      <c r="Z1410" s="6"/>
      <c r="AA1410" s="6"/>
      <c r="AB1410" s="6"/>
      <c r="AC1410" s="9"/>
      <c r="AD1410" s="9"/>
      <c r="AE1410" s="9"/>
      <c r="AF1410" s="9"/>
      <c r="AG1410" s="5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59"/>
      <c r="AR1410" s="21"/>
      <c r="AS1410" s="21"/>
      <c r="AT1410" s="3"/>
      <c r="AU1410" s="3"/>
      <c r="AV1410" s="3"/>
      <c r="AW1410" s="3"/>
      <c r="AX1410" s="3"/>
      <c r="AY1410" s="3"/>
      <c r="AZ1410" s="3"/>
      <c r="BA1410" s="3"/>
      <c r="BB1410" s="53"/>
      <c r="BC1410" s="3"/>
      <c r="BD1410" s="59"/>
      <c r="BE1410" s="3"/>
      <c r="BF1410" s="53"/>
      <c r="BG1410" s="59"/>
    </row>
    <row r="1411" spans="1:59" customFormat="1" ht="15" x14ac:dyDescent="0.35">
      <c r="A1411" s="50"/>
      <c r="B1411" s="63"/>
      <c r="C1411" s="39"/>
      <c r="D1411" s="6"/>
      <c r="E1411" s="149"/>
      <c r="F1411" s="153"/>
      <c r="G1411" s="10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5"/>
      <c r="V1411" s="5"/>
      <c r="W1411" s="13"/>
      <c r="X1411" s="4"/>
      <c r="Y1411" s="4"/>
      <c r="Z1411" s="4"/>
      <c r="AA1411" s="6"/>
      <c r="AB1411" s="5"/>
      <c r="AC1411" s="9"/>
      <c r="AD1411" s="9"/>
      <c r="AE1411" s="9"/>
      <c r="AF1411" s="9"/>
      <c r="AG1411" s="54"/>
      <c r="AH1411" s="3"/>
      <c r="AI1411" s="2"/>
      <c r="AJ1411" s="2"/>
      <c r="AK1411" s="2"/>
      <c r="AL1411" s="3"/>
      <c r="AM1411" s="3"/>
      <c r="AN1411" s="3"/>
      <c r="AO1411" s="3"/>
      <c r="AP1411" s="3"/>
      <c r="AQ1411" s="59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53"/>
      <c r="BC1411" s="3"/>
      <c r="BD1411" s="59"/>
      <c r="BE1411" s="3"/>
      <c r="BF1411" s="53"/>
      <c r="BG1411" s="59"/>
    </row>
    <row r="1412" spans="1:59" customFormat="1" ht="15" x14ac:dyDescent="0.35">
      <c r="A1412" s="50"/>
      <c r="B1412" s="63"/>
      <c r="C1412" s="39"/>
      <c r="D1412" s="6"/>
      <c r="E1412" s="149"/>
      <c r="F1412" s="153"/>
      <c r="G1412" s="10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5"/>
      <c r="V1412" s="5"/>
      <c r="W1412" s="13"/>
      <c r="X1412" s="4"/>
      <c r="Y1412" s="4"/>
      <c r="Z1412" s="4"/>
      <c r="AA1412" s="6"/>
      <c r="AB1412" s="5"/>
      <c r="AC1412" s="9"/>
      <c r="AD1412" s="9"/>
      <c r="AE1412" s="9"/>
      <c r="AF1412" s="9"/>
      <c r="AG1412" s="54"/>
      <c r="AH1412" s="3"/>
      <c r="AI1412" s="2"/>
      <c r="AJ1412" s="2"/>
      <c r="AK1412" s="2"/>
      <c r="AL1412" s="3"/>
      <c r="AM1412" s="3"/>
      <c r="AN1412" s="3"/>
      <c r="AO1412" s="3"/>
      <c r="AP1412" s="3"/>
      <c r="AQ1412" s="59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53"/>
      <c r="BC1412" s="3"/>
      <c r="BD1412" s="59"/>
      <c r="BE1412" s="3"/>
      <c r="BF1412" s="53"/>
      <c r="BG1412" s="59"/>
    </row>
    <row r="1413" spans="1:59" customFormat="1" ht="15" x14ac:dyDescent="0.35">
      <c r="A1413" s="50"/>
      <c r="B1413" s="63"/>
      <c r="C1413" s="39"/>
      <c r="D1413" s="6"/>
      <c r="E1413" s="149"/>
      <c r="F1413" s="153"/>
      <c r="G1413" s="10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12"/>
      <c r="X1413" s="33"/>
      <c r="Y1413" s="6"/>
      <c r="Z1413" s="6"/>
      <c r="AA1413" s="6"/>
      <c r="AB1413" s="6"/>
      <c r="AC1413" s="9"/>
      <c r="AD1413" s="9"/>
      <c r="AE1413" s="9"/>
      <c r="AF1413" s="9"/>
      <c r="AG1413" s="5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59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53"/>
      <c r="BC1413" s="3"/>
      <c r="BD1413" s="59"/>
      <c r="BE1413" s="3"/>
      <c r="BF1413" s="53"/>
      <c r="BG1413" s="59"/>
    </row>
    <row r="1414" spans="1:59" customFormat="1" ht="15" x14ac:dyDescent="0.35">
      <c r="A1414" s="19"/>
      <c r="B1414" s="49"/>
      <c r="C1414" s="14"/>
      <c r="D1414" s="1"/>
      <c r="E1414" s="149"/>
      <c r="F1414" s="153"/>
      <c r="G1414" s="10"/>
      <c r="H1414" s="17"/>
      <c r="I1414" s="17"/>
      <c r="J1414" s="17"/>
      <c r="K1414" s="30"/>
      <c r="L1414" s="30"/>
      <c r="M1414" s="30"/>
      <c r="N1414" s="30"/>
      <c r="O1414" s="30"/>
      <c r="P1414" s="30"/>
      <c r="Q1414" s="30"/>
      <c r="R1414" s="30"/>
      <c r="S1414" s="30"/>
      <c r="T1414" s="30"/>
      <c r="U1414" s="30"/>
      <c r="V1414" s="30"/>
      <c r="W1414" s="29"/>
      <c r="X1414" s="15"/>
      <c r="Y1414" s="30"/>
      <c r="Z1414" s="30"/>
      <c r="AA1414" s="30"/>
      <c r="AB1414" s="30"/>
      <c r="AC1414" s="17"/>
      <c r="AD1414" s="17"/>
      <c r="AE1414" s="17"/>
      <c r="AF1414" s="17"/>
      <c r="AG1414" s="20"/>
      <c r="AH1414" s="21"/>
      <c r="AI1414" s="21"/>
      <c r="AJ1414" s="21"/>
      <c r="AK1414" s="21"/>
      <c r="AL1414" s="21"/>
      <c r="AM1414" s="21"/>
      <c r="AN1414" s="21"/>
      <c r="AO1414" s="22"/>
      <c r="AP1414" s="21"/>
      <c r="AQ1414" s="24"/>
      <c r="AR1414" s="21"/>
      <c r="AS1414" s="21"/>
      <c r="AT1414" s="21"/>
      <c r="AU1414" s="21"/>
      <c r="AV1414" s="21"/>
      <c r="AW1414" s="21"/>
      <c r="AX1414" s="22"/>
      <c r="AY1414" s="21"/>
      <c r="AZ1414" s="22"/>
      <c r="BA1414" s="21"/>
      <c r="BB1414" s="20"/>
      <c r="BC1414" s="21"/>
      <c r="BD1414" s="25"/>
      <c r="BE1414" s="26"/>
      <c r="BF1414" s="27"/>
      <c r="BG1414" s="28"/>
    </row>
    <row r="1415" spans="1:59" customFormat="1" ht="15" x14ac:dyDescent="0.35">
      <c r="A1415" s="50"/>
      <c r="B1415" s="63"/>
      <c r="C1415" s="39"/>
      <c r="D1415" s="6"/>
      <c r="E1415" s="149"/>
      <c r="F1415" s="153"/>
      <c r="G1415" s="10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12"/>
      <c r="X1415" s="33"/>
      <c r="Y1415" s="6"/>
      <c r="Z1415" s="6"/>
      <c r="AA1415" s="6"/>
      <c r="AB1415" s="6"/>
      <c r="AC1415" s="9"/>
      <c r="AD1415" s="9"/>
      <c r="AE1415" s="9"/>
      <c r="AF1415" s="9"/>
      <c r="AG1415" s="5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59"/>
      <c r="AR1415" s="21"/>
      <c r="AS1415" s="21"/>
      <c r="AT1415" s="3"/>
      <c r="AU1415" s="3"/>
      <c r="AV1415" s="3"/>
      <c r="AW1415" s="3"/>
      <c r="AX1415" s="3"/>
      <c r="AY1415" s="3"/>
      <c r="AZ1415" s="3"/>
      <c r="BA1415" s="3"/>
      <c r="BB1415" s="53"/>
      <c r="BC1415" s="3"/>
      <c r="BD1415" s="59"/>
      <c r="BE1415" s="3"/>
      <c r="BF1415" s="53"/>
      <c r="BG1415" s="59"/>
    </row>
    <row r="1416" spans="1:59" customFormat="1" ht="15" x14ac:dyDescent="0.35">
      <c r="A1416" s="50"/>
      <c r="B1416" s="63"/>
      <c r="C1416" s="39"/>
      <c r="D1416" s="6"/>
      <c r="E1416" s="149"/>
      <c r="F1416" s="153"/>
      <c r="G1416" s="10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5"/>
      <c r="V1416" s="5"/>
      <c r="W1416" s="13"/>
      <c r="X1416" s="4"/>
      <c r="Y1416" s="4"/>
      <c r="Z1416" s="4"/>
      <c r="AA1416" s="6"/>
      <c r="AB1416" s="5"/>
      <c r="AC1416" s="9"/>
      <c r="AD1416" s="9"/>
      <c r="AE1416" s="9"/>
      <c r="AF1416" s="9"/>
      <c r="AG1416" s="54"/>
      <c r="AH1416" s="3"/>
      <c r="AI1416" s="2"/>
      <c r="AJ1416" s="2"/>
      <c r="AK1416" s="2"/>
      <c r="AL1416" s="3"/>
      <c r="AM1416" s="3"/>
      <c r="AN1416" s="3"/>
      <c r="AO1416" s="3"/>
      <c r="AP1416" s="3"/>
      <c r="AQ1416" s="59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53"/>
      <c r="BC1416" s="3"/>
      <c r="BD1416" s="59"/>
      <c r="BE1416" s="3"/>
      <c r="BF1416" s="53"/>
      <c r="BG1416" s="59"/>
    </row>
    <row r="1417" spans="1:59" customFormat="1" ht="15" x14ac:dyDescent="0.35">
      <c r="A1417" s="50"/>
      <c r="B1417" s="63"/>
      <c r="C1417" s="39"/>
      <c r="D1417" s="6"/>
      <c r="E1417" s="149"/>
      <c r="F1417" s="153"/>
      <c r="G1417" s="10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12"/>
      <c r="X1417" s="33"/>
      <c r="Y1417" s="6"/>
      <c r="Z1417" s="6"/>
      <c r="AA1417" s="6"/>
      <c r="AB1417" s="6"/>
      <c r="AC1417" s="9"/>
      <c r="AD1417" s="9"/>
      <c r="AE1417" s="9"/>
      <c r="AF1417" s="9"/>
      <c r="AG1417" s="5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59"/>
      <c r="AR1417" s="21"/>
      <c r="AS1417" s="21"/>
      <c r="AT1417" s="3"/>
      <c r="AU1417" s="3"/>
      <c r="AV1417" s="3"/>
      <c r="AW1417" s="3"/>
      <c r="AX1417" s="3"/>
      <c r="AY1417" s="3"/>
      <c r="AZ1417" s="3"/>
      <c r="BA1417" s="3"/>
      <c r="BB1417" s="53"/>
      <c r="BC1417" s="3"/>
      <c r="BD1417" s="59"/>
      <c r="BE1417" s="3"/>
      <c r="BF1417" s="53"/>
      <c r="BG1417" s="59"/>
    </row>
    <row r="1418" spans="1:59" customFormat="1" ht="15" x14ac:dyDescent="0.35">
      <c r="A1418" s="50"/>
      <c r="B1418" s="63"/>
      <c r="C1418" s="39"/>
      <c r="D1418" s="6"/>
      <c r="E1418" s="149"/>
      <c r="F1418" s="153"/>
      <c r="G1418" s="10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12"/>
      <c r="X1418" s="33"/>
      <c r="Y1418" s="6"/>
      <c r="Z1418" s="6"/>
      <c r="AA1418" s="6"/>
      <c r="AB1418" s="6"/>
      <c r="AC1418" s="9"/>
      <c r="AD1418" s="9"/>
      <c r="AE1418" s="9"/>
      <c r="AF1418" s="9"/>
      <c r="AG1418" s="5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59"/>
      <c r="AR1418" s="21"/>
      <c r="AS1418" s="21"/>
      <c r="AT1418" s="3"/>
      <c r="AU1418" s="3"/>
      <c r="AV1418" s="3"/>
      <c r="AW1418" s="3"/>
      <c r="AX1418" s="3"/>
      <c r="AY1418" s="3"/>
      <c r="AZ1418" s="3"/>
      <c r="BA1418" s="3"/>
      <c r="BB1418" s="53"/>
      <c r="BC1418" s="3"/>
      <c r="BD1418" s="59"/>
      <c r="BE1418" s="3"/>
      <c r="BF1418" s="53"/>
      <c r="BG1418" s="59"/>
    </row>
    <row r="1419" spans="1:59" customFormat="1" ht="15" x14ac:dyDescent="0.35">
      <c r="A1419" s="50"/>
      <c r="B1419" s="63"/>
      <c r="C1419" s="39"/>
      <c r="D1419" s="6"/>
      <c r="E1419" s="149"/>
      <c r="F1419" s="153"/>
      <c r="G1419" s="10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12"/>
      <c r="X1419" s="33"/>
      <c r="Y1419" s="6"/>
      <c r="Z1419" s="6"/>
      <c r="AA1419" s="6"/>
      <c r="AB1419" s="6"/>
      <c r="AC1419" s="9"/>
      <c r="AD1419" s="9"/>
      <c r="AE1419" s="9"/>
      <c r="AF1419" s="9"/>
      <c r="AG1419" s="5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59"/>
      <c r="AR1419" s="21"/>
      <c r="AS1419" s="21"/>
      <c r="AT1419" s="3"/>
      <c r="AU1419" s="3"/>
      <c r="AV1419" s="3"/>
      <c r="AW1419" s="3"/>
      <c r="AX1419" s="3"/>
      <c r="AY1419" s="3"/>
      <c r="AZ1419" s="3"/>
      <c r="BA1419" s="3"/>
      <c r="BB1419" s="53"/>
      <c r="BC1419" s="3"/>
      <c r="BD1419" s="59"/>
      <c r="BE1419" s="3"/>
      <c r="BF1419" s="53"/>
      <c r="BG1419" s="59"/>
    </row>
    <row r="1420" spans="1:59" customFormat="1" ht="15" x14ac:dyDescent="0.35">
      <c r="A1420" s="19"/>
      <c r="B1420" s="49"/>
      <c r="C1420" s="14"/>
      <c r="D1420" s="1"/>
      <c r="E1420" s="149"/>
      <c r="F1420" s="153"/>
      <c r="G1420" s="10"/>
      <c r="H1420" s="17"/>
      <c r="I1420" s="17"/>
      <c r="J1420" s="17"/>
      <c r="K1420" s="30"/>
      <c r="L1420" s="30"/>
      <c r="M1420" s="30"/>
      <c r="N1420" s="30"/>
      <c r="O1420" s="30"/>
      <c r="P1420" s="30"/>
      <c r="Q1420" s="30"/>
      <c r="R1420" s="30"/>
      <c r="S1420" s="30"/>
      <c r="T1420" s="30"/>
      <c r="U1420" s="30"/>
      <c r="V1420" s="30"/>
      <c r="W1420" s="29"/>
      <c r="X1420" s="15"/>
      <c r="Y1420" s="30"/>
      <c r="Z1420" s="30"/>
      <c r="AA1420" s="30"/>
      <c r="AB1420" s="30"/>
      <c r="AC1420" s="17"/>
      <c r="AD1420" s="17"/>
      <c r="AE1420" s="17"/>
      <c r="AF1420" s="17"/>
      <c r="AG1420" s="20"/>
      <c r="AH1420" s="21"/>
      <c r="AI1420" s="21"/>
      <c r="AJ1420" s="21"/>
      <c r="AK1420" s="21"/>
      <c r="AL1420" s="21"/>
      <c r="AM1420" s="21"/>
      <c r="AN1420" s="21"/>
      <c r="AO1420" s="22"/>
      <c r="AP1420" s="21"/>
      <c r="AQ1420" s="24"/>
      <c r="AR1420" s="21"/>
      <c r="AS1420" s="21"/>
      <c r="AT1420" s="21"/>
      <c r="AU1420" s="21"/>
      <c r="AV1420" s="21"/>
      <c r="AW1420" s="21"/>
      <c r="AX1420" s="22"/>
      <c r="AY1420" s="21"/>
      <c r="AZ1420" s="22"/>
      <c r="BA1420" s="21"/>
      <c r="BB1420" s="20"/>
      <c r="BC1420" s="21"/>
      <c r="BD1420" s="25"/>
      <c r="BE1420" s="26"/>
      <c r="BF1420" s="27"/>
      <c r="BG1420" s="28"/>
    </row>
    <row r="1421" spans="1:59" customFormat="1" ht="15" x14ac:dyDescent="0.35">
      <c r="A1421" s="50"/>
      <c r="B1421" s="63"/>
      <c r="C1421" s="39"/>
      <c r="D1421" s="6"/>
      <c r="E1421" s="149"/>
      <c r="F1421" s="153"/>
      <c r="G1421" s="10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5"/>
      <c r="V1421" s="5"/>
      <c r="W1421" s="13"/>
      <c r="X1421" s="4"/>
      <c r="Y1421" s="4"/>
      <c r="Z1421" s="4"/>
      <c r="AA1421" s="6"/>
      <c r="AB1421" s="5"/>
      <c r="AC1421" s="9"/>
      <c r="AD1421" s="9"/>
      <c r="AE1421" s="9"/>
      <c r="AF1421" s="9"/>
      <c r="AG1421" s="54"/>
      <c r="AH1421" s="3"/>
      <c r="AI1421" s="2"/>
      <c r="AJ1421" s="2"/>
      <c r="AK1421" s="2"/>
      <c r="AL1421" s="3"/>
      <c r="AM1421" s="3"/>
      <c r="AN1421" s="3"/>
      <c r="AO1421" s="3"/>
      <c r="AP1421" s="3"/>
      <c r="AQ1421" s="59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53"/>
      <c r="BC1421" s="3"/>
      <c r="BD1421" s="59"/>
      <c r="BE1421" s="3"/>
      <c r="BF1421" s="53"/>
      <c r="BG1421" s="59"/>
    </row>
    <row r="1422" spans="1:59" customFormat="1" ht="15" x14ac:dyDescent="0.35">
      <c r="A1422" s="50"/>
      <c r="B1422" s="63"/>
      <c r="C1422" s="39"/>
      <c r="D1422" s="6"/>
      <c r="E1422" s="149"/>
      <c r="F1422" s="153"/>
      <c r="G1422" s="10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12"/>
      <c r="X1422" s="33"/>
      <c r="Y1422" s="6"/>
      <c r="Z1422" s="6"/>
      <c r="AA1422" s="6"/>
      <c r="AB1422" s="6"/>
      <c r="AC1422" s="9"/>
      <c r="AD1422" s="9"/>
      <c r="AE1422" s="9"/>
      <c r="AF1422" s="9"/>
      <c r="AG1422" s="5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59"/>
      <c r="AR1422" s="21"/>
      <c r="AS1422" s="21"/>
      <c r="AT1422" s="3"/>
      <c r="AU1422" s="3"/>
      <c r="AV1422" s="3"/>
      <c r="AW1422" s="3"/>
      <c r="AX1422" s="3"/>
      <c r="AY1422" s="3"/>
      <c r="AZ1422" s="3"/>
      <c r="BA1422" s="3"/>
      <c r="BB1422" s="53"/>
      <c r="BC1422" s="3"/>
      <c r="BD1422" s="59"/>
      <c r="BE1422" s="3"/>
      <c r="BF1422" s="53"/>
      <c r="BG1422" s="59"/>
    </row>
    <row r="1423" spans="1:59" customFormat="1" ht="15" x14ac:dyDescent="0.35">
      <c r="A1423" s="50"/>
      <c r="B1423" s="63"/>
      <c r="C1423" s="39"/>
      <c r="D1423" s="6"/>
      <c r="E1423" s="149"/>
      <c r="F1423" s="153"/>
      <c r="G1423" s="10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5"/>
      <c r="V1423" s="5"/>
      <c r="W1423" s="13"/>
      <c r="X1423" s="4"/>
      <c r="Y1423" s="4"/>
      <c r="Z1423" s="4"/>
      <c r="AA1423" s="6"/>
      <c r="AB1423" s="5"/>
      <c r="AC1423" s="9"/>
      <c r="AD1423" s="9"/>
      <c r="AE1423" s="9"/>
      <c r="AF1423" s="9"/>
      <c r="AG1423" s="54"/>
      <c r="AH1423" s="3"/>
      <c r="AI1423" s="2"/>
      <c r="AJ1423" s="2"/>
      <c r="AK1423" s="2"/>
      <c r="AL1423" s="3"/>
      <c r="AM1423" s="3"/>
      <c r="AN1423" s="3"/>
      <c r="AO1423" s="3"/>
      <c r="AP1423" s="3"/>
      <c r="AQ1423" s="59"/>
      <c r="AR1423" s="21"/>
      <c r="AS1423" s="21"/>
      <c r="AT1423" s="3"/>
      <c r="AU1423" s="3"/>
      <c r="AV1423" s="3"/>
      <c r="AW1423" s="3"/>
      <c r="AX1423" s="3"/>
      <c r="AY1423" s="3"/>
      <c r="AZ1423" s="3"/>
      <c r="BA1423" s="3"/>
      <c r="BB1423" s="53"/>
      <c r="BC1423" s="3"/>
      <c r="BD1423" s="59"/>
      <c r="BE1423" s="3"/>
      <c r="BF1423" s="53"/>
      <c r="BG1423" s="59"/>
    </row>
    <row r="1424" spans="1:59" customFormat="1" ht="15" x14ac:dyDescent="0.35">
      <c r="A1424" s="50"/>
      <c r="B1424" s="63"/>
      <c r="C1424" s="39"/>
      <c r="D1424" s="6"/>
      <c r="E1424" s="149"/>
      <c r="F1424" s="153"/>
      <c r="G1424" s="10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12"/>
      <c r="X1424" s="33"/>
      <c r="Y1424" s="6"/>
      <c r="Z1424" s="6"/>
      <c r="AA1424" s="6"/>
      <c r="AB1424" s="6"/>
      <c r="AC1424" s="9"/>
      <c r="AD1424" s="9"/>
      <c r="AE1424" s="9"/>
      <c r="AF1424" s="9"/>
      <c r="AG1424" s="5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59"/>
      <c r="AR1424" s="21"/>
      <c r="AS1424" s="21"/>
      <c r="AT1424" s="3"/>
      <c r="AU1424" s="3"/>
      <c r="AV1424" s="3"/>
      <c r="AW1424" s="3"/>
      <c r="AX1424" s="3"/>
      <c r="AY1424" s="3"/>
      <c r="AZ1424" s="3"/>
      <c r="BA1424" s="3"/>
      <c r="BB1424" s="53"/>
      <c r="BC1424" s="3"/>
      <c r="BD1424" s="59"/>
      <c r="BE1424" s="3"/>
      <c r="BF1424" s="53"/>
      <c r="BG1424" s="59"/>
    </row>
    <row r="1425" spans="1:59" customFormat="1" ht="15" x14ac:dyDescent="0.35">
      <c r="A1425" s="50"/>
      <c r="B1425" s="63"/>
      <c r="C1425" s="39"/>
      <c r="D1425" s="6"/>
      <c r="E1425" s="149"/>
      <c r="F1425" s="153"/>
      <c r="G1425" s="10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5"/>
      <c r="V1425" s="5"/>
      <c r="W1425" s="13"/>
      <c r="X1425" s="4"/>
      <c r="Y1425" s="4"/>
      <c r="Z1425" s="4"/>
      <c r="AA1425" s="6"/>
      <c r="AB1425" s="5"/>
      <c r="AC1425" s="9"/>
      <c r="AD1425" s="9"/>
      <c r="AE1425" s="9"/>
      <c r="AF1425" s="9"/>
      <c r="AG1425" s="54"/>
      <c r="AH1425" s="3"/>
      <c r="AI1425" s="2"/>
      <c r="AJ1425" s="2"/>
      <c r="AK1425" s="2"/>
      <c r="AL1425" s="3"/>
      <c r="AM1425" s="3"/>
      <c r="AN1425" s="3"/>
      <c r="AO1425" s="3"/>
      <c r="AP1425" s="3"/>
      <c r="AQ1425" s="59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53"/>
      <c r="BC1425" s="3"/>
      <c r="BD1425" s="59"/>
      <c r="BE1425" s="3"/>
      <c r="BF1425" s="53"/>
      <c r="BG1425" s="59"/>
    </row>
    <row r="1426" spans="1:59" customFormat="1" ht="15" x14ac:dyDescent="0.35">
      <c r="A1426" s="50"/>
      <c r="B1426" s="63"/>
      <c r="C1426" s="39"/>
      <c r="D1426" s="6"/>
      <c r="E1426" s="149"/>
      <c r="F1426" s="153"/>
      <c r="G1426" s="10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12"/>
      <c r="X1426" s="33"/>
      <c r="Y1426" s="6"/>
      <c r="Z1426" s="6"/>
      <c r="AA1426" s="6"/>
      <c r="AB1426" s="6"/>
      <c r="AC1426" s="9"/>
      <c r="AD1426" s="9"/>
      <c r="AE1426" s="9"/>
      <c r="AF1426" s="9"/>
      <c r="AG1426" s="5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59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53"/>
      <c r="BC1426" s="3"/>
      <c r="BD1426" s="59"/>
      <c r="BE1426" s="3"/>
      <c r="BF1426" s="53"/>
      <c r="BG1426" s="59"/>
    </row>
    <row r="1427" spans="1:59" customFormat="1" ht="15" x14ac:dyDescent="0.35">
      <c r="A1427" s="50"/>
      <c r="B1427" s="63"/>
      <c r="C1427" s="39"/>
      <c r="D1427" s="6"/>
      <c r="E1427" s="149"/>
      <c r="F1427" s="153"/>
      <c r="G1427" s="10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12"/>
      <c r="X1427" s="33"/>
      <c r="Y1427" s="6"/>
      <c r="Z1427" s="6"/>
      <c r="AA1427" s="6"/>
      <c r="AB1427" s="6"/>
      <c r="AC1427" s="9"/>
      <c r="AD1427" s="9"/>
      <c r="AE1427" s="9"/>
      <c r="AF1427" s="9"/>
      <c r="AG1427" s="5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59"/>
      <c r="AR1427" s="21"/>
      <c r="AS1427" s="21"/>
      <c r="AT1427" s="3"/>
      <c r="AU1427" s="3"/>
      <c r="AV1427" s="3"/>
      <c r="AW1427" s="3"/>
      <c r="AX1427" s="3"/>
      <c r="AY1427" s="3"/>
      <c r="AZ1427" s="3"/>
      <c r="BA1427" s="3"/>
      <c r="BB1427" s="53"/>
      <c r="BC1427" s="3"/>
      <c r="BD1427" s="59"/>
      <c r="BE1427" s="3"/>
      <c r="BF1427" s="53"/>
      <c r="BG1427" s="59"/>
    </row>
    <row r="1428" spans="1:59" customFormat="1" ht="15" x14ac:dyDescent="0.35">
      <c r="A1428" s="50"/>
      <c r="B1428" s="63"/>
      <c r="C1428" s="39"/>
      <c r="D1428" s="6"/>
      <c r="E1428" s="149"/>
      <c r="F1428" s="153"/>
      <c r="G1428" s="10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5"/>
      <c r="V1428" s="5"/>
      <c r="W1428" s="13"/>
      <c r="X1428" s="4"/>
      <c r="Y1428" s="4"/>
      <c r="Z1428" s="4"/>
      <c r="AA1428" s="6"/>
      <c r="AB1428" s="5"/>
      <c r="AC1428" s="9"/>
      <c r="AD1428" s="9"/>
      <c r="AE1428" s="9"/>
      <c r="AF1428" s="9"/>
      <c r="AG1428" s="54"/>
      <c r="AH1428" s="3"/>
      <c r="AI1428" s="2"/>
      <c r="AJ1428" s="2"/>
      <c r="AK1428" s="2"/>
      <c r="AL1428" s="3"/>
      <c r="AM1428" s="3"/>
      <c r="AN1428" s="3"/>
      <c r="AO1428" s="3"/>
      <c r="AP1428" s="3"/>
      <c r="AQ1428" s="59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53"/>
      <c r="BC1428" s="3"/>
      <c r="BD1428" s="59"/>
      <c r="BE1428" s="3"/>
      <c r="BF1428" s="53"/>
      <c r="BG1428" s="59"/>
    </row>
    <row r="1429" spans="1:59" customFormat="1" ht="15" x14ac:dyDescent="0.35">
      <c r="A1429" s="19"/>
      <c r="B1429" s="49"/>
      <c r="C1429" s="14"/>
      <c r="D1429" s="1"/>
      <c r="E1429" s="149"/>
      <c r="F1429" s="153"/>
      <c r="G1429" s="10"/>
      <c r="H1429" s="17"/>
      <c r="I1429" s="17"/>
      <c r="J1429" s="17"/>
      <c r="K1429" s="30"/>
      <c r="L1429" s="30"/>
      <c r="M1429" s="30"/>
      <c r="N1429" s="30"/>
      <c r="O1429" s="30"/>
      <c r="P1429" s="30"/>
      <c r="Q1429" s="30"/>
      <c r="R1429" s="30"/>
      <c r="S1429" s="30"/>
      <c r="T1429" s="30"/>
      <c r="U1429" s="30"/>
      <c r="V1429" s="30"/>
      <c r="W1429" s="29"/>
      <c r="X1429" s="15"/>
      <c r="Y1429" s="30"/>
      <c r="Z1429" s="30"/>
      <c r="AA1429" s="30"/>
      <c r="AB1429" s="30"/>
      <c r="AC1429" s="17"/>
      <c r="AD1429" s="17"/>
      <c r="AE1429" s="17"/>
      <c r="AF1429" s="17"/>
      <c r="AG1429" s="20"/>
      <c r="AH1429" s="21"/>
      <c r="AI1429" s="21"/>
      <c r="AJ1429" s="21"/>
      <c r="AK1429" s="21"/>
      <c r="AL1429" s="21"/>
      <c r="AM1429" s="21"/>
      <c r="AN1429" s="21"/>
      <c r="AO1429" s="22"/>
      <c r="AP1429" s="21"/>
      <c r="AQ1429" s="24"/>
      <c r="AR1429" s="21"/>
      <c r="AS1429" s="21"/>
      <c r="AT1429" s="21"/>
      <c r="AU1429" s="21"/>
      <c r="AV1429" s="21"/>
      <c r="AW1429" s="21"/>
      <c r="AX1429" s="22"/>
      <c r="AY1429" s="21"/>
      <c r="AZ1429" s="22"/>
      <c r="BA1429" s="21"/>
      <c r="BB1429" s="20"/>
      <c r="BC1429" s="21"/>
      <c r="BD1429" s="25"/>
      <c r="BE1429" s="26"/>
      <c r="BF1429" s="27"/>
      <c r="BG1429" s="28"/>
    </row>
    <row r="1430" spans="1:59" customFormat="1" ht="15" x14ac:dyDescent="0.35">
      <c r="A1430" s="19"/>
      <c r="B1430" s="49"/>
      <c r="C1430" s="14"/>
      <c r="D1430" s="1"/>
      <c r="E1430" s="149"/>
      <c r="F1430" s="153"/>
      <c r="G1430" s="10"/>
      <c r="H1430" s="17"/>
      <c r="I1430" s="17"/>
      <c r="J1430" s="17"/>
      <c r="K1430" s="30"/>
      <c r="L1430" s="30"/>
      <c r="M1430" s="30"/>
      <c r="N1430" s="30"/>
      <c r="O1430" s="30"/>
      <c r="P1430" s="30"/>
      <c r="Q1430" s="30"/>
      <c r="R1430" s="30"/>
      <c r="S1430" s="30"/>
      <c r="T1430" s="30"/>
      <c r="U1430" s="30"/>
      <c r="V1430" s="30"/>
      <c r="W1430" s="29"/>
      <c r="X1430" s="15"/>
      <c r="Y1430" s="30"/>
      <c r="Z1430" s="30"/>
      <c r="AA1430" s="30"/>
      <c r="AB1430" s="30"/>
      <c r="AC1430" s="17"/>
      <c r="AD1430" s="17"/>
      <c r="AE1430" s="17"/>
      <c r="AF1430" s="17"/>
      <c r="AG1430" s="20"/>
      <c r="AH1430" s="21"/>
      <c r="AI1430" s="21"/>
      <c r="AJ1430" s="21"/>
      <c r="AK1430" s="21"/>
      <c r="AL1430" s="21"/>
      <c r="AM1430" s="21"/>
      <c r="AN1430" s="21"/>
      <c r="AO1430" s="22"/>
      <c r="AP1430" s="21"/>
      <c r="AQ1430" s="24"/>
      <c r="AR1430" s="21"/>
      <c r="AS1430" s="21"/>
      <c r="AT1430" s="21"/>
      <c r="AU1430" s="21"/>
      <c r="AV1430" s="21"/>
      <c r="AW1430" s="21"/>
      <c r="AX1430" s="22"/>
      <c r="AY1430" s="21"/>
      <c r="AZ1430" s="22"/>
      <c r="BA1430" s="21"/>
      <c r="BB1430" s="20"/>
      <c r="BC1430" s="21"/>
      <c r="BD1430" s="25"/>
      <c r="BE1430" s="26"/>
      <c r="BF1430" s="27"/>
      <c r="BG1430" s="28"/>
    </row>
    <row r="1431" spans="1:59" customFormat="1" ht="15" x14ac:dyDescent="0.35">
      <c r="A1431" s="50"/>
      <c r="B1431" s="63"/>
      <c r="C1431" s="39"/>
      <c r="D1431" s="6"/>
      <c r="E1431" s="149"/>
      <c r="F1431" s="153"/>
      <c r="G1431" s="10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12"/>
      <c r="X1431" s="33"/>
      <c r="Y1431" s="6"/>
      <c r="Z1431" s="6"/>
      <c r="AA1431" s="6"/>
      <c r="AB1431" s="6"/>
      <c r="AC1431" s="9"/>
      <c r="AD1431" s="9"/>
      <c r="AE1431" s="9"/>
      <c r="AF1431" s="9"/>
      <c r="AG1431" s="5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59"/>
      <c r="AR1431" s="21"/>
      <c r="AS1431" s="21"/>
      <c r="AT1431" s="3"/>
      <c r="AU1431" s="3"/>
      <c r="AV1431" s="3"/>
      <c r="AW1431" s="3"/>
      <c r="AX1431" s="3"/>
      <c r="AY1431" s="3"/>
      <c r="AZ1431" s="3"/>
      <c r="BA1431" s="3"/>
      <c r="BB1431" s="53"/>
      <c r="BC1431" s="3"/>
      <c r="BD1431" s="59"/>
      <c r="BE1431" s="3"/>
      <c r="BF1431" s="53"/>
      <c r="BG1431" s="59"/>
    </row>
    <row r="1432" spans="1:59" customFormat="1" ht="15" x14ac:dyDescent="0.35">
      <c r="A1432" s="50"/>
      <c r="B1432" s="63"/>
      <c r="C1432" s="39"/>
      <c r="D1432" s="6"/>
      <c r="E1432" s="149"/>
      <c r="F1432" s="153"/>
      <c r="G1432" s="10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5"/>
      <c r="V1432" s="5"/>
      <c r="W1432" s="13"/>
      <c r="X1432" s="4"/>
      <c r="Y1432" s="4"/>
      <c r="Z1432" s="4"/>
      <c r="AA1432" s="6"/>
      <c r="AB1432" s="5"/>
      <c r="AC1432" s="9"/>
      <c r="AD1432" s="9"/>
      <c r="AE1432" s="9"/>
      <c r="AF1432" s="9"/>
      <c r="AG1432" s="54"/>
      <c r="AH1432" s="3"/>
      <c r="AI1432" s="2"/>
      <c r="AJ1432" s="2"/>
      <c r="AK1432" s="2"/>
      <c r="AL1432" s="3"/>
      <c r="AM1432" s="3"/>
      <c r="AN1432" s="3"/>
      <c r="AO1432" s="3"/>
      <c r="AP1432" s="3"/>
      <c r="AQ1432" s="59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53"/>
      <c r="BC1432" s="3"/>
      <c r="BD1432" s="59"/>
      <c r="BE1432" s="3"/>
      <c r="BF1432" s="53"/>
      <c r="BG1432" s="59"/>
    </row>
    <row r="1433" spans="1:59" customFormat="1" ht="15" x14ac:dyDescent="0.35">
      <c r="A1433" s="50"/>
      <c r="B1433" s="63"/>
      <c r="C1433" s="39"/>
      <c r="D1433" s="6"/>
      <c r="E1433" s="149"/>
      <c r="F1433" s="153"/>
      <c r="G1433" s="10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5"/>
      <c r="V1433" s="5"/>
      <c r="W1433" s="13"/>
      <c r="X1433" s="4"/>
      <c r="Y1433" s="4"/>
      <c r="Z1433" s="4"/>
      <c r="AA1433" s="6"/>
      <c r="AB1433" s="5"/>
      <c r="AC1433" s="9"/>
      <c r="AD1433" s="9"/>
      <c r="AE1433" s="9"/>
      <c r="AF1433" s="9"/>
      <c r="AG1433" s="54"/>
      <c r="AH1433" s="3"/>
      <c r="AI1433" s="2"/>
      <c r="AJ1433" s="2"/>
      <c r="AK1433" s="2"/>
      <c r="AL1433" s="3"/>
      <c r="AM1433" s="3"/>
      <c r="AN1433" s="3"/>
      <c r="AO1433" s="3"/>
      <c r="AP1433" s="3"/>
      <c r="AQ1433" s="59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53"/>
      <c r="BC1433" s="3"/>
      <c r="BD1433" s="59"/>
      <c r="BE1433" s="3"/>
      <c r="BF1433" s="53"/>
      <c r="BG1433" s="59"/>
    </row>
    <row r="1434" spans="1:59" customFormat="1" ht="15" x14ac:dyDescent="0.35">
      <c r="A1434" s="19"/>
      <c r="B1434" s="49"/>
      <c r="C1434" s="39"/>
      <c r="D1434" s="1"/>
      <c r="E1434" s="149"/>
      <c r="F1434" s="153"/>
      <c r="G1434" s="10"/>
      <c r="H1434" s="17"/>
      <c r="I1434" s="17"/>
      <c r="J1434" s="17"/>
      <c r="K1434" s="30"/>
      <c r="L1434" s="30"/>
      <c r="M1434" s="30"/>
      <c r="N1434" s="30"/>
      <c r="O1434" s="30"/>
      <c r="P1434" s="30"/>
      <c r="Q1434" s="30"/>
      <c r="R1434" s="30"/>
      <c r="S1434" s="30"/>
      <c r="T1434" s="30"/>
      <c r="U1434" s="30"/>
      <c r="V1434" s="30"/>
      <c r="W1434" s="29"/>
      <c r="X1434" s="15"/>
      <c r="Y1434" s="30"/>
      <c r="Z1434" s="30"/>
      <c r="AA1434" s="30"/>
      <c r="AB1434" s="30"/>
      <c r="AC1434" s="17"/>
      <c r="AD1434" s="17"/>
      <c r="AE1434" s="17"/>
      <c r="AF1434" s="17"/>
      <c r="AG1434" s="20"/>
      <c r="AH1434" s="21"/>
      <c r="AI1434" s="21"/>
      <c r="AJ1434" s="21"/>
      <c r="AK1434" s="21"/>
      <c r="AL1434" s="21"/>
      <c r="AM1434" s="21"/>
      <c r="AN1434" s="21"/>
      <c r="AO1434" s="22"/>
      <c r="AP1434" s="21"/>
      <c r="AQ1434" s="24"/>
      <c r="AR1434" s="21"/>
      <c r="AS1434" s="21"/>
      <c r="AT1434" s="21"/>
      <c r="AU1434" s="21"/>
      <c r="AV1434" s="21"/>
      <c r="AW1434" s="21"/>
      <c r="AX1434" s="22"/>
      <c r="AY1434" s="21"/>
      <c r="AZ1434" s="22"/>
      <c r="BA1434" s="21"/>
      <c r="BB1434" s="20"/>
      <c r="BC1434" s="21"/>
      <c r="BD1434" s="25"/>
      <c r="BE1434" s="26"/>
      <c r="BF1434" s="27"/>
      <c r="BG1434" s="28"/>
    </row>
    <row r="1435" spans="1:59" customFormat="1" ht="15" x14ac:dyDescent="0.35">
      <c r="A1435" s="50"/>
      <c r="B1435" s="63"/>
      <c r="C1435" s="39"/>
      <c r="D1435" s="6"/>
      <c r="E1435" s="149"/>
      <c r="F1435" s="153"/>
      <c r="G1435" s="10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12"/>
      <c r="X1435" s="33"/>
      <c r="Y1435" s="6"/>
      <c r="Z1435" s="6"/>
      <c r="AA1435" s="6"/>
      <c r="AB1435" s="6"/>
      <c r="AC1435" s="9"/>
      <c r="AD1435" s="9"/>
      <c r="AE1435" s="9"/>
      <c r="AF1435" s="9"/>
      <c r="AG1435" s="5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59"/>
      <c r="AR1435" s="21"/>
      <c r="AS1435" s="21"/>
      <c r="AT1435" s="3"/>
      <c r="AU1435" s="3"/>
      <c r="AV1435" s="3"/>
      <c r="AW1435" s="3"/>
      <c r="AX1435" s="3"/>
      <c r="AY1435" s="3"/>
      <c r="AZ1435" s="3"/>
      <c r="BA1435" s="3"/>
      <c r="BB1435" s="53"/>
      <c r="BC1435" s="3"/>
      <c r="BD1435" s="59"/>
      <c r="BE1435" s="3"/>
      <c r="BF1435" s="53"/>
      <c r="BG1435" s="59"/>
    </row>
    <row r="1436" spans="1:59" customFormat="1" ht="15" x14ac:dyDescent="0.35">
      <c r="A1436" s="19"/>
      <c r="B1436" s="49"/>
      <c r="C1436" s="14"/>
      <c r="D1436" s="1"/>
      <c r="E1436" s="149"/>
      <c r="F1436" s="153"/>
      <c r="G1436" s="10"/>
      <c r="H1436" s="17"/>
      <c r="I1436" s="17"/>
      <c r="J1436" s="17"/>
      <c r="K1436" s="30"/>
      <c r="L1436" s="30"/>
      <c r="M1436" s="30"/>
      <c r="N1436" s="30"/>
      <c r="O1436" s="30"/>
      <c r="P1436" s="30"/>
      <c r="Q1436" s="30"/>
      <c r="R1436" s="30"/>
      <c r="S1436" s="30"/>
      <c r="T1436" s="30"/>
      <c r="U1436" s="30"/>
      <c r="V1436" s="30"/>
      <c r="W1436" s="29"/>
      <c r="X1436" s="15"/>
      <c r="Y1436" s="30"/>
      <c r="Z1436" s="30"/>
      <c r="AA1436" s="30"/>
      <c r="AB1436" s="30"/>
      <c r="AC1436" s="17"/>
      <c r="AD1436" s="17"/>
      <c r="AE1436" s="17"/>
      <c r="AF1436" s="17"/>
      <c r="AG1436" s="20"/>
      <c r="AH1436" s="21"/>
      <c r="AI1436" s="21"/>
      <c r="AJ1436" s="21"/>
      <c r="AK1436" s="21"/>
      <c r="AL1436" s="21"/>
      <c r="AM1436" s="21"/>
      <c r="AN1436" s="21"/>
      <c r="AO1436" s="22"/>
      <c r="AP1436" s="21"/>
      <c r="AQ1436" s="24"/>
      <c r="AR1436" s="21"/>
      <c r="AS1436" s="21"/>
      <c r="AT1436" s="21"/>
      <c r="AU1436" s="21"/>
      <c r="AV1436" s="21"/>
      <c r="AW1436" s="21"/>
      <c r="AX1436" s="22"/>
      <c r="AY1436" s="21"/>
      <c r="AZ1436" s="22"/>
      <c r="BA1436" s="21"/>
      <c r="BB1436" s="20"/>
      <c r="BC1436" s="21"/>
      <c r="BD1436" s="25"/>
      <c r="BE1436" s="26"/>
      <c r="BF1436" s="27"/>
      <c r="BG1436" s="28"/>
    </row>
    <row r="1437" spans="1:59" customFormat="1" ht="15" x14ac:dyDescent="0.35">
      <c r="A1437" s="50"/>
      <c r="B1437" s="63"/>
      <c r="C1437" s="39"/>
      <c r="D1437" s="6"/>
      <c r="E1437" s="149"/>
      <c r="F1437" s="153"/>
      <c r="G1437" s="10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12"/>
      <c r="X1437" s="33"/>
      <c r="Y1437" s="6"/>
      <c r="Z1437" s="6"/>
      <c r="AA1437" s="6"/>
      <c r="AB1437" s="6"/>
      <c r="AC1437" s="9"/>
      <c r="AD1437" s="9"/>
      <c r="AE1437" s="9"/>
      <c r="AF1437" s="9"/>
      <c r="AG1437" s="5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59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53"/>
      <c r="BC1437" s="3"/>
      <c r="BD1437" s="59"/>
      <c r="BE1437" s="3"/>
      <c r="BF1437" s="53"/>
      <c r="BG1437" s="59"/>
    </row>
    <row r="1438" spans="1:59" customFormat="1" ht="15" x14ac:dyDescent="0.35">
      <c r="A1438" s="50"/>
      <c r="B1438" s="63"/>
      <c r="C1438" s="39"/>
      <c r="D1438" s="6"/>
      <c r="E1438" s="149"/>
      <c r="F1438" s="153"/>
      <c r="G1438" s="10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12"/>
      <c r="X1438" s="33"/>
      <c r="Y1438" s="6"/>
      <c r="Z1438" s="6"/>
      <c r="AA1438" s="6"/>
      <c r="AB1438" s="6"/>
      <c r="AC1438" s="9"/>
      <c r="AD1438" s="9"/>
      <c r="AE1438" s="9"/>
      <c r="AF1438" s="9"/>
      <c r="AG1438" s="5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59"/>
      <c r="AR1438" s="21"/>
      <c r="AS1438" s="21"/>
      <c r="AT1438" s="3"/>
      <c r="AU1438" s="3"/>
      <c r="AV1438" s="3"/>
      <c r="AW1438" s="3"/>
      <c r="AX1438" s="3"/>
      <c r="AY1438" s="3"/>
      <c r="AZ1438" s="3"/>
      <c r="BA1438" s="3"/>
      <c r="BB1438" s="53"/>
      <c r="BC1438" s="3"/>
      <c r="BD1438" s="59"/>
      <c r="BE1438" s="3"/>
      <c r="BF1438" s="53"/>
      <c r="BG1438" s="59"/>
    </row>
    <row r="1439" spans="1:59" customFormat="1" ht="15" x14ac:dyDescent="0.35">
      <c r="A1439" s="19"/>
      <c r="B1439" s="49"/>
      <c r="C1439" s="14"/>
      <c r="D1439" s="1"/>
      <c r="E1439" s="149"/>
      <c r="F1439" s="153"/>
      <c r="G1439" s="10"/>
      <c r="H1439" s="17"/>
      <c r="I1439" s="17"/>
      <c r="J1439" s="17"/>
      <c r="K1439" s="30"/>
      <c r="L1439" s="30"/>
      <c r="M1439" s="30"/>
      <c r="N1439" s="30"/>
      <c r="O1439" s="30"/>
      <c r="P1439" s="30"/>
      <c r="Q1439" s="30"/>
      <c r="R1439" s="30"/>
      <c r="S1439" s="30"/>
      <c r="T1439" s="30"/>
      <c r="U1439" s="30"/>
      <c r="V1439" s="30"/>
      <c r="W1439" s="29"/>
      <c r="X1439" s="15"/>
      <c r="Y1439" s="30"/>
      <c r="Z1439" s="30"/>
      <c r="AA1439" s="30"/>
      <c r="AB1439" s="30"/>
      <c r="AC1439" s="17"/>
      <c r="AD1439" s="17"/>
      <c r="AE1439" s="17"/>
      <c r="AF1439" s="17"/>
      <c r="AG1439" s="20"/>
      <c r="AH1439" s="21"/>
      <c r="AI1439" s="21"/>
      <c r="AJ1439" s="21"/>
      <c r="AK1439" s="21"/>
      <c r="AL1439" s="21"/>
      <c r="AM1439" s="21"/>
      <c r="AN1439" s="21"/>
      <c r="AO1439" s="22"/>
      <c r="AP1439" s="21"/>
      <c r="AQ1439" s="24"/>
      <c r="AR1439" s="21"/>
      <c r="AS1439" s="21"/>
      <c r="AT1439" s="21"/>
      <c r="AU1439" s="21"/>
      <c r="AV1439" s="21"/>
      <c r="AW1439" s="21"/>
      <c r="AX1439" s="22"/>
      <c r="AY1439" s="21"/>
      <c r="AZ1439" s="22"/>
      <c r="BA1439" s="21"/>
      <c r="BB1439" s="20"/>
      <c r="BC1439" s="21"/>
      <c r="BD1439" s="25"/>
      <c r="BE1439" s="26"/>
      <c r="BF1439" s="27"/>
      <c r="BG1439" s="28"/>
    </row>
    <row r="1440" spans="1:59" customFormat="1" ht="15" x14ac:dyDescent="0.35">
      <c r="A1440" s="50"/>
      <c r="B1440" s="63"/>
      <c r="C1440" s="39"/>
      <c r="D1440" s="6"/>
      <c r="E1440" s="149"/>
      <c r="F1440" s="153"/>
      <c r="G1440" s="10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5"/>
      <c r="V1440" s="5"/>
      <c r="W1440" s="13"/>
      <c r="X1440" s="4"/>
      <c r="Y1440" s="4"/>
      <c r="Z1440" s="4"/>
      <c r="AA1440" s="6"/>
      <c r="AB1440" s="5"/>
      <c r="AC1440" s="9"/>
      <c r="AD1440" s="9"/>
      <c r="AE1440" s="9"/>
      <c r="AF1440" s="9"/>
      <c r="AG1440" s="54"/>
      <c r="AH1440" s="3"/>
      <c r="AI1440" s="2"/>
      <c r="AJ1440" s="2"/>
      <c r="AK1440" s="2"/>
      <c r="AL1440" s="3"/>
      <c r="AM1440" s="3"/>
      <c r="AN1440" s="3"/>
      <c r="AO1440" s="3"/>
      <c r="AP1440" s="3"/>
      <c r="AQ1440" s="59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53"/>
      <c r="BC1440" s="3"/>
      <c r="BD1440" s="59"/>
      <c r="BE1440" s="3"/>
      <c r="BF1440" s="53"/>
      <c r="BG1440" s="59"/>
    </row>
    <row r="1441" spans="1:59" customFormat="1" ht="15" x14ac:dyDescent="0.35">
      <c r="A1441" s="50"/>
      <c r="B1441" s="63"/>
      <c r="C1441" s="39"/>
      <c r="D1441" s="6"/>
      <c r="E1441" s="149"/>
      <c r="F1441" s="153"/>
      <c r="G1441" s="10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12"/>
      <c r="X1441" s="33"/>
      <c r="Y1441" s="6"/>
      <c r="Z1441" s="6"/>
      <c r="AA1441" s="6"/>
      <c r="AB1441" s="6"/>
      <c r="AC1441" s="9"/>
      <c r="AD1441" s="9"/>
      <c r="AE1441" s="9"/>
      <c r="AF1441" s="9"/>
      <c r="AG1441" s="5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59"/>
      <c r="AR1441" s="21"/>
      <c r="AS1441" s="21"/>
      <c r="AT1441" s="3"/>
      <c r="AU1441" s="3"/>
      <c r="AV1441" s="3"/>
      <c r="AW1441" s="3"/>
      <c r="AX1441" s="3"/>
      <c r="AY1441" s="3"/>
      <c r="AZ1441" s="3"/>
      <c r="BA1441" s="3"/>
      <c r="BB1441" s="53"/>
      <c r="BC1441" s="3"/>
      <c r="BD1441" s="59"/>
      <c r="BE1441" s="3"/>
      <c r="BF1441" s="53"/>
      <c r="BG1441" s="59"/>
    </row>
    <row r="1442" spans="1:59" customFormat="1" ht="15" x14ac:dyDescent="0.35">
      <c r="A1442" s="50"/>
      <c r="B1442" s="63"/>
      <c r="C1442" s="39"/>
      <c r="D1442" s="6"/>
      <c r="E1442" s="149"/>
      <c r="F1442" s="153"/>
      <c r="G1442" s="10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12"/>
      <c r="X1442" s="33"/>
      <c r="Y1442" s="6"/>
      <c r="Z1442" s="6"/>
      <c r="AA1442" s="6"/>
      <c r="AB1442" s="6"/>
      <c r="AC1442" s="9"/>
      <c r="AD1442" s="9"/>
      <c r="AE1442" s="9"/>
      <c r="AF1442" s="9"/>
      <c r="AG1442" s="5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59"/>
      <c r="AR1442" s="21"/>
      <c r="AS1442" s="21"/>
      <c r="AT1442" s="3"/>
      <c r="AU1442" s="3"/>
      <c r="AV1442" s="3"/>
      <c r="AW1442" s="3"/>
      <c r="AX1442" s="3"/>
      <c r="AY1442" s="3"/>
      <c r="AZ1442" s="3"/>
      <c r="BA1442" s="3"/>
      <c r="BB1442" s="53"/>
      <c r="BC1442" s="3"/>
      <c r="BD1442" s="59"/>
      <c r="BE1442" s="3"/>
      <c r="BF1442" s="53"/>
      <c r="BG1442" s="59"/>
    </row>
    <row r="1443" spans="1:59" customFormat="1" ht="15" x14ac:dyDescent="0.35">
      <c r="A1443" s="50"/>
      <c r="B1443" s="63"/>
      <c r="C1443" s="39"/>
      <c r="D1443" s="6"/>
      <c r="E1443" s="149"/>
      <c r="F1443" s="153"/>
      <c r="G1443" s="10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5"/>
      <c r="V1443" s="5"/>
      <c r="W1443" s="13"/>
      <c r="X1443" s="4"/>
      <c r="Y1443" s="4"/>
      <c r="Z1443" s="4"/>
      <c r="AA1443" s="6"/>
      <c r="AB1443" s="5"/>
      <c r="AC1443" s="9"/>
      <c r="AD1443" s="9"/>
      <c r="AE1443" s="9"/>
      <c r="AF1443" s="9"/>
      <c r="AG1443" s="54"/>
      <c r="AH1443" s="3"/>
      <c r="AI1443" s="2"/>
      <c r="AJ1443" s="2"/>
      <c r="AK1443" s="2"/>
      <c r="AL1443" s="3"/>
      <c r="AM1443" s="3"/>
      <c r="AN1443" s="3"/>
      <c r="AO1443" s="3"/>
      <c r="AP1443" s="3"/>
      <c r="AQ1443" s="59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53"/>
      <c r="BC1443" s="3"/>
      <c r="BD1443" s="59"/>
      <c r="BE1443" s="3"/>
      <c r="BF1443" s="53"/>
      <c r="BG1443" s="59"/>
    </row>
    <row r="1444" spans="1:59" customFormat="1" ht="15" x14ac:dyDescent="0.35">
      <c r="A1444" s="50"/>
      <c r="B1444" s="63"/>
      <c r="C1444" s="39"/>
      <c r="D1444" s="6"/>
      <c r="E1444" s="149"/>
      <c r="F1444" s="153"/>
      <c r="G1444" s="10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12"/>
      <c r="X1444" s="33"/>
      <c r="Y1444" s="6"/>
      <c r="Z1444" s="6"/>
      <c r="AA1444" s="6"/>
      <c r="AB1444" s="6"/>
      <c r="AC1444" s="9"/>
      <c r="AD1444" s="9"/>
      <c r="AE1444" s="9"/>
      <c r="AF1444" s="9"/>
      <c r="AG1444" s="5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59"/>
      <c r="AR1444" s="21"/>
      <c r="AS1444" s="21"/>
      <c r="AT1444" s="3"/>
      <c r="AU1444" s="3"/>
      <c r="AV1444" s="3"/>
      <c r="AW1444" s="3"/>
      <c r="AX1444" s="3"/>
      <c r="AY1444" s="3"/>
      <c r="AZ1444" s="3"/>
      <c r="BA1444" s="3"/>
      <c r="BB1444" s="53"/>
      <c r="BC1444" s="3"/>
      <c r="BD1444" s="59"/>
      <c r="BE1444" s="3"/>
      <c r="BF1444" s="53"/>
      <c r="BG1444" s="59"/>
    </row>
    <row r="1445" spans="1:59" customFormat="1" ht="15" x14ac:dyDescent="0.35">
      <c r="A1445" s="50"/>
      <c r="B1445" s="63"/>
      <c r="C1445" s="39"/>
      <c r="D1445" s="6"/>
      <c r="E1445" s="149"/>
      <c r="F1445" s="153"/>
      <c r="G1445" s="10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5"/>
      <c r="V1445" s="5"/>
      <c r="W1445" s="13"/>
      <c r="X1445" s="4"/>
      <c r="Y1445" s="4"/>
      <c r="Z1445" s="4"/>
      <c r="AA1445" s="6"/>
      <c r="AB1445" s="5"/>
      <c r="AC1445" s="9"/>
      <c r="AD1445" s="9"/>
      <c r="AE1445" s="9"/>
      <c r="AF1445" s="9"/>
      <c r="AG1445" s="54"/>
      <c r="AH1445" s="3"/>
      <c r="AI1445" s="2"/>
      <c r="AJ1445" s="2"/>
      <c r="AK1445" s="2"/>
      <c r="AL1445" s="3"/>
      <c r="AM1445" s="3"/>
      <c r="AN1445" s="3"/>
      <c r="AO1445" s="3"/>
      <c r="AP1445" s="3"/>
      <c r="AQ1445" s="59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53"/>
      <c r="BC1445" s="3"/>
      <c r="BD1445" s="59"/>
      <c r="BE1445" s="3"/>
      <c r="BF1445" s="53"/>
      <c r="BG1445" s="59"/>
    </row>
    <row r="1446" spans="1:59" customFormat="1" ht="15" x14ac:dyDescent="0.35">
      <c r="A1446" s="50"/>
      <c r="B1446" s="63"/>
      <c r="C1446" s="39"/>
      <c r="D1446" s="6"/>
      <c r="E1446" s="149"/>
      <c r="F1446" s="153"/>
      <c r="G1446" s="10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12"/>
      <c r="X1446" s="33"/>
      <c r="Y1446" s="6"/>
      <c r="Z1446" s="6"/>
      <c r="AA1446" s="6"/>
      <c r="AB1446" s="6"/>
      <c r="AC1446" s="9"/>
      <c r="AD1446" s="9"/>
      <c r="AE1446" s="9"/>
      <c r="AF1446" s="9"/>
      <c r="AG1446" s="5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59"/>
      <c r="AR1446" s="21"/>
      <c r="AS1446" s="21"/>
      <c r="AT1446" s="3"/>
      <c r="AU1446" s="3"/>
      <c r="AV1446" s="3"/>
      <c r="AW1446" s="3"/>
      <c r="AX1446" s="3"/>
      <c r="AY1446" s="3"/>
      <c r="AZ1446" s="3"/>
      <c r="BA1446" s="3"/>
      <c r="BB1446" s="53"/>
      <c r="BC1446" s="3"/>
      <c r="BD1446" s="59"/>
      <c r="BE1446" s="3"/>
      <c r="BF1446" s="53"/>
      <c r="BG1446" s="59"/>
    </row>
    <row r="1447" spans="1:59" customFormat="1" ht="15" x14ac:dyDescent="0.35">
      <c r="A1447" s="19"/>
      <c r="B1447" s="49"/>
      <c r="C1447" s="14"/>
      <c r="D1447" s="1"/>
      <c r="E1447" s="149"/>
      <c r="F1447" s="153"/>
      <c r="G1447" s="10"/>
      <c r="H1447" s="17"/>
      <c r="I1447" s="17"/>
      <c r="J1447" s="17"/>
      <c r="K1447" s="30"/>
      <c r="L1447" s="30"/>
      <c r="M1447" s="30"/>
      <c r="N1447" s="30"/>
      <c r="O1447" s="30"/>
      <c r="P1447" s="30"/>
      <c r="Q1447" s="30"/>
      <c r="R1447" s="30"/>
      <c r="S1447" s="30"/>
      <c r="T1447" s="30"/>
      <c r="U1447" s="30"/>
      <c r="V1447" s="30"/>
      <c r="W1447" s="29"/>
      <c r="X1447" s="15"/>
      <c r="Y1447" s="30"/>
      <c r="Z1447" s="30"/>
      <c r="AA1447" s="30"/>
      <c r="AB1447" s="30"/>
      <c r="AC1447" s="17"/>
      <c r="AD1447" s="17"/>
      <c r="AE1447" s="17"/>
      <c r="AF1447" s="17"/>
      <c r="AG1447" s="20"/>
      <c r="AH1447" s="21"/>
      <c r="AI1447" s="21"/>
      <c r="AJ1447" s="21"/>
      <c r="AK1447" s="21"/>
      <c r="AL1447" s="21"/>
      <c r="AM1447" s="21"/>
      <c r="AN1447" s="21"/>
      <c r="AO1447" s="22"/>
      <c r="AP1447" s="21"/>
      <c r="AQ1447" s="24"/>
      <c r="AR1447" s="21"/>
      <c r="AS1447" s="21"/>
      <c r="AT1447" s="21"/>
      <c r="AU1447" s="21"/>
      <c r="AV1447" s="21"/>
      <c r="AW1447" s="21"/>
      <c r="AX1447" s="22"/>
      <c r="AY1447" s="21"/>
      <c r="AZ1447" s="22"/>
      <c r="BA1447" s="21"/>
      <c r="BB1447" s="20"/>
      <c r="BC1447" s="21"/>
      <c r="BD1447" s="25"/>
      <c r="BE1447" s="26"/>
      <c r="BF1447" s="27"/>
      <c r="BG1447" s="28"/>
    </row>
    <row r="1448" spans="1:59" customFormat="1" ht="15" x14ac:dyDescent="0.35">
      <c r="A1448" s="50"/>
      <c r="B1448" s="63"/>
      <c r="C1448" s="39"/>
      <c r="D1448" s="6"/>
      <c r="E1448" s="149"/>
      <c r="F1448" s="153"/>
      <c r="G1448" s="10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5"/>
      <c r="V1448" s="5"/>
      <c r="W1448" s="13"/>
      <c r="X1448" s="4"/>
      <c r="Y1448" s="4"/>
      <c r="Z1448" s="4"/>
      <c r="AA1448" s="6"/>
      <c r="AB1448" s="5"/>
      <c r="AC1448" s="9"/>
      <c r="AD1448" s="9"/>
      <c r="AE1448" s="9"/>
      <c r="AF1448" s="9"/>
      <c r="AG1448" s="54"/>
      <c r="AH1448" s="3"/>
      <c r="AI1448" s="2"/>
      <c r="AJ1448" s="2"/>
      <c r="AK1448" s="2"/>
      <c r="AL1448" s="3"/>
      <c r="AM1448" s="3"/>
      <c r="AN1448" s="3"/>
      <c r="AO1448" s="3"/>
      <c r="AP1448" s="3"/>
      <c r="AQ1448" s="59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53"/>
      <c r="BC1448" s="3"/>
      <c r="BD1448" s="59"/>
      <c r="BE1448" s="3"/>
      <c r="BF1448" s="53"/>
      <c r="BG1448" s="59"/>
    </row>
    <row r="1449" spans="1:59" customFormat="1" ht="15" x14ac:dyDescent="0.35">
      <c r="A1449" s="19"/>
      <c r="B1449" s="49"/>
      <c r="C1449" s="14"/>
      <c r="D1449" s="1"/>
      <c r="E1449" s="149"/>
      <c r="F1449" s="153"/>
      <c r="G1449" s="10"/>
      <c r="H1449" s="17"/>
      <c r="I1449" s="17"/>
      <c r="J1449" s="17"/>
      <c r="K1449" s="30"/>
      <c r="L1449" s="30"/>
      <c r="M1449" s="30"/>
      <c r="N1449" s="30"/>
      <c r="O1449" s="30"/>
      <c r="P1449" s="30"/>
      <c r="Q1449" s="30"/>
      <c r="R1449" s="30"/>
      <c r="S1449" s="30"/>
      <c r="T1449" s="30"/>
      <c r="U1449" s="30"/>
      <c r="V1449" s="30"/>
      <c r="W1449" s="29"/>
      <c r="X1449" s="15"/>
      <c r="Y1449" s="30"/>
      <c r="Z1449" s="30"/>
      <c r="AA1449" s="30"/>
      <c r="AB1449" s="30"/>
      <c r="AC1449" s="17"/>
      <c r="AD1449" s="17"/>
      <c r="AE1449" s="17"/>
      <c r="AF1449" s="17"/>
      <c r="AG1449" s="20"/>
      <c r="AH1449" s="21"/>
      <c r="AI1449" s="21"/>
      <c r="AJ1449" s="21"/>
      <c r="AK1449" s="21"/>
      <c r="AL1449" s="21"/>
      <c r="AM1449" s="21"/>
      <c r="AN1449" s="21"/>
      <c r="AO1449" s="22"/>
      <c r="AP1449" s="21"/>
      <c r="AQ1449" s="24"/>
      <c r="AR1449" s="21"/>
      <c r="AS1449" s="21"/>
      <c r="AT1449" s="21"/>
      <c r="AU1449" s="21"/>
      <c r="AV1449" s="21"/>
      <c r="AW1449" s="21"/>
      <c r="AX1449" s="22"/>
      <c r="AY1449" s="21"/>
      <c r="AZ1449" s="22"/>
      <c r="BA1449" s="21"/>
      <c r="BB1449" s="20"/>
      <c r="BC1449" s="21"/>
      <c r="BD1449" s="25"/>
      <c r="BE1449" s="26"/>
      <c r="BF1449" s="27"/>
      <c r="BG1449" s="28"/>
    </row>
    <row r="1450" spans="1:59" customFormat="1" ht="15" x14ac:dyDescent="0.35">
      <c r="A1450" s="50"/>
      <c r="B1450" s="63"/>
      <c r="C1450" s="39"/>
      <c r="D1450" s="6"/>
      <c r="E1450" s="149"/>
      <c r="F1450" s="153"/>
      <c r="G1450" s="10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5"/>
      <c r="V1450" s="5"/>
      <c r="W1450" s="13"/>
      <c r="X1450" s="4"/>
      <c r="Y1450" s="4"/>
      <c r="Z1450" s="4"/>
      <c r="AA1450" s="6"/>
      <c r="AB1450" s="5"/>
      <c r="AC1450" s="9"/>
      <c r="AD1450" s="9"/>
      <c r="AE1450" s="9"/>
      <c r="AF1450" s="9"/>
      <c r="AG1450" s="54"/>
      <c r="AH1450" s="3"/>
      <c r="AI1450" s="2"/>
      <c r="AJ1450" s="2"/>
      <c r="AK1450" s="2"/>
      <c r="AL1450" s="3"/>
      <c r="AM1450" s="3"/>
      <c r="AN1450" s="3"/>
      <c r="AO1450" s="3"/>
      <c r="AP1450" s="3"/>
      <c r="AQ1450" s="59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53"/>
      <c r="BC1450" s="3"/>
      <c r="BD1450" s="59"/>
      <c r="BE1450" s="3"/>
      <c r="BF1450" s="53"/>
      <c r="BG1450" s="59"/>
    </row>
    <row r="1451" spans="1:59" customFormat="1" ht="15" x14ac:dyDescent="0.35">
      <c r="A1451" s="19"/>
      <c r="B1451" s="49"/>
      <c r="C1451" s="39"/>
      <c r="D1451" s="1"/>
      <c r="E1451" s="149"/>
      <c r="F1451" s="153"/>
      <c r="G1451" s="10"/>
      <c r="H1451" s="17"/>
      <c r="I1451" s="17"/>
      <c r="J1451" s="17"/>
      <c r="K1451" s="30"/>
      <c r="L1451" s="30"/>
      <c r="M1451" s="30"/>
      <c r="N1451" s="30"/>
      <c r="O1451" s="30"/>
      <c r="P1451" s="30"/>
      <c r="Q1451" s="30"/>
      <c r="R1451" s="30"/>
      <c r="S1451" s="30"/>
      <c r="T1451" s="30"/>
      <c r="U1451" s="30"/>
      <c r="V1451" s="30"/>
      <c r="W1451" s="29"/>
      <c r="X1451" s="15"/>
      <c r="Y1451" s="30"/>
      <c r="Z1451" s="30"/>
      <c r="AA1451" s="30"/>
      <c r="AB1451" s="30"/>
      <c r="AC1451" s="17"/>
      <c r="AD1451" s="17"/>
      <c r="AE1451" s="17"/>
      <c r="AF1451" s="17"/>
      <c r="AG1451" s="20"/>
      <c r="AH1451" s="21"/>
      <c r="AI1451" s="21"/>
      <c r="AJ1451" s="21"/>
      <c r="AK1451" s="21"/>
      <c r="AL1451" s="21"/>
      <c r="AM1451" s="21"/>
      <c r="AN1451" s="21"/>
      <c r="AO1451" s="22"/>
      <c r="AP1451" s="21"/>
      <c r="AQ1451" s="24"/>
      <c r="AR1451" s="21"/>
      <c r="AS1451" s="21"/>
      <c r="AT1451" s="21"/>
      <c r="AU1451" s="21"/>
      <c r="AV1451" s="21"/>
      <c r="AW1451" s="21"/>
      <c r="AX1451" s="22"/>
      <c r="AY1451" s="21"/>
      <c r="AZ1451" s="22"/>
      <c r="BA1451" s="21"/>
      <c r="BB1451" s="20"/>
      <c r="BC1451" s="21"/>
      <c r="BD1451" s="25"/>
      <c r="BE1451" s="26"/>
      <c r="BF1451" s="27"/>
      <c r="BG1451" s="28"/>
    </row>
    <row r="1452" spans="1:59" customFormat="1" ht="15" x14ac:dyDescent="0.35">
      <c r="A1452" s="50"/>
      <c r="B1452" s="63"/>
      <c r="C1452" s="39"/>
      <c r="D1452" s="6"/>
      <c r="E1452" s="149"/>
      <c r="F1452" s="153"/>
      <c r="G1452" s="10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12"/>
      <c r="X1452" s="33"/>
      <c r="Y1452" s="6"/>
      <c r="Z1452" s="6"/>
      <c r="AA1452" s="6"/>
      <c r="AB1452" s="6"/>
      <c r="AC1452" s="9"/>
      <c r="AD1452" s="9"/>
      <c r="AE1452" s="9"/>
      <c r="AF1452" s="9"/>
      <c r="AG1452" s="5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59"/>
      <c r="AR1452" s="21"/>
      <c r="AS1452" s="21"/>
      <c r="AT1452" s="3"/>
      <c r="AU1452" s="3"/>
      <c r="AV1452" s="3"/>
      <c r="AW1452" s="3"/>
      <c r="AX1452" s="3"/>
      <c r="AY1452" s="3"/>
      <c r="AZ1452" s="3"/>
      <c r="BA1452" s="3"/>
      <c r="BB1452" s="53"/>
      <c r="BC1452" s="3"/>
      <c r="BD1452" s="59"/>
      <c r="BE1452" s="3"/>
      <c r="BF1452" s="53"/>
      <c r="BG1452" s="59"/>
    </row>
    <row r="1453" spans="1:59" customFormat="1" ht="15" x14ac:dyDescent="0.35">
      <c r="A1453" s="50"/>
      <c r="B1453" s="63"/>
      <c r="C1453" s="39"/>
      <c r="D1453" s="6"/>
      <c r="E1453" s="149"/>
      <c r="F1453" s="153"/>
      <c r="G1453" s="10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5"/>
      <c r="V1453" s="5"/>
      <c r="W1453" s="13"/>
      <c r="X1453" s="4"/>
      <c r="Y1453" s="4"/>
      <c r="Z1453" s="4"/>
      <c r="AA1453" s="6"/>
      <c r="AB1453" s="11"/>
      <c r="AC1453" s="9"/>
      <c r="AD1453" s="9"/>
      <c r="AE1453" s="9"/>
      <c r="AF1453" s="9"/>
      <c r="AG1453" s="54"/>
      <c r="AH1453" s="3"/>
      <c r="AI1453" s="2"/>
      <c r="AJ1453" s="2"/>
      <c r="AK1453" s="2"/>
      <c r="AL1453" s="3"/>
      <c r="AM1453" s="3"/>
      <c r="AN1453" s="3"/>
      <c r="AO1453" s="3"/>
      <c r="AP1453" s="3"/>
      <c r="AQ1453" s="59"/>
      <c r="AR1453" s="3"/>
      <c r="AS1453" s="3"/>
      <c r="AT1453" s="3"/>
      <c r="AU1453" s="3"/>
      <c r="AV1453" s="3"/>
      <c r="AW1453" s="3"/>
      <c r="AX1453" s="12"/>
      <c r="AY1453" s="3"/>
      <c r="AZ1453" s="3"/>
      <c r="BA1453" s="3"/>
      <c r="BB1453" s="53"/>
      <c r="BC1453" s="3"/>
      <c r="BD1453" s="59"/>
      <c r="BE1453" s="3"/>
      <c r="BF1453" s="53"/>
      <c r="BG1453" s="59"/>
    </row>
    <row r="1454" spans="1:59" customFormat="1" ht="15" x14ac:dyDescent="0.35">
      <c r="A1454" s="19"/>
      <c r="B1454" s="49"/>
      <c r="C1454" s="14"/>
      <c r="D1454" s="1"/>
      <c r="E1454" s="149"/>
      <c r="F1454" s="153"/>
      <c r="G1454" s="10"/>
      <c r="H1454" s="17"/>
      <c r="I1454" s="17"/>
      <c r="J1454" s="17"/>
      <c r="K1454" s="30"/>
      <c r="L1454" s="30"/>
      <c r="M1454" s="30"/>
      <c r="N1454" s="30"/>
      <c r="O1454" s="30"/>
      <c r="P1454" s="30"/>
      <c r="Q1454" s="30"/>
      <c r="R1454" s="30"/>
      <c r="S1454" s="30"/>
      <c r="T1454" s="30"/>
      <c r="U1454" s="30"/>
      <c r="V1454" s="30"/>
      <c r="W1454" s="29"/>
      <c r="X1454" s="15"/>
      <c r="Y1454" s="30"/>
      <c r="Z1454" s="30"/>
      <c r="AA1454" s="30"/>
      <c r="AB1454" s="30"/>
      <c r="AC1454" s="17"/>
      <c r="AD1454" s="17"/>
      <c r="AE1454" s="17"/>
      <c r="AF1454" s="17"/>
      <c r="AG1454" s="20"/>
      <c r="AH1454" s="21"/>
      <c r="AI1454" s="21"/>
      <c r="AJ1454" s="21"/>
      <c r="AK1454" s="21"/>
      <c r="AL1454" s="21"/>
      <c r="AM1454" s="21"/>
      <c r="AN1454" s="21"/>
      <c r="AO1454" s="22"/>
      <c r="AP1454" s="21"/>
      <c r="AQ1454" s="24"/>
      <c r="AR1454" s="21"/>
      <c r="AS1454" s="21"/>
      <c r="AT1454" s="21"/>
      <c r="AU1454" s="21"/>
      <c r="AV1454" s="21"/>
      <c r="AW1454" s="21"/>
      <c r="AX1454" s="22"/>
      <c r="AY1454" s="21"/>
      <c r="AZ1454" s="22"/>
      <c r="BA1454" s="21"/>
      <c r="BB1454" s="20"/>
      <c r="BC1454" s="21"/>
      <c r="BD1454" s="25"/>
      <c r="BE1454" s="26"/>
      <c r="BF1454" s="27"/>
      <c r="BG1454" s="28"/>
    </row>
    <row r="1455" spans="1:59" customFormat="1" ht="15" x14ac:dyDescent="0.35">
      <c r="A1455" s="50"/>
      <c r="B1455" s="63"/>
      <c r="C1455" s="39"/>
      <c r="D1455" s="6"/>
      <c r="E1455" s="149"/>
      <c r="F1455" s="153"/>
      <c r="G1455" s="10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12"/>
      <c r="X1455" s="33"/>
      <c r="Y1455" s="6"/>
      <c r="Z1455" s="6"/>
      <c r="AA1455" s="6"/>
      <c r="AB1455" s="6"/>
      <c r="AC1455" s="9"/>
      <c r="AD1455" s="9"/>
      <c r="AE1455" s="9"/>
      <c r="AF1455" s="9"/>
      <c r="AG1455" s="5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59"/>
      <c r="AR1455" s="21"/>
      <c r="AS1455" s="21"/>
      <c r="AT1455" s="3"/>
      <c r="AU1455" s="3"/>
      <c r="AV1455" s="3"/>
      <c r="AW1455" s="3"/>
      <c r="AX1455" s="3"/>
      <c r="AY1455" s="3"/>
      <c r="AZ1455" s="3"/>
      <c r="BA1455" s="3"/>
      <c r="BB1455" s="53"/>
      <c r="BC1455" s="3"/>
      <c r="BD1455" s="59"/>
      <c r="BE1455" s="3"/>
      <c r="BF1455" s="53"/>
      <c r="BG1455" s="59"/>
    </row>
    <row r="1456" spans="1:59" customFormat="1" ht="15" x14ac:dyDescent="0.35">
      <c r="A1456" s="19"/>
      <c r="B1456" s="49"/>
      <c r="C1456" s="14"/>
      <c r="D1456" s="6"/>
      <c r="E1456" s="149"/>
      <c r="F1456" s="153"/>
      <c r="G1456" s="10"/>
      <c r="H1456" s="17"/>
      <c r="I1456" s="17"/>
      <c r="J1456" s="17"/>
      <c r="K1456" s="30"/>
      <c r="L1456" s="30"/>
      <c r="M1456" s="30"/>
      <c r="N1456" s="30"/>
      <c r="O1456" s="30"/>
      <c r="P1456" s="30"/>
      <c r="Q1456" s="30"/>
      <c r="R1456" s="30"/>
      <c r="S1456" s="30"/>
      <c r="T1456" s="30"/>
      <c r="U1456" s="30"/>
      <c r="V1456" s="30"/>
      <c r="W1456" s="29"/>
      <c r="X1456" s="15"/>
      <c r="Y1456" s="30"/>
      <c r="Z1456" s="30"/>
      <c r="AA1456" s="30"/>
      <c r="AB1456" s="30"/>
      <c r="AC1456" s="17"/>
      <c r="AD1456" s="17"/>
      <c r="AE1456" s="17"/>
      <c r="AF1456" s="17"/>
      <c r="AG1456" s="20"/>
      <c r="AH1456" s="21"/>
      <c r="AI1456" s="21"/>
      <c r="AJ1456" s="21"/>
      <c r="AK1456" s="21"/>
      <c r="AL1456" s="21"/>
      <c r="AM1456" s="21"/>
      <c r="AN1456" s="21"/>
      <c r="AO1456" s="22"/>
      <c r="AP1456" s="21"/>
      <c r="AQ1456" s="24"/>
      <c r="AR1456" s="21"/>
      <c r="AS1456" s="21"/>
      <c r="AT1456" s="21"/>
      <c r="AU1456" s="21"/>
      <c r="AV1456" s="21"/>
      <c r="AW1456" s="21"/>
      <c r="AX1456" s="22"/>
      <c r="AY1456" s="21"/>
      <c r="AZ1456" s="22"/>
      <c r="BA1456" s="21"/>
      <c r="BB1456" s="20"/>
      <c r="BC1456" s="21"/>
      <c r="BD1456" s="25"/>
      <c r="BE1456" s="26"/>
      <c r="BF1456" s="27"/>
      <c r="BG1456" s="28"/>
    </row>
    <row r="1457" spans="1:59" customFormat="1" ht="15" x14ac:dyDescent="0.35">
      <c r="A1457" s="19"/>
      <c r="B1457" s="49"/>
      <c r="C1457" s="14"/>
      <c r="D1457" s="1"/>
      <c r="E1457" s="149"/>
      <c r="F1457" s="153"/>
      <c r="G1457" s="10"/>
      <c r="H1457" s="17"/>
      <c r="I1457" s="17"/>
      <c r="J1457" s="17"/>
      <c r="K1457" s="30"/>
      <c r="L1457" s="30"/>
      <c r="M1457" s="30"/>
      <c r="N1457" s="30"/>
      <c r="O1457" s="30"/>
      <c r="P1457" s="30"/>
      <c r="Q1457" s="30"/>
      <c r="R1457" s="30"/>
      <c r="S1457" s="30"/>
      <c r="T1457" s="30"/>
      <c r="U1457" s="30"/>
      <c r="V1457" s="30"/>
      <c r="W1457" s="29"/>
      <c r="X1457" s="15"/>
      <c r="Y1457" s="30"/>
      <c r="Z1457" s="30"/>
      <c r="AA1457" s="30"/>
      <c r="AB1457" s="30"/>
      <c r="AC1457" s="17"/>
      <c r="AD1457" s="17"/>
      <c r="AE1457" s="17"/>
      <c r="AF1457" s="17"/>
      <c r="AG1457" s="20"/>
      <c r="AH1457" s="21"/>
      <c r="AI1457" s="21"/>
      <c r="AJ1457" s="21"/>
      <c r="AK1457" s="21"/>
      <c r="AL1457" s="21"/>
      <c r="AM1457" s="21"/>
      <c r="AN1457" s="21"/>
      <c r="AO1457" s="22"/>
      <c r="AP1457" s="21"/>
      <c r="AQ1457" s="24"/>
      <c r="AR1457" s="21"/>
      <c r="AS1457" s="21"/>
      <c r="AT1457" s="21"/>
      <c r="AU1457" s="21"/>
      <c r="AV1457" s="21"/>
      <c r="AW1457" s="21"/>
      <c r="AX1457" s="22"/>
      <c r="AY1457" s="21"/>
      <c r="AZ1457" s="22"/>
      <c r="BA1457" s="21"/>
      <c r="BB1457" s="20"/>
      <c r="BC1457" s="21"/>
      <c r="BD1457" s="25"/>
      <c r="BE1457" s="26"/>
      <c r="BF1457" s="27"/>
      <c r="BG1457" s="28"/>
    </row>
    <row r="1458" spans="1:59" customFormat="1" ht="15" x14ac:dyDescent="0.35">
      <c r="A1458" s="50"/>
      <c r="B1458" s="63"/>
      <c r="C1458" s="39"/>
      <c r="D1458" s="6"/>
      <c r="E1458" s="149"/>
      <c r="F1458" s="153"/>
      <c r="G1458" s="10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12"/>
      <c r="X1458" s="33"/>
      <c r="Y1458" s="6"/>
      <c r="Z1458" s="6"/>
      <c r="AA1458" s="6"/>
      <c r="AB1458" s="6"/>
      <c r="AC1458" s="9"/>
      <c r="AD1458" s="9"/>
      <c r="AE1458" s="9"/>
      <c r="AF1458" s="9"/>
      <c r="AG1458" s="5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59"/>
      <c r="AR1458" s="21"/>
      <c r="AS1458" s="21"/>
      <c r="AT1458" s="3"/>
      <c r="AU1458" s="3"/>
      <c r="AV1458" s="3"/>
      <c r="AW1458" s="3"/>
      <c r="AX1458" s="3"/>
      <c r="AY1458" s="3"/>
      <c r="AZ1458" s="3"/>
      <c r="BA1458" s="3"/>
      <c r="BB1458" s="53"/>
      <c r="BC1458" s="3"/>
      <c r="BD1458" s="59"/>
      <c r="BE1458" s="3"/>
      <c r="BF1458" s="53"/>
      <c r="BG1458" s="59"/>
    </row>
    <row r="1459" spans="1:59" customFormat="1" ht="15" x14ac:dyDescent="0.35">
      <c r="A1459" s="50"/>
      <c r="B1459" s="63"/>
      <c r="C1459" s="39"/>
      <c r="D1459" s="6"/>
      <c r="E1459" s="149"/>
      <c r="F1459" s="153"/>
      <c r="G1459" s="10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5"/>
      <c r="V1459" s="5"/>
      <c r="W1459" s="13"/>
      <c r="X1459" s="4"/>
      <c r="Y1459" s="4"/>
      <c r="Z1459" s="4"/>
      <c r="AA1459" s="6"/>
      <c r="AB1459" s="5"/>
      <c r="AC1459" s="9"/>
      <c r="AD1459" s="9"/>
      <c r="AE1459" s="9"/>
      <c r="AF1459" s="9"/>
      <c r="AG1459" s="54"/>
      <c r="AH1459" s="3"/>
      <c r="AI1459" s="2"/>
      <c r="AJ1459" s="2"/>
      <c r="AK1459" s="2"/>
      <c r="AL1459" s="3"/>
      <c r="AM1459" s="3"/>
      <c r="AN1459" s="3"/>
      <c r="AO1459" s="3"/>
      <c r="AP1459" s="3"/>
      <c r="AQ1459" s="59"/>
      <c r="AR1459" s="21"/>
      <c r="AS1459" s="21"/>
      <c r="AT1459" s="3"/>
      <c r="AU1459" s="3"/>
      <c r="AV1459" s="3"/>
      <c r="AW1459" s="3"/>
      <c r="AX1459" s="3"/>
      <c r="AY1459" s="3"/>
      <c r="AZ1459" s="3"/>
      <c r="BA1459" s="3"/>
      <c r="BB1459" s="53"/>
      <c r="BC1459" s="3"/>
      <c r="BD1459" s="59"/>
      <c r="BE1459" s="3"/>
      <c r="BF1459" s="53"/>
      <c r="BG1459" s="59"/>
    </row>
    <row r="1460" spans="1:59" customFormat="1" ht="15" x14ac:dyDescent="0.35">
      <c r="A1460" s="50"/>
      <c r="B1460" s="63"/>
      <c r="C1460" s="39"/>
      <c r="D1460" s="6"/>
      <c r="E1460" s="149"/>
      <c r="F1460" s="153"/>
      <c r="G1460" s="10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5"/>
      <c r="V1460" s="5"/>
      <c r="W1460" s="13"/>
      <c r="X1460" s="4"/>
      <c r="Y1460" s="4"/>
      <c r="Z1460" s="4"/>
      <c r="AA1460" s="6"/>
      <c r="AB1460" s="5"/>
      <c r="AC1460" s="9"/>
      <c r="AD1460" s="9"/>
      <c r="AE1460" s="9"/>
      <c r="AF1460" s="9"/>
      <c r="AG1460" s="54"/>
      <c r="AH1460" s="3"/>
      <c r="AI1460" s="2"/>
      <c r="AJ1460" s="2"/>
      <c r="AK1460" s="2"/>
      <c r="AL1460" s="3"/>
      <c r="AM1460" s="3"/>
      <c r="AN1460" s="3"/>
      <c r="AO1460" s="3"/>
      <c r="AP1460" s="3"/>
      <c r="AQ1460" s="59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53"/>
      <c r="BC1460" s="3"/>
      <c r="BD1460" s="59"/>
      <c r="BE1460" s="3"/>
      <c r="BF1460" s="53"/>
      <c r="BG1460" s="59"/>
    </row>
    <row r="1461" spans="1:59" customFormat="1" ht="15" x14ac:dyDescent="0.35">
      <c r="A1461" s="19"/>
      <c r="B1461" s="49"/>
      <c r="C1461" s="14"/>
      <c r="D1461" s="1"/>
      <c r="E1461" s="149"/>
      <c r="F1461" s="153"/>
      <c r="G1461" s="10"/>
      <c r="H1461" s="17"/>
      <c r="I1461" s="17"/>
      <c r="J1461" s="17"/>
      <c r="K1461" s="30"/>
      <c r="L1461" s="30"/>
      <c r="M1461" s="30"/>
      <c r="N1461" s="30"/>
      <c r="O1461" s="30"/>
      <c r="P1461" s="30"/>
      <c r="Q1461" s="30"/>
      <c r="R1461" s="30"/>
      <c r="S1461" s="30"/>
      <c r="T1461" s="30"/>
      <c r="U1461" s="30"/>
      <c r="V1461" s="30"/>
      <c r="W1461" s="29"/>
      <c r="X1461" s="15"/>
      <c r="Y1461" s="30"/>
      <c r="Z1461" s="30"/>
      <c r="AA1461" s="30"/>
      <c r="AB1461" s="30"/>
      <c r="AC1461" s="17"/>
      <c r="AD1461" s="17"/>
      <c r="AE1461" s="17"/>
      <c r="AF1461" s="17"/>
      <c r="AG1461" s="20"/>
      <c r="AH1461" s="21"/>
      <c r="AI1461" s="21"/>
      <c r="AJ1461" s="21"/>
      <c r="AK1461" s="21"/>
      <c r="AL1461" s="21"/>
      <c r="AM1461" s="21"/>
      <c r="AN1461" s="21"/>
      <c r="AO1461" s="22"/>
      <c r="AP1461" s="21"/>
      <c r="AQ1461" s="24"/>
      <c r="AR1461" s="21"/>
      <c r="AS1461" s="21"/>
      <c r="AT1461" s="21"/>
      <c r="AU1461" s="21"/>
      <c r="AV1461" s="21"/>
      <c r="AW1461" s="21"/>
      <c r="AX1461" s="22"/>
      <c r="AY1461" s="21"/>
      <c r="AZ1461" s="22"/>
      <c r="BA1461" s="21"/>
      <c r="BB1461" s="20"/>
      <c r="BC1461" s="21"/>
      <c r="BD1461" s="25"/>
      <c r="BE1461" s="26"/>
      <c r="BF1461" s="27"/>
      <c r="BG1461" s="28"/>
    </row>
    <row r="1462" spans="1:59" customFormat="1" ht="15" x14ac:dyDescent="0.35">
      <c r="A1462" s="50"/>
      <c r="B1462" s="63"/>
      <c r="C1462" s="39"/>
      <c r="D1462" s="6"/>
      <c r="E1462" s="149"/>
      <c r="F1462" s="153"/>
      <c r="G1462" s="10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12"/>
      <c r="X1462" s="33"/>
      <c r="Y1462" s="6"/>
      <c r="Z1462" s="6"/>
      <c r="AA1462" s="6"/>
      <c r="AB1462" s="6"/>
      <c r="AC1462" s="9"/>
      <c r="AD1462" s="9"/>
      <c r="AE1462" s="9"/>
      <c r="AF1462" s="9"/>
      <c r="AG1462" s="5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59"/>
      <c r="AR1462" s="21"/>
      <c r="AS1462" s="21"/>
      <c r="AT1462" s="3"/>
      <c r="AU1462" s="3"/>
      <c r="AV1462" s="3"/>
      <c r="AW1462" s="3"/>
      <c r="AX1462" s="3"/>
      <c r="AY1462" s="3"/>
      <c r="AZ1462" s="3"/>
      <c r="BA1462" s="3"/>
      <c r="BB1462" s="53"/>
      <c r="BC1462" s="3"/>
      <c r="BD1462" s="59"/>
      <c r="BE1462" s="3"/>
      <c r="BF1462" s="53"/>
      <c r="BG1462" s="59"/>
    </row>
    <row r="1463" spans="1:59" customFormat="1" ht="15" x14ac:dyDescent="0.35">
      <c r="A1463" s="19"/>
      <c r="B1463" s="49"/>
      <c r="C1463" s="14"/>
      <c r="D1463" s="1"/>
      <c r="E1463" s="149"/>
      <c r="F1463" s="153"/>
      <c r="G1463" s="10"/>
      <c r="H1463" s="17"/>
      <c r="I1463" s="17"/>
      <c r="J1463" s="17"/>
      <c r="K1463" s="30"/>
      <c r="L1463" s="30"/>
      <c r="M1463" s="30"/>
      <c r="N1463" s="30"/>
      <c r="O1463" s="30"/>
      <c r="P1463" s="30"/>
      <c r="Q1463" s="30"/>
      <c r="R1463" s="30"/>
      <c r="S1463" s="30"/>
      <c r="T1463" s="30"/>
      <c r="U1463" s="30"/>
      <c r="V1463" s="30"/>
      <c r="W1463" s="29"/>
      <c r="X1463" s="15"/>
      <c r="Y1463" s="30"/>
      <c r="Z1463" s="30"/>
      <c r="AA1463" s="30"/>
      <c r="AB1463" s="30"/>
      <c r="AC1463" s="17"/>
      <c r="AD1463" s="17"/>
      <c r="AE1463" s="17"/>
      <c r="AF1463" s="17"/>
      <c r="AG1463" s="20"/>
      <c r="AH1463" s="21"/>
      <c r="AI1463" s="21"/>
      <c r="AJ1463" s="21"/>
      <c r="AK1463" s="21"/>
      <c r="AL1463" s="21"/>
      <c r="AM1463" s="21"/>
      <c r="AN1463" s="21"/>
      <c r="AO1463" s="22"/>
      <c r="AP1463" s="21"/>
      <c r="AQ1463" s="24"/>
      <c r="AR1463" s="21"/>
      <c r="AS1463" s="21"/>
      <c r="AT1463" s="21"/>
      <c r="AU1463" s="21"/>
      <c r="AV1463" s="21"/>
      <c r="AW1463" s="21"/>
      <c r="AX1463" s="22"/>
      <c r="AY1463" s="21"/>
      <c r="AZ1463" s="22"/>
      <c r="BA1463" s="21"/>
      <c r="BB1463" s="20"/>
      <c r="BC1463" s="21"/>
      <c r="BD1463" s="25"/>
      <c r="BE1463" s="26"/>
      <c r="BF1463" s="27"/>
      <c r="BG1463" s="28"/>
    </row>
    <row r="1464" spans="1:59" customFormat="1" ht="15" x14ac:dyDescent="0.35">
      <c r="A1464" s="50"/>
      <c r="B1464" s="63"/>
      <c r="C1464" s="39"/>
      <c r="D1464" s="6"/>
      <c r="E1464" s="149"/>
      <c r="F1464" s="153"/>
      <c r="G1464" s="10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5"/>
      <c r="V1464" s="5"/>
      <c r="W1464" s="13"/>
      <c r="X1464" s="4"/>
      <c r="Y1464" s="4"/>
      <c r="Z1464" s="4"/>
      <c r="AA1464" s="6"/>
      <c r="AB1464" s="5"/>
      <c r="AC1464" s="9"/>
      <c r="AD1464" s="9"/>
      <c r="AE1464" s="9"/>
      <c r="AF1464" s="9"/>
      <c r="AG1464" s="54"/>
      <c r="AH1464" s="3"/>
      <c r="AI1464" s="2"/>
      <c r="AJ1464" s="2"/>
      <c r="AK1464" s="2"/>
      <c r="AL1464" s="3"/>
      <c r="AM1464" s="3"/>
      <c r="AN1464" s="3"/>
      <c r="AO1464" s="3"/>
      <c r="AP1464" s="3"/>
      <c r="AQ1464" s="59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53"/>
      <c r="BC1464" s="3"/>
      <c r="BD1464" s="59"/>
      <c r="BE1464" s="3"/>
      <c r="BF1464" s="53"/>
      <c r="BG1464" s="59"/>
    </row>
    <row r="1465" spans="1:59" customFormat="1" ht="15" x14ac:dyDescent="0.35">
      <c r="A1465" s="50"/>
      <c r="B1465" s="63"/>
      <c r="C1465" s="39"/>
      <c r="D1465" s="6"/>
      <c r="E1465" s="149"/>
      <c r="F1465" s="153"/>
      <c r="G1465" s="10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5"/>
      <c r="V1465" s="5"/>
      <c r="W1465" s="13"/>
      <c r="X1465" s="4"/>
      <c r="Y1465" s="4"/>
      <c r="Z1465" s="4"/>
      <c r="AA1465" s="6"/>
      <c r="AB1465" s="5"/>
      <c r="AC1465" s="9"/>
      <c r="AD1465" s="9"/>
      <c r="AE1465" s="9"/>
      <c r="AF1465" s="9"/>
      <c r="AG1465" s="54"/>
      <c r="AH1465" s="3"/>
      <c r="AI1465" s="2"/>
      <c r="AJ1465" s="2"/>
      <c r="AK1465" s="2"/>
      <c r="AL1465" s="3"/>
      <c r="AM1465" s="3"/>
      <c r="AN1465" s="3"/>
      <c r="AO1465" s="3"/>
      <c r="AP1465" s="3"/>
      <c r="AQ1465" s="59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53"/>
      <c r="BC1465" s="3"/>
      <c r="BD1465" s="59"/>
      <c r="BE1465" s="3"/>
      <c r="BF1465" s="53"/>
      <c r="BG1465" s="59"/>
    </row>
    <row r="1466" spans="1:59" customFormat="1" ht="15" x14ac:dyDescent="0.35">
      <c r="A1466" s="19"/>
      <c r="B1466" s="49"/>
      <c r="C1466" s="14"/>
      <c r="D1466" s="1"/>
      <c r="E1466" s="149"/>
      <c r="F1466" s="153"/>
      <c r="G1466" s="10"/>
      <c r="H1466" s="17"/>
      <c r="I1466" s="17"/>
      <c r="J1466" s="17"/>
      <c r="K1466" s="30"/>
      <c r="L1466" s="30"/>
      <c r="M1466" s="30"/>
      <c r="N1466" s="30"/>
      <c r="O1466" s="30"/>
      <c r="P1466" s="30"/>
      <c r="Q1466" s="30"/>
      <c r="R1466" s="30"/>
      <c r="S1466" s="30"/>
      <c r="T1466" s="30"/>
      <c r="U1466" s="30"/>
      <c r="V1466" s="30"/>
      <c r="W1466" s="29"/>
      <c r="X1466" s="15"/>
      <c r="Y1466" s="30"/>
      <c r="Z1466" s="30"/>
      <c r="AA1466" s="30"/>
      <c r="AB1466" s="30"/>
      <c r="AC1466" s="17"/>
      <c r="AD1466" s="17"/>
      <c r="AE1466" s="17"/>
      <c r="AF1466" s="17"/>
      <c r="AG1466" s="20"/>
      <c r="AH1466" s="21"/>
      <c r="AI1466" s="21"/>
      <c r="AJ1466" s="21"/>
      <c r="AK1466" s="21"/>
      <c r="AL1466" s="21"/>
      <c r="AM1466" s="21"/>
      <c r="AN1466" s="21"/>
      <c r="AO1466" s="22"/>
      <c r="AP1466" s="21"/>
      <c r="AQ1466" s="24"/>
      <c r="AR1466" s="21"/>
      <c r="AS1466" s="21"/>
      <c r="AT1466" s="21"/>
      <c r="AU1466" s="21"/>
      <c r="AV1466" s="21"/>
      <c r="AW1466" s="21"/>
      <c r="AX1466" s="22"/>
      <c r="AY1466" s="21"/>
      <c r="AZ1466" s="22"/>
      <c r="BA1466" s="21"/>
      <c r="BB1466" s="20"/>
      <c r="BC1466" s="21"/>
      <c r="BD1466" s="25"/>
      <c r="BE1466" s="26"/>
      <c r="BF1466" s="27"/>
      <c r="BG1466" s="28"/>
    </row>
    <row r="1467" spans="1:59" customFormat="1" ht="15" x14ac:dyDescent="0.35">
      <c r="A1467" s="50"/>
      <c r="B1467" s="63"/>
      <c r="C1467" s="39"/>
      <c r="D1467" s="6"/>
      <c r="E1467" s="149"/>
      <c r="F1467" s="153"/>
      <c r="G1467" s="10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12"/>
      <c r="X1467" s="33"/>
      <c r="Y1467" s="6"/>
      <c r="Z1467" s="6"/>
      <c r="AA1467" s="6"/>
      <c r="AB1467" s="6"/>
      <c r="AC1467" s="9"/>
      <c r="AD1467" s="9"/>
      <c r="AE1467" s="9"/>
      <c r="AF1467" s="9"/>
      <c r="AG1467" s="5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59"/>
      <c r="AR1467" s="21"/>
      <c r="AS1467" s="21"/>
      <c r="AT1467" s="3"/>
      <c r="AU1467" s="3"/>
      <c r="AV1467" s="3"/>
      <c r="AW1467" s="3"/>
      <c r="AX1467" s="3"/>
      <c r="AY1467" s="3"/>
      <c r="AZ1467" s="3"/>
      <c r="BA1467" s="3"/>
      <c r="BB1467" s="53"/>
      <c r="BC1467" s="3"/>
      <c r="BD1467" s="59"/>
      <c r="BE1467" s="3"/>
      <c r="BF1467" s="53"/>
      <c r="BG1467" s="59"/>
    </row>
    <row r="1468" spans="1:59" customFormat="1" ht="15" x14ac:dyDescent="0.35">
      <c r="A1468" s="19"/>
      <c r="B1468" s="49"/>
      <c r="C1468" s="14"/>
      <c r="D1468" s="1"/>
      <c r="E1468" s="149"/>
      <c r="F1468" s="153"/>
      <c r="G1468" s="10"/>
      <c r="H1468" s="17"/>
      <c r="I1468" s="17"/>
      <c r="J1468" s="17"/>
      <c r="K1468" s="30"/>
      <c r="L1468" s="30"/>
      <c r="M1468" s="30"/>
      <c r="N1468" s="30"/>
      <c r="O1468" s="30"/>
      <c r="P1468" s="30"/>
      <c r="Q1468" s="30"/>
      <c r="R1468" s="30"/>
      <c r="S1468" s="30"/>
      <c r="T1468" s="30"/>
      <c r="U1468" s="30"/>
      <c r="V1468" s="30"/>
      <c r="W1468" s="29"/>
      <c r="X1468" s="15"/>
      <c r="Y1468" s="30"/>
      <c r="Z1468" s="30"/>
      <c r="AA1468" s="30"/>
      <c r="AB1468" s="30"/>
      <c r="AC1468" s="17"/>
      <c r="AD1468" s="17"/>
      <c r="AE1468" s="17"/>
      <c r="AF1468" s="17"/>
      <c r="AG1468" s="20"/>
      <c r="AH1468" s="21"/>
      <c r="AI1468" s="21"/>
      <c r="AJ1468" s="21"/>
      <c r="AK1468" s="21"/>
      <c r="AL1468" s="21"/>
      <c r="AM1468" s="21"/>
      <c r="AN1468" s="21"/>
      <c r="AO1468" s="22"/>
      <c r="AP1468" s="21"/>
      <c r="AQ1468" s="24"/>
      <c r="AR1468" s="21"/>
      <c r="AS1468" s="21"/>
      <c r="AT1468" s="21"/>
      <c r="AU1468" s="21"/>
      <c r="AV1468" s="21"/>
      <c r="AW1468" s="21"/>
      <c r="AX1468" s="22"/>
      <c r="AY1468" s="21"/>
      <c r="AZ1468" s="22"/>
      <c r="BA1468" s="21"/>
      <c r="BB1468" s="20"/>
      <c r="BC1468" s="21"/>
      <c r="BD1468" s="25"/>
      <c r="BE1468" s="26"/>
      <c r="BF1468" s="27"/>
      <c r="BG1468" s="28"/>
    </row>
    <row r="1469" spans="1:59" customFormat="1" ht="15" x14ac:dyDescent="0.35">
      <c r="A1469" s="19"/>
      <c r="B1469" s="49"/>
      <c r="C1469" s="39"/>
      <c r="D1469" s="1"/>
      <c r="E1469" s="149"/>
      <c r="F1469" s="153"/>
      <c r="G1469" s="10"/>
      <c r="H1469" s="17"/>
      <c r="I1469" s="17"/>
      <c r="J1469" s="17"/>
      <c r="K1469" s="30"/>
      <c r="L1469" s="30"/>
      <c r="M1469" s="30"/>
      <c r="N1469" s="30"/>
      <c r="O1469" s="30"/>
      <c r="P1469" s="30"/>
      <c r="Q1469" s="30"/>
      <c r="R1469" s="30"/>
      <c r="S1469" s="30"/>
      <c r="T1469" s="30"/>
      <c r="U1469" s="30"/>
      <c r="V1469" s="30"/>
      <c r="W1469" s="29"/>
      <c r="X1469" s="15"/>
      <c r="Y1469" s="30"/>
      <c r="Z1469" s="30"/>
      <c r="AA1469" s="30"/>
      <c r="AB1469" s="30"/>
      <c r="AC1469" s="17"/>
      <c r="AD1469" s="17"/>
      <c r="AE1469" s="17"/>
      <c r="AF1469" s="17"/>
      <c r="AG1469" s="20"/>
      <c r="AH1469" s="21"/>
      <c r="AI1469" s="21"/>
      <c r="AJ1469" s="21"/>
      <c r="AK1469" s="21"/>
      <c r="AL1469" s="21"/>
      <c r="AM1469" s="21"/>
      <c r="AN1469" s="21"/>
      <c r="AO1469" s="22"/>
      <c r="AP1469" s="21"/>
      <c r="AQ1469" s="24"/>
      <c r="AR1469" s="21"/>
      <c r="AS1469" s="21"/>
      <c r="AT1469" s="21"/>
      <c r="AU1469" s="21"/>
      <c r="AV1469" s="21"/>
      <c r="AW1469" s="21"/>
      <c r="AX1469" s="22"/>
      <c r="AY1469" s="21"/>
      <c r="AZ1469" s="22"/>
      <c r="BA1469" s="21"/>
      <c r="BB1469" s="20"/>
      <c r="BC1469" s="21"/>
      <c r="BD1469" s="25"/>
      <c r="BE1469" s="26"/>
      <c r="BF1469" s="27"/>
      <c r="BG1469" s="28"/>
    </row>
    <row r="1470" spans="1:59" customFormat="1" ht="15" x14ac:dyDescent="0.35">
      <c r="A1470" s="50"/>
      <c r="B1470" s="63"/>
      <c r="C1470" s="39"/>
      <c r="D1470" s="6"/>
      <c r="E1470" s="149"/>
      <c r="F1470" s="153"/>
      <c r="G1470" s="10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12"/>
      <c r="X1470" s="33"/>
      <c r="Y1470" s="6"/>
      <c r="Z1470" s="6"/>
      <c r="AA1470" s="6"/>
      <c r="AB1470" s="6"/>
      <c r="AC1470" s="9"/>
      <c r="AD1470" s="9"/>
      <c r="AE1470" s="9"/>
      <c r="AF1470" s="9"/>
      <c r="AG1470" s="5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59"/>
      <c r="AR1470" s="21"/>
      <c r="AS1470" s="21"/>
      <c r="AT1470" s="3"/>
      <c r="AU1470" s="3"/>
      <c r="AV1470" s="3"/>
      <c r="AW1470" s="3"/>
      <c r="AX1470" s="3"/>
      <c r="AY1470" s="3"/>
      <c r="AZ1470" s="3"/>
      <c r="BA1470" s="3"/>
      <c r="BB1470" s="53"/>
      <c r="BC1470" s="3"/>
      <c r="BD1470" s="59"/>
      <c r="BE1470" s="3"/>
      <c r="BF1470" s="53"/>
      <c r="BG1470" s="65"/>
    </row>
    <row r="1471" spans="1:59" customFormat="1" ht="15" x14ac:dyDescent="0.35">
      <c r="A1471" s="50"/>
      <c r="B1471" s="63"/>
      <c r="C1471" s="39"/>
      <c r="D1471" s="6"/>
      <c r="E1471" s="149"/>
      <c r="F1471" s="153"/>
      <c r="G1471" s="10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5"/>
      <c r="V1471" s="5"/>
      <c r="W1471" s="13"/>
      <c r="X1471" s="4"/>
      <c r="Y1471" s="4"/>
      <c r="Z1471" s="4"/>
      <c r="AA1471" s="6"/>
      <c r="AB1471" s="5"/>
      <c r="AC1471" s="9"/>
      <c r="AD1471" s="9"/>
      <c r="AE1471" s="9"/>
      <c r="AF1471" s="9"/>
      <c r="AG1471" s="54"/>
      <c r="AH1471" s="3"/>
      <c r="AI1471" s="2"/>
      <c r="AJ1471" s="2"/>
      <c r="AK1471" s="2"/>
      <c r="AL1471" s="3"/>
      <c r="AM1471" s="3"/>
      <c r="AN1471" s="3"/>
      <c r="AO1471" s="3"/>
      <c r="AP1471" s="3"/>
      <c r="AQ1471" s="59"/>
      <c r="AR1471" s="21"/>
      <c r="AS1471" s="21"/>
      <c r="AT1471" s="3"/>
      <c r="AU1471" s="3"/>
      <c r="AV1471" s="3"/>
      <c r="AW1471" s="3"/>
      <c r="AX1471" s="3"/>
      <c r="AY1471" s="3"/>
      <c r="AZ1471" s="3"/>
      <c r="BA1471" s="3"/>
      <c r="BB1471" s="53"/>
      <c r="BC1471" s="3"/>
      <c r="BD1471" s="59"/>
      <c r="BE1471" s="3"/>
      <c r="BF1471" s="53"/>
      <c r="BG1471" s="59"/>
    </row>
    <row r="1472" spans="1:59" customFormat="1" ht="15" x14ac:dyDescent="0.35">
      <c r="A1472" s="50"/>
      <c r="B1472" s="63"/>
      <c r="C1472" s="39"/>
      <c r="D1472" s="6"/>
      <c r="E1472" s="149"/>
      <c r="F1472" s="153"/>
      <c r="G1472" s="10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12"/>
      <c r="X1472" s="33"/>
      <c r="Y1472" s="6"/>
      <c r="Z1472" s="6"/>
      <c r="AA1472" s="6"/>
      <c r="AB1472" s="6"/>
      <c r="AC1472" s="9"/>
      <c r="AD1472" s="9"/>
      <c r="AE1472" s="9"/>
      <c r="AF1472" s="9"/>
      <c r="AG1472" s="5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59"/>
      <c r="AR1472" s="21"/>
      <c r="AS1472" s="21"/>
      <c r="AT1472" s="3"/>
      <c r="AU1472" s="3"/>
      <c r="AV1472" s="3"/>
      <c r="AW1472" s="3"/>
      <c r="AX1472" s="3"/>
      <c r="AY1472" s="3"/>
      <c r="AZ1472" s="3"/>
      <c r="BA1472" s="3"/>
      <c r="BB1472" s="53"/>
      <c r="BC1472" s="3"/>
      <c r="BD1472" s="59"/>
      <c r="BE1472" s="3"/>
      <c r="BF1472" s="53"/>
      <c r="BG1472" s="59"/>
    </row>
    <row r="1473" spans="1:59" customFormat="1" ht="15" x14ac:dyDescent="0.35">
      <c r="A1473" s="50"/>
      <c r="B1473" s="63"/>
      <c r="C1473" s="39"/>
      <c r="D1473" s="6"/>
      <c r="E1473" s="149"/>
      <c r="F1473" s="153"/>
      <c r="G1473" s="10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12"/>
      <c r="X1473" s="33"/>
      <c r="Y1473" s="6"/>
      <c r="Z1473" s="6"/>
      <c r="AA1473" s="6"/>
      <c r="AB1473" s="6"/>
      <c r="AC1473" s="9"/>
      <c r="AD1473" s="9"/>
      <c r="AE1473" s="9"/>
      <c r="AF1473" s="9"/>
      <c r="AG1473" s="5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59"/>
      <c r="AR1473" s="21"/>
      <c r="AS1473" s="21"/>
      <c r="AT1473" s="3"/>
      <c r="AU1473" s="3"/>
      <c r="AV1473" s="3"/>
      <c r="AW1473" s="3"/>
      <c r="AX1473" s="3"/>
      <c r="AY1473" s="3"/>
      <c r="AZ1473" s="3"/>
      <c r="BA1473" s="3"/>
      <c r="BB1473" s="53"/>
      <c r="BC1473" s="3"/>
      <c r="BD1473" s="59"/>
      <c r="BE1473" s="3"/>
      <c r="BF1473" s="53"/>
      <c r="BG1473" s="59"/>
    </row>
    <row r="1474" spans="1:59" customFormat="1" ht="15" x14ac:dyDescent="0.35">
      <c r="A1474" s="50"/>
      <c r="B1474" s="63"/>
      <c r="C1474" s="39"/>
      <c r="D1474" s="6"/>
      <c r="E1474" s="149"/>
      <c r="F1474" s="153"/>
      <c r="G1474" s="10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5"/>
      <c r="V1474" s="5"/>
      <c r="W1474" s="13"/>
      <c r="X1474" s="4"/>
      <c r="Y1474" s="4"/>
      <c r="Z1474" s="4"/>
      <c r="AA1474" s="6"/>
      <c r="AB1474" s="5"/>
      <c r="AC1474" s="9"/>
      <c r="AD1474" s="9"/>
      <c r="AE1474" s="9"/>
      <c r="AF1474" s="9"/>
      <c r="AG1474" s="54"/>
      <c r="AH1474" s="3"/>
      <c r="AI1474" s="2"/>
      <c r="AJ1474" s="2"/>
      <c r="AK1474" s="2"/>
      <c r="AL1474" s="3"/>
      <c r="AM1474" s="3"/>
      <c r="AN1474" s="3"/>
      <c r="AO1474" s="3"/>
      <c r="AP1474" s="3"/>
      <c r="AQ1474" s="59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53"/>
      <c r="BC1474" s="3"/>
      <c r="BD1474" s="59"/>
      <c r="BE1474" s="3"/>
      <c r="BF1474" s="53"/>
      <c r="BG1474" s="59"/>
    </row>
    <row r="1475" spans="1:59" customFormat="1" ht="15" x14ac:dyDescent="0.35">
      <c r="A1475" s="50"/>
      <c r="B1475" s="63"/>
      <c r="C1475" s="39"/>
      <c r="D1475" s="6"/>
      <c r="E1475" s="149"/>
      <c r="F1475" s="153"/>
      <c r="G1475" s="10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5"/>
      <c r="V1475" s="5"/>
      <c r="W1475" s="13"/>
      <c r="X1475" s="4"/>
      <c r="Y1475" s="4"/>
      <c r="Z1475" s="4"/>
      <c r="AA1475" s="6"/>
      <c r="AB1475" s="5"/>
      <c r="AC1475" s="9"/>
      <c r="AD1475" s="9"/>
      <c r="AE1475" s="9"/>
      <c r="AF1475" s="9"/>
      <c r="AG1475" s="54"/>
      <c r="AH1475" s="3"/>
      <c r="AI1475" s="2"/>
      <c r="AJ1475" s="2"/>
      <c r="AK1475" s="2"/>
      <c r="AL1475" s="3"/>
      <c r="AM1475" s="3"/>
      <c r="AN1475" s="3"/>
      <c r="AO1475" s="3"/>
      <c r="AP1475" s="3"/>
      <c r="AQ1475" s="59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53"/>
      <c r="BC1475" s="3"/>
      <c r="BD1475" s="59"/>
      <c r="BE1475" s="3"/>
      <c r="BF1475" s="53"/>
      <c r="BG1475" s="59"/>
    </row>
    <row r="1476" spans="1:59" customFormat="1" ht="15" x14ac:dyDescent="0.35">
      <c r="A1476" s="50"/>
      <c r="B1476" s="63"/>
      <c r="C1476" s="39"/>
      <c r="D1476" s="6"/>
      <c r="E1476" s="149"/>
      <c r="F1476" s="153"/>
      <c r="G1476" s="10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12"/>
      <c r="X1476" s="33"/>
      <c r="Y1476" s="6"/>
      <c r="Z1476" s="6"/>
      <c r="AA1476" s="6"/>
      <c r="AB1476" s="6"/>
      <c r="AC1476" s="9"/>
      <c r="AD1476" s="9"/>
      <c r="AE1476" s="9"/>
      <c r="AF1476" s="9"/>
      <c r="AG1476" s="5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59"/>
      <c r="AR1476" s="21"/>
      <c r="AS1476" s="21"/>
      <c r="AT1476" s="3"/>
      <c r="AU1476" s="3"/>
      <c r="AV1476" s="3"/>
      <c r="AW1476" s="3"/>
      <c r="AX1476" s="3"/>
      <c r="AY1476" s="3"/>
      <c r="AZ1476" s="3"/>
      <c r="BA1476" s="3"/>
      <c r="BB1476" s="53"/>
      <c r="BC1476" s="3"/>
      <c r="BD1476" s="59"/>
      <c r="BE1476" s="3"/>
      <c r="BF1476" s="53"/>
      <c r="BG1476" s="59"/>
    </row>
    <row r="1477" spans="1:59" customFormat="1" ht="15" x14ac:dyDescent="0.35">
      <c r="A1477" s="50"/>
      <c r="B1477" s="63"/>
      <c r="C1477" s="39"/>
      <c r="D1477" s="6"/>
      <c r="E1477" s="149"/>
      <c r="F1477" s="153"/>
      <c r="G1477" s="10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5"/>
      <c r="V1477" s="5"/>
      <c r="W1477" s="13"/>
      <c r="X1477" s="4"/>
      <c r="Y1477" s="4"/>
      <c r="Z1477" s="4"/>
      <c r="AA1477" s="6"/>
      <c r="AB1477" s="5"/>
      <c r="AC1477" s="9"/>
      <c r="AD1477" s="9"/>
      <c r="AE1477" s="9"/>
      <c r="AF1477" s="9"/>
      <c r="AG1477" s="54"/>
      <c r="AH1477" s="3"/>
      <c r="AI1477" s="2"/>
      <c r="AJ1477" s="2"/>
      <c r="AK1477" s="2"/>
      <c r="AL1477" s="3"/>
      <c r="AM1477" s="3"/>
      <c r="AN1477" s="3"/>
      <c r="AO1477" s="3"/>
      <c r="AP1477" s="3"/>
      <c r="AQ1477" s="59"/>
      <c r="AR1477" s="21"/>
      <c r="AS1477" s="21"/>
      <c r="AT1477" s="3"/>
      <c r="AU1477" s="3"/>
      <c r="AV1477" s="3"/>
      <c r="AW1477" s="3"/>
      <c r="AX1477" s="3"/>
      <c r="AY1477" s="3"/>
      <c r="AZ1477" s="3"/>
      <c r="BA1477" s="3"/>
      <c r="BB1477" s="53"/>
      <c r="BC1477" s="3"/>
      <c r="BD1477" s="59"/>
      <c r="BE1477" s="3"/>
      <c r="BF1477" s="53"/>
      <c r="BG1477" s="59"/>
    </row>
    <row r="1478" spans="1:59" customFormat="1" ht="15" x14ac:dyDescent="0.35">
      <c r="A1478" s="50"/>
      <c r="B1478" s="63"/>
      <c r="C1478" s="39"/>
      <c r="D1478" s="6"/>
      <c r="E1478" s="149"/>
      <c r="F1478" s="153"/>
      <c r="G1478" s="10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5"/>
      <c r="V1478" s="5"/>
      <c r="W1478" s="13"/>
      <c r="X1478" s="4"/>
      <c r="Y1478" s="4"/>
      <c r="Z1478" s="4"/>
      <c r="AA1478" s="6"/>
      <c r="AB1478" s="5"/>
      <c r="AC1478" s="9"/>
      <c r="AD1478" s="9"/>
      <c r="AE1478" s="9"/>
      <c r="AF1478" s="9"/>
      <c r="AG1478" s="54"/>
      <c r="AH1478" s="3"/>
      <c r="AI1478" s="2"/>
      <c r="AJ1478" s="2"/>
      <c r="AK1478" s="2"/>
      <c r="AL1478" s="3"/>
      <c r="AM1478" s="3"/>
      <c r="AN1478" s="3"/>
      <c r="AO1478" s="3"/>
      <c r="AP1478" s="3"/>
      <c r="AQ1478" s="59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53"/>
      <c r="BC1478" s="3"/>
      <c r="BD1478" s="59"/>
      <c r="BE1478" s="3"/>
      <c r="BF1478" s="53"/>
      <c r="BG1478" s="59"/>
    </row>
    <row r="1479" spans="1:59" customFormat="1" ht="15" x14ac:dyDescent="0.35">
      <c r="A1479" s="50"/>
      <c r="B1479" s="63"/>
      <c r="C1479" s="39"/>
      <c r="D1479" s="6"/>
      <c r="E1479" s="149"/>
      <c r="F1479" s="153"/>
      <c r="G1479" s="10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5"/>
      <c r="V1479" s="5"/>
      <c r="W1479" s="13"/>
      <c r="X1479" s="4"/>
      <c r="Y1479" s="4"/>
      <c r="Z1479" s="4"/>
      <c r="AA1479" s="6"/>
      <c r="AB1479" s="5"/>
      <c r="AC1479" s="9"/>
      <c r="AD1479" s="9"/>
      <c r="AE1479" s="9"/>
      <c r="AF1479" s="9"/>
      <c r="AG1479" s="54"/>
      <c r="AH1479" s="3"/>
      <c r="AI1479" s="2"/>
      <c r="AJ1479" s="2"/>
      <c r="AK1479" s="2"/>
      <c r="AL1479" s="3"/>
      <c r="AM1479" s="3"/>
      <c r="AN1479" s="3"/>
      <c r="AO1479" s="3"/>
      <c r="AP1479" s="3"/>
      <c r="AQ1479" s="59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53"/>
      <c r="BC1479" s="3"/>
      <c r="BD1479" s="59"/>
      <c r="BE1479" s="3"/>
      <c r="BF1479" s="53"/>
      <c r="BG1479" s="59"/>
    </row>
    <row r="1480" spans="1:59" customFormat="1" ht="15" x14ac:dyDescent="0.35">
      <c r="A1480" s="50"/>
      <c r="B1480" s="63"/>
      <c r="C1480" s="39"/>
      <c r="D1480" s="6"/>
      <c r="E1480" s="149"/>
      <c r="F1480" s="153"/>
      <c r="G1480" s="10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12"/>
      <c r="X1480" s="33"/>
      <c r="Y1480" s="6"/>
      <c r="Z1480" s="6"/>
      <c r="AA1480" s="6"/>
      <c r="AB1480" s="6"/>
      <c r="AC1480" s="9"/>
      <c r="AD1480" s="9"/>
      <c r="AE1480" s="9"/>
      <c r="AF1480" s="9"/>
      <c r="AG1480" s="5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59"/>
      <c r="AR1480" s="21"/>
      <c r="AS1480" s="21"/>
      <c r="AT1480" s="3"/>
      <c r="AU1480" s="3"/>
      <c r="AV1480" s="3"/>
      <c r="AW1480" s="3"/>
      <c r="AX1480" s="3"/>
      <c r="AY1480" s="3"/>
      <c r="AZ1480" s="3"/>
      <c r="BA1480" s="3"/>
      <c r="BB1480" s="53"/>
      <c r="BC1480" s="3"/>
      <c r="BD1480" s="59"/>
      <c r="BE1480" s="3"/>
      <c r="BF1480" s="53"/>
      <c r="BG1480" s="59"/>
    </row>
    <row r="1481" spans="1:59" customFormat="1" ht="15" x14ac:dyDescent="0.35">
      <c r="A1481" s="50"/>
      <c r="B1481" s="63"/>
      <c r="C1481" s="39"/>
      <c r="D1481" s="6"/>
      <c r="E1481" s="149"/>
      <c r="F1481" s="153"/>
      <c r="G1481" s="10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5"/>
      <c r="V1481" s="5"/>
      <c r="W1481" s="13"/>
      <c r="X1481" s="4"/>
      <c r="Y1481" s="4"/>
      <c r="Z1481" s="4"/>
      <c r="AA1481" s="6"/>
      <c r="AB1481" s="5"/>
      <c r="AC1481" s="9"/>
      <c r="AD1481" s="9"/>
      <c r="AE1481" s="9"/>
      <c r="AF1481" s="9"/>
      <c r="AG1481" s="54"/>
      <c r="AH1481" s="3"/>
      <c r="AI1481" s="2"/>
      <c r="AJ1481" s="2"/>
      <c r="AK1481" s="2"/>
      <c r="AL1481" s="3"/>
      <c r="AM1481" s="3"/>
      <c r="AN1481" s="3"/>
      <c r="AO1481" s="3"/>
      <c r="AP1481" s="3"/>
      <c r="AQ1481" s="59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53"/>
      <c r="BC1481" s="3"/>
      <c r="BD1481" s="59"/>
      <c r="BE1481" s="3"/>
      <c r="BF1481" s="53"/>
      <c r="BG1481" s="59"/>
    </row>
    <row r="1482" spans="1:59" customFormat="1" ht="15" x14ac:dyDescent="0.35">
      <c r="A1482" s="50"/>
      <c r="B1482" s="63"/>
      <c r="C1482" s="39"/>
      <c r="D1482" s="6"/>
      <c r="E1482" s="149"/>
      <c r="F1482" s="153"/>
      <c r="G1482" s="10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12"/>
      <c r="X1482" s="33"/>
      <c r="Y1482" s="6"/>
      <c r="Z1482" s="6"/>
      <c r="AA1482" s="6"/>
      <c r="AB1482" s="6"/>
      <c r="AC1482" s="9"/>
      <c r="AD1482" s="9"/>
      <c r="AE1482" s="9"/>
      <c r="AF1482" s="9"/>
      <c r="AG1482" s="5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59"/>
      <c r="AR1482" s="21"/>
      <c r="AS1482" s="21"/>
      <c r="AT1482" s="3"/>
      <c r="AU1482" s="3"/>
      <c r="AV1482" s="3"/>
      <c r="AW1482" s="3"/>
      <c r="AX1482" s="3"/>
      <c r="AY1482" s="3"/>
      <c r="AZ1482" s="3"/>
      <c r="BA1482" s="3"/>
      <c r="BB1482" s="53"/>
      <c r="BC1482" s="3"/>
      <c r="BD1482" s="59"/>
      <c r="BE1482" s="3"/>
      <c r="BF1482" s="53"/>
      <c r="BG1482" s="59"/>
    </row>
    <row r="1483" spans="1:59" customFormat="1" ht="15" x14ac:dyDescent="0.35">
      <c r="A1483" s="50"/>
      <c r="B1483" s="63"/>
      <c r="C1483" s="39"/>
      <c r="D1483" s="6"/>
      <c r="E1483" s="149"/>
      <c r="F1483" s="153"/>
      <c r="G1483" s="10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12"/>
      <c r="X1483" s="33"/>
      <c r="Y1483" s="6"/>
      <c r="Z1483" s="6"/>
      <c r="AA1483" s="6"/>
      <c r="AB1483" s="6"/>
      <c r="AC1483" s="9"/>
      <c r="AD1483" s="9"/>
      <c r="AE1483" s="9"/>
      <c r="AF1483" s="9"/>
      <c r="AG1483" s="5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59"/>
      <c r="AR1483" s="21"/>
      <c r="AS1483" s="21"/>
      <c r="AT1483" s="3"/>
      <c r="AU1483" s="3"/>
      <c r="AV1483" s="3"/>
      <c r="AW1483" s="3"/>
      <c r="AX1483" s="3"/>
      <c r="AY1483" s="3"/>
      <c r="AZ1483" s="3"/>
      <c r="BA1483" s="3"/>
      <c r="BB1483" s="53"/>
      <c r="BC1483" s="3"/>
      <c r="BD1483" s="59"/>
      <c r="BE1483" s="3"/>
      <c r="BF1483" s="53"/>
      <c r="BG1483" s="59"/>
    </row>
    <row r="1484" spans="1:59" customFormat="1" ht="15" x14ac:dyDescent="0.35">
      <c r="A1484" s="50"/>
      <c r="B1484" s="63"/>
      <c r="C1484" s="39"/>
      <c r="D1484" s="6"/>
      <c r="E1484" s="149"/>
      <c r="F1484" s="153"/>
      <c r="G1484" s="10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12"/>
      <c r="X1484" s="33"/>
      <c r="Y1484" s="6"/>
      <c r="Z1484" s="6"/>
      <c r="AA1484" s="6"/>
      <c r="AB1484" s="6"/>
      <c r="AC1484" s="9"/>
      <c r="AD1484" s="9"/>
      <c r="AE1484" s="9"/>
      <c r="AF1484" s="9"/>
      <c r="AG1484" s="5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59"/>
      <c r="AR1484" s="21"/>
      <c r="AS1484" s="21"/>
      <c r="AT1484" s="3"/>
      <c r="AU1484" s="3"/>
      <c r="AV1484" s="3"/>
      <c r="AW1484" s="3"/>
      <c r="AX1484" s="3"/>
      <c r="AY1484" s="3"/>
      <c r="AZ1484" s="3"/>
      <c r="BA1484" s="3"/>
      <c r="BB1484" s="53"/>
      <c r="BC1484" s="3"/>
      <c r="BD1484" s="59"/>
      <c r="BE1484" s="3"/>
      <c r="BF1484" s="53"/>
      <c r="BG1484" s="59"/>
    </row>
    <row r="1485" spans="1:59" customFormat="1" ht="15" x14ac:dyDescent="0.35">
      <c r="A1485" s="50"/>
      <c r="B1485" s="63"/>
      <c r="C1485" s="39"/>
      <c r="D1485" s="6"/>
      <c r="E1485" s="149"/>
      <c r="F1485" s="153"/>
      <c r="G1485" s="10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5"/>
      <c r="V1485" s="5"/>
      <c r="W1485" s="13"/>
      <c r="X1485" s="4"/>
      <c r="Y1485" s="4"/>
      <c r="Z1485" s="4"/>
      <c r="AA1485" s="6"/>
      <c r="AB1485" s="5"/>
      <c r="AC1485" s="9"/>
      <c r="AD1485" s="9"/>
      <c r="AE1485" s="9"/>
      <c r="AF1485" s="9"/>
      <c r="AG1485" s="54"/>
      <c r="AH1485" s="3"/>
      <c r="AI1485" s="2"/>
      <c r="AJ1485" s="2"/>
      <c r="AK1485" s="2"/>
      <c r="AL1485" s="3"/>
      <c r="AM1485" s="3"/>
      <c r="AN1485" s="3"/>
      <c r="AO1485" s="3"/>
      <c r="AP1485" s="3"/>
      <c r="AQ1485" s="59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53"/>
      <c r="BC1485" s="3"/>
      <c r="BD1485" s="59"/>
      <c r="BE1485" s="3"/>
      <c r="BF1485" s="53"/>
      <c r="BG1485" s="59"/>
    </row>
    <row r="1486" spans="1:59" customFormat="1" ht="15" x14ac:dyDescent="0.35">
      <c r="A1486" s="50"/>
      <c r="B1486" s="63"/>
      <c r="C1486" s="39"/>
      <c r="D1486" s="6"/>
      <c r="E1486" s="149"/>
      <c r="F1486" s="153"/>
      <c r="G1486" s="10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12"/>
      <c r="X1486" s="33"/>
      <c r="Y1486" s="6"/>
      <c r="Z1486" s="6"/>
      <c r="AA1486" s="6"/>
      <c r="AB1486" s="6"/>
      <c r="AC1486" s="9"/>
      <c r="AD1486" s="9"/>
      <c r="AE1486" s="9"/>
      <c r="AF1486" s="9"/>
      <c r="AG1486" s="5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59"/>
      <c r="AR1486" s="21"/>
      <c r="AS1486" s="21"/>
      <c r="AT1486" s="3"/>
      <c r="AU1486" s="3"/>
      <c r="AV1486" s="3"/>
      <c r="AW1486" s="3"/>
      <c r="AX1486" s="3"/>
      <c r="AY1486" s="3"/>
      <c r="AZ1486" s="3"/>
      <c r="BA1486" s="3"/>
      <c r="BB1486" s="53"/>
      <c r="BC1486" s="3"/>
      <c r="BD1486" s="59"/>
      <c r="BE1486" s="3"/>
      <c r="BF1486" s="53"/>
      <c r="BG1486" s="59"/>
    </row>
    <row r="1487" spans="1:59" customFormat="1" ht="15" x14ac:dyDescent="0.35">
      <c r="A1487" s="50"/>
      <c r="B1487" s="63"/>
      <c r="C1487" s="39"/>
      <c r="D1487" s="6"/>
      <c r="E1487" s="149"/>
      <c r="F1487" s="153"/>
      <c r="G1487" s="10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12"/>
      <c r="X1487" s="33"/>
      <c r="Y1487" s="6"/>
      <c r="Z1487" s="6"/>
      <c r="AA1487" s="6"/>
      <c r="AB1487" s="6"/>
      <c r="AC1487" s="9"/>
      <c r="AD1487" s="9"/>
      <c r="AE1487" s="9"/>
      <c r="AF1487" s="9"/>
      <c r="AG1487" s="5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59"/>
      <c r="AR1487" s="21"/>
      <c r="AS1487" s="21"/>
      <c r="AT1487" s="3"/>
      <c r="AU1487" s="3"/>
      <c r="AV1487" s="3"/>
      <c r="AW1487" s="3"/>
      <c r="AX1487" s="3"/>
      <c r="AY1487" s="3"/>
      <c r="AZ1487" s="3"/>
      <c r="BA1487" s="3"/>
      <c r="BB1487" s="53"/>
      <c r="BC1487" s="3"/>
      <c r="BD1487" s="59"/>
      <c r="BE1487" s="3"/>
      <c r="BF1487" s="53"/>
      <c r="BG1487" s="59"/>
    </row>
    <row r="1488" spans="1:59" customFormat="1" ht="15" x14ac:dyDescent="0.35">
      <c r="A1488" s="50"/>
      <c r="B1488" s="63"/>
      <c r="C1488" s="39"/>
      <c r="D1488" s="6"/>
      <c r="E1488" s="149"/>
      <c r="F1488" s="153"/>
      <c r="G1488" s="10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12"/>
      <c r="X1488" s="33"/>
      <c r="Y1488" s="6"/>
      <c r="Z1488" s="6"/>
      <c r="AA1488" s="6"/>
      <c r="AB1488" s="6"/>
      <c r="AC1488" s="9"/>
      <c r="AD1488" s="9"/>
      <c r="AE1488" s="9"/>
      <c r="AF1488" s="9"/>
      <c r="AG1488" s="5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59"/>
      <c r="AR1488" s="21"/>
      <c r="AS1488" s="21"/>
      <c r="AT1488" s="3"/>
      <c r="AU1488" s="3"/>
      <c r="AV1488" s="3"/>
      <c r="AW1488" s="3"/>
      <c r="AX1488" s="3"/>
      <c r="AY1488" s="3"/>
      <c r="AZ1488" s="3"/>
      <c r="BA1488" s="3"/>
      <c r="BB1488" s="53"/>
      <c r="BC1488" s="3"/>
      <c r="BD1488" s="59"/>
      <c r="BE1488" s="3"/>
      <c r="BF1488" s="53"/>
      <c r="BG1488" s="59"/>
    </row>
    <row r="1489" spans="1:59" customFormat="1" ht="15" x14ac:dyDescent="0.35">
      <c r="A1489" s="50"/>
      <c r="B1489" s="63"/>
      <c r="C1489" s="39"/>
      <c r="D1489" s="6"/>
      <c r="E1489" s="149"/>
      <c r="F1489" s="153"/>
      <c r="G1489" s="10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5"/>
      <c r="V1489" s="5"/>
      <c r="W1489" s="13"/>
      <c r="X1489" s="4"/>
      <c r="Y1489" s="4"/>
      <c r="Z1489" s="4"/>
      <c r="AA1489" s="6"/>
      <c r="AB1489" s="5"/>
      <c r="AC1489" s="9"/>
      <c r="AD1489" s="9"/>
      <c r="AE1489" s="9"/>
      <c r="AF1489" s="9"/>
      <c r="AG1489" s="54"/>
      <c r="AH1489" s="3"/>
      <c r="AI1489" s="2"/>
      <c r="AJ1489" s="2"/>
      <c r="AK1489" s="2"/>
      <c r="AL1489" s="3"/>
      <c r="AM1489" s="3"/>
      <c r="AN1489" s="3"/>
      <c r="AO1489" s="3"/>
      <c r="AP1489" s="3"/>
      <c r="AQ1489" s="59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53"/>
      <c r="BC1489" s="3"/>
      <c r="BD1489" s="59"/>
      <c r="BE1489" s="3"/>
      <c r="BF1489" s="53"/>
      <c r="BG1489" s="59"/>
    </row>
    <row r="1490" spans="1:59" customFormat="1" ht="15" x14ac:dyDescent="0.35">
      <c r="A1490" s="50"/>
      <c r="B1490" s="63"/>
      <c r="C1490" s="39"/>
      <c r="D1490" s="6"/>
      <c r="E1490" s="149"/>
      <c r="F1490" s="153"/>
      <c r="G1490" s="10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12"/>
      <c r="X1490" s="33"/>
      <c r="Y1490" s="6"/>
      <c r="Z1490" s="6"/>
      <c r="AA1490" s="6"/>
      <c r="AB1490" s="6"/>
      <c r="AC1490" s="9"/>
      <c r="AD1490" s="9"/>
      <c r="AE1490" s="9"/>
      <c r="AF1490" s="9"/>
      <c r="AG1490" s="5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59"/>
      <c r="AR1490" s="21"/>
      <c r="AS1490" s="21"/>
      <c r="AT1490" s="3"/>
      <c r="AU1490" s="3"/>
      <c r="AV1490" s="3"/>
      <c r="AW1490" s="3"/>
      <c r="AX1490" s="3"/>
      <c r="AY1490" s="3"/>
      <c r="AZ1490" s="3"/>
      <c r="BA1490" s="3"/>
      <c r="BB1490" s="53"/>
      <c r="BC1490" s="3"/>
      <c r="BD1490" s="59"/>
      <c r="BE1490" s="3"/>
      <c r="BF1490" s="53"/>
      <c r="BG1490" s="65"/>
    </row>
    <row r="1491" spans="1:59" customFormat="1" ht="15" x14ac:dyDescent="0.35">
      <c r="A1491" s="50"/>
      <c r="B1491" s="63"/>
      <c r="C1491" s="39"/>
      <c r="D1491" s="6"/>
      <c r="E1491" s="149"/>
      <c r="F1491" s="153"/>
      <c r="G1491" s="10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12"/>
      <c r="X1491" s="33"/>
      <c r="Y1491" s="6"/>
      <c r="Z1491" s="6"/>
      <c r="AA1491" s="6"/>
      <c r="AB1491" s="6"/>
      <c r="AC1491" s="9"/>
      <c r="AD1491" s="9"/>
      <c r="AE1491" s="9"/>
      <c r="AF1491" s="9"/>
      <c r="AG1491" s="5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59"/>
      <c r="AR1491" s="21"/>
      <c r="AS1491" s="21"/>
      <c r="AT1491" s="3"/>
      <c r="AU1491" s="3"/>
      <c r="AV1491" s="3"/>
      <c r="AW1491" s="3"/>
      <c r="AX1491" s="3"/>
      <c r="AY1491" s="3"/>
      <c r="AZ1491" s="3"/>
      <c r="BA1491" s="3"/>
      <c r="BB1491" s="53"/>
      <c r="BC1491" s="3"/>
      <c r="BD1491" s="59"/>
      <c r="BE1491" s="3"/>
      <c r="BF1491" s="53"/>
      <c r="BG1491" s="59"/>
    </row>
    <row r="1492" spans="1:59" customFormat="1" ht="15" x14ac:dyDescent="0.35">
      <c r="A1492" s="50"/>
      <c r="B1492" s="63"/>
      <c r="C1492" s="39"/>
      <c r="D1492" s="6"/>
      <c r="E1492" s="149"/>
      <c r="F1492" s="153"/>
      <c r="G1492" s="10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5"/>
      <c r="V1492" s="5"/>
      <c r="W1492" s="13"/>
      <c r="X1492" s="4"/>
      <c r="Y1492" s="4"/>
      <c r="Z1492" s="4"/>
      <c r="AA1492" s="6"/>
      <c r="AB1492" s="5"/>
      <c r="AC1492" s="9"/>
      <c r="AD1492" s="9"/>
      <c r="AE1492" s="9"/>
      <c r="AF1492" s="9"/>
      <c r="AG1492" s="54"/>
      <c r="AH1492" s="3"/>
      <c r="AI1492" s="2"/>
      <c r="AJ1492" s="2"/>
      <c r="AK1492" s="2"/>
      <c r="AL1492" s="3"/>
      <c r="AM1492" s="3"/>
      <c r="AN1492" s="3"/>
      <c r="AO1492" s="3"/>
      <c r="AP1492" s="3"/>
      <c r="AQ1492" s="59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53"/>
      <c r="BC1492" s="3"/>
      <c r="BD1492" s="59"/>
      <c r="BE1492" s="3"/>
      <c r="BF1492" s="53"/>
      <c r="BG1492" s="59"/>
    </row>
    <row r="1493" spans="1:59" customFormat="1" ht="15" x14ac:dyDescent="0.35">
      <c r="A1493" s="50"/>
      <c r="B1493" s="63"/>
      <c r="C1493" s="39"/>
      <c r="D1493" s="6"/>
      <c r="E1493" s="149"/>
      <c r="F1493" s="153"/>
      <c r="G1493" s="10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5"/>
      <c r="V1493" s="5"/>
      <c r="W1493" s="13"/>
      <c r="X1493" s="4"/>
      <c r="Y1493" s="4"/>
      <c r="Z1493" s="4"/>
      <c r="AA1493" s="6"/>
      <c r="AB1493" s="5"/>
      <c r="AC1493" s="9"/>
      <c r="AD1493" s="9"/>
      <c r="AE1493" s="9"/>
      <c r="AF1493" s="9"/>
      <c r="AG1493" s="54"/>
      <c r="AH1493" s="3"/>
      <c r="AI1493" s="2"/>
      <c r="AJ1493" s="2"/>
      <c r="AK1493" s="2"/>
      <c r="AL1493" s="3"/>
      <c r="AM1493" s="3"/>
      <c r="AN1493" s="3"/>
      <c r="AO1493" s="3"/>
      <c r="AP1493" s="3"/>
      <c r="AQ1493" s="59"/>
      <c r="AR1493" s="21"/>
      <c r="AS1493" s="21"/>
      <c r="AT1493" s="3"/>
      <c r="AU1493" s="3"/>
      <c r="AV1493" s="3"/>
      <c r="AW1493" s="3"/>
      <c r="AX1493" s="3"/>
      <c r="AY1493" s="3"/>
      <c r="AZ1493" s="3"/>
      <c r="BA1493" s="3"/>
      <c r="BB1493" s="53"/>
      <c r="BC1493" s="3"/>
      <c r="BD1493" s="59"/>
      <c r="BE1493" s="3"/>
      <c r="BF1493" s="53"/>
      <c r="BG1493" s="59"/>
    </row>
    <row r="1494" spans="1:59" customFormat="1" ht="15" x14ac:dyDescent="0.35">
      <c r="A1494" s="50"/>
      <c r="B1494" s="63"/>
      <c r="C1494" s="39"/>
      <c r="D1494" s="6"/>
      <c r="E1494" s="149"/>
      <c r="F1494" s="153"/>
      <c r="G1494" s="10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12"/>
      <c r="X1494" s="33"/>
      <c r="Y1494" s="6"/>
      <c r="Z1494" s="6"/>
      <c r="AA1494" s="6"/>
      <c r="AB1494" s="6"/>
      <c r="AC1494" s="9"/>
      <c r="AD1494" s="9"/>
      <c r="AE1494" s="9"/>
      <c r="AF1494" s="9"/>
      <c r="AG1494" s="5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59"/>
      <c r="AR1494" s="21"/>
      <c r="AS1494" s="21"/>
      <c r="AT1494" s="3"/>
      <c r="AU1494" s="3"/>
      <c r="AV1494" s="3"/>
      <c r="AW1494" s="3"/>
      <c r="AX1494" s="3"/>
      <c r="AY1494" s="3"/>
      <c r="AZ1494" s="3"/>
      <c r="BA1494" s="3"/>
      <c r="BB1494" s="53"/>
      <c r="BC1494" s="3"/>
      <c r="BD1494" s="59"/>
      <c r="BE1494" s="3"/>
      <c r="BF1494" s="53"/>
      <c r="BG1494" s="59"/>
    </row>
    <row r="1495" spans="1:59" customFormat="1" ht="15" x14ac:dyDescent="0.35">
      <c r="A1495" s="19"/>
      <c r="B1495" s="49"/>
      <c r="C1495" s="39"/>
      <c r="D1495" s="1"/>
      <c r="E1495" s="149"/>
      <c r="F1495" s="153"/>
      <c r="G1495" s="10"/>
      <c r="H1495" s="17"/>
      <c r="I1495" s="17"/>
      <c r="J1495" s="17"/>
      <c r="K1495" s="30"/>
      <c r="L1495" s="30"/>
      <c r="M1495" s="30"/>
      <c r="N1495" s="30"/>
      <c r="O1495" s="30"/>
      <c r="P1495" s="30"/>
      <c r="Q1495" s="30"/>
      <c r="R1495" s="30"/>
      <c r="S1495" s="30"/>
      <c r="T1495" s="30"/>
      <c r="U1495" s="30"/>
      <c r="V1495" s="30"/>
      <c r="W1495" s="29"/>
      <c r="X1495" s="15"/>
      <c r="Y1495" s="30"/>
      <c r="Z1495" s="30"/>
      <c r="AA1495" s="30"/>
      <c r="AB1495" s="30"/>
      <c r="AC1495" s="17"/>
      <c r="AD1495" s="17"/>
      <c r="AE1495" s="17"/>
      <c r="AF1495" s="17"/>
      <c r="AG1495" s="20"/>
      <c r="AH1495" s="21"/>
      <c r="AI1495" s="21"/>
      <c r="AJ1495" s="21"/>
      <c r="AK1495" s="21"/>
      <c r="AL1495" s="21"/>
      <c r="AM1495" s="21"/>
      <c r="AN1495" s="21"/>
      <c r="AO1495" s="22"/>
      <c r="AP1495" s="21"/>
      <c r="AQ1495" s="24"/>
      <c r="AR1495" s="21"/>
      <c r="AS1495" s="21"/>
      <c r="AT1495" s="21"/>
      <c r="AU1495" s="21"/>
      <c r="AV1495" s="21"/>
      <c r="AW1495" s="21"/>
      <c r="AX1495" s="22"/>
      <c r="AY1495" s="21"/>
      <c r="AZ1495" s="22"/>
      <c r="BA1495" s="21"/>
      <c r="BB1495" s="20"/>
      <c r="BC1495" s="21"/>
      <c r="BD1495" s="25"/>
      <c r="BE1495" s="26"/>
      <c r="BF1495" s="27"/>
      <c r="BG1495" s="28"/>
    </row>
    <row r="1496" spans="1:59" customFormat="1" ht="15" x14ac:dyDescent="0.35">
      <c r="A1496" s="50"/>
      <c r="B1496" s="63"/>
      <c r="C1496" s="39"/>
      <c r="D1496" s="6"/>
      <c r="E1496" s="149"/>
      <c r="F1496" s="153"/>
      <c r="G1496" s="10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12"/>
      <c r="X1496" s="33"/>
      <c r="Y1496" s="6"/>
      <c r="Z1496" s="6"/>
      <c r="AA1496" s="6"/>
      <c r="AB1496" s="6"/>
      <c r="AC1496" s="9"/>
      <c r="AD1496" s="9"/>
      <c r="AE1496" s="9"/>
      <c r="AF1496" s="9"/>
      <c r="AG1496" s="5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59"/>
      <c r="AR1496" s="21"/>
      <c r="AS1496" s="21"/>
      <c r="AT1496" s="3"/>
      <c r="AU1496" s="3"/>
      <c r="AV1496" s="3"/>
      <c r="AW1496" s="3"/>
      <c r="AX1496" s="3"/>
      <c r="AY1496" s="3"/>
      <c r="AZ1496" s="3"/>
      <c r="BA1496" s="3"/>
      <c r="BB1496" s="53"/>
      <c r="BC1496" s="3"/>
      <c r="BD1496" s="59"/>
      <c r="BE1496" s="3"/>
      <c r="BF1496" s="53"/>
      <c r="BG1496" s="59"/>
    </row>
    <row r="1497" spans="1:59" customFormat="1" ht="15" x14ac:dyDescent="0.35">
      <c r="A1497" s="50"/>
      <c r="B1497" s="63"/>
      <c r="C1497" s="39"/>
      <c r="D1497" s="6"/>
      <c r="E1497" s="149"/>
      <c r="F1497" s="153"/>
      <c r="G1497" s="10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5"/>
      <c r="V1497" s="5"/>
      <c r="W1497" s="13"/>
      <c r="X1497" s="4"/>
      <c r="Y1497" s="4"/>
      <c r="Z1497" s="4"/>
      <c r="AA1497" s="6"/>
      <c r="AB1497" s="5"/>
      <c r="AC1497" s="9"/>
      <c r="AD1497" s="9"/>
      <c r="AE1497" s="9"/>
      <c r="AF1497" s="9"/>
      <c r="AG1497" s="54"/>
      <c r="AH1497" s="3"/>
      <c r="AI1497" s="2"/>
      <c r="AJ1497" s="2"/>
      <c r="AK1497" s="2"/>
      <c r="AL1497" s="3"/>
      <c r="AM1497" s="3"/>
      <c r="AN1497" s="3"/>
      <c r="AO1497" s="3"/>
      <c r="AP1497" s="3"/>
      <c r="AQ1497" s="59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53"/>
      <c r="BC1497" s="3"/>
      <c r="BD1497" s="59"/>
      <c r="BE1497" s="3"/>
      <c r="BF1497" s="53"/>
      <c r="BG1497" s="59"/>
    </row>
    <row r="1498" spans="1:59" customFormat="1" ht="15" x14ac:dyDescent="0.35">
      <c r="A1498" s="50"/>
      <c r="B1498" s="63"/>
      <c r="C1498" s="39"/>
      <c r="D1498" s="6"/>
      <c r="E1498" s="149"/>
      <c r="F1498" s="153"/>
      <c r="G1498" s="10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12"/>
      <c r="X1498" s="33"/>
      <c r="Y1498" s="6"/>
      <c r="Z1498" s="6"/>
      <c r="AA1498" s="6"/>
      <c r="AB1498" s="6"/>
      <c r="AC1498" s="9"/>
      <c r="AD1498" s="9"/>
      <c r="AE1498" s="9"/>
      <c r="AF1498" s="9"/>
      <c r="AG1498" s="5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59"/>
      <c r="AR1498" s="21"/>
      <c r="AS1498" s="21"/>
      <c r="AT1498" s="3"/>
      <c r="AU1498" s="3"/>
      <c r="AV1498" s="3"/>
      <c r="AW1498" s="3"/>
      <c r="AX1498" s="3"/>
      <c r="AY1498" s="3"/>
      <c r="AZ1498" s="3"/>
      <c r="BA1498" s="3"/>
      <c r="BB1498" s="53"/>
      <c r="BC1498" s="3"/>
      <c r="BD1498" s="59"/>
      <c r="BE1498" s="3"/>
      <c r="BF1498" s="53"/>
      <c r="BG1498" s="59"/>
    </row>
    <row r="1499" spans="1:59" customFormat="1" ht="15" x14ac:dyDescent="0.35">
      <c r="A1499" s="19"/>
      <c r="B1499" s="49"/>
      <c r="C1499" s="14"/>
      <c r="D1499" s="1"/>
      <c r="E1499" s="149"/>
      <c r="F1499" s="153"/>
      <c r="G1499" s="10"/>
      <c r="H1499" s="17"/>
      <c r="I1499" s="17"/>
      <c r="J1499" s="17"/>
      <c r="K1499" s="30"/>
      <c r="L1499" s="30"/>
      <c r="M1499" s="30"/>
      <c r="N1499" s="30"/>
      <c r="O1499" s="30"/>
      <c r="P1499" s="30"/>
      <c r="Q1499" s="30"/>
      <c r="R1499" s="30"/>
      <c r="S1499" s="30"/>
      <c r="T1499" s="30"/>
      <c r="U1499" s="30"/>
      <c r="V1499" s="30"/>
      <c r="W1499" s="29"/>
      <c r="X1499" s="15"/>
      <c r="Y1499" s="30"/>
      <c r="Z1499" s="30"/>
      <c r="AA1499" s="30"/>
      <c r="AB1499" s="30"/>
      <c r="AC1499" s="17"/>
      <c r="AD1499" s="17"/>
      <c r="AE1499" s="17"/>
      <c r="AF1499" s="17"/>
      <c r="AG1499" s="20"/>
      <c r="AH1499" s="21"/>
      <c r="AI1499" s="21"/>
      <c r="AJ1499" s="21"/>
      <c r="AK1499" s="21"/>
      <c r="AL1499" s="21"/>
      <c r="AM1499" s="21"/>
      <c r="AN1499" s="21"/>
      <c r="AO1499" s="22"/>
      <c r="AP1499" s="21"/>
      <c r="AQ1499" s="24"/>
      <c r="AR1499" s="21"/>
      <c r="AS1499" s="21"/>
      <c r="AT1499" s="21"/>
      <c r="AU1499" s="21"/>
      <c r="AV1499" s="21"/>
      <c r="AW1499" s="21"/>
      <c r="AX1499" s="22"/>
      <c r="AY1499" s="21"/>
      <c r="AZ1499" s="22"/>
      <c r="BA1499" s="21"/>
      <c r="BB1499" s="20"/>
      <c r="BC1499" s="21"/>
      <c r="BD1499" s="25"/>
      <c r="BE1499" s="26"/>
      <c r="BF1499" s="27"/>
      <c r="BG1499" s="28"/>
    </row>
    <row r="1500" spans="1:59" customFormat="1" ht="15" x14ac:dyDescent="0.35">
      <c r="A1500" s="50"/>
      <c r="B1500" s="63"/>
      <c r="C1500" s="39"/>
      <c r="D1500" s="6"/>
      <c r="E1500" s="149"/>
      <c r="F1500" s="153"/>
      <c r="G1500" s="10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12"/>
      <c r="X1500" s="33"/>
      <c r="Y1500" s="6"/>
      <c r="Z1500" s="6"/>
      <c r="AA1500" s="6"/>
      <c r="AB1500" s="6"/>
      <c r="AC1500" s="9"/>
      <c r="AD1500" s="9"/>
      <c r="AE1500" s="9"/>
      <c r="AF1500" s="9"/>
      <c r="AG1500" s="5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59"/>
      <c r="AR1500" s="21"/>
      <c r="AS1500" s="21"/>
      <c r="AT1500" s="3"/>
      <c r="AU1500" s="3"/>
      <c r="AV1500" s="3"/>
      <c r="AW1500" s="3"/>
      <c r="AX1500" s="3"/>
      <c r="AY1500" s="3"/>
      <c r="AZ1500" s="3"/>
      <c r="BA1500" s="3"/>
      <c r="BB1500" s="53"/>
      <c r="BC1500" s="3"/>
      <c r="BD1500" s="59"/>
      <c r="BE1500" s="3"/>
      <c r="BF1500" s="53"/>
      <c r="BG1500" s="59"/>
    </row>
    <row r="1501" spans="1:59" customFormat="1" ht="15" x14ac:dyDescent="0.35">
      <c r="A1501" s="50"/>
      <c r="B1501" s="63"/>
      <c r="C1501" s="39"/>
      <c r="D1501" s="6"/>
      <c r="E1501" s="149"/>
      <c r="F1501" s="153"/>
      <c r="G1501" s="10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12"/>
      <c r="X1501" s="33"/>
      <c r="Y1501" s="6"/>
      <c r="Z1501" s="6"/>
      <c r="AA1501" s="6"/>
      <c r="AB1501" s="6"/>
      <c r="AC1501" s="9"/>
      <c r="AD1501" s="9"/>
      <c r="AE1501" s="9"/>
      <c r="AF1501" s="9"/>
      <c r="AG1501" s="5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59"/>
      <c r="AR1501" s="21"/>
      <c r="AS1501" s="21"/>
      <c r="AT1501" s="3"/>
      <c r="AU1501" s="3"/>
      <c r="AV1501" s="3"/>
      <c r="AW1501" s="3"/>
      <c r="AX1501" s="3"/>
      <c r="AY1501" s="3"/>
      <c r="AZ1501" s="3"/>
      <c r="BA1501" s="3"/>
      <c r="BB1501" s="53"/>
      <c r="BC1501" s="3"/>
      <c r="BD1501" s="59"/>
      <c r="BE1501" s="3"/>
      <c r="BF1501" s="53"/>
      <c r="BG1501" s="59"/>
    </row>
    <row r="1502" spans="1:59" customFormat="1" ht="15" x14ac:dyDescent="0.35">
      <c r="A1502" s="50"/>
      <c r="B1502" s="63"/>
      <c r="C1502" s="39"/>
      <c r="D1502" s="6"/>
      <c r="E1502" s="149"/>
      <c r="F1502" s="153"/>
      <c r="G1502" s="10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5"/>
      <c r="V1502" s="5"/>
      <c r="W1502" s="13"/>
      <c r="X1502" s="4"/>
      <c r="Y1502" s="4"/>
      <c r="Z1502" s="4"/>
      <c r="AA1502" s="6"/>
      <c r="AB1502" s="5"/>
      <c r="AC1502" s="9"/>
      <c r="AD1502" s="9"/>
      <c r="AE1502" s="9"/>
      <c r="AF1502" s="9"/>
      <c r="AG1502" s="54"/>
      <c r="AH1502" s="3"/>
      <c r="AI1502" s="2"/>
      <c r="AJ1502" s="2"/>
      <c r="AK1502" s="2"/>
      <c r="AL1502" s="3"/>
      <c r="AM1502" s="3"/>
      <c r="AN1502" s="3"/>
      <c r="AO1502" s="3"/>
      <c r="AP1502" s="3"/>
      <c r="AQ1502" s="59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53"/>
      <c r="BC1502" s="3"/>
      <c r="BD1502" s="59"/>
      <c r="BE1502" s="3"/>
      <c r="BF1502" s="53"/>
      <c r="BG1502" s="59"/>
    </row>
    <row r="1503" spans="1:59" customFormat="1" ht="15" x14ac:dyDescent="0.35">
      <c r="A1503" s="50"/>
      <c r="B1503" s="63"/>
      <c r="C1503" s="39"/>
      <c r="D1503" s="6"/>
      <c r="E1503" s="149"/>
      <c r="F1503" s="153"/>
      <c r="G1503" s="10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5"/>
      <c r="V1503" s="5"/>
      <c r="W1503" s="13"/>
      <c r="X1503" s="4"/>
      <c r="Y1503" s="4"/>
      <c r="Z1503" s="4"/>
      <c r="AA1503" s="6"/>
      <c r="AB1503" s="5"/>
      <c r="AC1503" s="9"/>
      <c r="AD1503" s="9"/>
      <c r="AE1503" s="9"/>
      <c r="AF1503" s="9"/>
      <c r="AG1503" s="54"/>
      <c r="AH1503" s="3"/>
      <c r="AI1503" s="2"/>
      <c r="AJ1503" s="2"/>
      <c r="AK1503" s="2"/>
      <c r="AL1503" s="3"/>
      <c r="AM1503" s="3"/>
      <c r="AN1503" s="3"/>
      <c r="AO1503" s="3"/>
      <c r="AP1503" s="3"/>
      <c r="AQ1503" s="59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53"/>
      <c r="BC1503" s="3"/>
      <c r="BD1503" s="59"/>
      <c r="BE1503" s="3"/>
      <c r="BF1503" s="53"/>
      <c r="BG1503" s="59"/>
    </row>
    <row r="1504" spans="1:59" customFormat="1" ht="15" x14ac:dyDescent="0.35">
      <c r="A1504" s="19"/>
      <c r="B1504" s="49"/>
      <c r="C1504" s="39"/>
      <c r="D1504" s="1"/>
      <c r="E1504" s="149"/>
      <c r="F1504" s="153"/>
      <c r="G1504" s="10"/>
      <c r="H1504" s="17"/>
      <c r="I1504" s="17"/>
      <c r="J1504" s="17"/>
      <c r="K1504" s="30"/>
      <c r="L1504" s="30"/>
      <c r="M1504" s="30"/>
      <c r="N1504" s="30"/>
      <c r="O1504" s="30"/>
      <c r="P1504" s="30"/>
      <c r="Q1504" s="30"/>
      <c r="R1504" s="30"/>
      <c r="S1504" s="30"/>
      <c r="T1504" s="30"/>
      <c r="U1504" s="30"/>
      <c r="V1504" s="30"/>
      <c r="W1504" s="29"/>
      <c r="X1504" s="15"/>
      <c r="Y1504" s="30"/>
      <c r="Z1504" s="30"/>
      <c r="AA1504" s="30"/>
      <c r="AB1504" s="30"/>
      <c r="AC1504" s="17"/>
      <c r="AD1504" s="17"/>
      <c r="AE1504" s="17"/>
      <c r="AF1504" s="17"/>
      <c r="AG1504" s="20"/>
      <c r="AH1504" s="21"/>
      <c r="AI1504" s="21"/>
      <c r="AJ1504" s="21"/>
      <c r="AK1504" s="21"/>
      <c r="AL1504" s="21"/>
      <c r="AM1504" s="21"/>
      <c r="AN1504" s="21"/>
      <c r="AO1504" s="22"/>
      <c r="AP1504" s="21"/>
      <c r="AQ1504" s="24"/>
      <c r="AR1504" s="21"/>
      <c r="AS1504" s="21"/>
      <c r="AT1504" s="21"/>
      <c r="AU1504" s="21"/>
      <c r="AV1504" s="21"/>
      <c r="AW1504" s="21"/>
      <c r="AX1504" s="22"/>
      <c r="AY1504" s="21"/>
      <c r="AZ1504" s="22"/>
      <c r="BA1504" s="21"/>
      <c r="BB1504" s="20"/>
      <c r="BC1504" s="21"/>
      <c r="BD1504" s="25"/>
      <c r="BE1504" s="26"/>
      <c r="BF1504" s="27"/>
      <c r="BG1504" s="28"/>
    </row>
    <row r="1505" spans="1:59" customFormat="1" ht="15" x14ac:dyDescent="0.35">
      <c r="A1505" s="50"/>
      <c r="B1505" s="63"/>
      <c r="C1505" s="39"/>
      <c r="D1505" s="6"/>
      <c r="E1505" s="149"/>
      <c r="F1505" s="153"/>
      <c r="G1505" s="10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12"/>
      <c r="X1505" s="33"/>
      <c r="Y1505" s="6"/>
      <c r="Z1505" s="6"/>
      <c r="AA1505" s="6"/>
      <c r="AB1505" s="6"/>
      <c r="AC1505" s="9"/>
      <c r="AD1505" s="9"/>
      <c r="AE1505" s="9"/>
      <c r="AF1505" s="9"/>
      <c r="AG1505" s="5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59"/>
      <c r="AR1505" s="21"/>
      <c r="AS1505" s="21"/>
      <c r="AT1505" s="3"/>
      <c r="AU1505" s="3"/>
      <c r="AV1505" s="3"/>
      <c r="AW1505" s="3"/>
      <c r="AX1505" s="3"/>
      <c r="AY1505" s="3"/>
      <c r="AZ1505" s="3"/>
      <c r="BA1505" s="3"/>
      <c r="BB1505" s="53"/>
      <c r="BC1505" s="3"/>
      <c r="BD1505" s="59"/>
      <c r="BE1505" s="3"/>
      <c r="BF1505" s="53"/>
      <c r="BG1505" s="59"/>
    </row>
    <row r="1506" spans="1:59" customFormat="1" ht="15" x14ac:dyDescent="0.35">
      <c r="A1506" s="50"/>
      <c r="B1506" s="63"/>
      <c r="C1506" s="39"/>
      <c r="D1506" s="6"/>
      <c r="E1506" s="149"/>
      <c r="F1506" s="153"/>
      <c r="G1506" s="10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12"/>
      <c r="X1506" s="33"/>
      <c r="Y1506" s="6"/>
      <c r="Z1506" s="6"/>
      <c r="AA1506" s="6"/>
      <c r="AB1506" s="6"/>
      <c r="AC1506" s="9"/>
      <c r="AD1506" s="9"/>
      <c r="AE1506" s="9"/>
      <c r="AF1506" s="9"/>
      <c r="AG1506" s="5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59"/>
      <c r="AR1506" s="21"/>
      <c r="AS1506" s="21"/>
      <c r="AT1506" s="3"/>
      <c r="AU1506" s="3"/>
      <c r="AV1506" s="3"/>
      <c r="AW1506" s="3"/>
      <c r="AX1506" s="3"/>
      <c r="AY1506" s="3"/>
      <c r="AZ1506" s="3"/>
      <c r="BA1506" s="3"/>
      <c r="BB1506" s="53"/>
      <c r="BC1506" s="3"/>
      <c r="BD1506" s="59"/>
      <c r="BE1506" s="3"/>
      <c r="BF1506" s="53"/>
      <c r="BG1506" s="59"/>
    </row>
    <row r="1507" spans="1:59" customFormat="1" ht="15" x14ac:dyDescent="0.35">
      <c r="A1507" s="50"/>
      <c r="B1507" s="63"/>
      <c r="C1507" s="39"/>
      <c r="D1507" s="6"/>
      <c r="E1507" s="149"/>
      <c r="F1507" s="153"/>
      <c r="G1507" s="10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5"/>
      <c r="V1507" s="5"/>
      <c r="W1507" s="13"/>
      <c r="X1507" s="4"/>
      <c r="Y1507" s="4"/>
      <c r="Z1507" s="4"/>
      <c r="AA1507" s="6"/>
      <c r="AB1507" s="5"/>
      <c r="AC1507" s="9"/>
      <c r="AD1507" s="9"/>
      <c r="AE1507" s="9"/>
      <c r="AF1507" s="9"/>
      <c r="AG1507" s="54"/>
      <c r="AH1507" s="3"/>
      <c r="AI1507" s="2"/>
      <c r="AJ1507" s="2"/>
      <c r="AK1507" s="2"/>
      <c r="AL1507" s="3"/>
      <c r="AM1507" s="3"/>
      <c r="AN1507" s="3"/>
      <c r="AO1507" s="3"/>
      <c r="AP1507" s="3"/>
      <c r="AQ1507" s="59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53"/>
      <c r="BC1507" s="3"/>
      <c r="BD1507" s="59"/>
      <c r="BE1507" s="3"/>
      <c r="BF1507" s="53"/>
      <c r="BG1507" s="59"/>
    </row>
    <row r="1508" spans="1:59" customFormat="1" ht="15" x14ac:dyDescent="0.35">
      <c r="A1508" s="50"/>
      <c r="B1508" s="63"/>
      <c r="C1508" s="39"/>
      <c r="D1508" s="6"/>
      <c r="E1508" s="149"/>
      <c r="F1508" s="153"/>
      <c r="G1508" s="10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5"/>
      <c r="V1508" s="5"/>
      <c r="W1508" s="13"/>
      <c r="X1508" s="4"/>
      <c r="Y1508" s="4"/>
      <c r="Z1508" s="4"/>
      <c r="AA1508" s="6"/>
      <c r="AB1508" s="5"/>
      <c r="AC1508" s="9"/>
      <c r="AD1508" s="9"/>
      <c r="AE1508" s="9"/>
      <c r="AF1508" s="9"/>
      <c r="AG1508" s="54"/>
      <c r="AH1508" s="3"/>
      <c r="AI1508" s="2"/>
      <c r="AJ1508" s="2"/>
      <c r="AK1508" s="2"/>
      <c r="AL1508" s="3"/>
      <c r="AM1508" s="3"/>
      <c r="AN1508" s="3"/>
      <c r="AO1508" s="3"/>
      <c r="AP1508" s="3"/>
      <c r="AQ1508" s="59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53"/>
      <c r="BC1508" s="3"/>
      <c r="BD1508" s="59"/>
      <c r="BE1508" s="3"/>
      <c r="BF1508" s="53"/>
      <c r="BG1508" s="59"/>
    </row>
    <row r="1509" spans="1:59" customFormat="1" ht="15" x14ac:dyDescent="0.35">
      <c r="A1509" s="19"/>
      <c r="B1509" s="49"/>
      <c r="C1509" s="14"/>
      <c r="D1509" s="1"/>
      <c r="E1509" s="149"/>
      <c r="F1509" s="153"/>
      <c r="G1509" s="10"/>
      <c r="H1509" s="17"/>
      <c r="I1509" s="17"/>
      <c r="J1509" s="17"/>
      <c r="K1509" s="30"/>
      <c r="L1509" s="30"/>
      <c r="M1509" s="30"/>
      <c r="N1509" s="30"/>
      <c r="O1509" s="30"/>
      <c r="P1509" s="30"/>
      <c r="Q1509" s="30"/>
      <c r="R1509" s="30"/>
      <c r="S1509" s="30"/>
      <c r="T1509" s="30"/>
      <c r="U1509" s="30"/>
      <c r="V1509" s="30"/>
      <c r="W1509" s="29"/>
      <c r="X1509" s="15"/>
      <c r="Y1509" s="30"/>
      <c r="Z1509" s="30"/>
      <c r="AA1509" s="30"/>
      <c r="AB1509" s="30"/>
      <c r="AC1509" s="17"/>
      <c r="AD1509" s="17"/>
      <c r="AE1509" s="17"/>
      <c r="AF1509" s="17"/>
      <c r="AG1509" s="20"/>
      <c r="AH1509" s="21"/>
      <c r="AI1509" s="21"/>
      <c r="AJ1509" s="21"/>
      <c r="AK1509" s="21"/>
      <c r="AL1509" s="21"/>
      <c r="AM1509" s="21"/>
      <c r="AN1509" s="21"/>
      <c r="AO1509" s="22"/>
      <c r="AP1509" s="21"/>
      <c r="AQ1509" s="24"/>
      <c r="AR1509" s="21"/>
      <c r="AS1509" s="21"/>
      <c r="AT1509" s="21"/>
      <c r="AU1509" s="21"/>
      <c r="AV1509" s="21"/>
      <c r="AW1509" s="21"/>
      <c r="AX1509" s="22"/>
      <c r="AY1509" s="21"/>
      <c r="AZ1509" s="22"/>
      <c r="BA1509" s="21"/>
      <c r="BB1509" s="20"/>
      <c r="BC1509" s="21"/>
      <c r="BD1509" s="25"/>
      <c r="BE1509" s="26"/>
      <c r="BF1509" s="27"/>
      <c r="BG1509" s="28"/>
    </row>
    <row r="1510" spans="1:59" customFormat="1" ht="15" x14ac:dyDescent="0.35">
      <c r="A1510" s="50"/>
      <c r="B1510" s="63"/>
      <c r="C1510" s="39"/>
      <c r="D1510" s="6"/>
      <c r="E1510" s="149"/>
      <c r="F1510" s="153"/>
      <c r="G1510" s="10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12"/>
      <c r="X1510" s="33"/>
      <c r="Y1510" s="6"/>
      <c r="Z1510" s="6"/>
      <c r="AA1510" s="6"/>
      <c r="AB1510" s="6"/>
      <c r="AC1510" s="9"/>
      <c r="AD1510" s="9"/>
      <c r="AE1510" s="9"/>
      <c r="AF1510" s="9"/>
      <c r="AG1510" s="5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59"/>
      <c r="AR1510" s="21"/>
      <c r="AS1510" s="21"/>
      <c r="AT1510" s="3"/>
      <c r="AU1510" s="3"/>
      <c r="AV1510" s="3"/>
      <c r="AW1510" s="3"/>
      <c r="AX1510" s="3"/>
      <c r="AY1510" s="3"/>
      <c r="AZ1510" s="3"/>
      <c r="BA1510" s="3"/>
      <c r="BB1510" s="53"/>
      <c r="BC1510" s="3"/>
      <c r="BD1510" s="59"/>
      <c r="BE1510" s="3"/>
      <c r="BF1510" s="53"/>
      <c r="BG1510" s="59"/>
    </row>
    <row r="1511" spans="1:59" customFormat="1" ht="15" x14ac:dyDescent="0.35">
      <c r="A1511" s="50"/>
      <c r="B1511" s="63"/>
      <c r="C1511" s="39"/>
      <c r="D1511" s="6"/>
      <c r="E1511" s="149"/>
      <c r="F1511" s="153"/>
      <c r="G1511" s="10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5"/>
      <c r="V1511" s="5"/>
      <c r="W1511" s="13"/>
      <c r="X1511" s="4"/>
      <c r="Y1511" s="4"/>
      <c r="Z1511" s="4"/>
      <c r="AA1511" s="6"/>
      <c r="AB1511" s="5"/>
      <c r="AC1511" s="9"/>
      <c r="AD1511" s="9"/>
      <c r="AE1511" s="9"/>
      <c r="AF1511" s="9"/>
      <c r="AG1511" s="54"/>
      <c r="AH1511" s="3"/>
      <c r="AI1511" s="2"/>
      <c r="AJ1511" s="2"/>
      <c r="AK1511" s="2"/>
      <c r="AL1511" s="3"/>
      <c r="AM1511" s="3"/>
      <c r="AN1511" s="3"/>
      <c r="AO1511" s="3"/>
      <c r="AP1511" s="3"/>
      <c r="AQ1511" s="59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53"/>
      <c r="BC1511" s="3"/>
      <c r="BD1511" s="59"/>
      <c r="BE1511" s="3"/>
      <c r="BF1511" s="53"/>
      <c r="BG1511" s="59"/>
    </row>
    <row r="1512" spans="1:59" customFormat="1" ht="15" x14ac:dyDescent="0.35">
      <c r="A1512" s="50"/>
      <c r="B1512" s="63"/>
      <c r="C1512" s="39"/>
      <c r="D1512" s="6"/>
      <c r="E1512" s="149"/>
      <c r="F1512" s="153"/>
      <c r="G1512" s="10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5"/>
      <c r="V1512" s="5"/>
      <c r="W1512" s="13"/>
      <c r="X1512" s="4"/>
      <c r="Y1512" s="4"/>
      <c r="Z1512" s="4"/>
      <c r="AA1512" s="6"/>
      <c r="AB1512" s="5"/>
      <c r="AC1512" s="9"/>
      <c r="AD1512" s="9"/>
      <c r="AE1512" s="9"/>
      <c r="AF1512" s="9"/>
      <c r="AG1512" s="54"/>
      <c r="AH1512" s="3"/>
      <c r="AI1512" s="2"/>
      <c r="AJ1512" s="2"/>
      <c r="AK1512" s="2"/>
      <c r="AL1512" s="3"/>
      <c r="AM1512" s="3"/>
      <c r="AN1512" s="3"/>
      <c r="AO1512" s="3"/>
      <c r="AP1512" s="3"/>
      <c r="AQ1512" s="59"/>
      <c r="AR1512" s="21"/>
      <c r="AS1512" s="21"/>
      <c r="AT1512" s="3"/>
      <c r="AU1512" s="3"/>
      <c r="AV1512" s="3"/>
      <c r="AW1512" s="3"/>
      <c r="AX1512" s="3"/>
      <c r="AY1512" s="3"/>
      <c r="AZ1512" s="3"/>
      <c r="BA1512" s="3"/>
      <c r="BB1512" s="53"/>
      <c r="BC1512" s="3"/>
      <c r="BD1512" s="59"/>
      <c r="BE1512" s="3"/>
      <c r="BF1512" s="53"/>
      <c r="BG1512" s="59"/>
    </row>
    <row r="1513" spans="1:59" customFormat="1" ht="15" x14ac:dyDescent="0.35">
      <c r="A1513" s="19"/>
      <c r="B1513" s="49"/>
      <c r="C1513" s="14"/>
      <c r="D1513" s="1"/>
      <c r="E1513" s="149"/>
      <c r="F1513" s="153"/>
      <c r="G1513" s="10"/>
      <c r="H1513" s="17"/>
      <c r="I1513" s="17"/>
      <c r="J1513" s="17"/>
      <c r="K1513" s="30"/>
      <c r="L1513" s="30"/>
      <c r="M1513" s="30"/>
      <c r="N1513" s="30"/>
      <c r="O1513" s="30"/>
      <c r="P1513" s="30"/>
      <c r="Q1513" s="30"/>
      <c r="R1513" s="30"/>
      <c r="S1513" s="30"/>
      <c r="T1513" s="30"/>
      <c r="U1513" s="30"/>
      <c r="V1513" s="30"/>
      <c r="W1513" s="29"/>
      <c r="X1513" s="15"/>
      <c r="Y1513" s="30"/>
      <c r="Z1513" s="30"/>
      <c r="AA1513" s="30"/>
      <c r="AB1513" s="30"/>
      <c r="AC1513" s="17"/>
      <c r="AD1513" s="17"/>
      <c r="AE1513" s="17"/>
      <c r="AF1513" s="17"/>
      <c r="AG1513" s="20"/>
      <c r="AH1513" s="21"/>
      <c r="AI1513" s="21"/>
      <c r="AJ1513" s="21"/>
      <c r="AK1513" s="21"/>
      <c r="AL1513" s="21"/>
      <c r="AM1513" s="21"/>
      <c r="AN1513" s="21"/>
      <c r="AO1513" s="22"/>
      <c r="AP1513" s="21"/>
      <c r="AQ1513" s="24"/>
      <c r="AR1513" s="21"/>
      <c r="AS1513" s="21"/>
      <c r="AT1513" s="21"/>
      <c r="AU1513" s="21"/>
      <c r="AV1513" s="21"/>
      <c r="AW1513" s="21"/>
      <c r="AX1513" s="22"/>
      <c r="AY1513" s="21"/>
      <c r="AZ1513" s="22"/>
      <c r="BA1513" s="21"/>
      <c r="BB1513" s="20"/>
      <c r="BC1513" s="21"/>
      <c r="BD1513" s="25"/>
      <c r="BE1513" s="26"/>
      <c r="BF1513" s="27"/>
      <c r="BG1513" s="28"/>
    </row>
    <row r="1514" spans="1:59" customFormat="1" ht="15" x14ac:dyDescent="0.35">
      <c r="A1514" s="19"/>
      <c r="B1514" s="49"/>
      <c r="C1514" s="14"/>
      <c r="D1514" s="1"/>
      <c r="E1514" s="149"/>
      <c r="F1514" s="153"/>
      <c r="G1514" s="10"/>
      <c r="H1514" s="17"/>
      <c r="I1514" s="17"/>
      <c r="J1514" s="17"/>
      <c r="K1514" s="30"/>
      <c r="L1514" s="30"/>
      <c r="M1514" s="30"/>
      <c r="N1514" s="30"/>
      <c r="O1514" s="30"/>
      <c r="P1514" s="30"/>
      <c r="Q1514" s="30"/>
      <c r="R1514" s="30"/>
      <c r="S1514" s="30"/>
      <c r="T1514" s="30"/>
      <c r="U1514" s="30"/>
      <c r="V1514" s="30"/>
      <c r="W1514" s="29"/>
      <c r="X1514" s="15"/>
      <c r="Y1514" s="30"/>
      <c r="Z1514" s="30"/>
      <c r="AA1514" s="30"/>
      <c r="AB1514" s="30"/>
      <c r="AC1514" s="17"/>
      <c r="AD1514" s="17"/>
      <c r="AE1514" s="17"/>
      <c r="AF1514" s="17"/>
      <c r="AG1514" s="20"/>
      <c r="AH1514" s="21"/>
      <c r="AI1514" s="21"/>
      <c r="AJ1514" s="21"/>
      <c r="AK1514" s="21"/>
      <c r="AL1514" s="21"/>
      <c r="AM1514" s="21"/>
      <c r="AN1514" s="21"/>
      <c r="AO1514" s="22"/>
      <c r="AP1514" s="21"/>
      <c r="AQ1514" s="24"/>
      <c r="AR1514" s="21"/>
      <c r="AS1514" s="21"/>
      <c r="AT1514" s="21"/>
      <c r="AU1514" s="21"/>
      <c r="AV1514" s="21"/>
      <c r="AW1514" s="21"/>
      <c r="AX1514" s="22"/>
      <c r="AY1514" s="21"/>
      <c r="AZ1514" s="22"/>
      <c r="BA1514" s="21"/>
      <c r="BB1514" s="20"/>
      <c r="BC1514" s="21"/>
      <c r="BD1514" s="25"/>
      <c r="BE1514" s="26"/>
      <c r="BF1514" s="27"/>
      <c r="BG1514" s="28"/>
    </row>
    <row r="1515" spans="1:59" customFormat="1" ht="15" x14ac:dyDescent="0.35">
      <c r="A1515" s="50"/>
      <c r="B1515" s="63"/>
      <c r="C1515" s="39"/>
      <c r="D1515" s="6"/>
      <c r="E1515" s="149"/>
      <c r="F1515" s="153"/>
      <c r="G1515" s="10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12"/>
      <c r="X1515" s="33"/>
      <c r="Y1515" s="6"/>
      <c r="Z1515" s="6"/>
      <c r="AA1515" s="6"/>
      <c r="AB1515" s="6"/>
      <c r="AC1515" s="9"/>
      <c r="AD1515" s="9"/>
      <c r="AE1515" s="9"/>
      <c r="AF1515" s="9"/>
      <c r="AG1515" s="5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59"/>
      <c r="AR1515" s="21"/>
      <c r="AS1515" s="21"/>
      <c r="AT1515" s="3"/>
      <c r="AU1515" s="3"/>
      <c r="AV1515" s="3"/>
      <c r="AW1515" s="3"/>
      <c r="AX1515" s="3"/>
      <c r="AY1515" s="3"/>
      <c r="AZ1515" s="3"/>
      <c r="BA1515" s="3"/>
      <c r="BB1515" s="53"/>
      <c r="BC1515" s="3"/>
      <c r="BD1515" s="59"/>
      <c r="BE1515" s="3"/>
      <c r="BF1515" s="53"/>
      <c r="BG1515" s="59"/>
    </row>
    <row r="1516" spans="1:59" customFormat="1" ht="15" x14ac:dyDescent="0.35">
      <c r="A1516" s="50"/>
      <c r="B1516" s="63"/>
      <c r="C1516" s="39"/>
      <c r="D1516" s="6"/>
      <c r="E1516" s="149"/>
      <c r="F1516" s="153"/>
      <c r="G1516" s="10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12"/>
      <c r="X1516" s="33"/>
      <c r="Y1516" s="6"/>
      <c r="Z1516" s="6"/>
      <c r="AA1516" s="6"/>
      <c r="AB1516" s="6"/>
      <c r="AC1516" s="9"/>
      <c r="AD1516" s="9"/>
      <c r="AE1516" s="9"/>
      <c r="AF1516" s="9"/>
      <c r="AG1516" s="5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59"/>
      <c r="AR1516" s="21"/>
      <c r="AS1516" s="21"/>
      <c r="AT1516" s="3"/>
      <c r="AU1516" s="3"/>
      <c r="AV1516" s="3"/>
      <c r="AW1516" s="3"/>
      <c r="AX1516" s="3"/>
      <c r="AY1516" s="3"/>
      <c r="AZ1516" s="3"/>
      <c r="BA1516" s="3"/>
      <c r="BB1516" s="53"/>
      <c r="BC1516" s="3"/>
      <c r="BD1516" s="59"/>
      <c r="BE1516" s="3"/>
      <c r="BF1516" s="53"/>
      <c r="BG1516" s="59"/>
    </row>
    <row r="1517" spans="1:59" customFormat="1" ht="15" x14ac:dyDescent="0.35">
      <c r="A1517" s="19"/>
      <c r="B1517" s="49"/>
      <c r="C1517" s="14"/>
      <c r="D1517" s="1"/>
      <c r="E1517" s="149"/>
      <c r="F1517" s="153"/>
      <c r="G1517" s="10"/>
      <c r="H1517" s="17"/>
      <c r="I1517" s="17"/>
      <c r="J1517" s="17"/>
      <c r="K1517" s="30"/>
      <c r="L1517" s="30"/>
      <c r="M1517" s="30"/>
      <c r="N1517" s="30"/>
      <c r="O1517" s="30"/>
      <c r="P1517" s="30"/>
      <c r="Q1517" s="30"/>
      <c r="R1517" s="30"/>
      <c r="S1517" s="30"/>
      <c r="T1517" s="30"/>
      <c r="U1517" s="30"/>
      <c r="V1517" s="30"/>
      <c r="W1517" s="29"/>
      <c r="X1517" s="15"/>
      <c r="Y1517" s="30"/>
      <c r="Z1517" s="30"/>
      <c r="AA1517" s="30"/>
      <c r="AB1517" s="30"/>
      <c r="AC1517" s="17"/>
      <c r="AD1517" s="17"/>
      <c r="AE1517" s="17"/>
      <c r="AF1517" s="17"/>
      <c r="AG1517" s="20"/>
      <c r="AH1517" s="21"/>
      <c r="AI1517" s="21"/>
      <c r="AJ1517" s="21"/>
      <c r="AK1517" s="21"/>
      <c r="AL1517" s="21"/>
      <c r="AM1517" s="21"/>
      <c r="AN1517" s="21"/>
      <c r="AO1517" s="22"/>
      <c r="AP1517" s="21"/>
      <c r="AQ1517" s="24"/>
      <c r="AR1517" s="21"/>
      <c r="AS1517" s="21"/>
      <c r="AT1517" s="21"/>
      <c r="AU1517" s="21"/>
      <c r="AV1517" s="21"/>
      <c r="AW1517" s="21"/>
      <c r="AX1517" s="22"/>
      <c r="AY1517" s="21"/>
      <c r="AZ1517" s="22"/>
      <c r="BA1517" s="21"/>
      <c r="BB1517" s="20"/>
      <c r="BC1517" s="21"/>
      <c r="BD1517" s="25"/>
      <c r="BE1517" s="26"/>
      <c r="BF1517" s="27"/>
      <c r="BG1517" s="28"/>
    </row>
    <row r="1518" spans="1:59" customFormat="1" ht="15" x14ac:dyDescent="0.35">
      <c r="A1518" s="19"/>
      <c r="B1518" s="49"/>
      <c r="C1518" s="14"/>
      <c r="D1518" s="1"/>
      <c r="E1518" s="149"/>
      <c r="F1518" s="153"/>
      <c r="G1518" s="10"/>
      <c r="H1518" s="17"/>
      <c r="I1518" s="17"/>
      <c r="J1518" s="17"/>
      <c r="K1518" s="30"/>
      <c r="L1518" s="30"/>
      <c r="M1518" s="30"/>
      <c r="N1518" s="30"/>
      <c r="O1518" s="30"/>
      <c r="P1518" s="30"/>
      <c r="Q1518" s="30"/>
      <c r="R1518" s="30"/>
      <c r="S1518" s="30"/>
      <c r="T1518" s="30"/>
      <c r="U1518" s="30"/>
      <c r="V1518" s="30"/>
      <c r="W1518" s="29"/>
      <c r="X1518" s="15"/>
      <c r="Y1518" s="30"/>
      <c r="Z1518" s="30"/>
      <c r="AA1518" s="30"/>
      <c r="AB1518" s="30"/>
      <c r="AC1518" s="17"/>
      <c r="AD1518" s="17"/>
      <c r="AE1518" s="17"/>
      <c r="AF1518" s="17"/>
      <c r="AG1518" s="20"/>
      <c r="AH1518" s="21"/>
      <c r="AI1518" s="21"/>
      <c r="AJ1518" s="21"/>
      <c r="AK1518" s="21"/>
      <c r="AL1518" s="21"/>
      <c r="AM1518" s="21"/>
      <c r="AN1518" s="21"/>
      <c r="AO1518" s="22"/>
      <c r="AP1518" s="21"/>
      <c r="AQ1518" s="24"/>
      <c r="AR1518" s="21"/>
      <c r="AS1518" s="21"/>
      <c r="AT1518" s="21"/>
      <c r="AU1518" s="21"/>
      <c r="AV1518" s="21"/>
      <c r="AW1518" s="21"/>
      <c r="AX1518" s="22"/>
      <c r="AY1518" s="21"/>
      <c r="AZ1518" s="22"/>
      <c r="BA1518" s="21"/>
      <c r="BB1518" s="20"/>
      <c r="BC1518" s="21"/>
      <c r="BD1518" s="25"/>
      <c r="BE1518" s="26"/>
      <c r="BF1518" s="27"/>
      <c r="BG1518" s="28"/>
    </row>
    <row r="1519" spans="1:59" customFormat="1" ht="15" x14ac:dyDescent="0.35">
      <c r="A1519" s="19"/>
      <c r="B1519" s="49"/>
      <c r="C1519" s="14"/>
      <c r="D1519" s="1"/>
      <c r="E1519" s="149"/>
      <c r="F1519" s="153"/>
      <c r="G1519" s="10"/>
      <c r="H1519" s="17"/>
      <c r="I1519" s="17"/>
      <c r="J1519" s="17"/>
      <c r="K1519" s="30"/>
      <c r="L1519" s="30"/>
      <c r="M1519" s="30"/>
      <c r="N1519" s="30"/>
      <c r="O1519" s="30"/>
      <c r="P1519" s="30"/>
      <c r="Q1519" s="30"/>
      <c r="R1519" s="30"/>
      <c r="S1519" s="30"/>
      <c r="T1519" s="30"/>
      <c r="U1519" s="30"/>
      <c r="V1519" s="30"/>
      <c r="W1519" s="29"/>
      <c r="X1519" s="15"/>
      <c r="Y1519" s="30"/>
      <c r="Z1519" s="30"/>
      <c r="AA1519" s="30"/>
      <c r="AB1519" s="30"/>
      <c r="AC1519" s="17"/>
      <c r="AD1519" s="17"/>
      <c r="AE1519" s="17"/>
      <c r="AF1519" s="17"/>
      <c r="AG1519" s="20"/>
      <c r="AH1519" s="21"/>
      <c r="AI1519" s="21"/>
      <c r="AJ1519" s="21"/>
      <c r="AK1519" s="21"/>
      <c r="AL1519" s="21"/>
      <c r="AM1519" s="21"/>
      <c r="AN1519" s="21"/>
      <c r="AO1519" s="22"/>
      <c r="AP1519" s="21"/>
      <c r="AQ1519" s="24"/>
      <c r="AR1519" s="21"/>
      <c r="AS1519" s="21"/>
      <c r="AT1519" s="21"/>
      <c r="AU1519" s="21"/>
      <c r="AV1519" s="21"/>
      <c r="AW1519" s="21"/>
      <c r="AX1519" s="22"/>
      <c r="AY1519" s="21"/>
      <c r="AZ1519" s="22"/>
      <c r="BA1519" s="21"/>
      <c r="BB1519" s="20"/>
      <c r="BC1519" s="21"/>
      <c r="BD1519" s="25"/>
      <c r="BE1519" s="26"/>
      <c r="BF1519" s="27"/>
      <c r="BG1519" s="28"/>
    </row>
    <row r="1520" spans="1:59" customFormat="1" ht="15" x14ac:dyDescent="0.35">
      <c r="A1520" s="19"/>
      <c r="B1520" s="49"/>
      <c r="C1520" s="39"/>
      <c r="D1520" s="1"/>
      <c r="E1520" s="149"/>
      <c r="F1520" s="153"/>
      <c r="G1520" s="10"/>
      <c r="H1520" s="17"/>
      <c r="I1520" s="17"/>
      <c r="J1520" s="17"/>
      <c r="K1520" s="30"/>
      <c r="L1520" s="30"/>
      <c r="M1520" s="30"/>
      <c r="N1520" s="30"/>
      <c r="O1520" s="30"/>
      <c r="P1520" s="30"/>
      <c r="Q1520" s="30"/>
      <c r="R1520" s="30"/>
      <c r="S1520" s="30"/>
      <c r="T1520" s="30"/>
      <c r="U1520" s="30"/>
      <c r="V1520" s="30"/>
      <c r="W1520" s="29"/>
      <c r="X1520" s="15"/>
      <c r="Y1520" s="30"/>
      <c r="Z1520" s="30"/>
      <c r="AA1520" s="30"/>
      <c r="AB1520" s="30"/>
      <c r="AC1520" s="17"/>
      <c r="AD1520" s="17"/>
      <c r="AE1520" s="17"/>
      <c r="AF1520" s="17"/>
      <c r="AG1520" s="20"/>
      <c r="AH1520" s="21"/>
      <c r="AI1520" s="21"/>
      <c r="AJ1520" s="21"/>
      <c r="AK1520" s="21"/>
      <c r="AL1520" s="21"/>
      <c r="AM1520" s="21"/>
      <c r="AN1520" s="21"/>
      <c r="AO1520" s="22"/>
      <c r="AP1520" s="21"/>
      <c r="AQ1520" s="24"/>
      <c r="AR1520" s="21"/>
      <c r="AS1520" s="21"/>
      <c r="AT1520" s="21"/>
      <c r="AU1520" s="21"/>
      <c r="AV1520" s="21"/>
      <c r="AW1520" s="21"/>
      <c r="AX1520" s="22"/>
      <c r="AY1520" s="21"/>
      <c r="AZ1520" s="22"/>
      <c r="BA1520" s="21"/>
      <c r="BB1520" s="20"/>
      <c r="BC1520" s="21"/>
      <c r="BD1520" s="25"/>
      <c r="BE1520" s="26"/>
      <c r="BF1520" s="27"/>
      <c r="BG1520" s="28"/>
    </row>
    <row r="1521" spans="1:59" customFormat="1" ht="15" x14ac:dyDescent="0.35">
      <c r="A1521" s="50"/>
      <c r="B1521" s="63"/>
      <c r="C1521" s="39"/>
      <c r="D1521" s="6"/>
      <c r="E1521" s="149"/>
      <c r="F1521" s="153"/>
      <c r="G1521" s="10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5"/>
      <c r="V1521" s="5"/>
      <c r="W1521" s="13"/>
      <c r="X1521" s="4"/>
      <c r="Y1521" s="4"/>
      <c r="Z1521" s="4"/>
      <c r="AA1521" s="6"/>
      <c r="AB1521" s="5"/>
      <c r="AC1521" s="9"/>
      <c r="AD1521" s="9"/>
      <c r="AE1521" s="9"/>
      <c r="AF1521" s="9"/>
      <c r="AG1521" s="54"/>
      <c r="AH1521" s="3"/>
      <c r="AI1521" s="2"/>
      <c r="AJ1521" s="2"/>
      <c r="AK1521" s="2"/>
      <c r="AL1521" s="3"/>
      <c r="AM1521" s="3"/>
      <c r="AN1521" s="3"/>
      <c r="AO1521" s="3"/>
      <c r="AP1521" s="3"/>
      <c r="AQ1521" s="59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53"/>
      <c r="BC1521" s="3"/>
      <c r="BD1521" s="59"/>
      <c r="BE1521" s="3"/>
      <c r="BF1521" s="53"/>
      <c r="BG1521" s="59"/>
    </row>
    <row r="1522" spans="1:59" customFormat="1" ht="15" x14ac:dyDescent="0.35">
      <c r="A1522" s="50"/>
      <c r="B1522" s="63"/>
      <c r="C1522" s="39"/>
      <c r="D1522" s="6"/>
      <c r="E1522" s="149"/>
      <c r="F1522" s="153"/>
      <c r="G1522" s="10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12"/>
      <c r="X1522" s="33"/>
      <c r="Y1522" s="6"/>
      <c r="Z1522" s="6"/>
      <c r="AA1522" s="6"/>
      <c r="AB1522" s="6"/>
      <c r="AC1522" s="9"/>
      <c r="AD1522" s="9"/>
      <c r="AE1522" s="9"/>
      <c r="AF1522" s="9"/>
      <c r="AG1522" s="5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59"/>
      <c r="AR1522" s="21"/>
      <c r="AS1522" s="21"/>
      <c r="AT1522" s="3"/>
      <c r="AU1522" s="3"/>
      <c r="AV1522" s="3"/>
      <c r="AW1522" s="3"/>
      <c r="AX1522" s="3"/>
      <c r="AY1522" s="3"/>
      <c r="AZ1522" s="3"/>
      <c r="BA1522" s="3"/>
      <c r="BB1522" s="53"/>
      <c r="BC1522" s="3"/>
      <c r="BD1522" s="59"/>
      <c r="BE1522" s="3"/>
      <c r="BF1522" s="53"/>
      <c r="BG1522" s="59"/>
    </row>
    <row r="1523" spans="1:59" customFormat="1" ht="15" x14ac:dyDescent="0.35">
      <c r="A1523" s="19"/>
      <c r="B1523" s="49"/>
      <c r="C1523" s="14"/>
      <c r="D1523" s="1"/>
      <c r="E1523" s="149"/>
      <c r="F1523" s="153"/>
      <c r="G1523" s="10"/>
      <c r="H1523" s="17"/>
      <c r="I1523" s="17"/>
      <c r="J1523" s="17"/>
      <c r="K1523" s="30"/>
      <c r="L1523" s="30"/>
      <c r="M1523" s="30"/>
      <c r="N1523" s="30"/>
      <c r="O1523" s="30"/>
      <c r="P1523" s="30"/>
      <c r="Q1523" s="30"/>
      <c r="R1523" s="30"/>
      <c r="S1523" s="30"/>
      <c r="T1523" s="30"/>
      <c r="U1523" s="30"/>
      <c r="V1523" s="30"/>
      <c r="W1523" s="29"/>
      <c r="X1523" s="15"/>
      <c r="Y1523" s="30"/>
      <c r="Z1523" s="30"/>
      <c r="AA1523" s="30"/>
      <c r="AB1523" s="30"/>
      <c r="AC1523" s="17"/>
      <c r="AD1523" s="17"/>
      <c r="AE1523" s="17"/>
      <c r="AF1523" s="17"/>
      <c r="AG1523" s="20"/>
      <c r="AH1523" s="21"/>
      <c r="AI1523" s="21"/>
      <c r="AJ1523" s="21"/>
      <c r="AK1523" s="21"/>
      <c r="AL1523" s="21"/>
      <c r="AM1523" s="21"/>
      <c r="AN1523" s="21"/>
      <c r="AO1523" s="22"/>
      <c r="AP1523" s="21"/>
      <c r="AQ1523" s="24"/>
      <c r="AR1523" s="21"/>
      <c r="AS1523" s="21"/>
      <c r="AT1523" s="21"/>
      <c r="AU1523" s="21"/>
      <c r="AV1523" s="21"/>
      <c r="AW1523" s="21"/>
      <c r="AX1523" s="22"/>
      <c r="AY1523" s="21"/>
      <c r="AZ1523" s="22"/>
      <c r="BA1523" s="21"/>
      <c r="BB1523" s="20"/>
      <c r="BC1523" s="21"/>
      <c r="BD1523" s="25"/>
      <c r="BE1523" s="26"/>
      <c r="BF1523" s="27"/>
      <c r="BG1523" s="28"/>
    </row>
    <row r="1524" spans="1:59" customFormat="1" ht="15" x14ac:dyDescent="0.35">
      <c r="A1524" s="50"/>
      <c r="B1524" s="63"/>
      <c r="C1524" s="39"/>
      <c r="D1524" s="6"/>
      <c r="E1524" s="149"/>
      <c r="F1524" s="153"/>
      <c r="G1524" s="10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12"/>
      <c r="X1524" s="33"/>
      <c r="Y1524" s="6"/>
      <c r="Z1524" s="6"/>
      <c r="AA1524" s="6"/>
      <c r="AB1524" s="6"/>
      <c r="AC1524" s="9"/>
      <c r="AD1524" s="9"/>
      <c r="AE1524" s="9"/>
      <c r="AF1524" s="9"/>
      <c r="AG1524" s="5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59"/>
      <c r="AR1524" s="21"/>
      <c r="AS1524" s="21"/>
      <c r="AT1524" s="3"/>
      <c r="AU1524" s="3"/>
      <c r="AV1524" s="3"/>
      <c r="AW1524" s="3"/>
      <c r="AX1524" s="3"/>
      <c r="AY1524" s="3"/>
      <c r="AZ1524" s="3"/>
      <c r="BA1524" s="3"/>
      <c r="BB1524" s="53"/>
      <c r="BC1524" s="3"/>
      <c r="BD1524" s="59"/>
      <c r="BE1524" s="3"/>
      <c r="BF1524" s="53"/>
      <c r="BG1524" s="59"/>
    </row>
    <row r="1525" spans="1:59" customFormat="1" ht="15" x14ac:dyDescent="0.35">
      <c r="A1525" s="19"/>
      <c r="B1525" s="49"/>
      <c r="C1525" s="14"/>
      <c r="D1525" s="1"/>
      <c r="E1525" s="149"/>
      <c r="F1525" s="153"/>
      <c r="G1525" s="10"/>
      <c r="H1525" s="17"/>
      <c r="I1525" s="17"/>
      <c r="J1525" s="17"/>
      <c r="K1525" s="30"/>
      <c r="L1525" s="30"/>
      <c r="M1525" s="30"/>
      <c r="N1525" s="30"/>
      <c r="O1525" s="30"/>
      <c r="P1525" s="30"/>
      <c r="Q1525" s="30"/>
      <c r="R1525" s="30"/>
      <c r="S1525" s="30"/>
      <c r="T1525" s="30"/>
      <c r="U1525" s="30"/>
      <c r="V1525" s="30"/>
      <c r="W1525" s="29"/>
      <c r="X1525" s="15"/>
      <c r="Y1525" s="30"/>
      <c r="Z1525" s="30"/>
      <c r="AA1525" s="30"/>
      <c r="AB1525" s="30"/>
      <c r="AC1525" s="17"/>
      <c r="AD1525" s="17"/>
      <c r="AE1525" s="17"/>
      <c r="AF1525" s="17"/>
      <c r="AG1525" s="20"/>
      <c r="AH1525" s="21"/>
      <c r="AI1525" s="21"/>
      <c r="AJ1525" s="21"/>
      <c r="AK1525" s="21"/>
      <c r="AL1525" s="21"/>
      <c r="AM1525" s="21"/>
      <c r="AN1525" s="21"/>
      <c r="AO1525" s="22"/>
      <c r="AP1525" s="21"/>
      <c r="AQ1525" s="24"/>
      <c r="AR1525" s="21"/>
      <c r="AS1525" s="21"/>
      <c r="AT1525" s="21"/>
      <c r="AU1525" s="21"/>
      <c r="AV1525" s="21"/>
      <c r="AW1525" s="21"/>
      <c r="AX1525" s="22"/>
      <c r="AY1525" s="21"/>
      <c r="AZ1525" s="22"/>
      <c r="BA1525" s="21"/>
      <c r="BB1525" s="20"/>
      <c r="BC1525" s="21"/>
      <c r="BD1525" s="25"/>
      <c r="BE1525" s="26"/>
      <c r="BF1525" s="27"/>
      <c r="BG1525" s="28"/>
    </row>
    <row r="1526" spans="1:59" customFormat="1" ht="15" x14ac:dyDescent="0.35">
      <c r="A1526" s="50"/>
      <c r="B1526" s="63"/>
      <c r="C1526" s="39"/>
      <c r="D1526" s="6"/>
      <c r="E1526" s="149"/>
      <c r="F1526" s="153"/>
      <c r="G1526" s="10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12"/>
      <c r="X1526" s="33"/>
      <c r="Y1526" s="6"/>
      <c r="Z1526" s="6"/>
      <c r="AA1526" s="6"/>
      <c r="AB1526" s="6"/>
      <c r="AC1526" s="9"/>
      <c r="AD1526" s="9"/>
      <c r="AE1526" s="9"/>
      <c r="AF1526" s="9"/>
      <c r="AG1526" s="5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59"/>
      <c r="AR1526" s="21"/>
      <c r="AS1526" s="21"/>
      <c r="AT1526" s="3"/>
      <c r="AU1526" s="3"/>
      <c r="AV1526" s="3"/>
      <c r="AW1526" s="3"/>
      <c r="AX1526" s="3"/>
      <c r="AY1526" s="3"/>
      <c r="AZ1526" s="3"/>
      <c r="BA1526" s="3"/>
      <c r="BB1526" s="53"/>
      <c r="BC1526" s="3"/>
      <c r="BD1526" s="59"/>
      <c r="BE1526" s="3"/>
      <c r="BF1526" s="53"/>
      <c r="BG1526" s="59"/>
    </row>
    <row r="1527" spans="1:59" customFormat="1" ht="15" x14ac:dyDescent="0.35">
      <c r="A1527" s="50"/>
      <c r="B1527" s="63"/>
      <c r="C1527" s="39"/>
      <c r="D1527" s="6"/>
      <c r="E1527" s="149"/>
      <c r="F1527" s="153"/>
      <c r="G1527" s="10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5"/>
      <c r="V1527" s="5"/>
      <c r="W1527" s="13"/>
      <c r="X1527" s="4"/>
      <c r="Y1527" s="4"/>
      <c r="Z1527" s="4"/>
      <c r="AA1527" s="6"/>
      <c r="AB1527" s="5"/>
      <c r="AC1527" s="9"/>
      <c r="AD1527" s="9"/>
      <c r="AE1527" s="9"/>
      <c r="AF1527" s="9"/>
      <c r="AG1527" s="54"/>
      <c r="AH1527" s="3"/>
      <c r="AI1527" s="2"/>
      <c r="AJ1527" s="2"/>
      <c r="AK1527" s="2"/>
      <c r="AL1527" s="3"/>
      <c r="AM1527" s="3"/>
      <c r="AN1527" s="3"/>
      <c r="AO1527" s="3"/>
      <c r="AP1527" s="3"/>
      <c r="AQ1527" s="59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53"/>
      <c r="BC1527" s="3"/>
      <c r="BD1527" s="59"/>
      <c r="BE1527" s="3"/>
      <c r="BF1527" s="53"/>
      <c r="BG1527" s="59"/>
    </row>
    <row r="1528" spans="1:59" customFormat="1" ht="15" x14ac:dyDescent="0.35">
      <c r="A1528" s="50"/>
      <c r="B1528" s="63"/>
      <c r="C1528" s="39"/>
      <c r="D1528" s="6"/>
      <c r="E1528" s="149"/>
      <c r="F1528" s="153"/>
      <c r="G1528" s="10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12"/>
      <c r="X1528" s="33"/>
      <c r="Y1528" s="6"/>
      <c r="Z1528" s="6"/>
      <c r="AA1528" s="6"/>
      <c r="AB1528" s="6"/>
      <c r="AC1528" s="9"/>
      <c r="AD1528" s="9"/>
      <c r="AE1528" s="9"/>
      <c r="AF1528" s="9"/>
      <c r="AG1528" s="5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59"/>
      <c r="AR1528" s="21"/>
      <c r="AS1528" s="21"/>
      <c r="AT1528" s="3"/>
      <c r="AU1528" s="3"/>
      <c r="AV1528" s="3"/>
      <c r="AW1528" s="3"/>
      <c r="AX1528" s="3"/>
      <c r="AY1528" s="3"/>
      <c r="AZ1528" s="3"/>
      <c r="BA1528" s="3"/>
      <c r="BB1528" s="53"/>
      <c r="BC1528" s="3"/>
      <c r="BD1528" s="59"/>
      <c r="BE1528" s="3"/>
      <c r="BF1528" s="53"/>
      <c r="BG1528" s="59"/>
    </row>
    <row r="1529" spans="1:59" customFormat="1" ht="15" x14ac:dyDescent="0.35">
      <c r="A1529" s="19"/>
      <c r="B1529" s="49"/>
      <c r="C1529" s="14"/>
      <c r="D1529" s="1"/>
      <c r="E1529" s="149"/>
      <c r="F1529" s="153"/>
      <c r="G1529" s="10"/>
      <c r="H1529" s="17"/>
      <c r="I1529" s="17"/>
      <c r="J1529" s="17"/>
      <c r="K1529" s="30"/>
      <c r="L1529" s="30"/>
      <c r="M1529" s="30"/>
      <c r="N1529" s="30"/>
      <c r="O1529" s="30"/>
      <c r="P1529" s="30"/>
      <c r="Q1529" s="30"/>
      <c r="R1529" s="30"/>
      <c r="S1529" s="30"/>
      <c r="T1529" s="30"/>
      <c r="U1529" s="30"/>
      <c r="V1529" s="30"/>
      <c r="W1529" s="29"/>
      <c r="X1529" s="15"/>
      <c r="Y1529" s="30"/>
      <c r="Z1529" s="30"/>
      <c r="AA1529" s="30"/>
      <c r="AB1529" s="30"/>
      <c r="AC1529" s="17"/>
      <c r="AD1529" s="17"/>
      <c r="AE1529" s="17"/>
      <c r="AF1529" s="17"/>
      <c r="AG1529" s="20"/>
      <c r="AH1529" s="21"/>
      <c r="AI1529" s="21"/>
      <c r="AJ1529" s="21"/>
      <c r="AK1529" s="21"/>
      <c r="AL1529" s="21"/>
      <c r="AM1529" s="21"/>
      <c r="AN1529" s="21"/>
      <c r="AO1529" s="22"/>
      <c r="AP1529" s="21"/>
      <c r="AQ1529" s="24"/>
      <c r="AR1529" s="21"/>
      <c r="AS1529" s="21"/>
      <c r="AT1529" s="21"/>
      <c r="AU1529" s="21"/>
      <c r="AV1529" s="21"/>
      <c r="AW1529" s="21"/>
      <c r="AX1529" s="22"/>
      <c r="AY1529" s="21"/>
      <c r="AZ1529" s="22"/>
      <c r="BA1529" s="21"/>
      <c r="BB1529" s="20"/>
      <c r="BC1529" s="21"/>
      <c r="BD1529" s="25"/>
      <c r="BE1529" s="26"/>
      <c r="BF1529" s="27"/>
      <c r="BG1529" s="28"/>
    </row>
    <row r="1530" spans="1:59" customFormat="1" ht="15" x14ac:dyDescent="0.35">
      <c r="A1530" s="50"/>
      <c r="B1530" s="63"/>
      <c r="C1530" s="39"/>
      <c r="D1530" s="6"/>
      <c r="E1530" s="149"/>
      <c r="F1530" s="153"/>
      <c r="G1530" s="10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5"/>
      <c r="V1530" s="5"/>
      <c r="W1530" s="13"/>
      <c r="X1530" s="4"/>
      <c r="Y1530" s="4"/>
      <c r="Z1530" s="4"/>
      <c r="AA1530" s="6"/>
      <c r="AB1530" s="5"/>
      <c r="AC1530" s="9"/>
      <c r="AD1530" s="9"/>
      <c r="AE1530" s="9"/>
      <c r="AF1530" s="9"/>
      <c r="AG1530" s="54"/>
      <c r="AH1530" s="3"/>
      <c r="AI1530" s="2"/>
      <c r="AJ1530" s="2"/>
      <c r="AK1530" s="2"/>
      <c r="AL1530" s="3"/>
      <c r="AM1530" s="3"/>
      <c r="AN1530" s="3"/>
      <c r="AO1530" s="3"/>
      <c r="AP1530" s="3"/>
      <c r="AQ1530" s="59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53"/>
      <c r="BC1530" s="3"/>
      <c r="BD1530" s="59"/>
      <c r="BE1530" s="3"/>
      <c r="BF1530" s="53"/>
      <c r="BG1530" s="59"/>
    </row>
    <row r="1531" spans="1:59" customFormat="1" ht="15" x14ac:dyDescent="0.35">
      <c r="A1531" s="50"/>
      <c r="B1531" s="63"/>
      <c r="C1531" s="39"/>
      <c r="D1531" s="6"/>
      <c r="E1531" s="149"/>
      <c r="F1531" s="153"/>
      <c r="G1531" s="10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12"/>
      <c r="X1531" s="33"/>
      <c r="Y1531" s="6"/>
      <c r="Z1531" s="6"/>
      <c r="AA1531" s="6"/>
      <c r="AB1531" s="6"/>
      <c r="AC1531" s="9"/>
      <c r="AD1531" s="9"/>
      <c r="AE1531" s="9"/>
      <c r="AF1531" s="9"/>
      <c r="AG1531" s="5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59"/>
      <c r="AR1531" s="21"/>
      <c r="AS1531" s="21"/>
      <c r="AT1531" s="3"/>
      <c r="AU1531" s="3"/>
      <c r="AV1531" s="3"/>
      <c r="AW1531" s="3"/>
      <c r="AX1531" s="3"/>
      <c r="AY1531" s="3"/>
      <c r="AZ1531" s="3"/>
      <c r="BA1531" s="3"/>
      <c r="BB1531" s="53"/>
      <c r="BC1531" s="3"/>
      <c r="BD1531" s="59"/>
      <c r="BE1531" s="3"/>
      <c r="BF1531" s="53"/>
      <c r="BG1531" s="59"/>
    </row>
    <row r="1532" spans="1:59" customFormat="1" ht="15" x14ac:dyDescent="0.35">
      <c r="A1532" s="50"/>
      <c r="B1532" s="63"/>
      <c r="C1532" s="39"/>
      <c r="D1532" s="6"/>
      <c r="E1532" s="149"/>
      <c r="F1532" s="153"/>
      <c r="G1532" s="10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5"/>
      <c r="V1532" s="5"/>
      <c r="W1532" s="13"/>
      <c r="X1532" s="4"/>
      <c r="Y1532" s="4"/>
      <c r="Z1532" s="4"/>
      <c r="AA1532" s="6"/>
      <c r="AB1532" s="5"/>
      <c r="AC1532" s="9"/>
      <c r="AD1532" s="9"/>
      <c r="AE1532" s="9"/>
      <c r="AF1532" s="9"/>
      <c r="AG1532" s="54"/>
      <c r="AH1532" s="3"/>
      <c r="AI1532" s="2"/>
      <c r="AJ1532" s="2"/>
      <c r="AK1532" s="2"/>
      <c r="AL1532" s="3"/>
      <c r="AM1532" s="3"/>
      <c r="AN1532" s="3"/>
      <c r="AO1532" s="3"/>
      <c r="AP1532" s="3"/>
      <c r="AQ1532" s="59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53"/>
      <c r="BC1532" s="3"/>
      <c r="BD1532" s="59"/>
      <c r="BE1532" s="3"/>
      <c r="BF1532" s="53"/>
      <c r="BG1532" s="59"/>
    </row>
    <row r="1533" spans="1:59" customFormat="1" ht="15" x14ac:dyDescent="0.35">
      <c r="A1533" s="50"/>
      <c r="B1533" s="63"/>
      <c r="C1533" s="39"/>
      <c r="D1533" s="6"/>
      <c r="E1533" s="149"/>
      <c r="F1533" s="153"/>
      <c r="G1533" s="10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5"/>
      <c r="V1533" s="5"/>
      <c r="W1533" s="13"/>
      <c r="X1533" s="4"/>
      <c r="Y1533" s="4"/>
      <c r="Z1533" s="4"/>
      <c r="AA1533" s="6"/>
      <c r="AB1533" s="5"/>
      <c r="AC1533" s="9"/>
      <c r="AD1533" s="9"/>
      <c r="AE1533" s="9"/>
      <c r="AF1533" s="9"/>
      <c r="AG1533" s="54"/>
      <c r="AH1533" s="3"/>
      <c r="AI1533" s="2"/>
      <c r="AJ1533" s="2"/>
      <c r="AK1533" s="2"/>
      <c r="AL1533" s="3"/>
      <c r="AM1533" s="3"/>
      <c r="AN1533" s="3"/>
      <c r="AO1533" s="3"/>
      <c r="AP1533" s="3"/>
      <c r="AQ1533" s="59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53"/>
      <c r="BC1533" s="3"/>
      <c r="BD1533" s="59"/>
      <c r="BE1533" s="3"/>
      <c r="BF1533" s="53"/>
      <c r="BG1533" s="59"/>
    </row>
    <row r="1534" spans="1:59" customFormat="1" ht="15" x14ac:dyDescent="0.35">
      <c r="A1534" s="50"/>
      <c r="B1534" s="63"/>
      <c r="C1534" s="39"/>
      <c r="D1534" s="6"/>
      <c r="E1534" s="149"/>
      <c r="F1534" s="153"/>
      <c r="G1534" s="10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5"/>
      <c r="V1534" s="5"/>
      <c r="W1534" s="13"/>
      <c r="X1534" s="4"/>
      <c r="Y1534" s="4"/>
      <c r="Z1534" s="4"/>
      <c r="AA1534" s="6"/>
      <c r="AB1534" s="5"/>
      <c r="AC1534" s="9"/>
      <c r="AD1534" s="9"/>
      <c r="AE1534" s="9"/>
      <c r="AF1534" s="9"/>
      <c r="AG1534" s="54"/>
      <c r="AH1534" s="3"/>
      <c r="AI1534" s="2"/>
      <c r="AJ1534" s="2"/>
      <c r="AK1534" s="2"/>
      <c r="AL1534" s="3"/>
      <c r="AM1534" s="3"/>
      <c r="AN1534" s="3"/>
      <c r="AO1534" s="3"/>
      <c r="AP1534" s="3"/>
      <c r="AQ1534" s="59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53"/>
      <c r="BC1534" s="3"/>
      <c r="BD1534" s="59"/>
      <c r="BE1534" s="3"/>
      <c r="BF1534" s="53"/>
      <c r="BG1534" s="59"/>
    </row>
    <row r="1535" spans="1:59" customFormat="1" ht="15" x14ac:dyDescent="0.35">
      <c r="A1535" s="50"/>
      <c r="B1535" s="63"/>
      <c r="C1535" s="39"/>
      <c r="D1535" s="6"/>
      <c r="E1535" s="149"/>
      <c r="F1535" s="153"/>
      <c r="G1535" s="10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5"/>
      <c r="V1535" s="5"/>
      <c r="W1535" s="13"/>
      <c r="X1535" s="4"/>
      <c r="Y1535" s="4"/>
      <c r="Z1535" s="4"/>
      <c r="AA1535" s="6"/>
      <c r="AB1535" s="5"/>
      <c r="AC1535" s="9"/>
      <c r="AD1535" s="9"/>
      <c r="AE1535" s="9"/>
      <c r="AF1535" s="9"/>
      <c r="AG1535" s="54"/>
      <c r="AH1535" s="3"/>
      <c r="AI1535" s="2"/>
      <c r="AJ1535" s="2"/>
      <c r="AK1535" s="2"/>
      <c r="AL1535" s="3"/>
      <c r="AM1535" s="3"/>
      <c r="AN1535" s="3"/>
      <c r="AO1535" s="3"/>
      <c r="AP1535" s="3"/>
      <c r="AQ1535" s="59"/>
      <c r="AR1535" s="21"/>
      <c r="AS1535" s="21"/>
      <c r="AT1535" s="3"/>
      <c r="AU1535" s="3"/>
      <c r="AV1535" s="3"/>
      <c r="AW1535" s="3"/>
      <c r="AX1535" s="3"/>
      <c r="AY1535" s="3"/>
      <c r="AZ1535" s="3"/>
      <c r="BA1535" s="3"/>
      <c r="BB1535" s="53"/>
      <c r="BC1535" s="3"/>
      <c r="BD1535" s="59"/>
      <c r="BE1535" s="3"/>
      <c r="BF1535" s="53"/>
      <c r="BG1535" s="59"/>
    </row>
    <row r="1536" spans="1:59" customFormat="1" ht="15" x14ac:dyDescent="0.35">
      <c r="A1536" s="50"/>
      <c r="B1536" s="63"/>
      <c r="C1536" s="39"/>
      <c r="D1536" s="6"/>
      <c r="E1536" s="149"/>
      <c r="F1536" s="153"/>
      <c r="G1536" s="10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12"/>
      <c r="X1536" s="33"/>
      <c r="Y1536" s="6"/>
      <c r="Z1536" s="6"/>
      <c r="AA1536" s="6"/>
      <c r="AB1536" s="6"/>
      <c r="AC1536" s="9"/>
      <c r="AD1536" s="9"/>
      <c r="AE1536" s="9"/>
      <c r="AF1536" s="9"/>
      <c r="AG1536" s="5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59"/>
      <c r="AR1536" s="21"/>
      <c r="AS1536" s="21"/>
      <c r="AT1536" s="3"/>
      <c r="AU1536" s="3"/>
      <c r="AV1536" s="3"/>
      <c r="AW1536" s="3"/>
      <c r="AX1536" s="3"/>
      <c r="AY1536" s="3"/>
      <c r="AZ1536" s="3"/>
      <c r="BA1536" s="3"/>
      <c r="BB1536" s="53"/>
      <c r="BC1536" s="3"/>
      <c r="BD1536" s="59"/>
      <c r="BE1536" s="3"/>
      <c r="BF1536" s="53"/>
      <c r="BG1536" s="59"/>
    </row>
    <row r="1537" spans="1:59" customFormat="1" ht="15" x14ac:dyDescent="0.35">
      <c r="A1537" s="19"/>
      <c r="B1537" s="49"/>
      <c r="C1537" s="14"/>
      <c r="D1537" s="1"/>
      <c r="E1537" s="149"/>
      <c r="F1537" s="153"/>
      <c r="G1537" s="10"/>
      <c r="H1537" s="17"/>
      <c r="I1537" s="17"/>
      <c r="J1537" s="17"/>
      <c r="K1537" s="30"/>
      <c r="L1537" s="30"/>
      <c r="M1537" s="30"/>
      <c r="N1537" s="30"/>
      <c r="O1537" s="30"/>
      <c r="P1537" s="30"/>
      <c r="Q1537" s="30"/>
      <c r="R1537" s="30"/>
      <c r="S1537" s="30"/>
      <c r="T1537" s="30"/>
      <c r="U1537" s="30"/>
      <c r="V1537" s="30"/>
      <c r="W1537" s="29"/>
      <c r="X1537" s="15"/>
      <c r="Y1537" s="30"/>
      <c r="Z1537" s="30"/>
      <c r="AA1537" s="30"/>
      <c r="AB1537" s="30"/>
      <c r="AC1537" s="17"/>
      <c r="AD1537" s="17"/>
      <c r="AE1537" s="17"/>
      <c r="AF1537" s="17"/>
      <c r="AG1537" s="20"/>
      <c r="AH1537" s="21"/>
      <c r="AI1537" s="21"/>
      <c r="AJ1537" s="21"/>
      <c r="AK1537" s="21"/>
      <c r="AL1537" s="21"/>
      <c r="AM1537" s="21"/>
      <c r="AN1537" s="21"/>
      <c r="AO1537" s="22"/>
      <c r="AP1537" s="21"/>
      <c r="AQ1537" s="24"/>
      <c r="AR1537" s="21"/>
      <c r="AS1537" s="21"/>
      <c r="AT1537" s="21"/>
      <c r="AU1537" s="21"/>
      <c r="AV1537" s="21"/>
      <c r="AW1537" s="21"/>
      <c r="AX1537" s="22"/>
      <c r="AY1537" s="21"/>
      <c r="AZ1537" s="22"/>
      <c r="BA1537" s="21"/>
      <c r="BB1537" s="20"/>
      <c r="BC1537" s="21"/>
      <c r="BD1537" s="25"/>
      <c r="BE1537" s="26"/>
      <c r="BF1537" s="27"/>
      <c r="BG1537" s="28"/>
    </row>
    <row r="1538" spans="1:59" customFormat="1" ht="15" x14ac:dyDescent="0.35">
      <c r="A1538" s="50"/>
      <c r="B1538" s="63"/>
      <c r="C1538" s="39"/>
      <c r="D1538" s="6"/>
      <c r="E1538" s="149"/>
      <c r="F1538" s="153"/>
      <c r="G1538" s="10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5"/>
      <c r="V1538" s="5"/>
      <c r="W1538" s="13"/>
      <c r="X1538" s="4"/>
      <c r="Y1538" s="4"/>
      <c r="Z1538" s="4"/>
      <c r="AA1538" s="6"/>
      <c r="AB1538" s="5"/>
      <c r="AC1538" s="9"/>
      <c r="AD1538" s="9"/>
      <c r="AE1538" s="9"/>
      <c r="AF1538" s="9"/>
      <c r="AG1538" s="54"/>
      <c r="AH1538" s="3"/>
      <c r="AI1538" s="2"/>
      <c r="AJ1538" s="2"/>
      <c r="AK1538" s="2"/>
      <c r="AL1538" s="3"/>
      <c r="AM1538" s="3"/>
      <c r="AN1538" s="3"/>
      <c r="AO1538" s="3"/>
      <c r="AP1538" s="3"/>
      <c r="AQ1538" s="59"/>
      <c r="AR1538" s="21"/>
      <c r="AS1538" s="21"/>
      <c r="AT1538" s="3"/>
      <c r="AU1538" s="3"/>
      <c r="AV1538" s="3"/>
      <c r="AW1538" s="3"/>
      <c r="AX1538" s="3"/>
      <c r="AY1538" s="3"/>
      <c r="AZ1538" s="3"/>
      <c r="BA1538" s="3"/>
      <c r="BB1538" s="53"/>
      <c r="BC1538" s="3"/>
      <c r="BD1538" s="59"/>
      <c r="BE1538" s="3"/>
      <c r="BF1538" s="53"/>
      <c r="BG1538" s="59"/>
    </row>
    <row r="1539" spans="1:59" customFormat="1" ht="15" x14ac:dyDescent="0.35">
      <c r="A1539" s="50"/>
      <c r="B1539" s="63"/>
      <c r="C1539" s="39"/>
      <c r="D1539" s="6"/>
      <c r="E1539" s="149"/>
      <c r="F1539" s="153"/>
      <c r="G1539" s="10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5"/>
      <c r="V1539" s="5"/>
      <c r="W1539" s="13"/>
      <c r="X1539" s="4"/>
      <c r="Y1539" s="4"/>
      <c r="Z1539" s="4"/>
      <c r="AA1539" s="6"/>
      <c r="AB1539" s="5"/>
      <c r="AC1539" s="9"/>
      <c r="AD1539" s="9"/>
      <c r="AE1539" s="9"/>
      <c r="AF1539" s="9"/>
      <c r="AG1539" s="54"/>
      <c r="AH1539" s="3"/>
      <c r="AI1539" s="2"/>
      <c r="AJ1539" s="2"/>
      <c r="AK1539" s="2"/>
      <c r="AL1539" s="3"/>
      <c r="AM1539" s="3"/>
      <c r="AN1539" s="3"/>
      <c r="AO1539" s="3"/>
      <c r="AP1539" s="3"/>
      <c r="AQ1539" s="59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53"/>
      <c r="BC1539" s="3"/>
      <c r="BD1539" s="59"/>
      <c r="BE1539" s="3"/>
      <c r="BF1539" s="53"/>
      <c r="BG1539" s="59"/>
    </row>
    <row r="1540" spans="1:59" customFormat="1" ht="15" x14ac:dyDescent="0.35">
      <c r="A1540" s="50"/>
      <c r="B1540" s="63"/>
      <c r="C1540" s="39"/>
      <c r="D1540" s="6"/>
      <c r="E1540" s="149"/>
      <c r="F1540" s="153"/>
      <c r="G1540" s="10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12"/>
      <c r="X1540" s="33"/>
      <c r="Y1540" s="6"/>
      <c r="Z1540" s="6"/>
      <c r="AA1540" s="6"/>
      <c r="AB1540" s="6"/>
      <c r="AC1540" s="9"/>
      <c r="AD1540" s="9"/>
      <c r="AE1540" s="9"/>
      <c r="AF1540" s="9"/>
      <c r="AG1540" s="5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59"/>
      <c r="AR1540" s="21"/>
      <c r="AS1540" s="21"/>
      <c r="AT1540" s="3"/>
      <c r="AU1540" s="3"/>
      <c r="AV1540" s="3"/>
      <c r="AW1540" s="3"/>
      <c r="AX1540" s="3"/>
      <c r="AY1540" s="3"/>
      <c r="AZ1540" s="3"/>
      <c r="BA1540" s="3"/>
      <c r="BB1540" s="53"/>
      <c r="BC1540" s="3"/>
      <c r="BD1540" s="59"/>
      <c r="BE1540" s="3"/>
      <c r="BF1540" s="53"/>
      <c r="BG1540" s="59"/>
    </row>
    <row r="1541" spans="1:59" customFormat="1" ht="15" x14ac:dyDescent="0.35">
      <c r="A1541" s="50"/>
      <c r="B1541" s="63"/>
      <c r="C1541" s="39"/>
      <c r="D1541" s="6"/>
      <c r="E1541" s="149"/>
      <c r="F1541" s="153"/>
      <c r="G1541" s="10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5"/>
      <c r="V1541" s="5"/>
      <c r="W1541" s="13"/>
      <c r="X1541" s="4"/>
      <c r="Y1541" s="4"/>
      <c r="Z1541" s="4"/>
      <c r="AA1541" s="6"/>
      <c r="AB1541" s="5"/>
      <c r="AC1541" s="9"/>
      <c r="AD1541" s="9"/>
      <c r="AE1541" s="9"/>
      <c r="AF1541" s="9"/>
      <c r="AG1541" s="54"/>
      <c r="AH1541" s="3"/>
      <c r="AI1541" s="2"/>
      <c r="AJ1541" s="2"/>
      <c r="AK1541" s="2"/>
      <c r="AL1541" s="3"/>
      <c r="AM1541" s="3"/>
      <c r="AN1541" s="3"/>
      <c r="AO1541" s="3"/>
      <c r="AP1541" s="3"/>
      <c r="AQ1541" s="59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53"/>
      <c r="BC1541" s="3"/>
      <c r="BD1541" s="59"/>
      <c r="BE1541" s="3"/>
      <c r="BF1541" s="53"/>
      <c r="BG1541" s="59"/>
    </row>
    <row r="1542" spans="1:59" customFormat="1" ht="15" x14ac:dyDescent="0.35">
      <c r="A1542" s="19"/>
      <c r="B1542" s="49"/>
      <c r="C1542" s="14"/>
      <c r="D1542" s="1"/>
      <c r="E1542" s="149"/>
      <c r="F1542" s="153"/>
      <c r="G1542" s="10"/>
      <c r="H1542" s="17"/>
      <c r="I1542" s="17"/>
      <c r="J1542" s="17"/>
      <c r="K1542" s="30"/>
      <c r="L1542" s="30"/>
      <c r="M1542" s="30"/>
      <c r="N1542" s="30"/>
      <c r="O1542" s="30"/>
      <c r="P1542" s="30"/>
      <c r="Q1542" s="30"/>
      <c r="R1542" s="30"/>
      <c r="S1542" s="30"/>
      <c r="T1542" s="30"/>
      <c r="U1542" s="30"/>
      <c r="V1542" s="30"/>
      <c r="W1542" s="29"/>
      <c r="X1542" s="15"/>
      <c r="Y1542" s="30"/>
      <c r="Z1542" s="30"/>
      <c r="AA1542" s="30"/>
      <c r="AB1542" s="30"/>
      <c r="AC1542" s="17"/>
      <c r="AD1542" s="17"/>
      <c r="AE1542" s="17"/>
      <c r="AF1542" s="17"/>
      <c r="AG1542" s="20"/>
      <c r="AH1542" s="21"/>
      <c r="AI1542" s="21"/>
      <c r="AJ1542" s="21"/>
      <c r="AK1542" s="21"/>
      <c r="AL1542" s="21"/>
      <c r="AM1542" s="21"/>
      <c r="AN1542" s="21"/>
      <c r="AO1542" s="22"/>
      <c r="AP1542" s="21"/>
      <c r="AQ1542" s="24"/>
      <c r="AR1542" s="21"/>
      <c r="AS1542" s="21"/>
      <c r="AT1542" s="21"/>
      <c r="AU1542" s="21"/>
      <c r="AV1542" s="21"/>
      <c r="AW1542" s="21"/>
      <c r="AX1542" s="22"/>
      <c r="AY1542" s="21"/>
      <c r="AZ1542" s="22"/>
      <c r="BA1542" s="21"/>
      <c r="BB1542" s="20"/>
      <c r="BC1542" s="21"/>
      <c r="BD1542" s="25"/>
      <c r="BE1542" s="26"/>
      <c r="BF1542" s="27"/>
      <c r="BG1542" s="28"/>
    </row>
    <row r="1543" spans="1:59" customFormat="1" ht="15" x14ac:dyDescent="0.35">
      <c r="A1543" s="50"/>
      <c r="B1543" s="63"/>
      <c r="C1543" s="39"/>
      <c r="D1543" s="6"/>
      <c r="E1543" s="149"/>
      <c r="F1543" s="153"/>
      <c r="G1543" s="10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5"/>
      <c r="V1543" s="5"/>
      <c r="W1543" s="13"/>
      <c r="X1543" s="4"/>
      <c r="Y1543" s="4"/>
      <c r="Z1543" s="4"/>
      <c r="AA1543" s="6"/>
      <c r="AB1543" s="5"/>
      <c r="AC1543" s="9"/>
      <c r="AD1543" s="9"/>
      <c r="AE1543" s="9"/>
      <c r="AF1543" s="9"/>
      <c r="AG1543" s="54"/>
      <c r="AH1543" s="3"/>
      <c r="AI1543" s="2"/>
      <c r="AJ1543" s="2"/>
      <c r="AK1543" s="2"/>
      <c r="AL1543" s="3"/>
      <c r="AM1543" s="3"/>
      <c r="AN1543" s="3"/>
      <c r="AO1543" s="3"/>
      <c r="AP1543" s="3"/>
      <c r="AQ1543" s="59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53"/>
      <c r="BC1543" s="3"/>
      <c r="BD1543" s="59"/>
      <c r="BE1543" s="3"/>
      <c r="BF1543" s="53"/>
      <c r="BG1543" s="59"/>
    </row>
    <row r="1544" spans="1:59" customFormat="1" ht="15" x14ac:dyDescent="0.35">
      <c r="A1544" s="50"/>
      <c r="B1544" s="63"/>
      <c r="C1544" s="39"/>
      <c r="D1544" s="6"/>
      <c r="E1544" s="149"/>
      <c r="F1544" s="153"/>
      <c r="G1544" s="10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5"/>
      <c r="V1544" s="5"/>
      <c r="W1544" s="13"/>
      <c r="X1544" s="4"/>
      <c r="Y1544" s="4"/>
      <c r="Z1544" s="4"/>
      <c r="AA1544" s="6"/>
      <c r="AB1544" s="5"/>
      <c r="AC1544" s="9"/>
      <c r="AD1544" s="9"/>
      <c r="AE1544" s="9"/>
      <c r="AF1544" s="9"/>
      <c r="AG1544" s="54"/>
      <c r="AH1544" s="3"/>
      <c r="AI1544" s="2"/>
      <c r="AJ1544" s="2"/>
      <c r="AK1544" s="2"/>
      <c r="AL1544" s="3"/>
      <c r="AM1544" s="3"/>
      <c r="AN1544" s="3"/>
      <c r="AO1544" s="3"/>
      <c r="AP1544" s="3"/>
      <c r="AQ1544" s="59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53"/>
      <c r="BC1544" s="3"/>
      <c r="BD1544" s="59"/>
      <c r="BE1544" s="3"/>
      <c r="BF1544" s="53"/>
      <c r="BG1544" s="59"/>
    </row>
    <row r="1545" spans="1:59" customFormat="1" ht="15" x14ac:dyDescent="0.35">
      <c r="A1545" s="19"/>
      <c r="B1545" s="49"/>
      <c r="C1545" s="14"/>
      <c r="D1545" s="1"/>
      <c r="E1545" s="149"/>
      <c r="F1545" s="153"/>
      <c r="G1545" s="10"/>
      <c r="H1545" s="17"/>
      <c r="I1545" s="17"/>
      <c r="J1545" s="17"/>
      <c r="K1545" s="30"/>
      <c r="L1545" s="30"/>
      <c r="M1545" s="30"/>
      <c r="N1545" s="30"/>
      <c r="O1545" s="30"/>
      <c r="P1545" s="30"/>
      <c r="Q1545" s="30"/>
      <c r="R1545" s="30"/>
      <c r="S1545" s="30"/>
      <c r="T1545" s="30"/>
      <c r="U1545" s="30"/>
      <c r="V1545" s="30"/>
      <c r="W1545" s="29"/>
      <c r="X1545" s="15"/>
      <c r="Y1545" s="30"/>
      <c r="Z1545" s="30"/>
      <c r="AA1545" s="30"/>
      <c r="AB1545" s="30"/>
      <c r="AC1545" s="17"/>
      <c r="AD1545" s="17"/>
      <c r="AE1545" s="17"/>
      <c r="AF1545" s="17"/>
      <c r="AG1545" s="20"/>
      <c r="AH1545" s="21"/>
      <c r="AI1545" s="21"/>
      <c r="AJ1545" s="21"/>
      <c r="AK1545" s="21"/>
      <c r="AL1545" s="21"/>
      <c r="AM1545" s="21"/>
      <c r="AN1545" s="21"/>
      <c r="AO1545" s="22"/>
      <c r="AP1545" s="21"/>
      <c r="AQ1545" s="24"/>
      <c r="AR1545" s="21"/>
      <c r="AS1545" s="21"/>
      <c r="AT1545" s="21"/>
      <c r="AU1545" s="21"/>
      <c r="AV1545" s="21"/>
      <c r="AW1545" s="21"/>
      <c r="AX1545" s="22"/>
      <c r="AY1545" s="21"/>
      <c r="AZ1545" s="22"/>
      <c r="BA1545" s="21"/>
      <c r="BB1545" s="20"/>
      <c r="BC1545" s="21"/>
      <c r="BD1545" s="25"/>
      <c r="BE1545" s="26"/>
      <c r="BF1545" s="27"/>
      <c r="BG1545" s="28"/>
    </row>
    <row r="1546" spans="1:59" customFormat="1" ht="15" x14ac:dyDescent="0.35">
      <c r="A1546" s="50"/>
      <c r="B1546" s="63"/>
      <c r="C1546" s="39"/>
      <c r="D1546" s="6"/>
      <c r="E1546" s="149"/>
      <c r="F1546" s="153"/>
      <c r="G1546" s="10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12"/>
      <c r="X1546" s="33"/>
      <c r="Y1546" s="6"/>
      <c r="Z1546" s="6"/>
      <c r="AA1546" s="6"/>
      <c r="AB1546" s="6"/>
      <c r="AC1546" s="9"/>
      <c r="AD1546" s="9"/>
      <c r="AE1546" s="9"/>
      <c r="AF1546" s="9"/>
      <c r="AG1546" s="5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59"/>
      <c r="AR1546" s="21"/>
      <c r="AS1546" s="21"/>
      <c r="AT1546" s="3"/>
      <c r="AU1546" s="3"/>
      <c r="AV1546" s="3"/>
      <c r="AW1546" s="3"/>
      <c r="AX1546" s="3"/>
      <c r="AY1546" s="3"/>
      <c r="AZ1546" s="3"/>
      <c r="BA1546" s="3"/>
      <c r="BB1546" s="53"/>
      <c r="BC1546" s="3"/>
      <c r="BD1546" s="59"/>
      <c r="BE1546" s="3"/>
      <c r="BF1546" s="53"/>
      <c r="BG1546" s="59"/>
    </row>
    <row r="1547" spans="1:59" customFormat="1" ht="15" x14ac:dyDescent="0.35">
      <c r="A1547" s="50"/>
      <c r="B1547" s="63"/>
      <c r="C1547" s="39"/>
      <c r="D1547" s="6"/>
      <c r="E1547" s="149"/>
      <c r="F1547" s="153"/>
      <c r="G1547" s="10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12"/>
      <c r="X1547" s="33"/>
      <c r="Y1547" s="6"/>
      <c r="Z1547" s="6"/>
      <c r="AA1547" s="6"/>
      <c r="AB1547" s="6"/>
      <c r="AC1547" s="9"/>
      <c r="AD1547" s="9"/>
      <c r="AE1547" s="9"/>
      <c r="AF1547" s="9"/>
      <c r="AG1547" s="5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59"/>
      <c r="AR1547" s="21"/>
      <c r="AS1547" s="21"/>
      <c r="AT1547" s="3"/>
      <c r="AU1547" s="3"/>
      <c r="AV1547" s="3"/>
      <c r="AW1547" s="3"/>
      <c r="AX1547" s="3"/>
      <c r="AY1547" s="3"/>
      <c r="AZ1547" s="3"/>
      <c r="BA1547" s="3"/>
      <c r="BB1547" s="53"/>
      <c r="BC1547" s="3"/>
      <c r="BD1547" s="59"/>
      <c r="BE1547" s="3"/>
      <c r="BF1547" s="53"/>
      <c r="BG1547" s="59"/>
    </row>
    <row r="1548" spans="1:59" customFormat="1" ht="15" x14ac:dyDescent="0.35">
      <c r="A1548" s="50"/>
      <c r="B1548" s="63"/>
      <c r="C1548" s="39"/>
      <c r="D1548" s="6"/>
      <c r="E1548" s="149"/>
      <c r="F1548" s="153"/>
      <c r="G1548" s="10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12"/>
      <c r="X1548" s="33"/>
      <c r="Y1548" s="6"/>
      <c r="Z1548" s="6"/>
      <c r="AA1548" s="6"/>
      <c r="AB1548" s="6"/>
      <c r="AC1548" s="9"/>
      <c r="AD1548" s="9"/>
      <c r="AE1548" s="9"/>
      <c r="AF1548" s="9"/>
      <c r="AG1548" s="5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59"/>
      <c r="AR1548" s="21"/>
      <c r="AS1548" s="21"/>
      <c r="AT1548" s="3"/>
      <c r="AU1548" s="3"/>
      <c r="AV1548" s="3"/>
      <c r="AW1548" s="3"/>
      <c r="AX1548" s="3"/>
      <c r="AY1548" s="3"/>
      <c r="AZ1548" s="3"/>
      <c r="BA1548" s="3"/>
      <c r="BB1548" s="53"/>
      <c r="BC1548" s="3"/>
      <c r="BD1548" s="59"/>
      <c r="BE1548" s="3"/>
      <c r="BF1548" s="53"/>
      <c r="BG1548" s="59"/>
    </row>
    <row r="1549" spans="1:59" customFormat="1" ht="15" x14ac:dyDescent="0.35">
      <c r="A1549" s="50"/>
      <c r="B1549" s="63"/>
      <c r="C1549" s="39"/>
      <c r="D1549" s="6"/>
      <c r="E1549" s="149"/>
      <c r="F1549" s="153"/>
      <c r="G1549" s="10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12"/>
      <c r="X1549" s="33"/>
      <c r="Y1549" s="6"/>
      <c r="Z1549" s="6"/>
      <c r="AA1549" s="6"/>
      <c r="AB1549" s="6"/>
      <c r="AC1549" s="9"/>
      <c r="AD1549" s="9"/>
      <c r="AE1549" s="9"/>
      <c r="AF1549" s="9"/>
      <c r="AG1549" s="5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59"/>
      <c r="AR1549" s="21"/>
      <c r="AS1549" s="21"/>
      <c r="AT1549" s="3"/>
      <c r="AU1549" s="3"/>
      <c r="AV1549" s="3"/>
      <c r="AW1549" s="3"/>
      <c r="AX1549" s="3"/>
      <c r="AY1549" s="3"/>
      <c r="AZ1549" s="3"/>
      <c r="BA1549" s="3"/>
      <c r="BB1549" s="53"/>
      <c r="BC1549" s="3"/>
      <c r="BD1549" s="59"/>
      <c r="BE1549" s="3"/>
      <c r="BF1549" s="53"/>
      <c r="BG1549" s="59"/>
    </row>
    <row r="1550" spans="1:59" customFormat="1" ht="15" x14ac:dyDescent="0.35">
      <c r="A1550" s="50"/>
      <c r="B1550" s="63"/>
      <c r="C1550" s="39"/>
      <c r="D1550" s="6"/>
      <c r="E1550" s="149"/>
      <c r="F1550" s="153"/>
      <c r="G1550" s="10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5"/>
      <c r="V1550" s="5"/>
      <c r="W1550" s="13"/>
      <c r="X1550" s="4"/>
      <c r="Y1550" s="4"/>
      <c r="Z1550" s="4"/>
      <c r="AA1550" s="6"/>
      <c r="AB1550" s="5"/>
      <c r="AC1550" s="9"/>
      <c r="AD1550" s="9"/>
      <c r="AE1550" s="9"/>
      <c r="AF1550" s="9"/>
      <c r="AG1550" s="54"/>
      <c r="AH1550" s="3"/>
      <c r="AI1550" s="2"/>
      <c r="AJ1550" s="2"/>
      <c r="AK1550" s="2"/>
      <c r="AL1550" s="3"/>
      <c r="AM1550" s="3"/>
      <c r="AN1550" s="3"/>
      <c r="AO1550" s="3"/>
      <c r="AP1550" s="3"/>
      <c r="AQ1550" s="59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53"/>
      <c r="BC1550" s="3"/>
      <c r="BD1550" s="59"/>
      <c r="BE1550" s="3"/>
      <c r="BF1550" s="53"/>
      <c r="BG1550" s="59"/>
    </row>
    <row r="1551" spans="1:59" customFormat="1" ht="15" x14ac:dyDescent="0.35">
      <c r="A1551" s="19"/>
      <c r="B1551" s="49"/>
      <c r="C1551" s="14"/>
      <c r="D1551" s="1"/>
      <c r="E1551" s="149"/>
      <c r="F1551" s="153"/>
      <c r="G1551" s="10"/>
      <c r="H1551" s="17"/>
      <c r="I1551" s="17"/>
      <c r="J1551" s="17"/>
      <c r="K1551" s="30"/>
      <c r="L1551" s="30"/>
      <c r="M1551" s="30"/>
      <c r="N1551" s="30"/>
      <c r="O1551" s="30"/>
      <c r="P1551" s="30"/>
      <c r="Q1551" s="30"/>
      <c r="R1551" s="30"/>
      <c r="S1551" s="30"/>
      <c r="T1551" s="30"/>
      <c r="U1551" s="30"/>
      <c r="V1551" s="30"/>
      <c r="W1551" s="29"/>
      <c r="X1551" s="15"/>
      <c r="Y1551" s="30"/>
      <c r="Z1551" s="30"/>
      <c r="AA1551" s="30"/>
      <c r="AB1551" s="30"/>
      <c r="AC1551" s="17"/>
      <c r="AD1551" s="17"/>
      <c r="AE1551" s="17"/>
      <c r="AF1551" s="17"/>
      <c r="AG1551" s="20"/>
      <c r="AH1551" s="21"/>
      <c r="AI1551" s="21"/>
      <c r="AJ1551" s="21"/>
      <c r="AK1551" s="21"/>
      <c r="AL1551" s="21"/>
      <c r="AM1551" s="21"/>
      <c r="AN1551" s="21"/>
      <c r="AO1551" s="22"/>
      <c r="AP1551" s="21"/>
      <c r="AQ1551" s="24"/>
      <c r="AR1551" s="21"/>
      <c r="AS1551" s="21"/>
      <c r="AT1551" s="21"/>
      <c r="AU1551" s="21"/>
      <c r="AV1551" s="21"/>
      <c r="AW1551" s="21"/>
      <c r="AX1551" s="22"/>
      <c r="AY1551" s="21"/>
      <c r="AZ1551" s="22"/>
      <c r="BA1551" s="21"/>
      <c r="BB1551" s="20"/>
      <c r="BC1551" s="21"/>
      <c r="BD1551" s="25"/>
      <c r="BE1551" s="26"/>
      <c r="BF1551" s="27"/>
      <c r="BG1551" s="28"/>
    </row>
    <row r="1552" spans="1:59" customFormat="1" ht="15" x14ac:dyDescent="0.35">
      <c r="A1552" s="50"/>
      <c r="B1552" s="63"/>
      <c r="C1552" s="39"/>
      <c r="D1552" s="6"/>
      <c r="E1552" s="149"/>
      <c r="F1552" s="153"/>
      <c r="G1552" s="10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12"/>
      <c r="X1552" s="33"/>
      <c r="Y1552" s="6"/>
      <c r="Z1552" s="6"/>
      <c r="AA1552" s="6"/>
      <c r="AB1552" s="6"/>
      <c r="AC1552" s="9"/>
      <c r="AD1552" s="9"/>
      <c r="AE1552" s="9"/>
      <c r="AF1552" s="9"/>
      <c r="AG1552" s="5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59"/>
      <c r="AR1552" s="21"/>
      <c r="AS1552" s="21"/>
      <c r="AT1552" s="3"/>
      <c r="AU1552" s="3"/>
      <c r="AV1552" s="3"/>
      <c r="AW1552" s="3"/>
      <c r="AX1552" s="3"/>
      <c r="AY1552" s="3"/>
      <c r="AZ1552" s="3"/>
      <c r="BA1552" s="3"/>
      <c r="BB1552" s="53"/>
      <c r="BC1552" s="3"/>
      <c r="BD1552" s="59"/>
      <c r="BE1552" s="3"/>
      <c r="BF1552" s="53"/>
      <c r="BG1552" s="59"/>
    </row>
    <row r="1553" spans="1:59" customFormat="1" ht="15" x14ac:dyDescent="0.35">
      <c r="A1553" s="50"/>
      <c r="B1553" s="63"/>
      <c r="C1553" s="39"/>
      <c r="D1553" s="6"/>
      <c r="E1553" s="149"/>
      <c r="F1553" s="153"/>
      <c r="G1553" s="10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12"/>
      <c r="X1553" s="33"/>
      <c r="Y1553" s="6"/>
      <c r="Z1553" s="6"/>
      <c r="AA1553" s="6"/>
      <c r="AB1553" s="6"/>
      <c r="AC1553" s="9"/>
      <c r="AD1553" s="9"/>
      <c r="AE1553" s="9"/>
      <c r="AF1553" s="9"/>
      <c r="AG1553" s="5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59"/>
      <c r="AR1553" s="21"/>
      <c r="AS1553" s="21"/>
      <c r="AT1553" s="3"/>
      <c r="AU1553" s="3"/>
      <c r="AV1553" s="3"/>
      <c r="AW1553" s="3"/>
      <c r="AX1553" s="3"/>
      <c r="AY1553" s="3"/>
      <c r="AZ1553" s="3"/>
      <c r="BA1553" s="3"/>
      <c r="BB1553" s="53"/>
      <c r="BC1553" s="3"/>
      <c r="BD1553" s="59"/>
      <c r="BE1553" s="3"/>
      <c r="BF1553" s="53"/>
      <c r="BG1553" s="59"/>
    </row>
    <row r="1554" spans="1:59" customFormat="1" ht="15" x14ac:dyDescent="0.35">
      <c r="A1554" s="19"/>
      <c r="B1554" s="49"/>
      <c r="C1554" s="14"/>
      <c r="D1554" s="1"/>
      <c r="E1554" s="149"/>
      <c r="F1554" s="153"/>
      <c r="G1554" s="10"/>
      <c r="H1554" s="17"/>
      <c r="I1554" s="17"/>
      <c r="J1554" s="17"/>
      <c r="K1554" s="30"/>
      <c r="L1554" s="30"/>
      <c r="M1554" s="30"/>
      <c r="N1554" s="30"/>
      <c r="O1554" s="30"/>
      <c r="P1554" s="30"/>
      <c r="Q1554" s="30"/>
      <c r="R1554" s="30"/>
      <c r="S1554" s="30"/>
      <c r="T1554" s="30"/>
      <c r="U1554" s="30"/>
      <c r="V1554" s="30"/>
      <c r="W1554" s="29"/>
      <c r="X1554" s="15"/>
      <c r="Y1554" s="30"/>
      <c r="Z1554" s="30"/>
      <c r="AA1554" s="30"/>
      <c r="AB1554" s="30"/>
      <c r="AC1554" s="17"/>
      <c r="AD1554" s="17"/>
      <c r="AE1554" s="17"/>
      <c r="AF1554" s="17"/>
      <c r="AG1554" s="20"/>
      <c r="AH1554" s="21"/>
      <c r="AI1554" s="21"/>
      <c r="AJ1554" s="21"/>
      <c r="AK1554" s="21"/>
      <c r="AL1554" s="21"/>
      <c r="AM1554" s="21"/>
      <c r="AN1554" s="21"/>
      <c r="AO1554" s="22"/>
      <c r="AP1554" s="21"/>
      <c r="AQ1554" s="24"/>
      <c r="AR1554" s="21"/>
      <c r="AS1554" s="21"/>
      <c r="AT1554" s="21"/>
      <c r="AU1554" s="21"/>
      <c r="AV1554" s="21"/>
      <c r="AW1554" s="21"/>
      <c r="AX1554" s="22"/>
      <c r="AY1554" s="21"/>
      <c r="AZ1554" s="22"/>
      <c r="BA1554" s="21"/>
      <c r="BB1554" s="20"/>
      <c r="BC1554" s="21"/>
      <c r="BD1554" s="25"/>
      <c r="BE1554" s="26"/>
      <c r="BF1554" s="27"/>
      <c r="BG1554" s="28"/>
    </row>
    <row r="1555" spans="1:59" customFormat="1" ht="15" x14ac:dyDescent="0.35">
      <c r="A1555" s="50"/>
      <c r="B1555" s="63"/>
      <c r="C1555" s="39"/>
      <c r="D1555" s="6"/>
      <c r="E1555" s="149"/>
      <c r="F1555" s="153"/>
      <c r="G1555" s="10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12"/>
      <c r="X1555" s="33"/>
      <c r="Y1555" s="6"/>
      <c r="Z1555" s="6"/>
      <c r="AA1555" s="6"/>
      <c r="AB1555" s="6"/>
      <c r="AC1555" s="9"/>
      <c r="AD1555" s="9"/>
      <c r="AE1555" s="9"/>
      <c r="AF1555" s="9"/>
      <c r="AG1555" s="5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59"/>
      <c r="AR1555" s="21"/>
      <c r="AS1555" s="21"/>
      <c r="AT1555" s="3"/>
      <c r="AU1555" s="3"/>
      <c r="AV1555" s="3"/>
      <c r="AW1555" s="3"/>
      <c r="AX1555" s="3"/>
      <c r="AY1555" s="3"/>
      <c r="AZ1555" s="3"/>
      <c r="BA1555" s="3"/>
      <c r="BB1555" s="53"/>
      <c r="BC1555" s="3"/>
      <c r="BD1555" s="59"/>
      <c r="BE1555" s="3"/>
      <c r="BF1555" s="53"/>
      <c r="BG1555" s="59"/>
    </row>
    <row r="1556" spans="1:59" customFormat="1" ht="15" x14ac:dyDescent="0.35">
      <c r="A1556" s="50"/>
      <c r="B1556" s="63"/>
      <c r="C1556" s="39"/>
      <c r="D1556" s="6"/>
      <c r="E1556" s="149"/>
      <c r="F1556" s="153"/>
      <c r="G1556" s="10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12"/>
      <c r="X1556" s="33"/>
      <c r="Y1556" s="6"/>
      <c r="Z1556" s="6"/>
      <c r="AA1556" s="6"/>
      <c r="AB1556" s="6"/>
      <c r="AC1556" s="9"/>
      <c r="AD1556" s="9"/>
      <c r="AE1556" s="9"/>
      <c r="AF1556" s="9"/>
      <c r="AG1556" s="5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59"/>
      <c r="AR1556" s="21"/>
      <c r="AS1556" s="21"/>
      <c r="AT1556" s="3"/>
      <c r="AU1556" s="3"/>
      <c r="AV1556" s="3"/>
      <c r="AW1556" s="3"/>
      <c r="AX1556" s="3"/>
      <c r="AY1556" s="3"/>
      <c r="AZ1556" s="3"/>
      <c r="BA1556" s="3"/>
      <c r="BB1556" s="53"/>
      <c r="BC1556" s="3"/>
      <c r="BD1556" s="59"/>
      <c r="BE1556" s="3"/>
      <c r="BF1556" s="53"/>
      <c r="BG1556" s="59"/>
    </row>
    <row r="1557" spans="1:59" customFormat="1" ht="15" x14ac:dyDescent="0.35">
      <c r="A1557" s="19"/>
      <c r="B1557" s="49"/>
      <c r="C1557" s="14"/>
      <c r="D1557" s="1"/>
      <c r="E1557" s="149"/>
      <c r="F1557" s="153"/>
      <c r="G1557" s="10"/>
      <c r="H1557" s="17"/>
      <c r="I1557" s="17"/>
      <c r="J1557" s="17"/>
      <c r="K1557" s="30"/>
      <c r="L1557" s="30"/>
      <c r="M1557" s="30"/>
      <c r="N1557" s="30"/>
      <c r="O1557" s="30"/>
      <c r="P1557" s="30"/>
      <c r="Q1557" s="30"/>
      <c r="R1557" s="30"/>
      <c r="S1557" s="30"/>
      <c r="T1557" s="30"/>
      <c r="U1557" s="30"/>
      <c r="V1557" s="30"/>
      <c r="W1557" s="29"/>
      <c r="X1557" s="15"/>
      <c r="Y1557" s="30"/>
      <c r="Z1557" s="30"/>
      <c r="AA1557" s="30"/>
      <c r="AB1557" s="30"/>
      <c r="AC1557" s="17"/>
      <c r="AD1557" s="17"/>
      <c r="AE1557" s="17"/>
      <c r="AF1557" s="17"/>
      <c r="AG1557" s="20"/>
      <c r="AH1557" s="21"/>
      <c r="AI1557" s="21"/>
      <c r="AJ1557" s="21"/>
      <c r="AK1557" s="21"/>
      <c r="AL1557" s="21"/>
      <c r="AM1557" s="21"/>
      <c r="AN1557" s="21"/>
      <c r="AO1557" s="22"/>
      <c r="AP1557" s="21"/>
      <c r="AQ1557" s="24"/>
      <c r="AR1557" s="21"/>
      <c r="AS1557" s="21"/>
      <c r="AT1557" s="21"/>
      <c r="AU1557" s="21"/>
      <c r="AV1557" s="21"/>
      <c r="AW1557" s="21"/>
      <c r="AX1557" s="22"/>
      <c r="AY1557" s="21"/>
      <c r="AZ1557" s="22"/>
      <c r="BA1557" s="21"/>
      <c r="BB1557" s="20"/>
      <c r="BC1557" s="21"/>
      <c r="BD1557" s="25"/>
      <c r="BE1557" s="26"/>
      <c r="BF1557" s="27"/>
      <c r="BG1557" s="28"/>
    </row>
    <row r="1558" spans="1:59" customFormat="1" ht="15" x14ac:dyDescent="0.35">
      <c r="A1558" s="50"/>
      <c r="B1558" s="63"/>
      <c r="C1558" s="39"/>
      <c r="D1558" s="6"/>
      <c r="E1558" s="149"/>
      <c r="F1558" s="153"/>
      <c r="G1558" s="10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5"/>
      <c r="V1558" s="5"/>
      <c r="W1558" s="13"/>
      <c r="X1558" s="4"/>
      <c r="Y1558" s="4"/>
      <c r="Z1558" s="4"/>
      <c r="AA1558" s="6"/>
      <c r="AB1558" s="5"/>
      <c r="AC1558" s="9"/>
      <c r="AD1558" s="9"/>
      <c r="AE1558" s="9"/>
      <c r="AF1558" s="9"/>
      <c r="AG1558" s="54"/>
      <c r="AH1558" s="3"/>
      <c r="AI1558" s="2"/>
      <c r="AJ1558" s="2"/>
      <c r="AK1558" s="2"/>
      <c r="AL1558" s="3"/>
      <c r="AM1558" s="3"/>
      <c r="AN1558" s="3"/>
      <c r="AO1558" s="3"/>
      <c r="AP1558" s="3"/>
      <c r="AQ1558" s="59"/>
      <c r="AR1558" s="21"/>
      <c r="AS1558" s="21"/>
      <c r="AT1558" s="3"/>
      <c r="AU1558" s="3"/>
      <c r="AV1558" s="3"/>
      <c r="AW1558" s="3"/>
      <c r="AX1558" s="3"/>
      <c r="AY1558" s="3"/>
      <c r="AZ1558" s="3"/>
      <c r="BA1558" s="3"/>
      <c r="BB1558" s="53"/>
      <c r="BC1558" s="3"/>
      <c r="BD1558" s="59"/>
      <c r="BE1558" s="3"/>
      <c r="BF1558" s="53"/>
      <c r="BG1558" s="59"/>
    </row>
    <row r="1559" spans="1:59" customFormat="1" ht="15" x14ac:dyDescent="0.35">
      <c r="A1559" s="50"/>
      <c r="B1559" s="63"/>
      <c r="C1559" s="39"/>
      <c r="D1559" s="6"/>
      <c r="E1559" s="149"/>
      <c r="F1559" s="153"/>
      <c r="G1559" s="10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5"/>
      <c r="V1559" s="5"/>
      <c r="W1559" s="13"/>
      <c r="X1559" s="4"/>
      <c r="Y1559" s="4"/>
      <c r="Z1559" s="4"/>
      <c r="AA1559" s="6"/>
      <c r="AB1559" s="5"/>
      <c r="AC1559" s="9"/>
      <c r="AD1559" s="9"/>
      <c r="AE1559" s="9"/>
      <c r="AF1559" s="9"/>
      <c r="AG1559" s="54"/>
      <c r="AH1559" s="3"/>
      <c r="AI1559" s="2"/>
      <c r="AJ1559" s="2"/>
      <c r="AK1559" s="2"/>
      <c r="AL1559" s="3"/>
      <c r="AM1559" s="3"/>
      <c r="AN1559" s="3"/>
      <c r="AO1559" s="3"/>
      <c r="AP1559" s="3"/>
      <c r="AQ1559" s="59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53"/>
      <c r="BC1559" s="3"/>
      <c r="BD1559" s="59"/>
      <c r="BE1559" s="3"/>
      <c r="BF1559" s="53"/>
      <c r="BG1559" s="59"/>
    </row>
    <row r="1560" spans="1:59" customFormat="1" ht="15" x14ac:dyDescent="0.35">
      <c r="A1560" s="50"/>
      <c r="B1560" s="63"/>
      <c r="C1560" s="39"/>
      <c r="D1560" s="6"/>
      <c r="E1560" s="149"/>
      <c r="F1560" s="153"/>
      <c r="G1560" s="10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5"/>
      <c r="V1560" s="5"/>
      <c r="W1560" s="13"/>
      <c r="X1560" s="4"/>
      <c r="Y1560" s="4"/>
      <c r="Z1560" s="4"/>
      <c r="AA1560" s="6"/>
      <c r="AB1560" s="5"/>
      <c r="AC1560" s="9"/>
      <c r="AD1560" s="9"/>
      <c r="AE1560" s="9"/>
      <c r="AF1560" s="9"/>
      <c r="AG1560" s="54"/>
      <c r="AH1560" s="3"/>
      <c r="AI1560" s="2"/>
      <c r="AJ1560" s="2"/>
      <c r="AK1560" s="2"/>
      <c r="AL1560" s="3"/>
      <c r="AM1560" s="3"/>
      <c r="AN1560" s="3"/>
      <c r="AO1560" s="3"/>
      <c r="AP1560" s="3"/>
      <c r="AQ1560" s="59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53"/>
      <c r="BC1560" s="3"/>
      <c r="BD1560" s="59"/>
      <c r="BE1560" s="3"/>
      <c r="BF1560" s="53"/>
      <c r="BG1560" s="59"/>
    </row>
    <row r="1561" spans="1:59" customFormat="1" ht="15" x14ac:dyDescent="0.35">
      <c r="A1561" s="50"/>
      <c r="B1561" s="63"/>
      <c r="C1561" s="39"/>
      <c r="D1561" s="6"/>
      <c r="E1561" s="149"/>
      <c r="F1561" s="153"/>
      <c r="G1561" s="10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12"/>
      <c r="X1561" s="33"/>
      <c r="Y1561" s="6"/>
      <c r="Z1561" s="6"/>
      <c r="AA1561" s="6"/>
      <c r="AB1561" s="6"/>
      <c r="AC1561" s="9"/>
      <c r="AD1561" s="9"/>
      <c r="AE1561" s="9"/>
      <c r="AF1561" s="9"/>
      <c r="AG1561" s="5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59"/>
      <c r="AR1561" s="21"/>
      <c r="AS1561" s="21"/>
      <c r="AT1561" s="3"/>
      <c r="AU1561" s="3"/>
      <c r="AV1561" s="3"/>
      <c r="AW1561" s="3"/>
      <c r="AX1561" s="3"/>
      <c r="AY1561" s="3"/>
      <c r="AZ1561" s="3"/>
      <c r="BA1561" s="3"/>
      <c r="BB1561" s="53"/>
      <c r="BC1561" s="3"/>
      <c r="BD1561" s="59"/>
      <c r="BE1561" s="3"/>
      <c r="BF1561" s="53"/>
      <c r="BG1561" s="59"/>
    </row>
    <row r="1562" spans="1:59" customFormat="1" ht="15" x14ac:dyDescent="0.35">
      <c r="A1562" s="50"/>
      <c r="B1562" s="63"/>
      <c r="C1562" s="39"/>
      <c r="D1562" s="6"/>
      <c r="E1562" s="149"/>
      <c r="F1562" s="153"/>
      <c r="G1562" s="10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5"/>
      <c r="V1562" s="5"/>
      <c r="W1562" s="13"/>
      <c r="X1562" s="4"/>
      <c r="Y1562" s="4"/>
      <c r="Z1562" s="4"/>
      <c r="AA1562" s="6"/>
      <c r="AB1562" s="5"/>
      <c r="AC1562" s="9"/>
      <c r="AD1562" s="9"/>
      <c r="AE1562" s="9"/>
      <c r="AF1562" s="9"/>
      <c r="AG1562" s="54"/>
      <c r="AH1562" s="3"/>
      <c r="AI1562" s="2"/>
      <c r="AJ1562" s="2"/>
      <c r="AK1562" s="2"/>
      <c r="AL1562" s="3"/>
      <c r="AM1562" s="3"/>
      <c r="AN1562" s="3"/>
      <c r="AO1562" s="3"/>
      <c r="AP1562" s="3"/>
      <c r="AQ1562" s="59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53"/>
      <c r="BC1562" s="3"/>
      <c r="BD1562" s="59"/>
      <c r="BE1562" s="3"/>
      <c r="BF1562" s="53"/>
      <c r="BG1562" s="59"/>
    </row>
    <row r="1563" spans="1:59" customFormat="1" ht="15" x14ac:dyDescent="0.35">
      <c r="A1563" s="19"/>
      <c r="B1563" s="49"/>
      <c r="C1563" s="39"/>
      <c r="D1563" s="1"/>
      <c r="E1563" s="149"/>
      <c r="F1563" s="153"/>
      <c r="G1563" s="10"/>
      <c r="H1563" s="17"/>
      <c r="I1563" s="17"/>
      <c r="J1563" s="17"/>
      <c r="K1563" s="30"/>
      <c r="L1563" s="30"/>
      <c r="M1563" s="30"/>
      <c r="N1563" s="30"/>
      <c r="O1563" s="30"/>
      <c r="P1563" s="30"/>
      <c r="Q1563" s="30"/>
      <c r="R1563" s="30"/>
      <c r="S1563" s="30"/>
      <c r="T1563" s="30"/>
      <c r="U1563" s="30"/>
      <c r="V1563" s="30"/>
      <c r="W1563" s="29"/>
      <c r="X1563" s="15"/>
      <c r="Y1563" s="30"/>
      <c r="Z1563" s="30"/>
      <c r="AA1563" s="30"/>
      <c r="AB1563" s="30"/>
      <c r="AC1563" s="17"/>
      <c r="AD1563" s="17"/>
      <c r="AE1563" s="17"/>
      <c r="AF1563" s="17"/>
      <c r="AG1563" s="20"/>
      <c r="AH1563" s="21"/>
      <c r="AI1563" s="21"/>
      <c r="AJ1563" s="21"/>
      <c r="AK1563" s="21"/>
      <c r="AL1563" s="21"/>
      <c r="AM1563" s="21"/>
      <c r="AN1563" s="21"/>
      <c r="AO1563" s="22"/>
      <c r="AP1563" s="21"/>
      <c r="AQ1563" s="24"/>
      <c r="AR1563" s="21"/>
      <c r="AS1563" s="21"/>
      <c r="AT1563" s="21"/>
      <c r="AU1563" s="21"/>
      <c r="AV1563" s="21"/>
      <c r="AW1563" s="21"/>
      <c r="AX1563" s="22"/>
      <c r="AY1563" s="21"/>
      <c r="AZ1563" s="22"/>
      <c r="BA1563" s="21"/>
      <c r="BB1563" s="20"/>
      <c r="BC1563" s="21"/>
      <c r="BD1563" s="25"/>
      <c r="BE1563" s="26"/>
      <c r="BF1563" s="27"/>
      <c r="BG1563" s="28"/>
    </row>
    <row r="1564" spans="1:59" customFormat="1" ht="15" x14ac:dyDescent="0.35">
      <c r="A1564" s="19"/>
      <c r="B1564" s="49"/>
      <c r="C1564" s="39"/>
      <c r="D1564" s="1"/>
      <c r="E1564" s="149"/>
      <c r="F1564" s="153"/>
      <c r="G1564" s="10"/>
      <c r="H1564" s="17"/>
      <c r="I1564" s="17"/>
      <c r="J1564" s="17"/>
      <c r="K1564" s="30"/>
      <c r="L1564" s="30"/>
      <c r="M1564" s="30"/>
      <c r="N1564" s="30"/>
      <c r="O1564" s="30"/>
      <c r="P1564" s="30"/>
      <c r="Q1564" s="30"/>
      <c r="R1564" s="30"/>
      <c r="S1564" s="30"/>
      <c r="T1564" s="30"/>
      <c r="U1564" s="30"/>
      <c r="V1564" s="30"/>
      <c r="W1564" s="29"/>
      <c r="X1564" s="15"/>
      <c r="Y1564" s="30"/>
      <c r="Z1564" s="30"/>
      <c r="AA1564" s="30"/>
      <c r="AB1564" s="30"/>
      <c r="AC1564" s="17"/>
      <c r="AD1564" s="17"/>
      <c r="AE1564" s="17"/>
      <c r="AF1564" s="17"/>
      <c r="AG1564" s="20"/>
      <c r="AH1564" s="21"/>
      <c r="AI1564" s="21"/>
      <c r="AJ1564" s="21"/>
      <c r="AK1564" s="21"/>
      <c r="AL1564" s="21"/>
      <c r="AM1564" s="21"/>
      <c r="AN1564" s="21"/>
      <c r="AO1564" s="22"/>
      <c r="AP1564" s="21"/>
      <c r="AQ1564" s="24"/>
      <c r="AR1564" s="21"/>
      <c r="AS1564" s="21"/>
      <c r="AT1564" s="21"/>
      <c r="AU1564" s="21"/>
      <c r="AV1564" s="21"/>
      <c r="AW1564" s="21"/>
      <c r="AX1564" s="22"/>
      <c r="AY1564" s="21"/>
      <c r="AZ1564" s="22"/>
      <c r="BA1564" s="21"/>
      <c r="BB1564" s="20"/>
      <c r="BC1564" s="21"/>
      <c r="BD1564" s="25"/>
      <c r="BE1564" s="26"/>
      <c r="BF1564" s="27"/>
      <c r="BG1564" s="28"/>
    </row>
    <row r="1565" spans="1:59" customFormat="1" ht="15" x14ac:dyDescent="0.35">
      <c r="A1565" s="50"/>
      <c r="B1565" s="63"/>
      <c r="C1565" s="39"/>
      <c r="D1565" s="6"/>
      <c r="E1565" s="149"/>
      <c r="F1565" s="153"/>
      <c r="G1565" s="10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12"/>
      <c r="X1565" s="33"/>
      <c r="Y1565" s="6"/>
      <c r="Z1565" s="6"/>
      <c r="AA1565" s="6"/>
      <c r="AB1565" s="6"/>
      <c r="AC1565" s="9"/>
      <c r="AD1565" s="9"/>
      <c r="AE1565" s="9"/>
      <c r="AF1565" s="9"/>
      <c r="AG1565" s="5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59"/>
      <c r="AR1565" s="21"/>
      <c r="AS1565" s="21"/>
      <c r="AT1565" s="3"/>
      <c r="AU1565" s="3"/>
      <c r="AV1565" s="3"/>
      <c r="AW1565" s="3"/>
      <c r="AX1565" s="3"/>
      <c r="AY1565" s="3"/>
      <c r="AZ1565" s="3"/>
      <c r="BA1565" s="3"/>
      <c r="BB1565" s="53"/>
      <c r="BC1565" s="3"/>
      <c r="BD1565" s="59"/>
      <c r="BE1565" s="3"/>
      <c r="BF1565" s="53"/>
      <c r="BG1565" s="59"/>
    </row>
    <row r="1566" spans="1:59" customFormat="1" ht="15" x14ac:dyDescent="0.35">
      <c r="A1566" s="50"/>
      <c r="B1566" s="63"/>
      <c r="C1566" s="39"/>
      <c r="D1566" s="6"/>
      <c r="E1566" s="149"/>
      <c r="F1566" s="153"/>
      <c r="G1566" s="10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5"/>
      <c r="V1566" s="5"/>
      <c r="W1566" s="13"/>
      <c r="X1566" s="4"/>
      <c r="Y1566" s="4"/>
      <c r="Z1566" s="4"/>
      <c r="AA1566" s="6"/>
      <c r="AB1566" s="5"/>
      <c r="AC1566" s="9"/>
      <c r="AD1566" s="9"/>
      <c r="AE1566" s="9"/>
      <c r="AF1566" s="9"/>
      <c r="AG1566" s="54"/>
      <c r="AH1566" s="3"/>
      <c r="AI1566" s="2"/>
      <c r="AJ1566" s="2"/>
      <c r="AK1566" s="2"/>
      <c r="AL1566" s="3"/>
      <c r="AM1566" s="3"/>
      <c r="AN1566" s="3"/>
      <c r="AO1566" s="3"/>
      <c r="AP1566" s="3"/>
      <c r="AQ1566" s="59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53"/>
      <c r="BC1566" s="3"/>
      <c r="BD1566" s="59"/>
      <c r="BE1566" s="3"/>
      <c r="BF1566" s="53"/>
      <c r="BG1566" s="59"/>
    </row>
    <row r="1567" spans="1:59" customFormat="1" ht="15" x14ac:dyDescent="0.35">
      <c r="A1567" s="50"/>
      <c r="B1567" s="63"/>
      <c r="C1567" s="39"/>
      <c r="D1567" s="6"/>
      <c r="E1567" s="149"/>
      <c r="F1567" s="153"/>
      <c r="G1567" s="10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12"/>
      <c r="X1567" s="33"/>
      <c r="Y1567" s="6"/>
      <c r="Z1567" s="6"/>
      <c r="AA1567" s="6"/>
      <c r="AB1567" s="6"/>
      <c r="AC1567" s="9"/>
      <c r="AD1567" s="9"/>
      <c r="AE1567" s="9"/>
      <c r="AF1567" s="9"/>
      <c r="AG1567" s="5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59"/>
      <c r="AR1567" s="21"/>
      <c r="AS1567" s="21"/>
      <c r="AT1567" s="3"/>
      <c r="AU1567" s="3"/>
      <c r="AV1567" s="3"/>
      <c r="AW1567" s="3"/>
      <c r="AX1567" s="3"/>
      <c r="AY1567" s="3"/>
      <c r="AZ1567" s="3"/>
      <c r="BA1567" s="3"/>
      <c r="BB1567" s="53"/>
      <c r="BC1567" s="3"/>
      <c r="BD1567" s="59"/>
      <c r="BE1567" s="3"/>
      <c r="BF1567" s="53"/>
      <c r="BG1567" s="59"/>
    </row>
    <row r="1568" spans="1:59" customFormat="1" ht="15" x14ac:dyDescent="0.35">
      <c r="A1568" s="50"/>
      <c r="B1568" s="63"/>
      <c r="C1568" s="39"/>
      <c r="D1568" s="6"/>
      <c r="E1568" s="149"/>
      <c r="F1568" s="153"/>
      <c r="G1568" s="10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12"/>
      <c r="X1568" s="33"/>
      <c r="Y1568" s="6"/>
      <c r="Z1568" s="6"/>
      <c r="AA1568" s="6"/>
      <c r="AB1568" s="6"/>
      <c r="AC1568" s="9"/>
      <c r="AD1568" s="9"/>
      <c r="AE1568" s="9"/>
      <c r="AF1568" s="9"/>
      <c r="AG1568" s="5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59"/>
      <c r="AR1568" s="21"/>
      <c r="AS1568" s="21"/>
      <c r="AT1568" s="3"/>
      <c r="AU1568" s="3"/>
      <c r="AV1568" s="3"/>
      <c r="AW1568" s="3"/>
      <c r="AX1568" s="3"/>
      <c r="AY1568" s="3"/>
      <c r="AZ1568" s="3"/>
      <c r="BA1568" s="3"/>
      <c r="BB1568" s="53"/>
      <c r="BC1568" s="3"/>
      <c r="BD1568" s="59"/>
      <c r="BE1568" s="3"/>
      <c r="BF1568" s="53"/>
      <c r="BG1568" s="59"/>
    </row>
    <row r="1569" spans="1:59" customFormat="1" ht="15" x14ac:dyDescent="0.35">
      <c r="A1569" s="19"/>
      <c r="B1569" s="49"/>
      <c r="C1569" s="14"/>
      <c r="D1569" s="1"/>
      <c r="E1569" s="149"/>
      <c r="F1569" s="153"/>
      <c r="G1569" s="10"/>
      <c r="H1569" s="17"/>
      <c r="I1569" s="17"/>
      <c r="J1569" s="17"/>
      <c r="K1569" s="30"/>
      <c r="L1569" s="30"/>
      <c r="M1569" s="30"/>
      <c r="N1569" s="30"/>
      <c r="O1569" s="30"/>
      <c r="P1569" s="30"/>
      <c r="Q1569" s="30"/>
      <c r="R1569" s="30"/>
      <c r="S1569" s="30"/>
      <c r="T1569" s="30"/>
      <c r="U1569" s="30"/>
      <c r="V1569" s="30"/>
      <c r="W1569" s="29"/>
      <c r="X1569" s="15"/>
      <c r="Y1569" s="30"/>
      <c r="Z1569" s="30"/>
      <c r="AA1569" s="30"/>
      <c r="AB1569" s="30"/>
      <c r="AC1569" s="17"/>
      <c r="AD1569" s="17"/>
      <c r="AE1569" s="17"/>
      <c r="AF1569" s="17"/>
      <c r="AG1569" s="20"/>
      <c r="AH1569" s="21"/>
      <c r="AI1569" s="21"/>
      <c r="AJ1569" s="21"/>
      <c r="AK1569" s="21"/>
      <c r="AL1569" s="21"/>
      <c r="AM1569" s="21"/>
      <c r="AN1569" s="21"/>
      <c r="AO1569" s="22"/>
      <c r="AP1569" s="21"/>
      <c r="AQ1569" s="24"/>
      <c r="AR1569" s="21"/>
      <c r="AS1569" s="21"/>
      <c r="AT1569" s="21"/>
      <c r="AU1569" s="21"/>
      <c r="AV1569" s="21"/>
      <c r="AW1569" s="21"/>
      <c r="AX1569" s="22"/>
      <c r="AY1569" s="21"/>
      <c r="AZ1569" s="22"/>
      <c r="BA1569" s="21"/>
      <c r="BB1569" s="20"/>
      <c r="BC1569" s="21"/>
      <c r="BD1569" s="25"/>
      <c r="BE1569" s="26"/>
      <c r="BF1569" s="27"/>
      <c r="BG1569" s="28"/>
    </row>
    <row r="1570" spans="1:59" customFormat="1" ht="15" x14ac:dyDescent="0.35">
      <c r="A1570" s="50"/>
      <c r="B1570" s="63"/>
      <c r="C1570" s="39"/>
      <c r="D1570" s="6"/>
      <c r="E1570" s="149"/>
      <c r="F1570" s="153"/>
      <c r="G1570" s="10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12"/>
      <c r="X1570" s="33"/>
      <c r="Y1570" s="6"/>
      <c r="Z1570" s="6"/>
      <c r="AA1570" s="6"/>
      <c r="AB1570" s="6"/>
      <c r="AC1570" s="9"/>
      <c r="AD1570" s="9"/>
      <c r="AE1570" s="9"/>
      <c r="AF1570" s="9"/>
      <c r="AG1570" s="5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59"/>
      <c r="AR1570" s="21"/>
      <c r="AS1570" s="21"/>
      <c r="AT1570" s="3"/>
      <c r="AU1570" s="3"/>
      <c r="AV1570" s="3"/>
      <c r="AW1570" s="3"/>
      <c r="AX1570" s="3"/>
      <c r="AY1570" s="3"/>
      <c r="AZ1570" s="3"/>
      <c r="BA1570" s="3"/>
      <c r="BB1570" s="53"/>
      <c r="BC1570" s="3"/>
      <c r="BD1570" s="59"/>
      <c r="BE1570" s="3"/>
      <c r="BF1570" s="53"/>
      <c r="BG1570" s="59"/>
    </row>
    <row r="1571" spans="1:59" customFormat="1" ht="15" x14ac:dyDescent="0.35">
      <c r="A1571" s="19"/>
      <c r="B1571" s="49"/>
      <c r="C1571" s="14"/>
      <c r="D1571" s="1"/>
      <c r="E1571" s="149"/>
      <c r="F1571" s="153"/>
      <c r="G1571" s="10"/>
      <c r="H1571" s="17"/>
      <c r="I1571" s="17"/>
      <c r="J1571" s="17"/>
      <c r="K1571" s="30"/>
      <c r="L1571" s="30"/>
      <c r="M1571" s="30"/>
      <c r="N1571" s="30"/>
      <c r="O1571" s="30"/>
      <c r="P1571" s="30"/>
      <c r="Q1571" s="30"/>
      <c r="R1571" s="30"/>
      <c r="S1571" s="30"/>
      <c r="T1571" s="30"/>
      <c r="U1571" s="30"/>
      <c r="V1571" s="30"/>
      <c r="W1571" s="29"/>
      <c r="X1571" s="15"/>
      <c r="Y1571" s="30"/>
      <c r="Z1571" s="30"/>
      <c r="AA1571" s="30"/>
      <c r="AB1571" s="30"/>
      <c r="AC1571" s="17"/>
      <c r="AD1571" s="17"/>
      <c r="AE1571" s="17"/>
      <c r="AF1571" s="17"/>
      <c r="AG1571" s="20"/>
      <c r="AH1571" s="21"/>
      <c r="AI1571" s="21"/>
      <c r="AJ1571" s="21"/>
      <c r="AK1571" s="21"/>
      <c r="AL1571" s="21"/>
      <c r="AM1571" s="21"/>
      <c r="AN1571" s="21"/>
      <c r="AO1571" s="22"/>
      <c r="AP1571" s="21"/>
      <c r="AQ1571" s="24"/>
      <c r="AR1571" s="21"/>
      <c r="AS1571" s="21"/>
      <c r="AT1571" s="21"/>
      <c r="AU1571" s="21"/>
      <c r="AV1571" s="21"/>
      <c r="AW1571" s="21"/>
      <c r="AX1571" s="22"/>
      <c r="AY1571" s="21"/>
      <c r="AZ1571" s="22"/>
      <c r="BA1571" s="21"/>
      <c r="BB1571" s="20"/>
      <c r="BC1571" s="21"/>
      <c r="BD1571" s="25"/>
      <c r="BE1571" s="26"/>
      <c r="BF1571" s="27"/>
      <c r="BG1571" s="28"/>
    </row>
    <row r="1572" spans="1:59" customFormat="1" ht="15" x14ac:dyDescent="0.35">
      <c r="A1572" s="50"/>
      <c r="B1572" s="63"/>
      <c r="C1572" s="39"/>
      <c r="D1572" s="6"/>
      <c r="E1572" s="149"/>
      <c r="F1572" s="153"/>
      <c r="G1572" s="10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12"/>
      <c r="X1572" s="33"/>
      <c r="Y1572" s="6"/>
      <c r="Z1572" s="6"/>
      <c r="AA1572" s="6"/>
      <c r="AB1572" s="6"/>
      <c r="AC1572" s="9"/>
      <c r="AD1572" s="9"/>
      <c r="AE1572" s="9"/>
      <c r="AF1572" s="9"/>
      <c r="AG1572" s="5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59"/>
      <c r="AR1572" s="21"/>
      <c r="AS1572" s="21"/>
      <c r="AT1572" s="3"/>
      <c r="AU1572" s="3"/>
      <c r="AV1572" s="3"/>
      <c r="AW1572" s="3"/>
      <c r="AX1572" s="3"/>
      <c r="AY1572" s="3"/>
      <c r="AZ1572" s="3"/>
      <c r="BA1572" s="3"/>
      <c r="BB1572" s="53"/>
      <c r="BC1572" s="3"/>
      <c r="BD1572" s="59"/>
      <c r="BE1572" s="3"/>
      <c r="BF1572" s="53"/>
      <c r="BG1572" s="59"/>
    </row>
    <row r="1573" spans="1:59" customFormat="1" ht="15" x14ac:dyDescent="0.35">
      <c r="A1573" s="19"/>
      <c r="B1573" s="49"/>
      <c r="C1573" s="14"/>
      <c r="D1573" s="1"/>
      <c r="E1573" s="149"/>
      <c r="F1573" s="153"/>
      <c r="G1573" s="10"/>
      <c r="H1573" s="17"/>
      <c r="I1573" s="17"/>
      <c r="J1573" s="17"/>
      <c r="K1573" s="30"/>
      <c r="L1573" s="30"/>
      <c r="M1573" s="30"/>
      <c r="N1573" s="30"/>
      <c r="O1573" s="30"/>
      <c r="P1573" s="30"/>
      <c r="Q1573" s="30"/>
      <c r="R1573" s="30"/>
      <c r="S1573" s="30"/>
      <c r="T1573" s="30"/>
      <c r="U1573" s="30"/>
      <c r="V1573" s="30"/>
      <c r="W1573" s="29"/>
      <c r="X1573" s="15"/>
      <c r="Y1573" s="30"/>
      <c r="Z1573" s="30"/>
      <c r="AA1573" s="30"/>
      <c r="AB1573" s="30"/>
      <c r="AC1573" s="17"/>
      <c r="AD1573" s="17"/>
      <c r="AE1573" s="17"/>
      <c r="AF1573" s="17"/>
      <c r="AG1573" s="20"/>
      <c r="AH1573" s="21"/>
      <c r="AI1573" s="21"/>
      <c r="AJ1573" s="21"/>
      <c r="AK1573" s="21"/>
      <c r="AL1573" s="21"/>
      <c r="AM1573" s="21"/>
      <c r="AN1573" s="21"/>
      <c r="AO1573" s="22"/>
      <c r="AP1573" s="21"/>
      <c r="AQ1573" s="24"/>
      <c r="AR1573" s="21"/>
      <c r="AS1573" s="21"/>
      <c r="AT1573" s="21"/>
      <c r="AU1573" s="21"/>
      <c r="AV1573" s="21"/>
      <c r="AW1573" s="21"/>
      <c r="AX1573" s="22"/>
      <c r="AY1573" s="21"/>
      <c r="AZ1573" s="22"/>
      <c r="BA1573" s="21"/>
      <c r="BB1573" s="20"/>
      <c r="BC1573" s="21"/>
      <c r="BD1573" s="25"/>
      <c r="BE1573" s="26"/>
      <c r="BF1573" s="27"/>
      <c r="BG1573" s="28"/>
    </row>
    <row r="1574" spans="1:59" customFormat="1" ht="15" x14ac:dyDescent="0.35">
      <c r="A1574" s="50"/>
      <c r="B1574" s="63"/>
      <c r="C1574" s="39"/>
      <c r="D1574" s="6"/>
      <c r="E1574" s="149"/>
      <c r="F1574" s="153"/>
      <c r="G1574" s="10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5"/>
      <c r="V1574" s="5"/>
      <c r="W1574" s="13"/>
      <c r="X1574" s="4"/>
      <c r="Y1574" s="4"/>
      <c r="Z1574" s="4"/>
      <c r="AA1574" s="6"/>
      <c r="AB1574" s="5"/>
      <c r="AC1574" s="9"/>
      <c r="AD1574" s="9"/>
      <c r="AE1574" s="9"/>
      <c r="AF1574" s="9"/>
      <c r="AG1574" s="54"/>
      <c r="AH1574" s="3"/>
      <c r="AI1574" s="2"/>
      <c r="AJ1574" s="2"/>
      <c r="AK1574" s="2"/>
      <c r="AL1574" s="3"/>
      <c r="AM1574" s="3"/>
      <c r="AN1574" s="3"/>
      <c r="AO1574" s="3"/>
      <c r="AP1574" s="3"/>
      <c r="AQ1574" s="59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53"/>
      <c r="BC1574" s="3"/>
      <c r="BD1574" s="59"/>
      <c r="BE1574" s="3"/>
      <c r="BF1574" s="53"/>
      <c r="BG1574" s="59"/>
    </row>
    <row r="1575" spans="1:59" customFormat="1" ht="15" x14ac:dyDescent="0.35">
      <c r="A1575" s="50"/>
      <c r="B1575" s="63"/>
      <c r="C1575" s="39"/>
      <c r="D1575" s="6"/>
      <c r="E1575" s="149"/>
      <c r="F1575" s="153"/>
      <c r="G1575" s="10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5"/>
      <c r="V1575" s="5"/>
      <c r="W1575" s="13"/>
      <c r="X1575" s="4"/>
      <c r="Y1575" s="4"/>
      <c r="Z1575" s="4"/>
      <c r="AA1575" s="6"/>
      <c r="AB1575" s="5"/>
      <c r="AC1575" s="9"/>
      <c r="AD1575" s="9"/>
      <c r="AE1575" s="9"/>
      <c r="AF1575" s="9"/>
      <c r="AG1575" s="54"/>
      <c r="AH1575" s="3"/>
      <c r="AI1575" s="2"/>
      <c r="AJ1575" s="2"/>
      <c r="AK1575" s="2"/>
      <c r="AL1575" s="3"/>
      <c r="AM1575" s="3"/>
      <c r="AN1575" s="3"/>
      <c r="AO1575" s="3"/>
      <c r="AP1575" s="3"/>
      <c r="AQ1575" s="59"/>
      <c r="AR1575" s="21"/>
      <c r="AS1575" s="21"/>
      <c r="AT1575" s="3"/>
      <c r="AU1575" s="3"/>
      <c r="AV1575" s="3"/>
      <c r="AW1575" s="3"/>
      <c r="AX1575" s="3"/>
      <c r="AY1575" s="3"/>
      <c r="AZ1575" s="3"/>
      <c r="BA1575" s="3"/>
      <c r="BB1575" s="53"/>
      <c r="BC1575" s="3"/>
      <c r="BD1575" s="59"/>
      <c r="BE1575" s="3"/>
      <c r="BF1575" s="53"/>
      <c r="BG1575" s="59"/>
    </row>
    <row r="1576" spans="1:59" customFormat="1" ht="15" x14ac:dyDescent="0.35">
      <c r="A1576" s="50"/>
      <c r="B1576" s="63"/>
      <c r="C1576" s="39"/>
      <c r="D1576" s="6"/>
      <c r="E1576" s="149"/>
      <c r="F1576" s="153"/>
      <c r="G1576" s="10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12"/>
      <c r="X1576" s="33"/>
      <c r="Y1576" s="6"/>
      <c r="Z1576" s="6"/>
      <c r="AA1576" s="6"/>
      <c r="AB1576" s="6"/>
      <c r="AC1576" s="9"/>
      <c r="AD1576" s="9"/>
      <c r="AE1576" s="9"/>
      <c r="AF1576" s="9"/>
      <c r="AG1576" s="5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59"/>
      <c r="AR1576" s="21"/>
      <c r="AS1576" s="21"/>
      <c r="AT1576" s="3"/>
      <c r="AU1576" s="3"/>
      <c r="AV1576" s="3"/>
      <c r="AW1576" s="3"/>
      <c r="AX1576" s="3"/>
      <c r="AY1576" s="3"/>
      <c r="AZ1576" s="3"/>
      <c r="BA1576" s="3"/>
      <c r="BB1576" s="53"/>
      <c r="BC1576" s="3"/>
      <c r="BD1576" s="59"/>
      <c r="BE1576" s="3"/>
      <c r="BF1576" s="53"/>
      <c r="BG1576" s="59"/>
    </row>
    <row r="1577" spans="1:59" customFormat="1" ht="15" x14ac:dyDescent="0.35">
      <c r="A1577" s="19"/>
      <c r="B1577" s="49"/>
      <c r="C1577" s="39"/>
      <c r="D1577" s="1"/>
      <c r="E1577" s="149"/>
      <c r="F1577" s="153"/>
      <c r="G1577" s="10"/>
      <c r="H1577" s="17"/>
      <c r="I1577" s="17"/>
      <c r="J1577" s="17"/>
      <c r="K1577" s="30"/>
      <c r="L1577" s="30"/>
      <c r="M1577" s="30"/>
      <c r="N1577" s="30"/>
      <c r="O1577" s="30"/>
      <c r="P1577" s="30"/>
      <c r="Q1577" s="30"/>
      <c r="R1577" s="30"/>
      <c r="S1577" s="30"/>
      <c r="T1577" s="30"/>
      <c r="U1577" s="30"/>
      <c r="V1577" s="30"/>
      <c r="W1577" s="29"/>
      <c r="X1577" s="15"/>
      <c r="Y1577" s="30"/>
      <c r="Z1577" s="30"/>
      <c r="AA1577" s="30"/>
      <c r="AB1577" s="30"/>
      <c r="AC1577" s="17"/>
      <c r="AD1577" s="17"/>
      <c r="AE1577" s="17"/>
      <c r="AF1577" s="17"/>
      <c r="AG1577" s="20"/>
      <c r="AH1577" s="21"/>
      <c r="AI1577" s="21"/>
      <c r="AJ1577" s="21"/>
      <c r="AK1577" s="21"/>
      <c r="AL1577" s="21"/>
      <c r="AM1577" s="21"/>
      <c r="AN1577" s="21"/>
      <c r="AO1577" s="22"/>
      <c r="AP1577" s="21"/>
      <c r="AQ1577" s="24"/>
      <c r="AR1577" s="21"/>
      <c r="AS1577" s="21"/>
      <c r="AT1577" s="21"/>
      <c r="AU1577" s="21"/>
      <c r="AV1577" s="21"/>
      <c r="AW1577" s="21"/>
      <c r="AX1577" s="22"/>
      <c r="AY1577" s="21"/>
      <c r="AZ1577" s="22"/>
      <c r="BA1577" s="21"/>
      <c r="BB1577" s="20"/>
      <c r="BC1577" s="21"/>
      <c r="BD1577" s="25"/>
      <c r="BE1577" s="26"/>
      <c r="BF1577" s="27"/>
      <c r="BG1577" s="28"/>
    </row>
    <row r="1578" spans="1:59" customFormat="1" ht="15" x14ac:dyDescent="0.35">
      <c r="A1578" s="50"/>
      <c r="B1578" s="63"/>
      <c r="C1578" s="39"/>
      <c r="D1578" s="6"/>
      <c r="E1578" s="149"/>
      <c r="F1578" s="153"/>
      <c r="G1578" s="10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5"/>
      <c r="V1578" s="5"/>
      <c r="W1578" s="13"/>
      <c r="X1578" s="4"/>
      <c r="Y1578" s="4"/>
      <c r="Z1578" s="4"/>
      <c r="AA1578" s="6"/>
      <c r="AB1578" s="5"/>
      <c r="AC1578" s="9"/>
      <c r="AD1578" s="9"/>
      <c r="AE1578" s="9"/>
      <c r="AF1578" s="9"/>
      <c r="AG1578" s="54"/>
      <c r="AH1578" s="3"/>
      <c r="AI1578" s="2"/>
      <c r="AJ1578" s="2"/>
      <c r="AK1578" s="2"/>
      <c r="AL1578" s="3"/>
      <c r="AM1578" s="3"/>
      <c r="AN1578" s="3"/>
      <c r="AO1578" s="3"/>
      <c r="AP1578" s="3"/>
      <c r="AQ1578" s="59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53"/>
      <c r="BC1578" s="3"/>
      <c r="BD1578" s="59"/>
      <c r="BE1578" s="3"/>
      <c r="BF1578" s="53"/>
      <c r="BG1578" s="59"/>
    </row>
    <row r="1579" spans="1:59" customFormat="1" ht="15" x14ac:dyDescent="0.35">
      <c r="A1579" s="50"/>
      <c r="B1579" s="63"/>
      <c r="C1579" s="39"/>
      <c r="D1579" s="6"/>
      <c r="E1579" s="149"/>
      <c r="F1579" s="153"/>
      <c r="G1579" s="10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12"/>
      <c r="X1579" s="33"/>
      <c r="Y1579" s="6"/>
      <c r="Z1579" s="6"/>
      <c r="AA1579" s="6"/>
      <c r="AB1579" s="6"/>
      <c r="AC1579" s="9"/>
      <c r="AD1579" s="9"/>
      <c r="AE1579" s="9"/>
      <c r="AF1579" s="9"/>
      <c r="AG1579" s="5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59"/>
      <c r="AR1579" s="21"/>
      <c r="AS1579" s="21"/>
      <c r="AT1579" s="3"/>
      <c r="AU1579" s="3"/>
      <c r="AV1579" s="3"/>
      <c r="AW1579" s="3"/>
      <c r="AX1579" s="3"/>
      <c r="AY1579" s="3"/>
      <c r="AZ1579" s="3"/>
      <c r="BA1579" s="3"/>
      <c r="BB1579" s="53"/>
      <c r="BC1579" s="3"/>
      <c r="BD1579" s="59"/>
      <c r="BE1579" s="3"/>
      <c r="BF1579" s="53"/>
      <c r="BG1579" s="59"/>
    </row>
    <row r="1580" spans="1:59" customFormat="1" ht="15" x14ac:dyDescent="0.35">
      <c r="A1580" s="50"/>
      <c r="B1580" s="63"/>
      <c r="C1580" s="39"/>
      <c r="D1580" s="6"/>
      <c r="E1580" s="149"/>
      <c r="F1580" s="153"/>
      <c r="G1580" s="10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12"/>
      <c r="X1580" s="33"/>
      <c r="Y1580" s="6"/>
      <c r="Z1580" s="6"/>
      <c r="AA1580" s="6"/>
      <c r="AB1580" s="6"/>
      <c r="AC1580" s="9"/>
      <c r="AD1580" s="9"/>
      <c r="AE1580" s="9"/>
      <c r="AF1580" s="9"/>
      <c r="AG1580" s="5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59"/>
      <c r="AR1580" s="21"/>
      <c r="AS1580" s="21"/>
      <c r="AT1580" s="3"/>
      <c r="AU1580" s="3"/>
      <c r="AV1580" s="3"/>
      <c r="AW1580" s="3"/>
      <c r="AX1580" s="3"/>
      <c r="AY1580" s="3"/>
      <c r="AZ1580" s="3"/>
      <c r="BA1580" s="3"/>
      <c r="BB1580" s="53"/>
      <c r="BC1580" s="3"/>
      <c r="BD1580" s="59"/>
      <c r="BE1580" s="3"/>
      <c r="BF1580" s="53"/>
      <c r="BG1580" s="59"/>
    </row>
    <row r="1581" spans="1:59" customFormat="1" ht="15" x14ac:dyDescent="0.35">
      <c r="A1581" s="50"/>
      <c r="B1581" s="63"/>
      <c r="C1581" s="39"/>
      <c r="D1581" s="6"/>
      <c r="E1581" s="149"/>
      <c r="F1581" s="153"/>
      <c r="G1581" s="10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12"/>
      <c r="X1581" s="33"/>
      <c r="Y1581" s="6"/>
      <c r="Z1581" s="6"/>
      <c r="AA1581" s="6"/>
      <c r="AB1581" s="6"/>
      <c r="AC1581" s="9"/>
      <c r="AD1581" s="9"/>
      <c r="AE1581" s="9"/>
      <c r="AF1581" s="9"/>
      <c r="AG1581" s="5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59"/>
      <c r="AR1581" s="21"/>
      <c r="AS1581" s="21"/>
      <c r="AT1581" s="3"/>
      <c r="AU1581" s="3"/>
      <c r="AV1581" s="3"/>
      <c r="AW1581" s="3"/>
      <c r="AX1581" s="3"/>
      <c r="AY1581" s="3"/>
      <c r="AZ1581" s="3"/>
      <c r="BA1581" s="3"/>
      <c r="BB1581" s="53"/>
      <c r="BC1581" s="3"/>
      <c r="BD1581" s="59"/>
      <c r="BE1581" s="3"/>
      <c r="BF1581" s="53"/>
      <c r="BG1581" s="59"/>
    </row>
    <row r="1582" spans="1:59" customFormat="1" ht="15" x14ac:dyDescent="0.35">
      <c r="A1582" s="50"/>
      <c r="B1582" s="63"/>
      <c r="C1582" s="39"/>
      <c r="D1582" s="6"/>
      <c r="E1582" s="149"/>
      <c r="F1582" s="153"/>
      <c r="G1582" s="10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5"/>
      <c r="V1582" s="5"/>
      <c r="W1582" s="13"/>
      <c r="X1582" s="4"/>
      <c r="Y1582" s="4"/>
      <c r="Z1582" s="4"/>
      <c r="AA1582" s="6"/>
      <c r="AB1582" s="5"/>
      <c r="AC1582" s="9"/>
      <c r="AD1582" s="9"/>
      <c r="AE1582" s="9"/>
      <c r="AF1582" s="9"/>
      <c r="AG1582" s="54"/>
      <c r="AH1582" s="3"/>
      <c r="AI1582" s="2"/>
      <c r="AJ1582" s="2"/>
      <c r="AK1582" s="2"/>
      <c r="AL1582" s="3"/>
      <c r="AM1582" s="3"/>
      <c r="AN1582" s="3"/>
      <c r="AO1582" s="3"/>
      <c r="AP1582" s="3"/>
      <c r="AQ1582" s="59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53"/>
      <c r="BC1582" s="3"/>
      <c r="BD1582" s="59"/>
      <c r="BE1582" s="3"/>
      <c r="BF1582" s="53"/>
      <c r="BG1582" s="59"/>
    </row>
    <row r="1583" spans="1:59" customFormat="1" ht="15" x14ac:dyDescent="0.35">
      <c r="A1583" s="19"/>
      <c r="B1583" s="49"/>
      <c r="C1583" s="14"/>
      <c r="D1583" s="1"/>
      <c r="E1583" s="149"/>
      <c r="F1583" s="153"/>
      <c r="G1583" s="10"/>
      <c r="H1583" s="17"/>
      <c r="I1583" s="17"/>
      <c r="J1583" s="17"/>
      <c r="K1583" s="30"/>
      <c r="L1583" s="30"/>
      <c r="M1583" s="30"/>
      <c r="N1583" s="30"/>
      <c r="O1583" s="30"/>
      <c r="P1583" s="30"/>
      <c r="Q1583" s="30"/>
      <c r="R1583" s="30"/>
      <c r="S1583" s="30"/>
      <c r="T1583" s="30"/>
      <c r="U1583" s="30"/>
      <c r="V1583" s="30"/>
      <c r="W1583" s="29"/>
      <c r="X1583" s="15"/>
      <c r="Y1583" s="30"/>
      <c r="Z1583" s="30"/>
      <c r="AA1583" s="30"/>
      <c r="AB1583" s="30"/>
      <c r="AC1583" s="17"/>
      <c r="AD1583" s="17"/>
      <c r="AE1583" s="17"/>
      <c r="AF1583" s="17"/>
      <c r="AG1583" s="20"/>
      <c r="AH1583" s="21"/>
      <c r="AI1583" s="21"/>
      <c r="AJ1583" s="21"/>
      <c r="AK1583" s="21"/>
      <c r="AL1583" s="21"/>
      <c r="AM1583" s="21"/>
      <c r="AN1583" s="21"/>
      <c r="AO1583" s="22"/>
      <c r="AP1583" s="21"/>
      <c r="AQ1583" s="24"/>
      <c r="AR1583" s="21"/>
      <c r="AS1583" s="21"/>
      <c r="AT1583" s="21"/>
      <c r="AU1583" s="21"/>
      <c r="AV1583" s="21"/>
      <c r="AW1583" s="21"/>
      <c r="AX1583" s="22"/>
      <c r="AY1583" s="21"/>
      <c r="AZ1583" s="22"/>
      <c r="BA1583" s="21"/>
      <c r="BB1583" s="20"/>
      <c r="BC1583" s="21"/>
      <c r="BD1583" s="25"/>
      <c r="BE1583" s="26"/>
      <c r="BF1583" s="27"/>
      <c r="BG1583" s="28"/>
    </row>
    <row r="1584" spans="1:59" customFormat="1" ht="15" x14ac:dyDescent="0.35">
      <c r="A1584" s="19"/>
      <c r="B1584" s="49"/>
      <c r="C1584" s="14"/>
      <c r="D1584" s="1"/>
      <c r="E1584" s="149"/>
      <c r="F1584" s="153"/>
      <c r="G1584" s="10"/>
      <c r="H1584" s="17"/>
      <c r="I1584" s="17"/>
      <c r="J1584" s="17"/>
      <c r="K1584" s="30"/>
      <c r="L1584" s="30"/>
      <c r="M1584" s="30"/>
      <c r="N1584" s="30"/>
      <c r="O1584" s="30"/>
      <c r="P1584" s="30"/>
      <c r="Q1584" s="30"/>
      <c r="R1584" s="30"/>
      <c r="S1584" s="30"/>
      <c r="T1584" s="30"/>
      <c r="U1584" s="30"/>
      <c r="V1584" s="30"/>
      <c r="W1584" s="29"/>
      <c r="X1584" s="15"/>
      <c r="Y1584" s="30"/>
      <c r="Z1584" s="30"/>
      <c r="AA1584" s="30"/>
      <c r="AB1584" s="30"/>
      <c r="AC1584" s="17"/>
      <c r="AD1584" s="17"/>
      <c r="AE1584" s="17"/>
      <c r="AF1584" s="17"/>
      <c r="AG1584" s="20"/>
      <c r="AH1584" s="21"/>
      <c r="AI1584" s="21"/>
      <c r="AJ1584" s="21"/>
      <c r="AK1584" s="21"/>
      <c r="AL1584" s="21"/>
      <c r="AM1584" s="21"/>
      <c r="AN1584" s="21"/>
      <c r="AO1584" s="22"/>
      <c r="AP1584" s="21"/>
      <c r="AQ1584" s="24"/>
      <c r="AR1584" s="21"/>
      <c r="AS1584" s="21"/>
      <c r="AT1584" s="21"/>
      <c r="AU1584" s="21"/>
      <c r="AV1584" s="21"/>
      <c r="AW1584" s="21"/>
      <c r="AX1584" s="22"/>
      <c r="AY1584" s="21"/>
      <c r="AZ1584" s="22"/>
      <c r="BA1584" s="21"/>
      <c r="BB1584" s="20"/>
      <c r="BC1584" s="21"/>
      <c r="BD1584" s="25"/>
      <c r="BE1584" s="26"/>
      <c r="BF1584" s="27"/>
      <c r="BG1584" s="28"/>
    </row>
    <row r="1585" spans="1:59" customFormat="1" ht="15" x14ac:dyDescent="0.35">
      <c r="A1585" s="19"/>
      <c r="B1585" s="49"/>
      <c r="C1585" s="14"/>
      <c r="D1585" s="1"/>
      <c r="E1585" s="149"/>
      <c r="F1585" s="153"/>
      <c r="G1585" s="10"/>
      <c r="H1585" s="17"/>
      <c r="I1585" s="17"/>
      <c r="J1585" s="17"/>
      <c r="K1585" s="30"/>
      <c r="L1585" s="30"/>
      <c r="M1585" s="30"/>
      <c r="N1585" s="30"/>
      <c r="O1585" s="30"/>
      <c r="P1585" s="30"/>
      <c r="Q1585" s="30"/>
      <c r="R1585" s="30"/>
      <c r="S1585" s="30"/>
      <c r="T1585" s="30"/>
      <c r="U1585" s="30"/>
      <c r="V1585" s="30"/>
      <c r="W1585" s="29"/>
      <c r="X1585" s="15"/>
      <c r="Y1585" s="30"/>
      <c r="Z1585" s="30"/>
      <c r="AA1585" s="30"/>
      <c r="AB1585" s="30"/>
      <c r="AC1585" s="17"/>
      <c r="AD1585" s="17"/>
      <c r="AE1585" s="17"/>
      <c r="AF1585" s="17"/>
      <c r="AG1585" s="20"/>
      <c r="AH1585" s="21"/>
      <c r="AI1585" s="21"/>
      <c r="AJ1585" s="21"/>
      <c r="AK1585" s="21"/>
      <c r="AL1585" s="21"/>
      <c r="AM1585" s="21"/>
      <c r="AN1585" s="21"/>
      <c r="AO1585" s="22"/>
      <c r="AP1585" s="21"/>
      <c r="AQ1585" s="24"/>
      <c r="AR1585" s="21"/>
      <c r="AS1585" s="21"/>
      <c r="AT1585" s="21"/>
      <c r="AU1585" s="21"/>
      <c r="AV1585" s="21"/>
      <c r="AW1585" s="21"/>
      <c r="AX1585" s="22"/>
      <c r="AY1585" s="21"/>
      <c r="AZ1585" s="22"/>
      <c r="BA1585" s="21"/>
      <c r="BB1585" s="20"/>
      <c r="BC1585" s="21"/>
      <c r="BD1585" s="25"/>
      <c r="BE1585" s="26"/>
      <c r="BF1585" s="27"/>
      <c r="BG1585" s="28"/>
    </row>
    <row r="1586" spans="1:59" customFormat="1" ht="15" x14ac:dyDescent="0.35">
      <c r="A1586" s="50"/>
      <c r="B1586" s="63"/>
      <c r="C1586" s="39"/>
      <c r="D1586" s="6"/>
      <c r="E1586" s="149"/>
      <c r="F1586" s="153"/>
      <c r="G1586" s="10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12"/>
      <c r="X1586" s="33"/>
      <c r="Y1586" s="6"/>
      <c r="Z1586" s="6"/>
      <c r="AA1586" s="6"/>
      <c r="AB1586" s="6"/>
      <c r="AC1586" s="9"/>
      <c r="AD1586" s="9"/>
      <c r="AE1586" s="9"/>
      <c r="AF1586" s="9"/>
      <c r="AG1586" s="5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59"/>
      <c r="AR1586" s="21"/>
      <c r="AS1586" s="21"/>
      <c r="AT1586" s="3"/>
      <c r="AU1586" s="3"/>
      <c r="AV1586" s="3"/>
      <c r="AW1586" s="3"/>
      <c r="AX1586" s="3"/>
      <c r="AY1586" s="3"/>
      <c r="AZ1586" s="3"/>
      <c r="BA1586" s="3"/>
      <c r="BB1586" s="53"/>
      <c r="BC1586" s="3"/>
      <c r="BD1586" s="59"/>
      <c r="BE1586" s="3"/>
      <c r="BF1586" s="53"/>
      <c r="BG1586" s="59"/>
    </row>
    <row r="1587" spans="1:59" customFormat="1" ht="15" x14ac:dyDescent="0.35">
      <c r="A1587" s="50"/>
      <c r="B1587" s="63"/>
      <c r="C1587" s="39"/>
      <c r="D1587" s="6"/>
      <c r="E1587" s="149"/>
      <c r="F1587" s="153"/>
      <c r="G1587" s="10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12"/>
      <c r="X1587" s="33"/>
      <c r="Y1587" s="6"/>
      <c r="Z1587" s="6"/>
      <c r="AA1587" s="6"/>
      <c r="AB1587" s="6"/>
      <c r="AC1587" s="9"/>
      <c r="AD1587" s="9"/>
      <c r="AE1587" s="9"/>
      <c r="AF1587" s="9"/>
      <c r="AG1587" s="5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59"/>
      <c r="AR1587" s="21"/>
      <c r="AS1587" s="21"/>
      <c r="AT1587" s="3"/>
      <c r="AU1587" s="3"/>
      <c r="AV1587" s="3"/>
      <c r="AW1587" s="3"/>
      <c r="AX1587" s="3"/>
      <c r="AY1587" s="3"/>
      <c r="AZ1587" s="3"/>
      <c r="BA1587" s="3"/>
      <c r="BB1587" s="53"/>
      <c r="BC1587" s="3"/>
      <c r="BD1587" s="59"/>
      <c r="BE1587" s="3"/>
      <c r="BF1587" s="53"/>
      <c r="BG1587" s="59"/>
    </row>
    <row r="1588" spans="1:59" customFormat="1" ht="15" x14ac:dyDescent="0.35">
      <c r="A1588" s="19"/>
      <c r="B1588" s="49"/>
      <c r="C1588" s="14"/>
      <c r="D1588" s="1"/>
      <c r="E1588" s="149"/>
      <c r="F1588" s="153"/>
      <c r="G1588" s="10"/>
      <c r="H1588" s="17"/>
      <c r="I1588" s="17"/>
      <c r="J1588" s="17"/>
      <c r="K1588" s="30"/>
      <c r="L1588" s="30"/>
      <c r="M1588" s="30"/>
      <c r="N1588" s="30"/>
      <c r="O1588" s="30"/>
      <c r="P1588" s="30"/>
      <c r="Q1588" s="30"/>
      <c r="R1588" s="30"/>
      <c r="S1588" s="30"/>
      <c r="T1588" s="30"/>
      <c r="U1588" s="30"/>
      <c r="V1588" s="30"/>
      <c r="W1588" s="29"/>
      <c r="X1588" s="15"/>
      <c r="Y1588" s="30"/>
      <c r="Z1588" s="30"/>
      <c r="AA1588" s="30"/>
      <c r="AB1588" s="30"/>
      <c r="AC1588" s="17"/>
      <c r="AD1588" s="17"/>
      <c r="AE1588" s="17"/>
      <c r="AF1588" s="17"/>
      <c r="AG1588" s="20"/>
      <c r="AH1588" s="21"/>
      <c r="AI1588" s="21"/>
      <c r="AJ1588" s="21"/>
      <c r="AK1588" s="21"/>
      <c r="AL1588" s="21"/>
      <c r="AM1588" s="21"/>
      <c r="AN1588" s="21"/>
      <c r="AO1588" s="22"/>
      <c r="AP1588" s="21"/>
      <c r="AQ1588" s="24"/>
      <c r="AR1588" s="21"/>
      <c r="AS1588" s="21"/>
      <c r="AT1588" s="21"/>
      <c r="AU1588" s="21"/>
      <c r="AV1588" s="21"/>
      <c r="AW1588" s="21"/>
      <c r="AX1588" s="22"/>
      <c r="AY1588" s="21"/>
      <c r="AZ1588" s="22"/>
      <c r="BA1588" s="21"/>
      <c r="BB1588" s="20"/>
      <c r="BC1588" s="21"/>
      <c r="BD1588" s="25"/>
      <c r="BE1588" s="26"/>
      <c r="BF1588" s="27"/>
      <c r="BG1588" s="28"/>
    </row>
    <row r="1589" spans="1:59" customFormat="1" ht="15" x14ac:dyDescent="0.35">
      <c r="A1589" s="50"/>
      <c r="B1589" s="63"/>
      <c r="C1589" s="39"/>
      <c r="D1589" s="6"/>
      <c r="E1589" s="149"/>
      <c r="F1589" s="153"/>
      <c r="G1589" s="10"/>
      <c r="H1589" s="40"/>
      <c r="I1589" s="40"/>
      <c r="J1589" s="40"/>
      <c r="K1589" s="40"/>
      <c r="L1589" s="40"/>
      <c r="M1589" s="40"/>
      <c r="N1589" s="40"/>
      <c r="O1589" s="40"/>
      <c r="P1589" s="40"/>
      <c r="Q1589" s="40"/>
      <c r="R1589" s="40"/>
      <c r="S1589" s="40"/>
      <c r="T1589" s="40"/>
      <c r="U1589" s="40"/>
      <c r="V1589" s="40"/>
      <c r="W1589" s="4"/>
      <c r="X1589" s="4"/>
      <c r="Y1589" s="40"/>
      <c r="Z1589" s="40"/>
      <c r="AA1589" s="40"/>
      <c r="AB1589" s="40"/>
      <c r="AC1589" s="31"/>
      <c r="AD1589" s="31"/>
      <c r="AE1589" s="31"/>
      <c r="AF1589" s="31"/>
      <c r="AG1589" s="5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59"/>
      <c r="AR1589" s="21"/>
      <c r="AS1589" s="21"/>
      <c r="AT1589" s="3"/>
      <c r="AU1589" s="3"/>
      <c r="AV1589" s="3"/>
      <c r="AW1589" s="3"/>
      <c r="AX1589" s="3"/>
      <c r="AY1589" s="3"/>
      <c r="AZ1589" s="3"/>
      <c r="BA1589" s="3"/>
      <c r="BB1589" s="53"/>
      <c r="BC1589" s="3"/>
      <c r="BD1589" s="59"/>
      <c r="BE1589" s="3"/>
      <c r="BF1589" s="53"/>
      <c r="BG1589" s="59"/>
    </row>
    <row r="1590" spans="1:59" customFormat="1" ht="15" x14ac:dyDescent="0.35">
      <c r="A1590" s="50"/>
      <c r="B1590" s="63"/>
      <c r="C1590" s="39"/>
      <c r="D1590" s="6"/>
      <c r="E1590" s="149"/>
      <c r="F1590" s="153"/>
      <c r="G1590" s="10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12"/>
      <c r="X1590" s="33"/>
      <c r="Y1590" s="6"/>
      <c r="Z1590" s="6"/>
      <c r="AA1590" s="6"/>
      <c r="AB1590" s="6"/>
      <c r="AC1590" s="9"/>
      <c r="AD1590" s="9"/>
      <c r="AE1590" s="9"/>
      <c r="AF1590" s="9"/>
      <c r="AG1590" s="5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59"/>
      <c r="AR1590" s="21"/>
      <c r="AS1590" s="21"/>
      <c r="AT1590" s="3"/>
      <c r="AU1590" s="3"/>
      <c r="AV1590" s="3"/>
      <c r="AW1590" s="3"/>
      <c r="AX1590" s="3"/>
      <c r="AY1590" s="3"/>
      <c r="AZ1590" s="3"/>
      <c r="BA1590" s="3"/>
      <c r="BB1590" s="53"/>
      <c r="BC1590" s="3"/>
      <c r="BD1590" s="59"/>
      <c r="BE1590" s="3"/>
      <c r="BF1590" s="53"/>
      <c r="BG1590" s="59"/>
    </row>
    <row r="1591" spans="1:59" customFormat="1" ht="15" x14ac:dyDescent="0.35">
      <c r="A1591" s="50"/>
      <c r="B1591" s="63"/>
      <c r="C1591" s="39"/>
      <c r="D1591" s="6"/>
      <c r="E1591" s="149"/>
      <c r="F1591" s="153"/>
      <c r="G1591" s="10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12"/>
      <c r="X1591" s="33"/>
      <c r="Y1591" s="6"/>
      <c r="Z1591" s="6"/>
      <c r="AA1591" s="6"/>
      <c r="AB1591" s="6"/>
      <c r="AC1591" s="9"/>
      <c r="AD1591" s="9"/>
      <c r="AE1591" s="9"/>
      <c r="AF1591" s="9"/>
      <c r="AG1591" s="5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59"/>
      <c r="AR1591" s="21"/>
      <c r="AS1591" s="21"/>
      <c r="AT1591" s="3"/>
      <c r="AU1591" s="3"/>
      <c r="AV1591" s="3"/>
      <c r="AW1591" s="3"/>
      <c r="AX1591" s="3"/>
      <c r="AY1591" s="3"/>
      <c r="AZ1591" s="3"/>
      <c r="BA1591" s="3"/>
      <c r="BB1591" s="53"/>
      <c r="BC1591" s="3"/>
      <c r="BD1591" s="59"/>
      <c r="BE1591" s="3"/>
      <c r="BF1591" s="53"/>
      <c r="BG1591" s="59"/>
    </row>
    <row r="1592" spans="1:59" customFormat="1" ht="15" x14ac:dyDescent="0.35">
      <c r="A1592" s="50"/>
      <c r="B1592" s="63"/>
      <c r="C1592" s="39"/>
      <c r="D1592" s="6"/>
      <c r="E1592" s="149"/>
      <c r="F1592" s="153"/>
      <c r="G1592" s="10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5"/>
      <c r="V1592" s="5"/>
      <c r="W1592" s="13"/>
      <c r="X1592" s="4"/>
      <c r="Y1592" s="4"/>
      <c r="Z1592" s="4"/>
      <c r="AA1592" s="6"/>
      <c r="AB1592" s="5"/>
      <c r="AC1592" s="9"/>
      <c r="AD1592" s="9"/>
      <c r="AE1592" s="9"/>
      <c r="AF1592" s="9"/>
      <c r="AG1592" s="54"/>
      <c r="AH1592" s="3"/>
      <c r="AI1592" s="2"/>
      <c r="AJ1592" s="2"/>
      <c r="AK1592" s="2"/>
      <c r="AL1592" s="3"/>
      <c r="AM1592" s="3"/>
      <c r="AN1592" s="3"/>
      <c r="AO1592" s="3"/>
      <c r="AP1592" s="3"/>
      <c r="AQ1592" s="59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53"/>
      <c r="BC1592" s="3"/>
      <c r="BD1592" s="59"/>
      <c r="BE1592" s="3"/>
      <c r="BF1592" s="53"/>
      <c r="BG1592" s="59"/>
    </row>
    <row r="1593" spans="1:59" customFormat="1" ht="15" x14ac:dyDescent="0.35">
      <c r="A1593" s="50"/>
      <c r="B1593" s="63"/>
      <c r="C1593" s="39"/>
      <c r="D1593" s="6"/>
      <c r="E1593" s="149"/>
      <c r="F1593" s="153"/>
      <c r="G1593" s="10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12"/>
      <c r="X1593" s="33"/>
      <c r="Y1593" s="6"/>
      <c r="Z1593" s="6"/>
      <c r="AA1593" s="6"/>
      <c r="AB1593" s="6"/>
      <c r="AC1593" s="9"/>
      <c r="AD1593" s="9"/>
      <c r="AE1593" s="9"/>
      <c r="AF1593" s="9"/>
      <c r="AG1593" s="5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59"/>
      <c r="AR1593" s="21"/>
      <c r="AS1593" s="21"/>
      <c r="AT1593" s="3"/>
      <c r="AU1593" s="3"/>
      <c r="AV1593" s="3"/>
      <c r="AW1593" s="3"/>
      <c r="AX1593" s="3"/>
      <c r="AY1593" s="3"/>
      <c r="AZ1593" s="3"/>
      <c r="BA1593" s="3"/>
      <c r="BB1593" s="53"/>
      <c r="BC1593" s="3"/>
      <c r="BD1593" s="59"/>
      <c r="BE1593" s="3"/>
      <c r="BF1593" s="53"/>
      <c r="BG1593" s="59"/>
    </row>
    <row r="1594" spans="1:59" customFormat="1" ht="15" x14ac:dyDescent="0.35">
      <c r="A1594" s="50"/>
      <c r="B1594" s="63"/>
      <c r="C1594" s="39"/>
      <c r="D1594" s="6"/>
      <c r="E1594" s="149"/>
      <c r="F1594" s="153"/>
      <c r="G1594" s="10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12"/>
      <c r="X1594" s="33"/>
      <c r="Y1594" s="6"/>
      <c r="Z1594" s="6"/>
      <c r="AA1594" s="6"/>
      <c r="AB1594" s="6"/>
      <c r="AC1594" s="9"/>
      <c r="AD1594" s="9"/>
      <c r="AE1594" s="9"/>
      <c r="AF1594" s="9"/>
      <c r="AG1594" s="5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59"/>
      <c r="AR1594" s="21"/>
      <c r="AS1594" s="21"/>
      <c r="AT1594" s="3"/>
      <c r="AU1594" s="3"/>
      <c r="AV1594" s="3"/>
      <c r="AW1594" s="3"/>
      <c r="AX1594" s="3"/>
      <c r="AY1594" s="3"/>
      <c r="AZ1594" s="3"/>
      <c r="BA1594" s="3"/>
      <c r="BB1594" s="53"/>
      <c r="BC1594" s="3"/>
      <c r="BD1594" s="59"/>
      <c r="BE1594" s="3"/>
      <c r="BF1594" s="53"/>
      <c r="BG1594" s="59"/>
    </row>
    <row r="1595" spans="1:59" customFormat="1" ht="15" x14ac:dyDescent="0.35">
      <c r="A1595" s="19"/>
      <c r="B1595" s="49"/>
      <c r="C1595" s="14"/>
      <c r="D1595" s="6"/>
      <c r="E1595" s="149"/>
      <c r="F1595" s="153"/>
      <c r="G1595" s="10"/>
      <c r="H1595" s="17"/>
      <c r="I1595" s="17"/>
      <c r="J1595" s="17"/>
      <c r="K1595" s="30"/>
      <c r="L1595" s="30"/>
      <c r="M1595" s="30"/>
      <c r="N1595" s="30"/>
      <c r="O1595" s="30"/>
      <c r="P1595" s="30"/>
      <c r="Q1595" s="30"/>
      <c r="R1595" s="30"/>
      <c r="S1595" s="30"/>
      <c r="T1595" s="30"/>
      <c r="U1595" s="30"/>
      <c r="V1595" s="30"/>
      <c r="W1595" s="29"/>
      <c r="X1595" s="15"/>
      <c r="Y1595" s="30"/>
      <c r="Z1595" s="30"/>
      <c r="AA1595" s="30"/>
      <c r="AB1595" s="30"/>
      <c r="AC1595" s="17"/>
      <c r="AD1595" s="17"/>
      <c r="AE1595" s="17"/>
      <c r="AF1595" s="17"/>
      <c r="AG1595" s="20"/>
      <c r="AH1595" s="21"/>
      <c r="AI1595" s="21"/>
      <c r="AJ1595" s="21"/>
      <c r="AK1595" s="21"/>
      <c r="AL1595" s="21"/>
      <c r="AM1595" s="21"/>
      <c r="AN1595" s="21"/>
      <c r="AO1595" s="22"/>
      <c r="AP1595" s="21"/>
      <c r="AQ1595" s="24"/>
      <c r="AR1595" s="21"/>
      <c r="AS1595" s="21"/>
      <c r="AT1595" s="21"/>
      <c r="AU1595" s="21"/>
      <c r="AV1595" s="21"/>
      <c r="AW1595" s="21"/>
      <c r="AX1595" s="22"/>
      <c r="AY1595" s="21"/>
      <c r="AZ1595" s="22"/>
      <c r="BA1595" s="21"/>
      <c r="BB1595" s="20"/>
      <c r="BC1595" s="21"/>
      <c r="BD1595" s="25"/>
      <c r="BE1595" s="26"/>
      <c r="BF1595" s="27"/>
      <c r="BG1595" s="28"/>
    </row>
    <row r="1596" spans="1:59" customFormat="1" ht="15" x14ac:dyDescent="0.35">
      <c r="A1596" s="19"/>
      <c r="B1596" s="49"/>
      <c r="C1596" s="39"/>
      <c r="D1596" s="1"/>
      <c r="E1596" s="149"/>
      <c r="F1596" s="153"/>
      <c r="G1596" s="10"/>
      <c r="H1596" s="17"/>
      <c r="I1596" s="17"/>
      <c r="J1596" s="17"/>
      <c r="K1596" s="30"/>
      <c r="L1596" s="30"/>
      <c r="M1596" s="30"/>
      <c r="N1596" s="30"/>
      <c r="O1596" s="30"/>
      <c r="P1596" s="30"/>
      <c r="Q1596" s="30"/>
      <c r="R1596" s="30"/>
      <c r="S1596" s="30"/>
      <c r="T1596" s="30"/>
      <c r="U1596" s="30"/>
      <c r="V1596" s="30"/>
      <c r="W1596" s="29"/>
      <c r="X1596" s="15"/>
      <c r="Y1596" s="30"/>
      <c r="Z1596" s="30"/>
      <c r="AA1596" s="30"/>
      <c r="AB1596" s="30"/>
      <c r="AC1596" s="17"/>
      <c r="AD1596" s="17"/>
      <c r="AE1596" s="17"/>
      <c r="AF1596" s="17"/>
      <c r="AG1596" s="20"/>
      <c r="AH1596" s="21"/>
      <c r="AI1596" s="21"/>
      <c r="AJ1596" s="21"/>
      <c r="AK1596" s="21"/>
      <c r="AL1596" s="21"/>
      <c r="AM1596" s="21"/>
      <c r="AN1596" s="21"/>
      <c r="AO1596" s="22"/>
      <c r="AP1596" s="21"/>
      <c r="AQ1596" s="24"/>
      <c r="AR1596" s="21"/>
      <c r="AS1596" s="21"/>
      <c r="AT1596" s="21"/>
      <c r="AU1596" s="21"/>
      <c r="AV1596" s="21"/>
      <c r="AW1596" s="21"/>
      <c r="AX1596" s="22"/>
      <c r="AY1596" s="21"/>
      <c r="AZ1596" s="22"/>
      <c r="BA1596" s="21"/>
      <c r="BB1596" s="20"/>
      <c r="BC1596" s="21"/>
      <c r="BD1596" s="25"/>
      <c r="BE1596" s="26"/>
      <c r="BF1596" s="27"/>
      <c r="BG1596" s="28"/>
    </row>
    <row r="1597" spans="1:59" customFormat="1" ht="15" x14ac:dyDescent="0.35">
      <c r="A1597" s="19"/>
      <c r="B1597" s="49"/>
      <c r="C1597" s="14"/>
      <c r="D1597" s="1"/>
      <c r="E1597" s="149"/>
      <c r="F1597" s="153"/>
      <c r="G1597" s="10"/>
      <c r="H1597" s="17"/>
      <c r="I1597" s="17"/>
      <c r="J1597" s="17"/>
      <c r="K1597" s="30"/>
      <c r="L1597" s="30"/>
      <c r="M1597" s="30"/>
      <c r="N1597" s="30"/>
      <c r="O1597" s="30"/>
      <c r="P1597" s="30"/>
      <c r="Q1597" s="30"/>
      <c r="R1597" s="30"/>
      <c r="S1597" s="30"/>
      <c r="T1597" s="30"/>
      <c r="U1597" s="30"/>
      <c r="V1597" s="30"/>
      <c r="W1597" s="29"/>
      <c r="X1597" s="15"/>
      <c r="Y1597" s="30"/>
      <c r="Z1597" s="30"/>
      <c r="AA1597" s="30"/>
      <c r="AB1597" s="30"/>
      <c r="AC1597" s="17"/>
      <c r="AD1597" s="17"/>
      <c r="AE1597" s="17"/>
      <c r="AF1597" s="17"/>
      <c r="AG1597" s="20"/>
      <c r="AH1597" s="21"/>
      <c r="AI1597" s="21"/>
      <c r="AJ1597" s="21"/>
      <c r="AK1597" s="21"/>
      <c r="AL1597" s="21"/>
      <c r="AM1597" s="21"/>
      <c r="AN1597" s="21"/>
      <c r="AO1597" s="22"/>
      <c r="AP1597" s="21"/>
      <c r="AQ1597" s="24"/>
      <c r="AR1597" s="21"/>
      <c r="AS1597" s="21"/>
      <c r="AT1597" s="21"/>
      <c r="AU1597" s="21"/>
      <c r="AV1597" s="21"/>
      <c r="AW1597" s="21"/>
      <c r="AX1597" s="22"/>
      <c r="AY1597" s="21"/>
      <c r="AZ1597" s="22"/>
      <c r="BA1597" s="21"/>
      <c r="BB1597" s="20"/>
      <c r="BC1597" s="21"/>
      <c r="BD1597" s="25"/>
      <c r="BE1597" s="26"/>
      <c r="BF1597" s="27"/>
      <c r="BG1597" s="28"/>
    </row>
    <row r="1598" spans="1:59" customFormat="1" ht="15" x14ac:dyDescent="0.35">
      <c r="A1598" s="50"/>
      <c r="B1598" s="63"/>
      <c r="C1598" s="39"/>
      <c r="D1598" s="6"/>
      <c r="E1598" s="149"/>
      <c r="F1598" s="153"/>
      <c r="G1598" s="10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12"/>
      <c r="X1598" s="33"/>
      <c r="Y1598" s="6"/>
      <c r="Z1598" s="6"/>
      <c r="AA1598" s="6"/>
      <c r="AB1598" s="6"/>
      <c r="AC1598" s="9"/>
      <c r="AD1598" s="9"/>
      <c r="AE1598" s="9"/>
      <c r="AF1598" s="9"/>
      <c r="AG1598" s="5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59"/>
      <c r="AR1598" s="21"/>
      <c r="AS1598" s="21"/>
      <c r="AT1598" s="3"/>
      <c r="AU1598" s="3"/>
      <c r="AV1598" s="3"/>
      <c r="AW1598" s="3"/>
      <c r="AX1598" s="3"/>
      <c r="AY1598" s="3"/>
      <c r="AZ1598" s="3"/>
      <c r="BA1598" s="3"/>
      <c r="BB1598" s="53"/>
      <c r="BC1598" s="3"/>
      <c r="BD1598" s="59"/>
      <c r="BE1598" s="3"/>
      <c r="BF1598" s="53"/>
      <c r="BG1598" s="65"/>
    </row>
    <row r="1599" spans="1:59" customFormat="1" ht="15" x14ac:dyDescent="0.35">
      <c r="A1599" s="50"/>
      <c r="B1599" s="63"/>
      <c r="C1599" s="39"/>
      <c r="D1599" s="6"/>
      <c r="E1599" s="149"/>
      <c r="F1599" s="153"/>
      <c r="G1599" s="10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5"/>
      <c r="V1599" s="5"/>
      <c r="W1599" s="13"/>
      <c r="X1599" s="4"/>
      <c r="Y1599" s="4"/>
      <c r="Z1599" s="4"/>
      <c r="AA1599" s="6"/>
      <c r="AB1599" s="5"/>
      <c r="AC1599" s="9"/>
      <c r="AD1599" s="9"/>
      <c r="AE1599" s="9"/>
      <c r="AF1599" s="9"/>
      <c r="AG1599" s="54"/>
      <c r="AH1599" s="3"/>
      <c r="AI1599" s="2"/>
      <c r="AJ1599" s="2"/>
      <c r="AK1599" s="2"/>
      <c r="AL1599" s="3"/>
      <c r="AM1599" s="3"/>
      <c r="AN1599" s="3"/>
      <c r="AO1599" s="3"/>
      <c r="AP1599" s="3"/>
      <c r="AQ1599" s="59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53"/>
      <c r="BC1599" s="3"/>
      <c r="BD1599" s="59"/>
      <c r="BE1599" s="3"/>
      <c r="BF1599" s="53"/>
      <c r="BG1599" s="59"/>
    </row>
    <row r="1600" spans="1:59" customFormat="1" ht="15" x14ac:dyDescent="0.35">
      <c r="A1600" s="19"/>
      <c r="B1600" s="49"/>
      <c r="C1600" s="14"/>
      <c r="D1600" s="1"/>
      <c r="E1600" s="149"/>
      <c r="F1600" s="153"/>
      <c r="G1600" s="10"/>
      <c r="H1600" s="17"/>
      <c r="I1600" s="17"/>
      <c r="J1600" s="17"/>
      <c r="K1600" s="30"/>
      <c r="L1600" s="30"/>
      <c r="M1600" s="30"/>
      <c r="N1600" s="30"/>
      <c r="O1600" s="30"/>
      <c r="P1600" s="30"/>
      <c r="Q1600" s="30"/>
      <c r="R1600" s="30"/>
      <c r="S1600" s="30"/>
      <c r="T1600" s="30"/>
      <c r="U1600" s="30"/>
      <c r="V1600" s="30"/>
      <c r="W1600" s="29"/>
      <c r="X1600" s="15"/>
      <c r="Y1600" s="30"/>
      <c r="Z1600" s="30"/>
      <c r="AA1600" s="30"/>
      <c r="AB1600" s="30"/>
      <c r="AC1600" s="17"/>
      <c r="AD1600" s="17"/>
      <c r="AE1600" s="17"/>
      <c r="AF1600" s="17"/>
      <c r="AG1600" s="20"/>
      <c r="AH1600" s="21"/>
      <c r="AI1600" s="21"/>
      <c r="AJ1600" s="21"/>
      <c r="AK1600" s="21"/>
      <c r="AL1600" s="21"/>
      <c r="AM1600" s="21"/>
      <c r="AN1600" s="21"/>
      <c r="AO1600" s="22"/>
      <c r="AP1600" s="21"/>
      <c r="AQ1600" s="24"/>
      <c r="AR1600" s="21"/>
      <c r="AS1600" s="21"/>
      <c r="AT1600" s="21"/>
      <c r="AU1600" s="21"/>
      <c r="AV1600" s="21"/>
      <c r="AW1600" s="21"/>
      <c r="AX1600" s="22"/>
      <c r="AY1600" s="21"/>
      <c r="AZ1600" s="22"/>
      <c r="BA1600" s="21"/>
      <c r="BB1600" s="20"/>
      <c r="BC1600" s="21"/>
      <c r="BD1600" s="25"/>
      <c r="BE1600" s="26"/>
      <c r="BF1600" s="27"/>
      <c r="BG1600" s="28"/>
    </row>
    <row r="1601" spans="1:59" customFormat="1" ht="15" x14ac:dyDescent="0.35">
      <c r="A1601" s="50"/>
      <c r="B1601" s="63"/>
      <c r="C1601" s="39"/>
      <c r="D1601" s="6"/>
      <c r="E1601" s="149"/>
      <c r="F1601" s="153"/>
      <c r="G1601" s="10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12"/>
      <c r="X1601" s="33"/>
      <c r="Y1601" s="6"/>
      <c r="Z1601" s="6"/>
      <c r="AA1601" s="6"/>
      <c r="AB1601" s="6"/>
      <c r="AC1601" s="9"/>
      <c r="AD1601" s="9"/>
      <c r="AE1601" s="9"/>
      <c r="AF1601" s="9"/>
      <c r="AG1601" s="5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59"/>
      <c r="AR1601" s="21"/>
      <c r="AS1601" s="21"/>
      <c r="AT1601" s="3"/>
      <c r="AU1601" s="3"/>
      <c r="AV1601" s="3"/>
      <c r="AW1601" s="3"/>
      <c r="AX1601" s="3"/>
      <c r="AY1601" s="3"/>
      <c r="AZ1601" s="3"/>
      <c r="BA1601" s="3"/>
      <c r="BB1601" s="53"/>
      <c r="BC1601" s="3"/>
      <c r="BD1601" s="59"/>
      <c r="BE1601" s="3"/>
      <c r="BF1601" s="53"/>
      <c r="BG1601" s="59"/>
    </row>
    <row r="1602" spans="1:59" customFormat="1" ht="15" x14ac:dyDescent="0.35">
      <c r="A1602" s="50"/>
      <c r="B1602" s="63"/>
      <c r="C1602" s="39"/>
      <c r="D1602" s="6"/>
      <c r="E1602" s="149"/>
      <c r="F1602" s="153"/>
      <c r="G1602" s="10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12"/>
      <c r="X1602" s="33"/>
      <c r="Y1602" s="6"/>
      <c r="Z1602" s="6"/>
      <c r="AA1602" s="6"/>
      <c r="AB1602" s="6"/>
      <c r="AC1602" s="9"/>
      <c r="AD1602" s="9"/>
      <c r="AE1602" s="9"/>
      <c r="AF1602" s="9"/>
      <c r="AG1602" s="5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59"/>
      <c r="AR1602" s="21"/>
      <c r="AS1602" s="21"/>
      <c r="AT1602" s="3"/>
      <c r="AU1602" s="3"/>
      <c r="AV1602" s="3"/>
      <c r="AW1602" s="3"/>
      <c r="AX1602" s="3"/>
      <c r="AY1602" s="3"/>
      <c r="AZ1602" s="3"/>
      <c r="BA1602" s="3"/>
      <c r="BB1602" s="53"/>
      <c r="BC1602" s="3"/>
      <c r="BD1602" s="59"/>
      <c r="BE1602" s="3"/>
      <c r="BF1602" s="53"/>
      <c r="BG1602" s="59"/>
    </row>
    <row r="1603" spans="1:59" customFormat="1" ht="15" x14ac:dyDescent="0.35">
      <c r="A1603" s="50"/>
      <c r="B1603" s="63"/>
      <c r="C1603" s="39"/>
      <c r="D1603" s="6"/>
      <c r="E1603" s="149"/>
      <c r="F1603" s="153"/>
      <c r="G1603" s="10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12"/>
      <c r="X1603" s="33"/>
      <c r="Y1603" s="6"/>
      <c r="Z1603" s="6"/>
      <c r="AA1603" s="6"/>
      <c r="AB1603" s="6"/>
      <c r="AC1603" s="9"/>
      <c r="AD1603" s="9"/>
      <c r="AE1603" s="9"/>
      <c r="AF1603" s="9"/>
      <c r="AG1603" s="5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59"/>
      <c r="AR1603" s="21"/>
      <c r="AS1603" s="21"/>
      <c r="AT1603" s="3"/>
      <c r="AU1603" s="3"/>
      <c r="AV1603" s="3"/>
      <c r="AW1603" s="3"/>
      <c r="AX1603" s="3"/>
      <c r="AY1603" s="3"/>
      <c r="AZ1603" s="3"/>
      <c r="BA1603" s="3"/>
      <c r="BB1603" s="53"/>
      <c r="BC1603" s="3"/>
      <c r="BD1603" s="59"/>
      <c r="BE1603" s="3"/>
      <c r="BF1603" s="53"/>
      <c r="BG1603" s="59"/>
    </row>
    <row r="1604" spans="1:59" customFormat="1" ht="15" x14ac:dyDescent="0.35">
      <c r="A1604" s="50"/>
      <c r="B1604" s="63"/>
      <c r="C1604" s="39"/>
      <c r="D1604" s="6"/>
      <c r="E1604" s="149"/>
      <c r="F1604" s="153"/>
      <c r="G1604" s="10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12"/>
      <c r="X1604" s="33"/>
      <c r="Y1604" s="6"/>
      <c r="Z1604" s="6"/>
      <c r="AA1604" s="6"/>
      <c r="AB1604" s="6"/>
      <c r="AC1604" s="9"/>
      <c r="AD1604" s="9"/>
      <c r="AE1604" s="9"/>
      <c r="AF1604" s="9"/>
      <c r="AG1604" s="5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59"/>
      <c r="AR1604" s="21"/>
      <c r="AS1604" s="21"/>
      <c r="AT1604" s="3"/>
      <c r="AU1604" s="3"/>
      <c r="AV1604" s="3"/>
      <c r="AW1604" s="3"/>
      <c r="AX1604" s="3"/>
      <c r="AY1604" s="3"/>
      <c r="AZ1604" s="3"/>
      <c r="BA1604" s="3"/>
      <c r="BB1604" s="53"/>
      <c r="BC1604" s="3"/>
      <c r="BD1604" s="59"/>
      <c r="BE1604" s="3"/>
      <c r="BF1604" s="53"/>
      <c r="BG1604" s="59"/>
    </row>
    <row r="1605" spans="1:59" customFormat="1" ht="15" x14ac:dyDescent="0.35">
      <c r="A1605" s="50"/>
      <c r="B1605" s="63"/>
      <c r="C1605" s="39"/>
      <c r="D1605" s="6"/>
      <c r="E1605" s="149"/>
      <c r="F1605" s="153"/>
      <c r="G1605" s="10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12"/>
      <c r="X1605" s="33"/>
      <c r="Y1605" s="6"/>
      <c r="Z1605" s="6"/>
      <c r="AA1605" s="6"/>
      <c r="AB1605" s="6"/>
      <c r="AC1605" s="9"/>
      <c r="AD1605" s="9"/>
      <c r="AE1605" s="9"/>
      <c r="AF1605" s="9"/>
      <c r="AG1605" s="5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59"/>
      <c r="AR1605" s="21"/>
      <c r="AS1605" s="21"/>
      <c r="AT1605" s="3"/>
      <c r="AU1605" s="3"/>
      <c r="AV1605" s="3"/>
      <c r="AW1605" s="3"/>
      <c r="AX1605" s="3"/>
      <c r="AY1605" s="3"/>
      <c r="AZ1605" s="3"/>
      <c r="BA1605" s="3"/>
      <c r="BB1605" s="53"/>
      <c r="BC1605" s="3"/>
      <c r="BD1605" s="59"/>
      <c r="BE1605" s="3"/>
      <c r="BF1605" s="53"/>
      <c r="BG1605" s="59"/>
    </row>
    <row r="1606" spans="1:59" customFormat="1" ht="15" x14ac:dyDescent="0.35">
      <c r="A1606" s="19"/>
      <c r="B1606" s="49"/>
      <c r="C1606" s="14"/>
      <c r="D1606" s="1"/>
      <c r="E1606" s="149"/>
      <c r="F1606" s="153"/>
      <c r="G1606" s="10"/>
      <c r="H1606" s="17"/>
      <c r="I1606" s="17"/>
      <c r="J1606" s="17"/>
      <c r="K1606" s="30"/>
      <c r="L1606" s="30"/>
      <c r="M1606" s="30"/>
      <c r="N1606" s="30"/>
      <c r="O1606" s="30"/>
      <c r="P1606" s="30"/>
      <c r="Q1606" s="30"/>
      <c r="R1606" s="30"/>
      <c r="S1606" s="30"/>
      <c r="T1606" s="30"/>
      <c r="U1606" s="30"/>
      <c r="V1606" s="30"/>
      <c r="W1606" s="29"/>
      <c r="X1606" s="15"/>
      <c r="Y1606" s="30"/>
      <c r="Z1606" s="30"/>
      <c r="AA1606" s="30"/>
      <c r="AB1606" s="30"/>
      <c r="AC1606" s="17"/>
      <c r="AD1606" s="17"/>
      <c r="AE1606" s="17"/>
      <c r="AF1606" s="17"/>
      <c r="AG1606" s="20"/>
      <c r="AH1606" s="21"/>
      <c r="AI1606" s="21"/>
      <c r="AJ1606" s="21"/>
      <c r="AK1606" s="21"/>
      <c r="AL1606" s="21"/>
      <c r="AM1606" s="21"/>
      <c r="AN1606" s="21"/>
      <c r="AO1606" s="22"/>
      <c r="AP1606" s="21"/>
      <c r="AQ1606" s="24"/>
      <c r="AR1606" s="21"/>
      <c r="AS1606" s="21"/>
      <c r="AT1606" s="21"/>
      <c r="AU1606" s="21"/>
      <c r="AV1606" s="21"/>
      <c r="AW1606" s="21"/>
      <c r="AX1606" s="22"/>
      <c r="AY1606" s="21"/>
      <c r="AZ1606" s="22"/>
      <c r="BA1606" s="21"/>
      <c r="BB1606" s="20"/>
      <c r="BC1606" s="21"/>
      <c r="BD1606" s="25"/>
      <c r="BE1606" s="26"/>
      <c r="BF1606" s="27"/>
      <c r="BG1606" s="28"/>
    </row>
    <row r="1607" spans="1:59" customFormat="1" ht="15" x14ac:dyDescent="0.35">
      <c r="A1607" s="50"/>
      <c r="B1607" s="63"/>
      <c r="C1607" s="39"/>
      <c r="D1607" s="6"/>
      <c r="E1607" s="149"/>
      <c r="F1607" s="153"/>
      <c r="G1607" s="10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5"/>
      <c r="V1607" s="5"/>
      <c r="W1607" s="13"/>
      <c r="X1607" s="4"/>
      <c r="Y1607" s="4"/>
      <c r="Z1607" s="4"/>
      <c r="AA1607" s="6"/>
      <c r="AB1607" s="5"/>
      <c r="AC1607" s="9"/>
      <c r="AD1607" s="9"/>
      <c r="AE1607" s="9"/>
      <c r="AF1607" s="9"/>
      <c r="AG1607" s="54"/>
      <c r="AH1607" s="3"/>
      <c r="AI1607" s="2"/>
      <c r="AJ1607" s="2"/>
      <c r="AK1607" s="2"/>
      <c r="AL1607" s="3"/>
      <c r="AM1607" s="3"/>
      <c r="AN1607" s="3"/>
      <c r="AO1607" s="3"/>
      <c r="AP1607" s="3"/>
      <c r="AQ1607" s="59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53"/>
      <c r="BC1607" s="3"/>
      <c r="BD1607" s="59"/>
      <c r="BE1607" s="3"/>
      <c r="BF1607" s="53"/>
      <c r="BG1607" s="59"/>
    </row>
    <row r="1608" spans="1:59" customFormat="1" ht="15" x14ac:dyDescent="0.35">
      <c r="A1608" s="50"/>
      <c r="B1608" s="63"/>
      <c r="C1608" s="39"/>
      <c r="D1608" s="6"/>
      <c r="E1608" s="149"/>
      <c r="F1608" s="153"/>
      <c r="G1608" s="10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5"/>
      <c r="V1608" s="5"/>
      <c r="W1608" s="13"/>
      <c r="X1608" s="4"/>
      <c r="Y1608" s="4"/>
      <c r="Z1608" s="4"/>
      <c r="AA1608" s="6"/>
      <c r="AB1608" s="5"/>
      <c r="AC1608" s="9"/>
      <c r="AD1608" s="9"/>
      <c r="AE1608" s="9"/>
      <c r="AF1608" s="9"/>
      <c r="AG1608" s="54"/>
      <c r="AH1608" s="3"/>
      <c r="AI1608" s="2"/>
      <c r="AJ1608" s="2"/>
      <c r="AK1608" s="2"/>
      <c r="AL1608" s="3"/>
      <c r="AM1608" s="3"/>
      <c r="AN1608" s="3"/>
      <c r="AO1608" s="3"/>
      <c r="AP1608" s="3"/>
      <c r="AQ1608" s="59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53"/>
      <c r="BC1608" s="3"/>
      <c r="BD1608" s="59"/>
      <c r="BE1608" s="3"/>
      <c r="BF1608" s="53"/>
      <c r="BG1608" s="59"/>
    </row>
    <row r="1609" spans="1:59" customFormat="1" ht="15" x14ac:dyDescent="0.35">
      <c r="A1609" s="50"/>
      <c r="B1609" s="63"/>
      <c r="C1609" s="39"/>
      <c r="D1609" s="6"/>
      <c r="E1609" s="149"/>
      <c r="F1609" s="153"/>
      <c r="G1609" s="10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12"/>
      <c r="X1609" s="33"/>
      <c r="Y1609" s="6"/>
      <c r="Z1609" s="6"/>
      <c r="AA1609" s="6"/>
      <c r="AB1609" s="6"/>
      <c r="AC1609" s="9"/>
      <c r="AD1609" s="9"/>
      <c r="AE1609" s="9"/>
      <c r="AF1609" s="9"/>
      <c r="AG1609" s="5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59"/>
      <c r="AR1609" s="21"/>
      <c r="AS1609" s="21"/>
      <c r="AT1609" s="3"/>
      <c r="AU1609" s="3"/>
      <c r="AV1609" s="3"/>
      <c r="AW1609" s="3"/>
      <c r="AX1609" s="3"/>
      <c r="AY1609" s="3"/>
      <c r="AZ1609" s="3"/>
      <c r="BA1609" s="3"/>
      <c r="BB1609" s="53"/>
      <c r="BC1609" s="3"/>
      <c r="BD1609" s="59"/>
      <c r="BE1609" s="3"/>
      <c r="BF1609" s="53"/>
      <c r="BG1609" s="59"/>
    </row>
    <row r="1610" spans="1:59" customFormat="1" ht="15" x14ac:dyDescent="0.35">
      <c r="A1610" s="50"/>
      <c r="B1610" s="63"/>
      <c r="C1610" s="39"/>
      <c r="D1610" s="6"/>
      <c r="E1610" s="149"/>
      <c r="F1610" s="153"/>
      <c r="G1610" s="10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12"/>
      <c r="X1610" s="33"/>
      <c r="Y1610" s="6"/>
      <c r="Z1610" s="6"/>
      <c r="AA1610" s="6"/>
      <c r="AB1610" s="6"/>
      <c r="AC1610" s="9"/>
      <c r="AD1610" s="9"/>
      <c r="AE1610" s="9"/>
      <c r="AF1610" s="9"/>
      <c r="AG1610" s="5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59"/>
      <c r="AR1610" s="21"/>
      <c r="AS1610" s="21"/>
      <c r="AT1610" s="3"/>
      <c r="AU1610" s="3"/>
      <c r="AV1610" s="3"/>
      <c r="AW1610" s="3"/>
      <c r="AX1610" s="3"/>
      <c r="AY1610" s="3"/>
      <c r="AZ1610" s="3"/>
      <c r="BA1610" s="3"/>
      <c r="BB1610" s="53"/>
      <c r="BC1610" s="3"/>
      <c r="BD1610" s="59"/>
      <c r="BE1610" s="3"/>
      <c r="BF1610" s="53"/>
      <c r="BG1610" s="59"/>
    </row>
    <row r="1611" spans="1:59" customFormat="1" ht="15" x14ac:dyDescent="0.35">
      <c r="A1611" s="19"/>
      <c r="B1611" s="49"/>
      <c r="C1611" s="43"/>
      <c r="D1611" s="42"/>
      <c r="E1611" s="150"/>
      <c r="F1611" s="154"/>
      <c r="G1611" s="15"/>
      <c r="H1611" s="17"/>
      <c r="I1611" s="17"/>
      <c r="J1611" s="17"/>
      <c r="K1611" s="30"/>
      <c r="L1611" s="30"/>
      <c r="M1611" s="30"/>
      <c r="N1611" s="30"/>
      <c r="O1611" s="30"/>
      <c r="P1611" s="30"/>
      <c r="Q1611" s="30"/>
      <c r="R1611" s="30"/>
      <c r="S1611" s="30"/>
      <c r="T1611" s="30"/>
      <c r="U1611" s="30"/>
      <c r="V1611" s="30"/>
      <c r="W1611" s="29"/>
      <c r="X1611" s="15"/>
      <c r="Y1611" s="30"/>
      <c r="Z1611" s="30"/>
      <c r="AA1611" s="30"/>
      <c r="AB1611" s="30"/>
      <c r="AC1611" s="17"/>
      <c r="AD1611" s="17"/>
      <c r="AE1611" s="17"/>
      <c r="AF1611" s="17"/>
      <c r="AG1611" s="20"/>
      <c r="AH1611" s="21"/>
      <c r="AI1611" s="21"/>
      <c r="AJ1611" s="21"/>
      <c r="AK1611" s="21"/>
      <c r="AL1611" s="21"/>
      <c r="AM1611" s="21"/>
      <c r="AN1611" s="21"/>
      <c r="AO1611" s="22"/>
      <c r="AP1611" s="21"/>
      <c r="AQ1611" s="24"/>
      <c r="AR1611" s="21"/>
      <c r="AS1611" s="21"/>
      <c r="AT1611" s="21"/>
      <c r="AU1611" s="21"/>
      <c r="AV1611" s="21"/>
      <c r="AW1611" s="21"/>
      <c r="AX1611" s="22"/>
      <c r="AY1611" s="21"/>
      <c r="AZ1611" s="22"/>
      <c r="BA1611" s="21"/>
      <c r="BB1611" s="20"/>
      <c r="BC1611" s="21"/>
      <c r="BD1611" s="25"/>
      <c r="BE1611" s="26"/>
      <c r="BF1611" s="27"/>
      <c r="BG1611" s="28"/>
    </row>
    <row r="1612" spans="1:59" customFormat="1" ht="15" x14ac:dyDescent="0.35">
      <c r="A1612" s="19"/>
      <c r="B1612" s="49"/>
      <c r="C1612" s="14"/>
      <c r="D1612" s="1"/>
      <c r="E1612" s="149"/>
      <c r="F1612" s="153"/>
      <c r="G1612" s="10"/>
      <c r="H1612" s="17"/>
      <c r="I1612" s="17"/>
      <c r="J1612" s="17"/>
      <c r="K1612" s="30"/>
      <c r="L1612" s="30"/>
      <c r="M1612" s="30"/>
      <c r="N1612" s="30"/>
      <c r="O1612" s="30"/>
      <c r="P1612" s="30"/>
      <c r="Q1612" s="30"/>
      <c r="R1612" s="30"/>
      <c r="S1612" s="30"/>
      <c r="T1612" s="30"/>
      <c r="U1612" s="30"/>
      <c r="V1612" s="30"/>
      <c r="W1612" s="29"/>
      <c r="X1612" s="15"/>
      <c r="Y1612" s="30"/>
      <c r="Z1612" s="30"/>
      <c r="AA1612" s="30"/>
      <c r="AB1612" s="30"/>
      <c r="AC1612" s="17"/>
      <c r="AD1612" s="17"/>
      <c r="AE1612" s="17"/>
      <c r="AF1612" s="17"/>
      <c r="AG1612" s="20"/>
      <c r="AH1612" s="21"/>
      <c r="AI1612" s="21"/>
      <c r="AJ1612" s="21"/>
      <c r="AK1612" s="21"/>
      <c r="AL1612" s="21"/>
      <c r="AM1612" s="21"/>
      <c r="AN1612" s="21"/>
      <c r="AO1612" s="22"/>
      <c r="AP1612" s="21"/>
      <c r="AQ1612" s="24"/>
      <c r="AR1612" s="21"/>
      <c r="AS1612" s="21"/>
      <c r="AT1612" s="21"/>
      <c r="AU1612" s="21"/>
      <c r="AV1612" s="21"/>
      <c r="AW1612" s="21"/>
      <c r="AX1612" s="22"/>
      <c r="AY1612" s="21"/>
      <c r="AZ1612" s="22"/>
      <c r="BA1612" s="21"/>
      <c r="BB1612" s="20"/>
      <c r="BC1612" s="21"/>
      <c r="BD1612" s="25"/>
      <c r="BE1612" s="26"/>
      <c r="BF1612" s="27"/>
      <c r="BG1612" s="28"/>
    </row>
    <row r="1613" spans="1:59" customFormat="1" ht="15" x14ac:dyDescent="0.35">
      <c r="A1613" s="19"/>
      <c r="B1613" s="49"/>
      <c r="C1613" s="14"/>
      <c r="D1613" s="1"/>
      <c r="E1613" s="149"/>
      <c r="F1613" s="153"/>
      <c r="G1613" s="10"/>
      <c r="H1613" s="17"/>
      <c r="I1613" s="17"/>
      <c r="J1613" s="17"/>
      <c r="K1613" s="30"/>
      <c r="L1613" s="30"/>
      <c r="M1613" s="30"/>
      <c r="N1613" s="30"/>
      <c r="O1613" s="30"/>
      <c r="P1613" s="30"/>
      <c r="Q1613" s="30"/>
      <c r="R1613" s="30"/>
      <c r="S1613" s="30"/>
      <c r="T1613" s="30"/>
      <c r="U1613" s="30"/>
      <c r="V1613" s="30"/>
      <c r="W1613" s="29"/>
      <c r="X1613" s="15"/>
      <c r="Y1613" s="30"/>
      <c r="Z1613" s="30"/>
      <c r="AA1613" s="30"/>
      <c r="AB1613" s="30"/>
      <c r="AC1613" s="17"/>
      <c r="AD1613" s="17"/>
      <c r="AE1613" s="17"/>
      <c r="AF1613" s="17"/>
      <c r="AG1613" s="20"/>
      <c r="AH1613" s="21"/>
      <c r="AI1613" s="21"/>
      <c r="AJ1613" s="21"/>
      <c r="AK1613" s="21"/>
      <c r="AL1613" s="21"/>
      <c r="AM1613" s="21"/>
      <c r="AN1613" s="21"/>
      <c r="AO1613" s="22"/>
      <c r="AP1613" s="21"/>
      <c r="AQ1613" s="24"/>
      <c r="AR1613" s="21"/>
      <c r="AS1613" s="21"/>
      <c r="AT1613" s="21"/>
      <c r="AU1613" s="21"/>
      <c r="AV1613" s="21"/>
      <c r="AW1613" s="21"/>
      <c r="AX1613" s="22"/>
      <c r="AY1613" s="21"/>
      <c r="AZ1613" s="22"/>
      <c r="BA1613" s="21"/>
      <c r="BB1613" s="20"/>
      <c r="BC1613" s="21"/>
      <c r="BD1613" s="25"/>
      <c r="BE1613" s="26"/>
      <c r="BF1613" s="27"/>
      <c r="BG1613" s="28"/>
    </row>
    <row r="1614" spans="1:59" customFormat="1" ht="15" x14ac:dyDescent="0.35">
      <c r="A1614" s="50"/>
      <c r="B1614" s="63"/>
      <c r="C1614" s="39"/>
      <c r="D1614" s="6"/>
      <c r="E1614" s="149"/>
      <c r="F1614" s="153"/>
      <c r="G1614" s="10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5"/>
      <c r="V1614" s="5"/>
      <c r="W1614" s="13"/>
      <c r="X1614" s="4"/>
      <c r="Y1614" s="4"/>
      <c r="Z1614" s="4"/>
      <c r="AA1614" s="6"/>
      <c r="AB1614" s="5"/>
      <c r="AC1614" s="9"/>
      <c r="AD1614" s="9"/>
      <c r="AE1614" s="9"/>
      <c r="AF1614" s="9"/>
      <c r="AG1614" s="54"/>
      <c r="AH1614" s="3"/>
      <c r="AI1614" s="2"/>
      <c r="AJ1614" s="2"/>
      <c r="AK1614" s="2"/>
      <c r="AL1614" s="3"/>
      <c r="AM1614" s="3"/>
      <c r="AN1614" s="3"/>
      <c r="AO1614" s="3"/>
      <c r="AP1614" s="3"/>
      <c r="AQ1614" s="59"/>
      <c r="AR1614" s="21"/>
      <c r="AS1614" s="21"/>
      <c r="AT1614" s="3"/>
      <c r="AU1614" s="3"/>
      <c r="AV1614" s="3"/>
      <c r="AW1614" s="3"/>
      <c r="AX1614" s="3"/>
      <c r="AY1614" s="3"/>
      <c r="AZ1614" s="3"/>
      <c r="BA1614" s="3"/>
      <c r="BB1614" s="53"/>
      <c r="BC1614" s="3"/>
      <c r="BD1614" s="59"/>
      <c r="BE1614" s="3"/>
      <c r="BF1614" s="53"/>
      <c r="BG1614" s="59"/>
    </row>
    <row r="1615" spans="1:59" customFormat="1" ht="15" x14ac:dyDescent="0.35">
      <c r="A1615" s="50"/>
      <c r="B1615" s="63"/>
      <c r="C1615" s="39"/>
      <c r="D1615" s="6"/>
      <c r="E1615" s="149"/>
      <c r="F1615" s="153"/>
      <c r="G1615" s="10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12"/>
      <c r="X1615" s="33"/>
      <c r="Y1615" s="6"/>
      <c r="Z1615" s="6"/>
      <c r="AA1615" s="6"/>
      <c r="AB1615" s="6"/>
      <c r="AC1615" s="9"/>
      <c r="AD1615" s="9"/>
      <c r="AE1615" s="9"/>
      <c r="AF1615" s="9"/>
      <c r="AG1615" s="5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59"/>
      <c r="AR1615" s="21"/>
      <c r="AS1615" s="21"/>
      <c r="AT1615" s="3"/>
      <c r="AU1615" s="3"/>
      <c r="AV1615" s="3"/>
      <c r="AW1615" s="3"/>
      <c r="AX1615" s="3"/>
      <c r="AY1615" s="3"/>
      <c r="AZ1615" s="3"/>
      <c r="BA1615" s="3"/>
      <c r="BB1615" s="53"/>
      <c r="BC1615" s="3"/>
      <c r="BD1615" s="59"/>
      <c r="BE1615" s="3"/>
      <c r="BF1615" s="53"/>
      <c r="BG1615" s="59"/>
    </row>
    <row r="1616" spans="1:59" customFormat="1" ht="15" x14ac:dyDescent="0.35">
      <c r="A1616" s="50"/>
      <c r="B1616" s="63"/>
      <c r="C1616" s="39"/>
      <c r="D1616" s="6"/>
      <c r="E1616" s="149"/>
      <c r="F1616" s="153"/>
      <c r="G1616" s="10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12"/>
      <c r="X1616" s="33"/>
      <c r="Y1616" s="6"/>
      <c r="Z1616" s="6"/>
      <c r="AA1616" s="6"/>
      <c r="AB1616" s="6"/>
      <c r="AC1616" s="9"/>
      <c r="AD1616" s="9"/>
      <c r="AE1616" s="9"/>
      <c r="AF1616" s="9"/>
      <c r="AG1616" s="5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59"/>
      <c r="AR1616" s="21"/>
      <c r="AS1616" s="21"/>
      <c r="AT1616" s="3"/>
      <c r="AU1616" s="3"/>
      <c r="AV1616" s="3"/>
      <c r="AW1616" s="3"/>
      <c r="AX1616" s="3"/>
      <c r="AY1616" s="3"/>
      <c r="AZ1616" s="3"/>
      <c r="BA1616" s="3"/>
      <c r="BB1616" s="53"/>
      <c r="BC1616" s="3"/>
      <c r="BD1616" s="59"/>
      <c r="BE1616" s="3"/>
      <c r="BF1616" s="53"/>
      <c r="BG1616" s="59"/>
    </row>
    <row r="1617" spans="1:59" customFormat="1" ht="15" x14ac:dyDescent="0.35">
      <c r="A1617" s="50"/>
      <c r="B1617" s="63"/>
      <c r="C1617" s="39"/>
      <c r="D1617" s="6"/>
      <c r="E1617" s="149"/>
      <c r="F1617" s="153"/>
      <c r="G1617" s="10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12"/>
      <c r="X1617" s="33"/>
      <c r="Y1617" s="6"/>
      <c r="Z1617" s="6"/>
      <c r="AA1617" s="6"/>
      <c r="AB1617" s="6"/>
      <c r="AC1617" s="9"/>
      <c r="AD1617" s="9"/>
      <c r="AE1617" s="9"/>
      <c r="AF1617" s="9"/>
      <c r="AG1617" s="5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59"/>
      <c r="AR1617" s="21"/>
      <c r="AS1617" s="21"/>
      <c r="AT1617" s="3"/>
      <c r="AU1617" s="3"/>
      <c r="AV1617" s="3"/>
      <c r="AW1617" s="3"/>
      <c r="AX1617" s="3"/>
      <c r="AY1617" s="3"/>
      <c r="AZ1617" s="3"/>
      <c r="BA1617" s="3"/>
      <c r="BB1617" s="53"/>
      <c r="BC1617" s="3"/>
      <c r="BD1617" s="59"/>
      <c r="BE1617" s="3"/>
      <c r="BF1617" s="53"/>
      <c r="BG1617" s="59"/>
    </row>
    <row r="1618" spans="1:59" customFormat="1" ht="15" x14ac:dyDescent="0.35">
      <c r="A1618" s="50"/>
      <c r="B1618" s="63"/>
      <c r="C1618" s="39"/>
      <c r="D1618" s="6"/>
      <c r="E1618" s="149"/>
      <c r="F1618" s="153"/>
      <c r="G1618" s="10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12"/>
      <c r="X1618" s="33"/>
      <c r="Y1618" s="6"/>
      <c r="Z1618" s="6"/>
      <c r="AA1618" s="6"/>
      <c r="AB1618" s="6"/>
      <c r="AC1618" s="9"/>
      <c r="AD1618" s="9"/>
      <c r="AE1618" s="9"/>
      <c r="AF1618" s="9"/>
      <c r="AG1618" s="5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59"/>
      <c r="AR1618" s="21"/>
      <c r="AS1618" s="21"/>
      <c r="AT1618" s="3"/>
      <c r="AU1618" s="3"/>
      <c r="AV1618" s="3"/>
      <c r="AW1618" s="3"/>
      <c r="AX1618" s="3"/>
      <c r="AY1618" s="3"/>
      <c r="AZ1618" s="3"/>
      <c r="BA1618" s="3"/>
      <c r="BB1618" s="53"/>
      <c r="BC1618" s="3"/>
      <c r="BD1618" s="59"/>
      <c r="BE1618" s="3"/>
      <c r="BF1618" s="53"/>
      <c r="BG1618" s="59"/>
    </row>
    <row r="1619" spans="1:59" customFormat="1" ht="15" x14ac:dyDescent="0.35">
      <c r="A1619" s="50"/>
      <c r="B1619" s="63"/>
      <c r="C1619" s="39"/>
      <c r="D1619" s="6"/>
      <c r="E1619" s="149"/>
      <c r="F1619" s="153"/>
      <c r="G1619" s="10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12"/>
      <c r="X1619" s="33"/>
      <c r="Y1619" s="6"/>
      <c r="Z1619" s="6"/>
      <c r="AA1619" s="6"/>
      <c r="AB1619" s="6"/>
      <c r="AC1619" s="9"/>
      <c r="AD1619" s="9"/>
      <c r="AE1619" s="9"/>
      <c r="AF1619" s="9"/>
      <c r="AG1619" s="5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59"/>
      <c r="AR1619" s="21"/>
      <c r="AS1619" s="21"/>
      <c r="AT1619" s="3"/>
      <c r="AU1619" s="3"/>
      <c r="AV1619" s="3"/>
      <c r="AW1619" s="3"/>
      <c r="AX1619" s="3"/>
      <c r="AY1619" s="3"/>
      <c r="AZ1619" s="3"/>
      <c r="BA1619" s="3"/>
      <c r="BB1619" s="53"/>
      <c r="BC1619" s="3"/>
      <c r="BD1619" s="59"/>
      <c r="BE1619" s="3"/>
      <c r="BF1619" s="53"/>
      <c r="BG1619" s="59"/>
    </row>
    <row r="1620" spans="1:59" customFormat="1" ht="15" x14ac:dyDescent="0.35">
      <c r="A1620" s="50"/>
      <c r="B1620" s="63"/>
      <c r="C1620" s="39"/>
      <c r="D1620" s="6"/>
      <c r="E1620" s="149"/>
      <c r="F1620" s="153"/>
      <c r="G1620" s="10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5"/>
      <c r="V1620" s="5"/>
      <c r="W1620" s="13"/>
      <c r="X1620" s="4"/>
      <c r="Y1620" s="4"/>
      <c r="Z1620" s="4"/>
      <c r="AA1620" s="6"/>
      <c r="AB1620" s="5"/>
      <c r="AC1620" s="9"/>
      <c r="AD1620" s="9"/>
      <c r="AE1620" s="9"/>
      <c r="AF1620" s="9"/>
      <c r="AG1620" s="54"/>
      <c r="AH1620" s="3"/>
      <c r="AI1620" s="2"/>
      <c r="AJ1620" s="2"/>
      <c r="AK1620" s="2"/>
      <c r="AL1620" s="3"/>
      <c r="AM1620" s="3"/>
      <c r="AN1620" s="3"/>
      <c r="AO1620" s="3"/>
      <c r="AP1620" s="3"/>
      <c r="AQ1620" s="59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53"/>
      <c r="BC1620" s="3"/>
      <c r="BD1620" s="59"/>
      <c r="BE1620" s="3"/>
      <c r="BF1620" s="53"/>
      <c r="BG1620" s="59"/>
    </row>
    <row r="1621" spans="1:59" customFormat="1" ht="15" x14ac:dyDescent="0.35">
      <c r="A1621" s="19"/>
      <c r="B1621" s="49"/>
      <c r="C1621" s="39"/>
      <c r="D1621" s="1"/>
      <c r="E1621" s="149"/>
      <c r="F1621" s="153"/>
      <c r="G1621" s="10"/>
      <c r="H1621" s="17"/>
      <c r="I1621" s="17"/>
      <c r="J1621" s="17"/>
      <c r="K1621" s="30"/>
      <c r="L1621" s="30"/>
      <c r="M1621" s="30"/>
      <c r="N1621" s="30"/>
      <c r="O1621" s="30"/>
      <c r="P1621" s="30"/>
      <c r="Q1621" s="30"/>
      <c r="R1621" s="30"/>
      <c r="S1621" s="30"/>
      <c r="T1621" s="30"/>
      <c r="U1621" s="30"/>
      <c r="V1621" s="30"/>
      <c r="W1621" s="29"/>
      <c r="X1621" s="15"/>
      <c r="Y1621" s="30"/>
      <c r="Z1621" s="30"/>
      <c r="AA1621" s="30"/>
      <c r="AB1621" s="30"/>
      <c r="AC1621" s="17"/>
      <c r="AD1621" s="17"/>
      <c r="AE1621" s="17"/>
      <c r="AF1621" s="17"/>
      <c r="AG1621" s="20"/>
      <c r="AH1621" s="21"/>
      <c r="AI1621" s="21"/>
      <c r="AJ1621" s="21"/>
      <c r="AK1621" s="21"/>
      <c r="AL1621" s="21"/>
      <c r="AM1621" s="21"/>
      <c r="AN1621" s="21"/>
      <c r="AO1621" s="22"/>
      <c r="AP1621" s="21"/>
      <c r="AQ1621" s="24"/>
      <c r="AR1621" s="21"/>
      <c r="AS1621" s="21"/>
      <c r="AT1621" s="21"/>
      <c r="AU1621" s="21"/>
      <c r="AV1621" s="21"/>
      <c r="AW1621" s="21"/>
      <c r="AX1621" s="22"/>
      <c r="AY1621" s="21"/>
      <c r="AZ1621" s="22"/>
      <c r="BA1621" s="21"/>
      <c r="BB1621" s="20"/>
      <c r="BC1621" s="21"/>
      <c r="BD1621" s="25"/>
      <c r="BE1621" s="26"/>
      <c r="BF1621" s="27"/>
      <c r="BG1621" s="65"/>
    </row>
    <row r="1622" spans="1:59" customFormat="1" ht="15" x14ac:dyDescent="0.35">
      <c r="A1622" s="50"/>
      <c r="B1622" s="63"/>
      <c r="C1622" s="39"/>
      <c r="D1622" s="6"/>
      <c r="E1622" s="149"/>
      <c r="F1622" s="153"/>
      <c r="G1622" s="10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12"/>
      <c r="X1622" s="33"/>
      <c r="Y1622" s="6"/>
      <c r="Z1622" s="6"/>
      <c r="AA1622" s="6"/>
      <c r="AB1622" s="6"/>
      <c r="AC1622" s="9"/>
      <c r="AD1622" s="9"/>
      <c r="AE1622" s="9"/>
      <c r="AF1622" s="9"/>
      <c r="AG1622" s="5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59"/>
      <c r="AR1622" s="21"/>
      <c r="AS1622" s="21"/>
      <c r="AT1622" s="3"/>
      <c r="AU1622" s="3"/>
      <c r="AV1622" s="3"/>
      <c r="AW1622" s="3"/>
      <c r="AX1622" s="3"/>
      <c r="AY1622" s="3"/>
      <c r="AZ1622" s="3"/>
      <c r="BA1622" s="3"/>
      <c r="BB1622" s="53"/>
      <c r="BC1622" s="3"/>
      <c r="BD1622" s="59"/>
      <c r="BE1622" s="3"/>
      <c r="BF1622" s="53"/>
      <c r="BG1622" s="59"/>
    </row>
    <row r="1623" spans="1:59" customFormat="1" ht="15" x14ac:dyDescent="0.35">
      <c r="A1623" s="19"/>
      <c r="B1623" s="49"/>
      <c r="C1623" s="14"/>
      <c r="D1623" s="1"/>
      <c r="E1623" s="149"/>
      <c r="F1623" s="153"/>
      <c r="G1623" s="10"/>
      <c r="H1623" s="17"/>
      <c r="I1623" s="17"/>
      <c r="J1623" s="17"/>
      <c r="K1623" s="30"/>
      <c r="L1623" s="30"/>
      <c r="M1623" s="30"/>
      <c r="N1623" s="30"/>
      <c r="O1623" s="30"/>
      <c r="P1623" s="30"/>
      <c r="Q1623" s="30"/>
      <c r="R1623" s="30"/>
      <c r="S1623" s="30"/>
      <c r="T1623" s="30"/>
      <c r="U1623" s="30"/>
      <c r="V1623" s="30"/>
      <c r="W1623" s="29"/>
      <c r="X1623" s="15"/>
      <c r="Y1623" s="30"/>
      <c r="Z1623" s="30"/>
      <c r="AA1623" s="30"/>
      <c r="AB1623" s="30"/>
      <c r="AC1623" s="17"/>
      <c r="AD1623" s="17"/>
      <c r="AE1623" s="17"/>
      <c r="AF1623" s="17"/>
      <c r="AG1623" s="20"/>
      <c r="AH1623" s="21"/>
      <c r="AI1623" s="21"/>
      <c r="AJ1623" s="21"/>
      <c r="AK1623" s="21"/>
      <c r="AL1623" s="21"/>
      <c r="AM1623" s="21"/>
      <c r="AN1623" s="21"/>
      <c r="AO1623" s="22"/>
      <c r="AP1623" s="21"/>
      <c r="AQ1623" s="24"/>
      <c r="AR1623" s="21"/>
      <c r="AS1623" s="21"/>
      <c r="AT1623" s="21"/>
      <c r="AU1623" s="21"/>
      <c r="AV1623" s="21"/>
      <c r="AW1623" s="21"/>
      <c r="AX1623" s="22"/>
      <c r="AY1623" s="21"/>
      <c r="AZ1623" s="22"/>
      <c r="BA1623" s="21"/>
      <c r="BB1623" s="20"/>
      <c r="BC1623" s="21"/>
      <c r="BD1623" s="25"/>
      <c r="BE1623" s="26"/>
      <c r="BF1623" s="27"/>
      <c r="BG1623" s="65"/>
    </row>
    <row r="1624" spans="1:59" customFormat="1" ht="15" x14ac:dyDescent="0.35">
      <c r="A1624" s="19"/>
      <c r="B1624" s="49"/>
      <c r="C1624" s="39"/>
      <c r="D1624" s="1"/>
      <c r="E1624" s="149"/>
      <c r="F1624" s="153"/>
      <c r="G1624" s="10"/>
      <c r="H1624" s="17"/>
      <c r="I1624" s="17"/>
      <c r="J1624" s="17"/>
      <c r="K1624" s="30"/>
      <c r="L1624" s="30"/>
      <c r="M1624" s="30"/>
      <c r="N1624" s="30"/>
      <c r="O1624" s="30"/>
      <c r="P1624" s="30"/>
      <c r="Q1624" s="30"/>
      <c r="R1624" s="30"/>
      <c r="S1624" s="30"/>
      <c r="T1624" s="30"/>
      <c r="U1624" s="30"/>
      <c r="V1624" s="30"/>
      <c r="W1624" s="29"/>
      <c r="X1624" s="15"/>
      <c r="Y1624" s="30"/>
      <c r="Z1624" s="30"/>
      <c r="AA1624" s="30"/>
      <c r="AB1624" s="30"/>
      <c r="AC1624" s="17"/>
      <c r="AD1624" s="17"/>
      <c r="AE1624" s="17"/>
      <c r="AF1624" s="17"/>
      <c r="AG1624" s="20"/>
      <c r="AH1624" s="21"/>
      <c r="AI1624" s="21"/>
      <c r="AJ1624" s="21"/>
      <c r="AK1624" s="21"/>
      <c r="AL1624" s="21"/>
      <c r="AM1624" s="21"/>
      <c r="AN1624" s="21"/>
      <c r="AO1624" s="22"/>
      <c r="AP1624" s="21"/>
      <c r="AQ1624" s="24"/>
      <c r="AR1624" s="21"/>
      <c r="AS1624" s="21"/>
      <c r="AT1624" s="21"/>
      <c r="AU1624" s="21"/>
      <c r="AV1624" s="21"/>
      <c r="AW1624" s="21"/>
      <c r="AX1624" s="22"/>
      <c r="AY1624" s="21"/>
      <c r="AZ1624" s="22"/>
      <c r="BA1624" s="21"/>
      <c r="BB1624" s="20"/>
      <c r="BC1624" s="21"/>
      <c r="BD1624" s="25"/>
      <c r="BE1624" s="26"/>
      <c r="BF1624" s="27"/>
      <c r="BG1624" s="28"/>
    </row>
    <row r="1625" spans="1:59" customFormat="1" ht="15" x14ac:dyDescent="0.35">
      <c r="A1625" s="19"/>
      <c r="B1625" s="49"/>
      <c r="C1625" s="14"/>
      <c r="D1625" s="1"/>
      <c r="E1625" s="149"/>
      <c r="F1625" s="153"/>
      <c r="G1625" s="10"/>
      <c r="H1625" s="17"/>
      <c r="I1625" s="17"/>
      <c r="J1625" s="17"/>
      <c r="K1625" s="30"/>
      <c r="L1625" s="30"/>
      <c r="M1625" s="30"/>
      <c r="N1625" s="30"/>
      <c r="O1625" s="30"/>
      <c r="P1625" s="30"/>
      <c r="Q1625" s="30"/>
      <c r="R1625" s="30"/>
      <c r="S1625" s="30"/>
      <c r="T1625" s="30"/>
      <c r="U1625" s="30"/>
      <c r="V1625" s="30"/>
      <c r="W1625" s="29"/>
      <c r="X1625" s="15"/>
      <c r="Y1625" s="30"/>
      <c r="Z1625" s="30"/>
      <c r="AA1625" s="30"/>
      <c r="AB1625" s="30"/>
      <c r="AC1625" s="17"/>
      <c r="AD1625" s="17"/>
      <c r="AE1625" s="17"/>
      <c r="AF1625" s="17"/>
      <c r="AG1625" s="20"/>
      <c r="AH1625" s="21"/>
      <c r="AI1625" s="21"/>
      <c r="AJ1625" s="21"/>
      <c r="AK1625" s="21"/>
      <c r="AL1625" s="21"/>
      <c r="AM1625" s="21"/>
      <c r="AN1625" s="21"/>
      <c r="AO1625" s="22"/>
      <c r="AP1625" s="21"/>
      <c r="AQ1625" s="24"/>
      <c r="AR1625" s="21"/>
      <c r="AS1625" s="21"/>
      <c r="AT1625" s="21"/>
      <c r="AU1625" s="21"/>
      <c r="AV1625" s="21"/>
      <c r="AW1625" s="21"/>
      <c r="AX1625" s="22"/>
      <c r="AY1625" s="21"/>
      <c r="AZ1625" s="22"/>
      <c r="BA1625" s="21"/>
      <c r="BB1625" s="20"/>
      <c r="BC1625" s="21"/>
      <c r="BD1625" s="25"/>
      <c r="BE1625" s="26"/>
      <c r="BF1625" s="27"/>
      <c r="BG1625" s="28"/>
    </row>
    <row r="1626" spans="1:59" customFormat="1" ht="15" x14ac:dyDescent="0.35">
      <c r="A1626" s="50"/>
      <c r="B1626" s="63"/>
      <c r="C1626" s="39"/>
      <c r="D1626" s="6"/>
      <c r="E1626" s="149"/>
      <c r="F1626" s="153"/>
      <c r="G1626" s="10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12"/>
      <c r="X1626" s="33"/>
      <c r="Y1626" s="6"/>
      <c r="Z1626" s="6"/>
      <c r="AA1626" s="6"/>
      <c r="AB1626" s="6"/>
      <c r="AC1626" s="9"/>
      <c r="AD1626" s="9"/>
      <c r="AE1626" s="9"/>
      <c r="AF1626" s="9"/>
      <c r="AG1626" s="5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59"/>
      <c r="AR1626" s="21"/>
      <c r="AS1626" s="21"/>
      <c r="AT1626" s="3"/>
      <c r="AU1626" s="3"/>
      <c r="AV1626" s="3"/>
      <c r="AW1626" s="3"/>
      <c r="AX1626" s="3"/>
      <c r="AY1626" s="3"/>
      <c r="AZ1626" s="3"/>
      <c r="BA1626" s="3"/>
      <c r="BB1626" s="53"/>
      <c r="BC1626" s="3"/>
      <c r="BD1626" s="59"/>
      <c r="BE1626" s="3"/>
      <c r="BF1626" s="53"/>
      <c r="BG1626" s="59"/>
    </row>
    <row r="1627" spans="1:59" customFormat="1" ht="15" x14ac:dyDescent="0.35">
      <c r="A1627" s="50"/>
      <c r="B1627" s="63"/>
      <c r="C1627" s="39"/>
      <c r="D1627" s="6"/>
      <c r="E1627" s="149"/>
      <c r="F1627" s="153"/>
      <c r="G1627" s="10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12"/>
      <c r="X1627" s="33"/>
      <c r="Y1627" s="6"/>
      <c r="Z1627" s="6"/>
      <c r="AA1627" s="6"/>
      <c r="AB1627" s="6"/>
      <c r="AC1627" s="9"/>
      <c r="AD1627" s="9"/>
      <c r="AE1627" s="9"/>
      <c r="AF1627" s="9"/>
      <c r="AG1627" s="5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59"/>
      <c r="AR1627" s="21"/>
      <c r="AS1627" s="21"/>
      <c r="AT1627" s="3"/>
      <c r="AU1627" s="3"/>
      <c r="AV1627" s="3"/>
      <c r="AW1627" s="3"/>
      <c r="AX1627" s="3"/>
      <c r="AY1627" s="3"/>
      <c r="AZ1627" s="3"/>
      <c r="BA1627" s="3"/>
      <c r="BB1627" s="53"/>
      <c r="BC1627" s="3"/>
      <c r="BD1627" s="59"/>
      <c r="BE1627" s="3"/>
      <c r="BF1627" s="53"/>
      <c r="BG1627" s="59"/>
    </row>
    <row r="1628" spans="1:59" customFormat="1" ht="15" x14ac:dyDescent="0.35">
      <c r="A1628" s="19"/>
      <c r="B1628" s="49"/>
      <c r="C1628" s="39"/>
      <c r="D1628" s="1"/>
      <c r="E1628" s="149"/>
      <c r="F1628" s="153"/>
      <c r="G1628" s="10"/>
      <c r="H1628" s="17"/>
      <c r="I1628" s="17"/>
      <c r="J1628" s="17"/>
      <c r="K1628" s="30"/>
      <c r="L1628" s="30"/>
      <c r="M1628" s="30"/>
      <c r="N1628" s="30"/>
      <c r="O1628" s="30"/>
      <c r="P1628" s="30"/>
      <c r="Q1628" s="30"/>
      <c r="R1628" s="30"/>
      <c r="S1628" s="30"/>
      <c r="T1628" s="30"/>
      <c r="U1628" s="30"/>
      <c r="V1628" s="30"/>
      <c r="W1628" s="29"/>
      <c r="X1628" s="15"/>
      <c r="Y1628" s="30"/>
      <c r="Z1628" s="30"/>
      <c r="AA1628" s="30"/>
      <c r="AB1628" s="30"/>
      <c r="AC1628" s="17"/>
      <c r="AD1628" s="17"/>
      <c r="AE1628" s="17"/>
      <c r="AF1628" s="17"/>
      <c r="AG1628" s="20"/>
      <c r="AH1628" s="21"/>
      <c r="AI1628" s="21"/>
      <c r="AJ1628" s="21"/>
      <c r="AK1628" s="21"/>
      <c r="AL1628" s="21"/>
      <c r="AM1628" s="21"/>
      <c r="AN1628" s="21"/>
      <c r="AO1628" s="22"/>
      <c r="AP1628" s="21"/>
      <c r="AQ1628" s="24"/>
      <c r="AR1628" s="21"/>
      <c r="AS1628" s="21"/>
      <c r="AT1628" s="21"/>
      <c r="AU1628" s="21"/>
      <c r="AV1628" s="21"/>
      <c r="AW1628" s="21"/>
      <c r="AX1628" s="22"/>
      <c r="AY1628" s="21"/>
      <c r="AZ1628" s="22"/>
      <c r="BA1628" s="21"/>
      <c r="BB1628" s="20"/>
      <c r="BC1628" s="21"/>
      <c r="BD1628" s="25"/>
      <c r="BE1628" s="26"/>
      <c r="BF1628" s="27"/>
      <c r="BG1628" s="28"/>
    </row>
    <row r="1629" spans="1:59" customFormat="1" ht="15" x14ac:dyDescent="0.35">
      <c r="A1629" s="50"/>
      <c r="B1629" s="63"/>
      <c r="C1629" s="39"/>
      <c r="D1629" s="6"/>
      <c r="E1629" s="149"/>
      <c r="F1629" s="153"/>
      <c r="G1629" s="10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12"/>
      <c r="X1629" s="33"/>
      <c r="Y1629" s="6"/>
      <c r="Z1629" s="6"/>
      <c r="AA1629" s="6"/>
      <c r="AB1629" s="6"/>
      <c r="AC1629" s="9"/>
      <c r="AD1629" s="9"/>
      <c r="AE1629" s="9"/>
      <c r="AF1629" s="9"/>
      <c r="AG1629" s="5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59"/>
      <c r="AR1629" s="21"/>
      <c r="AS1629" s="21"/>
      <c r="AT1629" s="3"/>
      <c r="AU1629" s="3"/>
      <c r="AV1629" s="3"/>
      <c r="AW1629" s="3"/>
      <c r="AX1629" s="3"/>
      <c r="AY1629" s="3"/>
      <c r="AZ1629" s="3"/>
      <c r="BA1629" s="3"/>
      <c r="BB1629" s="53"/>
      <c r="BC1629" s="3"/>
      <c r="BD1629" s="59"/>
      <c r="BE1629" s="3"/>
      <c r="BF1629" s="53"/>
      <c r="BG1629" s="59"/>
    </row>
    <row r="1630" spans="1:59" customFormat="1" ht="15" x14ac:dyDescent="0.35">
      <c r="A1630" s="19"/>
      <c r="B1630" s="49"/>
      <c r="C1630" s="14"/>
      <c r="D1630" s="1"/>
      <c r="E1630" s="149"/>
      <c r="F1630" s="153"/>
      <c r="G1630" s="10"/>
      <c r="H1630" s="17"/>
      <c r="I1630" s="17"/>
      <c r="J1630" s="17"/>
      <c r="K1630" s="30"/>
      <c r="L1630" s="30"/>
      <c r="M1630" s="30"/>
      <c r="N1630" s="30"/>
      <c r="O1630" s="30"/>
      <c r="P1630" s="30"/>
      <c r="Q1630" s="30"/>
      <c r="R1630" s="30"/>
      <c r="S1630" s="30"/>
      <c r="T1630" s="30"/>
      <c r="U1630" s="30"/>
      <c r="V1630" s="30"/>
      <c r="W1630" s="29"/>
      <c r="X1630" s="15"/>
      <c r="Y1630" s="30"/>
      <c r="Z1630" s="30"/>
      <c r="AA1630" s="30"/>
      <c r="AB1630" s="30"/>
      <c r="AC1630" s="17"/>
      <c r="AD1630" s="17"/>
      <c r="AE1630" s="17"/>
      <c r="AF1630" s="17"/>
      <c r="AG1630" s="20"/>
      <c r="AH1630" s="21"/>
      <c r="AI1630" s="21"/>
      <c r="AJ1630" s="21"/>
      <c r="AK1630" s="21"/>
      <c r="AL1630" s="21"/>
      <c r="AM1630" s="21"/>
      <c r="AN1630" s="21"/>
      <c r="AO1630" s="22"/>
      <c r="AP1630" s="21"/>
      <c r="AQ1630" s="24"/>
      <c r="AR1630" s="21"/>
      <c r="AS1630" s="21"/>
      <c r="AT1630" s="21"/>
      <c r="AU1630" s="21"/>
      <c r="AV1630" s="21"/>
      <c r="AW1630" s="21"/>
      <c r="AX1630" s="22"/>
      <c r="AY1630" s="21"/>
      <c r="AZ1630" s="22"/>
      <c r="BA1630" s="21"/>
      <c r="BB1630" s="20"/>
      <c r="BC1630" s="21"/>
      <c r="BD1630" s="25"/>
      <c r="BE1630" s="26"/>
      <c r="BF1630" s="27"/>
      <c r="BG1630" s="28"/>
    </row>
    <row r="1631" spans="1:59" customFormat="1" ht="15" x14ac:dyDescent="0.35">
      <c r="A1631" s="50"/>
      <c r="B1631" s="63"/>
      <c r="C1631" s="39"/>
      <c r="D1631" s="6"/>
      <c r="E1631" s="149"/>
      <c r="F1631" s="153"/>
      <c r="G1631" s="10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5"/>
      <c r="V1631" s="5"/>
      <c r="W1631" s="13"/>
      <c r="X1631" s="4"/>
      <c r="Y1631" s="4"/>
      <c r="Z1631" s="4"/>
      <c r="AA1631" s="6"/>
      <c r="AB1631" s="5"/>
      <c r="AC1631" s="9"/>
      <c r="AD1631" s="9"/>
      <c r="AE1631" s="9"/>
      <c r="AF1631" s="9"/>
      <c r="AG1631" s="54"/>
      <c r="AH1631" s="3"/>
      <c r="AI1631" s="2"/>
      <c r="AJ1631" s="2"/>
      <c r="AK1631" s="2"/>
      <c r="AL1631" s="3"/>
      <c r="AM1631" s="3"/>
      <c r="AN1631" s="3"/>
      <c r="AO1631" s="3"/>
      <c r="AP1631" s="3"/>
      <c r="AQ1631" s="59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53"/>
      <c r="BC1631" s="3"/>
      <c r="BD1631" s="59"/>
      <c r="BE1631" s="3"/>
      <c r="BF1631" s="53"/>
      <c r="BG1631" s="59"/>
    </row>
    <row r="1632" spans="1:59" customFormat="1" ht="15" x14ac:dyDescent="0.35">
      <c r="A1632" s="50"/>
      <c r="B1632" s="63"/>
      <c r="C1632" s="39"/>
      <c r="D1632" s="6"/>
      <c r="E1632" s="149"/>
      <c r="F1632" s="153"/>
      <c r="G1632" s="10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12"/>
      <c r="X1632" s="33"/>
      <c r="Y1632" s="6"/>
      <c r="Z1632" s="6"/>
      <c r="AA1632" s="6"/>
      <c r="AB1632" s="6"/>
      <c r="AC1632" s="9"/>
      <c r="AD1632" s="9"/>
      <c r="AE1632" s="9"/>
      <c r="AF1632" s="9"/>
      <c r="AG1632" s="5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59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53"/>
      <c r="BC1632" s="3"/>
      <c r="BD1632" s="59"/>
      <c r="BE1632" s="3"/>
      <c r="BF1632" s="53"/>
      <c r="BG1632" s="59"/>
    </row>
    <row r="1633" spans="1:59" customFormat="1" ht="15" x14ac:dyDescent="0.35">
      <c r="A1633" s="50"/>
      <c r="B1633" s="63"/>
      <c r="C1633" s="39"/>
      <c r="D1633" s="6"/>
      <c r="E1633" s="149"/>
      <c r="F1633" s="153"/>
      <c r="G1633" s="10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5"/>
      <c r="V1633" s="5"/>
      <c r="W1633" s="13"/>
      <c r="X1633" s="4"/>
      <c r="Y1633" s="4"/>
      <c r="Z1633" s="4"/>
      <c r="AA1633" s="6"/>
      <c r="AB1633" s="5"/>
      <c r="AC1633" s="9"/>
      <c r="AD1633" s="9"/>
      <c r="AE1633" s="9"/>
      <c r="AF1633" s="9"/>
      <c r="AG1633" s="54"/>
      <c r="AH1633" s="3"/>
      <c r="AI1633" s="2"/>
      <c r="AJ1633" s="2"/>
      <c r="AK1633" s="2"/>
      <c r="AL1633" s="3"/>
      <c r="AM1633" s="3"/>
      <c r="AN1633" s="3"/>
      <c r="AO1633" s="3"/>
      <c r="AP1633" s="3"/>
      <c r="AQ1633" s="59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53"/>
      <c r="BC1633" s="3"/>
      <c r="BD1633" s="59"/>
      <c r="BE1633" s="3"/>
      <c r="BF1633" s="53"/>
      <c r="BG1633" s="59"/>
    </row>
    <row r="1634" spans="1:59" customFormat="1" ht="15" x14ac:dyDescent="0.35">
      <c r="A1634" s="50"/>
      <c r="B1634" s="63"/>
      <c r="C1634" s="39"/>
      <c r="D1634" s="6"/>
      <c r="E1634" s="149"/>
      <c r="F1634" s="153"/>
      <c r="G1634" s="10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12"/>
      <c r="X1634" s="33"/>
      <c r="Y1634" s="6"/>
      <c r="Z1634" s="6"/>
      <c r="AA1634" s="6"/>
      <c r="AB1634" s="6"/>
      <c r="AC1634" s="9"/>
      <c r="AD1634" s="9"/>
      <c r="AE1634" s="9"/>
      <c r="AF1634" s="9"/>
      <c r="AG1634" s="5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59"/>
      <c r="AR1634" s="21"/>
      <c r="AS1634" s="21"/>
      <c r="AT1634" s="3"/>
      <c r="AU1634" s="3"/>
      <c r="AV1634" s="3"/>
      <c r="AW1634" s="3"/>
      <c r="AX1634" s="3"/>
      <c r="AY1634" s="3"/>
      <c r="AZ1634" s="3"/>
      <c r="BA1634" s="3"/>
      <c r="BB1634" s="53"/>
      <c r="BC1634" s="3"/>
      <c r="BD1634" s="59"/>
      <c r="BE1634" s="3"/>
      <c r="BF1634" s="53"/>
      <c r="BG1634" s="59"/>
    </row>
    <row r="1635" spans="1:59" customFormat="1" ht="15" x14ac:dyDescent="0.35">
      <c r="A1635" s="50"/>
      <c r="B1635" s="63"/>
      <c r="C1635" s="39"/>
      <c r="D1635" s="6"/>
      <c r="E1635" s="149"/>
      <c r="F1635" s="153"/>
      <c r="G1635" s="10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5"/>
      <c r="V1635" s="5"/>
      <c r="W1635" s="13"/>
      <c r="X1635" s="4"/>
      <c r="Y1635" s="4"/>
      <c r="Z1635" s="4"/>
      <c r="AA1635" s="6"/>
      <c r="AB1635" s="5"/>
      <c r="AC1635" s="9"/>
      <c r="AD1635" s="9"/>
      <c r="AE1635" s="9"/>
      <c r="AF1635" s="9"/>
      <c r="AG1635" s="54"/>
      <c r="AH1635" s="3"/>
      <c r="AI1635" s="2"/>
      <c r="AJ1635" s="2"/>
      <c r="AK1635" s="2"/>
      <c r="AL1635" s="3"/>
      <c r="AM1635" s="3"/>
      <c r="AN1635" s="3"/>
      <c r="AO1635" s="3"/>
      <c r="AP1635" s="3"/>
      <c r="AQ1635" s="59"/>
      <c r="AR1635" s="21"/>
      <c r="AS1635" s="21"/>
      <c r="AT1635" s="3"/>
      <c r="AU1635" s="3"/>
      <c r="AV1635" s="3"/>
      <c r="AW1635" s="3"/>
      <c r="AX1635" s="3"/>
      <c r="AY1635" s="3"/>
      <c r="AZ1635" s="3"/>
      <c r="BA1635" s="3"/>
      <c r="BB1635" s="53"/>
      <c r="BC1635" s="3"/>
      <c r="BD1635" s="59"/>
      <c r="BE1635" s="3"/>
      <c r="BF1635" s="53"/>
      <c r="BG1635" s="59"/>
    </row>
    <row r="1636" spans="1:59" customFormat="1" ht="15" x14ac:dyDescent="0.35">
      <c r="A1636" s="50"/>
      <c r="B1636" s="63"/>
      <c r="C1636" s="39"/>
      <c r="D1636" s="6"/>
      <c r="E1636" s="149"/>
      <c r="F1636" s="153"/>
      <c r="G1636" s="10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5"/>
      <c r="V1636" s="5"/>
      <c r="W1636" s="13"/>
      <c r="X1636" s="4"/>
      <c r="Y1636" s="4"/>
      <c r="Z1636" s="4"/>
      <c r="AA1636" s="6"/>
      <c r="AB1636" s="5"/>
      <c r="AC1636" s="9"/>
      <c r="AD1636" s="9"/>
      <c r="AE1636" s="9"/>
      <c r="AF1636" s="9"/>
      <c r="AG1636" s="54"/>
      <c r="AH1636" s="3"/>
      <c r="AI1636" s="2"/>
      <c r="AJ1636" s="2"/>
      <c r="AK1636" s="2"/>
      <c r="AL1636" s="3"/>
      <c r="AM1636" s="3"/>
      <c r="AN1636" s="3"/>
      <c r="AO1636" s="3"/>
      <c r="AP1636" s="3"/>
      <c r="AQ1636" s="59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53"/>
      <c r="BC1636" s="3"/>
      <c r="BD1636" s="59"/>
      <c r="BE1636" s="3"/>
      <c r="BF1636" s="53"/>
      <c r="BG1636" s="59"/>
    </row>
    <row r="1637" spans="1:59" customFormat="1" ht="15" x14ac:dyDescent="0.35">
      <c r="A1637" s="19"/>
      <c r="B1637" s="49"/>
      <c r="C1637" s="14"/>
      <c r="D1637" s="1"/>
      <c r="E1637" s="149"/>
      <c r="F1637" s="153"/>
      <c r="G1637" s="10"/>
      <c r="H1637" s="17"/>
      <c r="I1637" s="17"/>
      <c r="J1637" s="17"/>
      <c r="K1637" s="30"/>
      <c r="L1637" s="30"/>
      <c r="M1637" s="30"/>
      <c r="N1637" s="30"/>
      <c r="O1637" s="30"/>
      <c r="P1637" s="30"/>
      <c r="Q1637" s="30"/>
      <c r="R1637" s="30"/>
      <c r="S1637" s="30"/>
      <c r="T1637" s="30"/>
      <c r="U1637" s="30"/>
      <c r="V1637" s="30"/>
      <c r="W1637" s="29"/>
      <c r="X1637" s="15"/>
      <c r="Y1637" s="30"/>
      <c r="Z1637" s="30"/>
      <c r="AA1637" s="30"/>
      <c r="AB1637" s="30"/>
      <c r="AC1637" s="17"/>
      <c r="AD1637" s="17"/>
      <c r="AE1637" s="17"/>
      <c r="AF1637" s="17"/>
      <c r="AG1637" s="20"/>
      <c r="AH1637" s="21"/>
      <c r="AI1637" s="21"/>
      <c r="AJ1637" s="21"/>
      <c r="AK1637" s="21"/>
      <c r="AL1637" s="21"/>
      <c r="AM1637" s="21"/>
      <c r="AN1637" s="21"/>
      <c r="AO1637" s="22"/>
      <c r="AP1637" s="21"/>
      <c r="AQ1637" s="24"/>
      <c r="AR1637" s="21"/>
      <c r="AS1637" s="21"/>
      <c r="AT1637" s="21"/>
      <c r="AU1637" s="21"/>
      <c r="AV1637" s="21"/>
      <c r="AW1637" s="21"/>
      <c r="AX1637" s="22"/>
      <c r="AY1637" s="21"/>
      <c r="AZ1637" s="22"/>
      <c r="BA1637" s="21"/>
      <c r="BB1637" s="20"/>
      <c r="BC1637" s="21"/>
      <c r="BD1637" s="25"/>
      <c r="BE1637" s="26"/>
      <c r="BF1637" s="27"/>
      <c r="BG1637" s="28"/>
    </row>
    <row r="1638" spans="1:59" customFormat="1" ht="15" x14ac:dyDescent="0.35">
      <c r="A1638" s="50"/>
      <c r="B1638" s="63"/>
      <c r="C1638" s="39"/>
      <c r="D1638" s="6"/>
      <c r="E1638" s="149"/>
      <c r="F1638" s="153"/>
      <c r="G1638" s="10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12"/>
      <c r="X1638" s="33"/>
      <c r="Y1638" s="6"/>
      <c r="Z1638" s="6"/>
      <c r="AA1638" s="6"/>
      <c r="AB1638" s="6"/>
      <c r="AC1638" s="9"/>
      <c r="AD1638" s="9"/>
      <c r="AE1638" s="9"/>
      <c r="AF1638" s="9"/>
      <c r="AG1638" s="5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59"/>
      <c r="AR1638" s="21"/>
      <c r="AS1638" s="21"/>
      <c r="AT1638" s="3"/>
      <c r="AU1638" s="3"/>
      <c r="AV1638" s="3"/>
      <c r="AW1638" s="3"/>
      <c r="AX1638" s="3"/>
      <c r="AY1638" s="3"/>
      <c r="AZ1638" s="3"/>
      <c r="BA1638" s="3"/>
      <c r="BB1638" s="53"/>
      <c r="BC1638" s="3"/>
      <c r="BD1638" s="59"/>
      <c r="BE1638" s="3"/>
      <c r="BF1638" s="53"/>
      <c r="BG1638" s="59"/>
    </row>
    <row r="1639" spans="1:59" customFormat="1" ht="15" x14ac:dyDescent="0.35">
      <c r="A1639" s="50"/>
      <c r="B1639" s="63"/>
      <c r="C1639" s="39"/>
      <c r="D1639" s="6"/>
      <c r="E1639" s="149"/>
      <c r="F1639" s="153"/>
      <c r="G1639" s="10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5"/>
      <c r="V1639" s="5"/>
      <c r="W1639" s="13"/>
      <c r="X1639" s="4"/>
      <c r="Y1639" s="4"/>
      <c r="Z1639" s="4"/>
      <c r="AA1639" s="6"/>
      <c r="AB1639" s="5"/>
      <c r="AC1639" s="9"/>
      <c r="AD1639" s="9"/>
      <c r="AE1639" s="9"/>
      <c r="AF1639" s="9"/>
      <c r="AG1639" s="54"/>
      <c r="AH1639" s="3"/>
      <c r="AI1639" s="2"/>
      <c r="AJ1639" s="2"/>
      <c r="AK1639" s="2"/>
      <c r="AL1639" s="3"/>
      <c r="AM1639" s="3"/>
      <c r="AN1639" s="3"/>
      <c r="AO1639" s="3"/>
      <c r="AP1639" s="3"/>
      <c r="AQ1639" s="59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53"/>
      <c r="BC1639" s="3"/>
      <c r="BD1639" s="59"/>
      <c r="BE1639" s="3"/>
      <c r="BF1639" s="53"/>
      <c r="BG1639" s="59"/>
    </row>
    <row r="1640" spans="1:59" customFormat="1" ht="15" x14ac:dyDescent="0.35">
      <c r="A1640" s="50"/>
      <c r="B1640" s="63"/>
      <c r="C1640" s="39"/>
      <c r="D1640" s="6"/>
      <c r="E1640" s="149"/>
      <c r="F1640" s="153"/>
      <c r="G1640" s="10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5"/>
      <c r="V1640" s="5"/>
      <c r="W1640" s="13"/>
      <c r="X1640" s="4"/>
      <c r="Y1640" s="4"/>
      <c r="Z1640" s="4"/>
      <c r="AA1640" s="6"/>
      <c r="AB1640" s="5"/>
      <c r="AC1640" s="9"/>
      <c r="AD1640" s="9"/>
      <c r="AE1640" s="9"/>
      <c r="AF1640" s="9"/>
      <c r="AG1640" s="54"/>
      <c r="AH1640" s="3"/>
      <c r="AI1640" s="2"/>
      <c r="AJ1640" s="2"/>
      <c r="AK1640" s="2"/>
      <c r="AL1640" s="3"/>
      <c r="AM1640" s="3"/>
      <c r="AN1640" s="3"/>
      <c r="AO1640" s="3"/>
      <c r="AP1640" s="3"/>
      <c r="AQ1640" s="59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53"/>
      <c r="BC1640" s="3"/>
      <c r="BD1640" s="59"/>
      <c r="BE1640" s="3"/>
      <c r="BF1640" s="53"/>
      <c r="BG1640" s="65"/>
    </row>
    <row r="1641" spans="1:59" customFormat="1" ht="15" x14ac:dyDescent="0.35">
      <c r="A1641" s="19"/>
      <c r="B1641" s="49"/>
      <c r="C1641" s="14"/>
      <c r="D1641" s="1"/>
      <c r="E1641" s="149"/>
      <c r="F1641" s="153"/>
      <c r="G1641" s="10"/>
      <c r="H1641" s="17"/>
      <c r="I1641" s="17"/>
      <c r="J1641" s="17"/>
      <c r="K1641" s="30"/>
      <c r="L1641" s="30"/>
      <c r="M1641" s="30"/>
      <c r="N1641" s="30"/>
      <c r="O1641" s="30"/>
      <c r="P1641" s="30"/>
      <c r="Q1641" s="30"/>
      <c r="R1641" s="30"/>
      <c r="S1641" s="30"/>
      <c r="T1641" s="30"/>
      <c r="U1641" s="30"/>
      <c r="V1641" s="30"/>
      <c r="W1641" s="29"/>
      <c r="X1641" s="15"/>
      <c r="Y1641" s="30"/>
      <c r="Z1641" s="30"/>
      <c r="AA1641" s="30"/>
      <c r="AB1641" s="30"/>
      <c r="AC1641" s="17"/>
      <c r="AD1641" s="17"/>
      <c r="AE1641" s="17"/>
      <c r="AF1641" s="17"/>
      <c r="AG1641" s="20"/>
      <c r="AH1641" s="21"/>
      <c r="AI1641" s="21"/>
      <c r="AJ1641" s="21"/>
      <c r="AK1641" s="21"/>
      <c r="AL1641" s="21"/>
      <c r="AM1641" s="21"/>
      <c r="AN1641" s="21"/>
      <c r="AO1641" s="22"/>
      <c r="AP1641" s="21"/>
      <c r="AQ1641" s="24"/>
      <c r="AR1641" s="21"/>
      <c r="AS1641" s="21"/>
      <c r="AT1641" s="21"/>
      <c r="AU1641" s="21"/>
      <c r="AV1641" s="21"/>
      <c r="AW1641" s="21"/>
      <c r="AX1641" s="22"/>
      <c r="AY1641" s="21"/>
      <c r="AZ1641" s="22"/>
      <c r="BA1641" s="21"/>
      <c r="BB1641" s="20"/>
      <c r="BC1641" s="21"/>
      <c r="BD1641" s="25"/>
      <c r="BE1641" s="26"/>
      <c r="BF1641" s="27"/>
      <c r="BG1641" s="28"/>
    </row>
    <row r="1642" spans="1:59" customFormat="1" ht="15" x14ac:dyDescent="0.35">
      <c r="A1642" s="50"/>
      <c r="B1642" s="63"/>
      <c r="C1642" s="39"/>
      <c r="D1642" s="6"/>
      <c r="E1642" s="149"/>
      <c r="F1642" s="153"/>
      <c r="G1642" s="10"/>
      <c r="H1642" s="6"/>
      <c r="I1642" s="6"/>
      <c r="J1642" s="6"/>
      <c r="K1642" s="6"/>
      <c r="L1642" s="6"/>
      <c r="M1642" s="6"/>
      <c r="N1642" s="18"/>
      <c r="O1642" s="6"/>
      <c r="P1642" s="6"/>
      <c r="Q1642" s="6"/>
      <c r="R1642" s="6"/>
      <c r="S1642" s="6"/>
      <c r="T1642" s="6"/>
      <c r="U1642" s="5"/>
      <c r="V1642" s="5"/>
      <c r="W1642" s="13"/>
      <c r="X1642" s="4"/>
      <c r="Y1642" s="9"/>
      <c r="Z1642" s="9"/>
      <c r="AA1642" s="6"/>
      <c r="AB1642" s="9"/>
      <c r="AC1642" s="9"/>
      <c r="AD1642" s="9"/>
      <c r="AE1642" s="9"/>
      <c r="AF1642" s="9"/>
      <c r="AG1642" s="54"/>
      <c r="AH1642" s="2"/>
      <c r="AI1642" s="2"/>
      <c r="AJ1642" s="2"/>
      <c r="AK1642" s="2"/>
      <c r="AL1642" s="3"/>
      <c r="AM1642" s="3"/>
      <c r="AN1642" s="3"/>
      <c r="AO1642" s="3"/>
      <c r="AP1642" s="3"/>
      <c r="AQ1642" s="59"/>
      <c r="AR1642" s="3"/>
      <c r="AS1642" s="3"/>
      <c r="AT1642" s="3"/>
      <c r="AU1642" s="3"/>
      <c r="AV1642" s="3"/>
      <c r="AW1642" s="3"/>
      <c r="AX1642" s="12"/>
      <c r="AY1642" s="3"/>
      <c r="AZ1642" s="3"/>
      <c r="BA1642" s="3"/>
      <c r="BB1642" s="53"/>
      <c r="BC1642" s="3"/>
      <c r="BD1642" s="59"/>
      <c r="BE1642" s="3"/>
      <c r="BF1642" s="53"/>
      <c r="BG1642" s="59"/>
    </row>
    <row r="1643" spans="1:59" customFormat="1" ht="15" x14ac:dyDescent="0.35">
      <c r="A1643" s="19"/>
      <c r="B1643" s="49"/>
      <c r="C1643" s="39"/>
      <c r="D1643" s="1"/>
      <c r="E1643" s="149"/>
      <c r="F1643" s="153"/>
      <c r="G1643" s="10"/>
      <c r="H1643" s="17"/>
      <c r="I1643" s="17"/>
      <c r="J1643" s="17"/>
      <c r="K1643" s="30"/>
      <c r="L1643" s="30"/>
      <c r="M1643" s="30"/>
      <c r="N1643" s="30"/>
      <c r="O1643" s="30"/>
      <c r="P1643" s="30"/>
      <c r="Q1643" s="30"/>
      <c r="R1643" s="30"/>
      <c r="S1643" s="30"/>
      <c r="T1643" s="30"/>
      <c r="U1643" s="30"/>
      <c r="V1643" s="30"/>
      <c r="W1643" s="29"/>
      <c r="X1643" s="15"/>
      <c r="Y1643" s="30"/>
      <c r="Z1643" s="30"/>
      <c r="AA1643" s="30"/>
      <c r="AB1643" s="30"/>
      <c r="AC1643" s="17"/>
      <c r="AD1643" s="17"/>
      <c r="AE1643" s="17"/>
      <c r="AF1643" s="17"/>
      <c r="AG1643" s="20"/>
      <c r="AH1643" s="21"/>
      <c r="AI1643" s="21"/>
      <c r="AJ1643" s="21"/>
      <c r="AK1643" s="21"/>
      <c r="AL1643" s="21"/>
      <c r="AM1643" s="21"/>
      <c r="AN1643" s="21"/>
      <c r="AO1643" s="22"/>
      <c r="AP1643" s="21"/>
      <c r="AQ1643" s="24"/>
      <c r="AR1643" s="21"/>
      <c r="AS1643" s="21"/>
      <c r="AT1643" s="21"/>
      <c r="AU1643" s="21"/>
      <c r="AV1643" s="21"/>
      <c r="AW1643" s="21"/>
      <c r="AX1643" s="22"/>
      <c r="AY1643" s="21"/>
      <c r="AZ1643" s="22"/>
      <c r="BA1643" s="21"/>
      <c r="BB1643" s="20"/>
      <c r="BC1643" s="21"/>
      <c r="BD1643" s="25"/>
      <c r="BE1643" s="26"/>
      <c r="BF1643" s="27"/>
      <c r="BG1643" s="28"/>
    </row>
    <row r="1644" spans="1:59" customFormat="1" ht="15" x14ac:dyDescent="0.35">
      <c r="A1644" s="50"/>
      <c r="B1644" s="63"/>
      <c r="C1644" s="39"/>
      <c r="D1644" s="6"/>
      <c r="E1644" s="149"/>
      <c r="F1644" s="153"/>
      <c r="G1644" s="10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12"/>
      <c r="X1644" s="33"/>
      <c r="Y1644" s="6"/>
      <c r="Z1644" s="6"/>
      <c r="AA1644" s="6"/>
      <c r="AB1644" s="6"/>
      <c r="AC1644" s="9"/>
      <c r="AD1644" s="9"/>
      <c r="AE1644" s="9"/>
      <c r="AF1644" s="9"/>
      <c r="AG1644" s="5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59"/>
      <c r="AR1644" s="21"/>
      <c r="AS1644" s="21"/>
      <c r="AT1644" s="3"/>
      <c r="AU1644" s="3"/>
      <c r="AV1644" s="3"/>
      <c r="AW1644" s="3"/>
      <c r="AX1644" s="3"/>
      <c r="AY1644" s="3"/>
      <c r="AZ1644" s="3"/>
      <c r="BA1644" s="3"/>
      <c r="BB1644" s="53"/>
      <c r="BC1644" s="3"/>
      <c r="BD1644" s="59"/>
      <c r="BE1644" s="3"/>
      <c r="BF1644" s="53"/>
      <c r="BG1644" s="59"/>
    </row>
    <row r="1645" spans="1:59" customFormat="1" ht="15" x14ac:dyDescent="0.35">
      <c r="A1645" s="50"/>
      <c r="B1645" s="63"/>
      <c r="C1645" s="39"/>
      <c r="D1645" s="6"/>
      <c r="E1645" s="149"/>
      <c r="F1645" s="153"/>
      <c r="G1645" s="10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12"/>
      <c r="X1645" s="33"/>
      <c r="Y1645" s="6"/>
      <c r="Z1645" s="6"/>
      <c r="AA1645" s="6"/>
      <c r="AB1645" s="6"/>
      <c r="AC1645" s="9"/>
      <c r="AD1645" s="9"/>
      <c r="AE1645" s="9"/>
      <c r="AF1645" s="9"/>
      <c r="AG1645" s="5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59"/>
      <c r="AR1645" s="21"/>
      <c r="AS1645" s="21"/>
      <c r="AT1645" s="3"/>
      <c r="AU1645" s="3"/>
      <c r="AV1645" s="3"/>
      <c r="AW1645" s="3"/>
      <c r="AX1645" s="3"/>
      <c r="AY1645" s="3"/>
      <c r="AZ1645" s="3"/>
      <c r="BA1645" s="3"/>
      <c r="BB1645" s="53"/>
      <c r="BC1645" s="3"/>
      <c r="BD1645" s="59"/>
      <c r="BE1645" s="3"/>
      <c r="BF1645" s="53"/>
      <c r="BG1645" s="59"/>
    </row>
    <row r="1646" spans="1:59" customFormat="1" ht="15" x14ac:dyDescent="0.35">
      <c r="A1646" s="50"/>
      <c r="B1646" s="63"/>
      <c r="C1646" s="39"/>
      <c r="D1646" s="6"/>
      <c r="E1646" s="149"/>
      <c r="F1646" s="153"/>
      <c r="G1646" s="10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12"/>
      <c r="X1646" s="33"/>
      <c r="Y1646" s="6"/>
      <c r="Z1646" s="6"/>
      <c r="AA1646" s="6"/>
      <c r="AB1646" s="6"/>
      <c r="AC1646" s="9"/>
      <c r="AD1646" s="9"/>
      <c r="AE1646" s="9"/>
      <c r="AF1646" s="9"/>
      <c r="AG1646" s="5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59"/>
      <c r="AR1646" s="21"/>
      <c r="AS1646" s="21"/>
      <c r="AT1646" s="3"/>
      <c r="AU1646" s="3"/>
      <c r="AV1646" s="3"/>
      <c r="AW1646" s="3"/>
      <c r="AX1646" s="3"/>
      <c r="AY1646" s="3"/>
      <c r="AZ1646" s="3"/>
      <c r="BA1646" s="3"/>
      <c r="BB1646" s="53"/>
      <c r="BC1646" s="3"/>
      <c r="BD1646" s="59"/>
      <c r="BE1646" s="3"/>
      <c r="BF1646" s="53"/>
      <c r="BG1646" s="59"/>
    </row>
    <row r="1647" spans="1:59" customFormat="1" ht="15" x14ac:dyDescent="0.35">
      <c r="A1647" s="50"/>
      <c r="B1647" s="63"/>
      <c r="C1647" s="39"/>
      <c r="D1647" s="6"/>
      <c r="E1647" s="149"/>
      <c r="F1647" s="153"/>
      <c r="G1647" s="10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12"/>
      <c r="X1647" s="33"/>
      <c r="Y1647" s="6"/>
      <c r="Z1647" s="6"/>
      <c r="AA1647" s="6"/>
      <c r="AB1647" s="6"/>
      <c r="AC1647" s="9"/>
      <c r="AD1647" s="9"/>
      <c r="AE1647" s="9"/>
      <c r="AF1647" s="9"/>
      <c r="AG1647" s="5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59"/>
      <c r="AR1647" s="21"/>
      <c r="AS1647" s="21"/>
      <c r="AT1647" s="3"/>
      <c r="AU1647" s="3"/>
      <c r="AV1647" s="3"/>
      <c r="AW1647" s="3"/>
      <c r="AX1647" s="3"/>
      <c r="AY1647" s="3"/>
      <c r="AZ1647" s="3"/>
      <c r="BA1647" s="3"/>
      <c r="BB1647" s="53"/>
      <c r="BC1647" s="3"/>
      <c r="BD1647" s="59"/>
      <c r="BE1647" s="3"/>
      <c r="BF1647" s="53"/>
      <c r="BG1647" s="59"/>
    </row>
    <row r="1648" spans="1:59" customFormat="1" ht="15" x14ac:dyDescent="0.35">
      <c r="A1648" s="50"/>
      <c r="B1648" s="63"/>
      <c r="C1648" s="39"/>
      <c r="D1648" s="6"/>
      <c r="E1648" s="149"/>
      <c r="F1648" s="153"/>
      <c r="G1648" s="10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5"/>
      <c r="V1648" s="5"/>
      <c r="W1648" s="13"/>
      <c r="X1648" s="4"/>
      <c r="Y1648" s="4"/>
      <c r="Z1648" s="4"/>
      <c r="AA1648" s="6"/>
      <c r="AB1648" s="5"/>
      <c r="AC1648" s="9"/>
      <c r="AD1648" s="9"/>
      <c r="AE1648" s="9"/>
      <c r="AF1648" s="9"/>
      <c r="AG1648" s="54"/>
      <c r="AH1648" s="3"/>
      <c r="AI1648" s="2"/>
      <c r="AJ1648" s="2"/>
      <c r="AK1648" s="2"/>
      <c r="AL1648" s="3"/>
      <c r="AM1648" s="3"/>
      <c r="AN1648" s="3"/>
      <c r="AO1648" s="3"/>
      <c r="AP1648" s="3"/>
      <c r="AQ1648" s="59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53"/>
      <c r="BC1648" s="3"/>
      <c r="BD1648" s="59"/>
      <c r="BE1648" s="3"/>
      <c r="BF1648" s="53"/>
      <c r="BG1648" s="59"/>
    </row>
    <row r="1649" spans="1:59" customFormat="1" ht="15" x14ac:dyDescent="0.35">
      <c r="A1649" s="50"/>
      <c r="B1649" s="63"/>
      <c r="C1649" s="39"/>
      <c r="D1649" s="6"/>
      <c r="E1649" s="149"/>
      <c r="F1649" s="153"/>
      <c r="G1649" s="10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12"/>
      <c r="X1649" s="33"/>
      <c r="Y1649" s="6"/>
      <c r="Z1649" s="6"/>
      <c r="AA1649" s="6"/>
      <c r="AB1649" s="6"/>
      <c r="AC1649" s="9"/>
      <c r="AD1649" s="9"/>
      <c r="AE1649" s="9"/>
      <c r="AF1649" s="9"/>
      <c r="AG1649" s="5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59"/>
      <c r="AR1649" s="21"/>
      <c r="AS1649" s="21"/>
      <c r="AT1649" s="3"/>
      <c r="AU1649" s="3"/>
      <c r="AV1649" s="3"/>
      <c r="AW1649" s="3"/>
      <c r="AX1649" s="3"/>
      <c r="AY1649" s="3"/>
      <c r="AZ1649" s="3"/>
      <c r="BA1649" s="3"/>
      <c r="BB1649" s="53"/>
      <c r="BC1649" s="3"/>
      <c r="BD1649" s="59"/>
      <c r="BE1649" s="3"/>
      <c r="BF1649" s="53"/>
      <c r="BG1649" s="59"/>
    </row>
    <row r="1650" spans="1:59" customFormat="1" ht="15" x14ac:dyDescent="0.35">
      <c r="A1650" s="50"/>
      <c r="B1650" s="63"/>
      <c r="C1650" s="39"/>
      <c r="D1650" s="6"/>
      <c r="E1650" s="149"/>
      <c r="F1650" s="153"/>
      <c r="G1650" s="10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12"/>
      <c r="X1650" s="33"/>
      <c r="Y1650" s="6"/>
      <c r="Z1650" s="6"/>
      <c r="AA1650" s="6"/>
      <c r="AB1650" s="6"/>
      <c r="AC1650" s="9"/>
      <c r="AD1650" s="9"/>
      <c r="AE1650" s="9"/>
      <c r="AF1650" s="9"/>
      <c r="AG1650" s="5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59"/>
      <c r="AR1650" s="21"/>
      <c r="AS1650" s="21"/>
      <c r="AT1650" s="3"/>
      <c r="AU1650" s="3"/>
      <c r="AV1650" s="3"/>
      <c r="AW1650" s="3"/>
      <c r="AX1650" s="3"/>
      <c r="AY1650" s="3"/>
      <c r="AZ1650" s="3"/>
      <c r="BA1650" s="3"/>
      <c r="BB1650" s="53"/>
      <c r="BC1650" s="3"/>
      <c r="BD1650" s="59"/>
      <c r="BE1650" s="3"/>
      <c r="BF1650" s="53"/>
      <c r="BG1650" s="59"/>
    </row>
    <row r="1651" spans="1:59" customFormat="1" ht="15" x14ac:dyDescent="0.35">
      <c r="A1651" s="50"/>
      <c r="B1651" s="63"/>
      <c r="C1651" s="39"/>
      <c r="D1651" s="6"/>
      <c r="E1651" s="149"/>
      <c r="F1651" s="153"/>
      <c r="G1651" s="10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5"/>
      <c r="V1651" s="5"/>
      <c r="W1651" s="13"/>
      <c r="X1651" s="4"/>
      <c r="Y1651" s="4"/>
      <c r="Z1651" s="4"/>
      <c r="AA1651" s="6"/>
      <c r="AB1651" s="5"/>
      <c r="AC1651" s="9"/>
      <c r="AD1651" s="9"/>
      <c r="AE1651" s="9"/>
      <c r="AF1651" s="9"/>
      <c r="AG1651" s="54"/>
      <c r="AH1651" s="3"/>
      <c r="AI1651" s="2"/>
      <c r="AJ1651" s="2"/>
      <c r="AK1651" s="2"/>
      <c r="AL1651" s="3"/>
      <c r="AM1651" s="3"/>
      <c r="AN1651" s="3"/>
      <c r="AO1651" s="3"/>
      <c r="AP1651" s="3"/>
      <c r="AQ1651" s="59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53"/>
      <c r="BC1651" s="3"/>
      <c r="BD1651" s="59"/>
      <c r="BE1651" s="3"/>
      <c r="BF1651" s="53"/>
      <c r="BG1651" s="59"/>
    </row>
    <row r="1652" spans="1:59" customFormat="1" ht="15" x14ac:dyDescent="0.35">
      <c r="A1652" s="50"/>
      <c r="B1652" s="63"/>
      <c r="C1652" s="39"/>
      <c r="D1652" s="6"/>
      <c r="E1652" s="149"/>
      <c r="F1652" s="153"/>
      <c r="G1652" s="10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12"/>
      <c r="X1652" s="33"/>
      <c r="Y1652" s="6"/>
      <c r="Z1652" s="6"/>
      <c r="AA1652" s="6"/>
      <c r="AB1652" s="6"/>
      <c r="AC1652" s="9"/>
      <c r="AD1652" s="9"/>
      <c r="AE1652" s="9"/>
      <c r="AF1652" s="9"/>
      <c r="AG1652" s="5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59"/>
      <c r="AR1652" s="21"/>
      <c r="AS1652" s="21"/>
      <c r="AT1652" s="3"/>
      <c r="AU1652" s="3"/>
      <c r="AV1652" s="3"/>
      <c r="AW1652" s="3"/>
      <c r="AX1652" s="3"/>
      <c r="AY1652" s="3"/>
      <c r="AZ1652" s="3"/>
      <c r="BA1652" s="3"/>
      <c r="BB1652" s="53"/>
      <c r="BC1652" s="3"/>
      <c r="BD1652" s="59"/>
      <c r="BE1652" s="3"/>
      <c r="BF1652" s="53"/>
      <c r="BG1652" s="59"/>
    </row>
    <row r="1653" spans="1:59" customFormat="1" ht="15" x14ac:dyDescent="0.35">
      <c r="A1653" s="50"/>
      <c r="B1653" s="63"/>
      <c r="C1653" s="39"/>
      <c r="D1653" s="6"/>
      <c r="E1653" s="149"/>
      <c r="F1653" s="153"/>
      <c r="G1653" s="10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12"/>
      <c r="X1653" s="33"/>
      <c r="Y1653" s="6"/>
      <c r="Z1653" s="6"/>
      <c r="AA1653" s="6"/>
      <c r="AB1653" s="6"/>
      <c r="AC1653" s="9"/>
      <c r="AD1653" s="9"/>
      <c r="AE1653" s="9"/>
      <c r="AF1653" s="9"/>
      <c r="AG1653" s="5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59"/>
      <c r="AR1653" s="21"/>
      <c r="AS1653" s="21"/>
      <c r="AT1653" s="3"/>
      <c r="AU1653" s="3"/>
      <c r="AV1653" s="3"/>
      <c r="AW1653" s="3"/>
      <c r="AX1653" s="3"/>
      <c r="AY1653" s="3"/>
      <c r="AZ1653" s="3"/>
      <c r="BA1653" s="3"/>
      <c r="BB1653" s="53"/>
      <c r="BC1653" s="3"/>
      <c r="BD1653" s="59"/>
      <c r="BE1653" s="3"/>
      <c r="BF1653" s="53"/>
      <c r="BG1653" s="59"/>
    </row>
    <row r="1654" spans="1:59" customFormat="1" ht="15" x14ac:dyDescent="0.35">
      <c r="A1654" s="19"/>
      <c r="B1654" s="49"/>
      <c r="C1654" s="14"/>
      <c r="D1654" s="1"/>
      <c r="E1654" s="149"/>
      <c r="F1654" s="153"/>
      <c r="G1654" s="10"/>
      <c r="H1654" s="17"/>
      <c r="I1654" s="17"/>
      <c r="J1654" s="17"/>
      <c r="K1654" s="30"/>
      <c r="L1654" s="30"/>
      <c r="M1654" s="30"/>
      <c r="N1654" s="30"/>
      <c r="O1654" s="30"/>
      <c r="P1654" s="30"/>
      <c r="Q1654" s="30"/>
      <c r="R1654" s="30"/>
      <c r="S1654" s="30"/>
      <c r="T1654" s="30"/>
      <c r="U1654" s="30"/>
      <c r="V1654" s="30"/>
      <c r="W1654" s="29"/>
      <c r="X1654" s="15"/>
      <c r="Y1654" s="30"/>
      <c r="Z1654" s="30"/>
      <c r="AA1654" s="30"/>
      <c r="AB1654" s="30"/>
      <c r="AC1654" s="17"/>
      <c r="AD1654" s="17"/>
      <c r="AE1654" s="17"/>
      <c r="AF1654" s="17"/>
      <c r="AG1654" s="20"/>
      <c r="AH1654" s="21"/>
      <c r="AI1654" s="21"/>
      <c r="AJ1654" s="21"/>
      <c r="AK1654" s="21"/>
      <c r="AL1654" s="21"/>
      <c r="AM1654" s="21"/>
      <c r="AN1654" s="21"/>
      <c r="AO1654" s="22"/>
      <c r="AP1654" s="21"/>
      <c r="AQ1654" s="24"/>
      <c r="AR1654" s="21"/>
      <c r="AS1654" s="21"/>
      <c r="AT1654" s="21"/>
      <c r="AU1654" s="21"/>
      <c r="AV1654" s="21"/>
      <c r="AW1654" s="21"/>
      <c r="AX1654" s="22"/>
      <c r="AY1654" s="21"/>
      <c r="AZ1654" s="22"/>
      <c r="BA1654" s="21"/>
      <c r="BB1654" s="20"/>
      <c r="BC1654" s="21"/>
      <c r="BD1654" s="25"/>
      <c r="BE1654" s="26"/>
      <c r="BF1654" s="27"/>
      <c r="BG1654" s="28"/>
    </row>
    <row r="1655" spans="1:59" customFormat="1" ht="15" x14ac:dyDescent="0.35">
      <c r="A1655" s="19"/>
      <c r="B1655" s="49"/>
      <c r="C1655" s="39"/>
      <c r="D1655" s="1"/>
      <c r="E1655" s="149"/>
      <c r="F1655" s="153"/>
      <c r="G1655" s="10"/>
      <c r="H1655" s="17"/>
      <c r="I1655" s="17"/>
      <c r="J1655" s="17"/>
      <c r="K1655" s="30"/>
      <c r="L1655" s="30"/>
      <c r="M1655" s="30"/>
      <c r="N1655" s="30"/>
      <c r="O1655" s="30"/>
      <c r="P1655" s="30"/>
      <c r="Q1655" s="30"/>
      <c r="R1655" s="30"/>
      <c r="S1655" s="30"/>
      <c r="T1655" s="30"/>
      <c r="U1655" s="30"/>
      <c r="V1655" s="30"/>
      <c r="W1655" s="29"/>
      <c r="X1655" s="15"/>
      <c r="Y1655" s="30"/>
      <c r="Z1655" s="30"/>
      <c r="AA1655" s="30"/>
      <c r="AB1655" s="30"/>
      <c r="AC1655" s="17"/>
      <c r="AD1655" s="17"/>
      <c r="AE1655" s="17"/>
      <c r="AF1655" s="17"/>
      <c r="AG1655" s="20"/>
      <c r="AH1655" s="21"/>
      <c r="AI1655" s="21"/>
      <c r="AJ1655" s="21"/>
      <c r="AK1655" s="21"/>
      <c r="AL1655" s="21"/>
      <c r="AM1655" s="21"/>
      <c r="AN1655" s="21"/>
      <c r="AO1655" s="22"/>
      <c r="AP1655" s="21"/>
      <c r="AQ1655" s="24"/>
      <c r="AR1655" s="21"/>
      <c r="AS1655" s="21"/>
      <c r="AT1655" s="21"/>
      <c r="AU1655" s="21"/>
      <c r="AV1655" s="21"/>
      <c r="AW1655" s="21"/>
      <c r="AX1655" s="22"/>
      <c r="AY1655" s="21"/>
      <c r="AZ1655" s="22"/>
      <c r="BA1655" s="21"/>
      <c r="BB1655" s="20"/>
      <c r="BC1655" s="21"/>
      <c r="BD1655" s="25"/>
      <c r="BE1655" s="26"/>
      <c r="BF1655" s="27"/>
      <c r="BG1655" s="28"/>
    </row>
    <row r="1656" spans="1:59" customFormat="1" ht="15" x14ac:dyDescent="0.35">
      <c r="A1656" s="50"/>
      <c r="B1656" s="63"/>
      <c r="C1656" s="39"/>
      <c r="D1656" s="6"/>
      <c r="E1656" s="149"/>
      <c r="F1656" s="153"/>
      <c r="G1656" s="10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12"/>
      <c r="X1656" s="33"/>
      <c r="Y1656" s="6"/>
      <c r="Z1656" s="6"/>
      <c r="AA1656" s="6"/>
      <c r="AB1656" s="6"/>
      <c r="AC1656" s="9"/>
      <c r="AD1656" s="9"/>
      <c r="AE1656" s="9"/>
      <c r="AF1656" s="9"/>
      <c r="AG1656" s="5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59"/>
      <c r="AR1656" s="21"/>
      <c r="AS1656" s="21"/>
      <c r="AT1656" s="3"/>
      <c r="AU1656" s="3"/>
      <c r="AV1656" s="3"/>
      <c r="AW1656" s="3"/>
      <c r="AX1656" s="3"/>
      <c r="AY1656" s="3"/>
      <c r="AZ1656" s="3"/>
      <c r="BA1656" s="3"/>
      <c r="BB1656" s="53"/>
      <c r="BC1656" s="3"/>
      <c r="BD1656" s="59"/>
      <c r="BE1656" s="3"/>
      <c r="BF1656" s="53"/>
      <c r="BG1656" s="59"/>
    </row>
    <row r="1657" spans="1:59" customFormat="1" ht="15" x14ac:dyDescent="0.35">
      <c r="A1657" s="50"/>
      <c r="B1657" s="63"/>
      <c r="C1657" s="39"/>
      <c r="D1657" s="6"/>
      <c r="E1657" s="149"/>
      <c r="F1657" s="153"/>
      <c r="G1657" s="10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5"/>
      <c r="V1657" s="5"/>
      <c r="W1657" s="13"/>
      <c r="X1657" s="4"/>
      <c r="Y1657" s="4"/>
      <c r="Z1657" s="4"/>
      <c r="AA1657" s="6"/>
      <c r="AB1657" s="5"/>
      <c r="AC1657" s="9"/>
      <c r="AD1657" s="9"/>
      <c r="AE1657" s="9"/>
      <c r="AF1657" s="9"/>
      <c r="AG1657" s="54"/>
      <c r="AH1657" s="3"/>
      <c r="AI1657" s="2"/>
      <c r="AJ1657" s="2"/>
      <c r="AK1657" s="2"/>
      <c r="AL1657" s="3"/>
      <c r="AM1657" s="3"/>
      <c r="AN1657" s="3"/>
      <c r="AO1657" s="3"/>
      <c r="AP1657" s="3"/>
      <c r="AQ1657" s="59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53"/>
      <c r="BC1657" s="3"/>
      <c r="BD1657" s="59"/>
      <c r="BE1657" s="3"/>
      <c r="BF1657" s="53"/>
      <c r="BG1657" s="59"/>
    </row>
    <row r="1658" spans="1:59" customFormat="1" ht="15" x14ac:dyDescent="0.35">
      <c r="A1658" s="50"/>
      <c r="B1658" s="63"/>
      <c r="C1658" s="39"/>
      <c r="D1658" s="6"/>
      <c r="E1658" s="149"/>
      <c r="F1658" s="153"/>
      <c r="G1658" s="10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5"/>
      <c r="V1658" s="5"/>
      <c r="W1658" s="13"/>
      <c r="X1658" s="4"/>
      <c r="Y1658" s="4"/>
      <c r="Z1658" s="4"/>
      <c r="AA1658" s="6"/>
      <c r="AB1658" s="5"/>
      <c r="AC1658" s="9"/>
      <c r="AD1658" s="9"/>
      <c r="AE1658" s="9"/>
      <c r="AF1658" s="9"/>
      <c r="AG1658" s="54"/>
      <c r="AH1658" s="3"/>
      <c r="AI1658" s="2"/>
      <c r="AJ1658" s="2"/>
      <c r="AK1658" s="2"/>
      <c r="AL1658" s="3"/>
      <c r="AM1658" s="3"/>
      <c r="AN1658" s="3"/>
      <c r="AO1658" s="3"/>
      <c r="AP1658" s="3"/>
      <c r="AQ1658" s="59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53"/>
      <c r="BC1658" s="3"/>
      <c r="BD1658" s="59"/>
      <c r="BE1658" s="3"/>
      <c r="BF1658" s="53"/>
      <c r="BG1658" s="59"/>
    </row>
    <row r="1659" spans="1:59" customFormat="1" ht="15" x14ac:dyDescent="0.35">
      <c r="A1659" s="50"/>
      <c r="B1659" s="63"/>
      <c r="C1659" s="39"/>
      <c r="D1659" s="6"/>
      <c r="E1659" s="149"/>
      <c r="F1659" s="153"/>
      <c r="G1659" s="10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5"/>
      <c r="V1659" s="5"/>
      <c r="W1659" s="13"/>
      <c r="X1659" s="4"/>
      <c r="Y1659" s="4"/>
      <c r="Z1659" s="4"/>
      <c r="AA1659" s="6"/>
      <c r="AB1659" s="5"/>
      <c r="AC1659" s="9"/>
      <c r="AD1659" s="9"/>
      <c r="AE1659" s="9"/>
      <c r="AF1659" s="9"/>
      <c r="AG1659" s="54"/>
      <c r="AH1659" s="3"/>
      <c r="AI1659" s="2"/>
      <c r="AJ1659" s="2"/>
      <c r="AK1659" s="2"/>
      <c r="AL1659" s="3"/>
      <c r="AM1659" s="3"/>
      <c r="AN1659" s="3"/>
      <c r="AO1659" s="3"/>
      <c r="AP1659" s="3"/>
      <c r="AQ1659" s="59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53"/>
      <c r="BC1659" s="3"/>
      <c r="BD1659" s="59"/>
      <c r="BE1659" s="3"/>
      <c r="BF1659" s="53"/>
      <c r="BG1659" s="59"/>
    </row>
    <row r="1660" spans="1:59" customFormat="1" ht="15" x14ac:dyDescent="0.35">
      <c r="A1660" s="50"/>
      <c r="B1660" s="63"/>
      <c r="C1660" s="39"/>
      <c r="D1660" s="6"/>
      <c r="E1660" s="149"/>
      <c r="F1660" s="153"/>
      <c r="G1660" s="10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12"/>
      <c r="X1660" s="33"/>
      <c r="Y1660" s="6"/>
      <c r="Z1660" s="6"/>
      <c r="AA1660" s="6"/>
      <c r="AB1660" s="6"/>
      <c r="AC1660" s="9"/>
      <c r="AD1660" s="9"/>
      <c r="AE1660" s="9"/>
      <c r="AF1660" s="9"/>
      <c r="AG1660" s="5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59"/>
      <c r="AR1660" s="21"/>
      <c r="AS1660" s="21"/>
      <c r="AT1660" s="3"/>
      <c r="AU1660" s="3"/>
      <c r="AV1660" s="3"/>
      <c r="AW1660" s="3"/>
      <c r="AX1660" s="3"/>
      <c r="AY1660" s="3"/>
      <c r="AZ1660" s="3"/>
      <c r="BA1660" s="3"/>
      <c r="BB1660" s="53"/>
      <c r="BC1660" s="3"/>
      <c r="BD1660" s="59"/>
      <c r="BE1660" s="3"/>
      <c r="BF1660" s="53"/>
      <c r="BG1660" s="59"/>
    </row>
    <row r="1661" spans="1:59" customFormat="1" ht="15" x14ac:dyDescent="0.35">
      <c r="A1661" s="50"/>
      <c r="B1661" s="63"/>
      <c r="C1661" s="39"/>
      <c r="D1661" s="6"/>
      <c r="E1661" s="149"/>
      <c r="F1661" s="153"/>
      <c r="G1661" s="10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12"/>
      <c r="X1661" s="33"/>
      <c r="Y1661" s="6"/>
      <c r="Z1661" s="6"/>
      <c r="AA1661" s="6"/>
      <c r="AB1661" s="6"/>
      <c r="AC1661" s="9"/>
      <c r="AD1661" s="9"/>
      <c r="AE1661" s="9"/>
      <c r="AF1661" s="9"/>
      <c r="AG1661" s="5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59"/>
      <c r="AR1661" s="21"/>
      <c r="AS1661" s="21"/>
      <c r="AT1661" s="3"/>
      <c r="AU1661" s="3"/>
      <c r="AV1661" s="3"/>
      <c r="AW1661" s="3"/>
      <c r="AX1661" s="3"/>
      <c r="AY1661" s="3"/>
      <c r="AZ1661" s="3"/>
      <c r="BA1661" s="3"/>
      <c r="BB1661" s="53"/>
      <c r="BC1661" s="3"/>
      <c r="BD1661" s="59"/>
      <c r="BE1661" s="3"/>
      <c r="BF1661" s="53"/>
      <c r="BG1661" s="59"/>
    </row>
    <row r="1662" spans="1:59" customFormat="1" ht="15" x14ac:dyDescent="0.35">
      <c r="A1662" s="19"/>
      <c r="B1662" s="49"/>
      <c r="C1662" s="14"/>
      <c r="D1662" s="1"/>
      <c r="E1662" s="149"/>
      <c r="F1662" s="153"/>
      <c r="G1662" s="10"/>
      <c r="H1662" s="17"/>
      <c r="I1662" s="17"/>
      <c r="J1662" s="17"/>
      <c r="K1662" s="30"/>
      <c r="L1662" s="30"/>
      <c r="M1662" s="30"/>
      <c r="N1662" s="30"/>
      <c r="O1662" s="30"/>
      <c r="P1662" s="30"/>
      <c r="Q1662" s="30"/>
      <c r="R1662" s="30"/>
      <c r="S1662" s="30"/>
      <c r="T1662" s="30"/>
      <c r="U1662" s="30"/>
      <c r="V1662" s="30"/>
      <c r="W1662" s="29"/>
      <c r="X1662" s="15"/>
      <c r="Y1662" s="30"/>
      <c r="Z1662" s="30"/>
      <c r="AA1662" s="30"/>
      <c r="AB1662" s="30"/>
      <c r="AC1662" s="17"/>
      <c r="AD1662" s="17"/>
      <c r="AE1662" s="17"/>
      <c r="AF1662" s="17"/>
      <c r="AG1662" s="20"/>
      <c r="AH1662" s="21"/>
      <c r="AI1662" s="21"/>
      <c r="AJ1662" s="21"/>
      <c r="AK1662" s="21"/>
      <c r="AL1662" s="21"/>
      <c r="AM1662" s="21"/>
      <c r="AN1662" s="21"/>
      <c r="AO1662" s="22"/>
      <c r="AP1662" s="21"/>
      <c r="AQ1662" s="24"/>
      <c r="AR1662" s="21"/>
      <c r="AS1662" s="21"/>
      <c r="AT1662" s="21"/>
      <c r="AU1662" s="21"/>
      <c r="AV1662" s="21"/>
      <c r="AW1662" s="21"/>
      <c r="AX1662" s="22"/>
      <c r="AY1662" s="21"/>
      <c r="AZ1662" s="22"/>
      <c r="BA1662" s="21"/>
      <c r="BB1662" s="20"/>
      <c r="BC1662" s="21"/>
      <c r="BD1662" s="25"/>
      <c r="BE1662" s="26"/>
      <c r="BF1662" s="27"/>
      <c r="BG1662" s="28"/>
    </row>
    <row r="1663" spans="1:59" customFormat="1" ht="15" x14ac:dyDescent="0.35">
      <c r="A1663" s="50"/>
      <c r="B1663" s="63"/>
      <c r="C1663" s="39"/>
      <c r="D1663" s="6"/>
      <c r="E1663" s="149"/>
      <c r="F1663" s="153"/>
      <c r="G1663" s="10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5"/>
      <c r="V1663" s="5"/>
      <c r="W1663" s="13"/>
      <c r="X1663" s="4"/>
      <c r="Y1663" s="4"/>
      <c r="Z1663" s="4"/>
      <c r="AA1663" s="6"/>
      <c r="AB1663" s="11"/>
      <c r="AC1663" s="9"/>
      <c r="AD1663" s="9"/>
      <c r="AE1663" s="9"/>
      <c r="AF1663" s="9"/>
      <c r="AG1663" s="54"/>
      <c r="AH1663" s="3"/>
      <c r="AI1663" s="2"/>
      <c r="AJ1663" s="2"/>
      <c r="AK1663" s="2"/>
      <c r="AL1663" s="3"/>
      <c r="AM1663" s="3"/>
      <c r="AN1663" s="3"/>
      <c r="AO1663" s="3"/>
      <c r="AP1663" s="3"/>
      <c r="AQ1663" s="59"/>
      <c r="AR1663" s="3"/>
      <c r="AS1663" s="3"/>
      <c r="AT1663" s="3"/>
      <c r="AU1663" s="3"/>
      <c r="AV1663" s="3"/>
      <c r="AW1663" s="3"/>
      <c r="AX1663" s="12"/>
      <c r="AY1663" s="3"/>
      <c r="AZ1663" s="3"/>
      <c r="BA1663" s="3"/>
      <c r="BB1663" s="53"/>
      <c r="BC1663" s="3"/>
      <c r="BD1663" s="59"/>
      <c r="BE1663" s="3"/>
      <c r="BF1663" s="53"/>
      <c r="BG1663" s="59"/>
    </row>
    <row r="1664" spans="1:59" customFormat="1" ht="15" x14ac:dyDescent="0.35">
      <c r="A1664" s="50"/>
      <c r="B1664" s="63"/>
      <c r="C1664" s="39"/>
      <c r="D1664" s="6"/>
      <c r="E1664" s="149"/>
      <c r="F1664" s="153"/>
      <c r="G1664" s="10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12"/>
      <c r="X1664" s="33"/>
      <c r="Y1664" s="6"/>
      <c r="Z1664" s="6"/>
      <c r="AA1664" s="6"/>
      <c r="AB1664" s="6"/>
      <c r="AC1664" s="9"/>
      <c r="AD1664" s="9"/>
      <c r="AE1664" s="9"/>
      <c r="AF1664" s="9"/>
      <c r="AG1664" s="5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59"/>
      <c r="AR1664" s="21"/>
      <c r="AS1664" s="21"/>
      <c r="AT1664" s="3"/>
      <c r="AU1664" s="3"/>
      <c r="AV1664" s="3"/>
      <c r="AW1664" s="3"/>
      <c r="AX1664" s="3"/>
      <c r="AY1664" s="3"/>
      <c r="AZ1664" s="3"/>
      <c r="BA1664" s="3"/>
      <c r="BB1664" s="53"/>
      <c r="BC1664" s="3"/>
      <c r="BD1664" s="59"/>
      <c r="BE1664" s="3"/>
      <c r="BF1664" s="53"/>
      <c r="BG1664" s="59"/>
    </row>
    <row r="1665" spans="1:59" customFormat="1" ht="15" x14ac:dyDescent="0.35">
      <c r="A1665" s="50"/>
      <c r="B1665" s="63"/>
      <c r="C1665" s="39"/>
      <c r="D1665" s="6"/>
      <c r="E1665" s="149"/>
      <c r="F1665" s="153"/>
      <c r="G1665" s="10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5"/>
      <c r="V1665" s="5"/>
      <c r="W1665" s="13"/>
      <c r="X1665" s="4"/>
      <c r="Y1665" s="4"/>
      <c r="Z1665" s="4"/>
      <c r="AA1665" s="6"/>
      <c r="AB1665" s="5"/>
      <c r="AC1665" s="9"/>
      <c r="AD1665" s="9"/>
      <c r="AE1665" s="9"/>
      <c r="AF1665" s="9"/>
      <c r="AG1665" s="54"/>
      <c r="AH1665" s="3"/>
      <c r="AI1665" s="2"/>
      <c r="AJ1665" s="2"/>
      <c r="AK1665" s="2"/>
      <c r="AL1665" s="3"/>
      <c r="AM1665" s="3"/>
      <c r="AN1665" s="3"/>
      <c r="AO1665" s="3"/>
      <c r="AP1665" s="3"/>
      <c r="AQ1665" s="59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53"/>
      <c r="BC1665" s="3"/>
      <c r="BD1665" s="59"/>
      <c r="BE1665" s="3"/>
      <c r="BF1665" s="53"/>
      <c r="BG1665" s="59"/>
    </row>
    <row r="1666" spans="1:59" customFormat="1" ht="15" x14ac:dyDescent="0.35">
      <c r="A1666" s="50"/>
      <c r="B1666" s="63"/>
      <c r="C1666" s="39"/>
      <c r="D1666" s="6"/>
      <c r="E1666" s="149"/>
      <c r="F1666" s="153"/>
      <c r="G1666" s="10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12"/>
      <c r="X1666" s="33"/>
      <c r="Y1666" s="6"/>
      <c r="Z1666" s="6"/>
      <c r="AA1666" s="6"/>
      <c r="AB1666" s="6"/>
      <c r="AC1666" s="9"/>
      <c r="AD1666" s="9"/>
      <c r="AE1666" s="9"/>
      <c r="AF1666" s="9"/>
      <c r="AG1666" s="5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59"/>
      <c r="AR1666" s="21"/>
      <c r="AS1666" s="21"/>
      <c r="AT1666" s="3"/>
      <c r="AU1666" s="3"/>
      <c r="AV1666" s="3"/>
      <c r="AW1666" s="3"/>
      <c r="AX1666" s="3"/>
      <c r="AY1666" s="3"/>
      <c r="AZ1666" s="3"/>
      <c r="BA1666" s="3"/>
      <c r="BB1666" s="53"/>
      <c r="BC1666" s="3"/>
      <c r="BD1666" s="59"/>
      <c r="BE1666" s="3"/>
      <c r="BF1666" s="53"/>
      <c r="BG1666" s="59"/>
    </row>
    <row r="1667" spans="1:59" customFormat="1" ht="15" x14ac:dyDescent="0.35">
      <c r="A1667" s="50"/>
      <c r="B1667" s="63"/>
      <c r="C1667" s="39"/>
      <c r="D1667" s="6"/>
      <c r="E1667" s="149"/>
      <c r="F1667" s="153"/>
      <c r="G1667" s="10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5"/>
      <c r="V1667" s="5"/>
      <c r="W1667" s="13"/>
      <c r="X1667" s="4"/>
      <c r="Y1667" s="4"/>
      <c r="Z1667" s="4"/>
      <c r="AA1667" s="6"/>
      <c r="AB1667" s="5"/>
      <c r="AC1667" s="9"/>
      <c r="AD1667" s="9"/>
      <c r="AE1667" s="9"/>
      <c r="AF1667" s="9"/>
      <c r="AG1667" s="54"/>
      <c r="AH1667" s="3"/>
      <c r="AI1667" s="2"/>
      <c r="AJ1667" s="2"/>
      <c r="AK1667" s="2"/>
      <c r="AL1667" s="3"/>
      <c r="AM1667" s="3"/>
      <c r="AN1667" s="3"/>
      <c r="AO1667" s="3"/>
      <c r="AP1667" s="3"/>
      <c r="AQ1667" s="59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53"/>
      <c r="BC1667" s="3"/>
      <c r="BD1667" s="59"/>
      <c r="BE1667" s="3"/>
      <c r="BF1667" s="53"/>
      <c r="BG1667" s="59"/>
    </row>
    <row r="1668" spans="1:59" customFormat="1" ht="15" x14ac:dyDescent="0.35">
      <c r="A1668" s="50"/>
      <c r="B1668" s="63"/>
      <c r="C1668" s="39"/>
      <c r="D1668" s="6"/>
      <c r="E1668" s="149"/>
      <c r="F1668" s="153"/>
      <c r="G1668" s="10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12"/>
      <c r="X1668" s="33"/>
      <c r="Y1668" s="6"/>
      <c r="Z1668" s="6"/>
      <c r="AA1668" s="6"/>
      <c r="AB1668" s="6"/>
      <c r="AC1668" s="9"/>
      <c r="AD1668" s="9"/>
      <c r="AE1668" s="9"/>
      <c r="AF1668" s="9"/>
      <c r="AG1668" s="5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59"/>
      <c r="AR1668" s="21"/>
      <c r="AS1668" s="21"/>
      <c r="AT1668" s="3"/>
      <c r="AU1668" s="3"/>
      <c r="AV1668" s="3"/>
      <c r="AW1668" s="3"/>
      <c r="AX1668" s="3"/>
      <c r="AY1668" s="3"/>
      <c r="AZ1668" s="3"/>
      <c r="BA1668" s="3"/>
      <c r="BB1668" s="53"/>
      <c r="BC1668" s="3"/>
      <c r="BD1668" s="59"/>
      <c r="BE1668" s="3"/>
      <c r="BF1668" s="53"/>
      <c r="BG1668" s="59"/>
    </row>
    <row r="1669" spans="1:59" customFormat="1" ht="15" x14ac:dyDescent="0.35">
      <c r="A1669" s="19"/>
      <c r="B1669" s="49"/>
      <c r="C1669" s="39"/>
      <c r="D1669" s="1"/>
      <c r="E1669" s="149"/>
      <c r="F1669" s="153"/>
      <c r="G1669" s="10"/>
      <c r="H1669" s="17"/>
      <c r="I1669" s="17"/>
      <c r="J1669" s="17"/>
      <c r="K1669" s="30"/>
      <c r="L1669" s="30"/>
      <c r="M1669" s="30"/>
      <c r="N1669" s="30"/>
      <c r="O1669" s="30"/>
      <c r="P1669" s="30"/>
      <c r="Q1669" s="30"/>
      <c r="R1669" s="30"/>
      <c r="S1669" s="30"/>
      <c r="T1669" s="30"/>
      <c r="U1669" s="30"/>
      <c r="V1669" s="30"/>
      <c r="W1669" s="29"/>
      <c r="X1669" s="15"/>
      <c r="Y1669" s="30"/>
      <c r="Z1669" s="30"/>
      <c r="AA1669" s="30"/>
      <c r="AB1669" s="30"/>
      <c r="AC1669" s="17"/>
      <c r="AD1669" s="17"/>
      <c r="AE1669" s="17"/>
      <c r="AF1669" s="17"/>
      <c r="AG1669" s="20"/>
      <c r="AH1669" s="21"/>
      <c r="AI1669" s="21"/>
      <c r="AJ1669" s="21"/>
      <c r="AK1669" s="21"/>
      <c r="AL1669" s="21"/>
      <c r="AM1669" s="21"/>
      <c r="AN1669" s="21"/>
      <c r="AO1669" s="22"/>
      <c r="AP1669" s="21"/>
      <c r="AQ1669" s="24"/>
      <c r="AR1669" s="21"/>
      <c r="AS1669" s="21"/>
      <c r="AT1669" s="21"/>
      <c r="AU1669" s="21"/>
      <c r="AV1669" s="21"/>
      <c r="AW1669" s="21"/>
      <c r="AX1669" s="22"/>
      <c r="AY1669" s="21"/>
      <c r="AZ1669" s="22"/>
      <c r="BA1669" s="21"/>
      <c r="BB1669" s="20"/>
      <c r="BC1669" s="21"/>
      <c r="BD1669" s="25"/>
      <c r="BE1669" s="26"/>
      <c r="BF1669" s="27"/>
      <c r="BG1669" s="28"/>
    </row>
    <row r="1670" spans="1:59" customFormat="1" ht="15" x14ac:dyDescent="0.35">
      <c r="A1670" s="50"/>
      <c r="B1670" s="63"/>
      <c r="C1670" s="39"/>
      <c r="D1670" s="6"/>
      <c r="E1670" s="149"/>
      <c r="F1670" s="153"/>
      <c r="G1670" s="10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12"/>
      <c r="X1670" s="33"/>
      <c r="Y1670" s="6"/>
      <c r="Z1670" s="6"/>
      <c r="AA1670" s="6"/>
      <c r="AB1670" s="6"/>
      <c r="AC1670" s="9"/>
      <c r="AD1670" s="9"/>
      <c r="AE1670" s="9"/>
      <c r="AF1670" s="9"/>
      <c r="AG1670" s="5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59"/>
      <c r="AR1670" s="21"/>
      <c r="AS1670" s="21"/>
      <c r="AT1670" s="3"/>
      <c r="AU1670" s="3"/>
      <c r="AV1670" s="3"/>
      <c r="AW1670" s="3"/>
      <c r="AX1670" s="3"/>
      <c r="AY1670" s="3"/>
      <c r="AZ1670" s="3"/>
      <c r="BA1670" s="3"/>
      <c r="BB1670" s="53"/>
      <c r="BC1670" s="3"/>
      <c r="BD1670" s="59"/>
      <c r="BE1670" s="3"/>
      <c r="BF1670" s="53"/>
      <c r="BG1670" s="59"/>
    </row>
    <row r="1671" spans="1:59" customFormat="1" ht="15" x14ac:dyDescent="0.35">
      <c r="A1671" s="19"/>
      <c r="B1671" s="49"/>
      <c r="C1671" s="39"/>
      <c r="D1671" s="1"/>
      <c r="E1671" s="149"/>
      <c r="F1671" s="153"/>
      <c r="G1671" s="10"/>
      <c r="H1671" s="17"/>
      <c r="I1671" s="17"/>
      <c r="J1671" s="17"/>
      <c r="K1671" s="30"/>
      <c r="L1671" s="30"/>
      <c r="M1671" s="30"/>
      <c r="N1671" s="30"/>
      <c r="O1671" s="30"/>
      <c r="P1671" s="30"/>
      <c r="Q1671" s="30"/>
      <c r="R1671" s="30"/>
      <c r="S1671" s="30"/>
      <c r="T1671" s="30"/>
      <c r="U1671" s="30"/>
      <c r="V1671" s="30"/>
      <c r="W1671" s="29"/>
      <c r="X1671" s="15"/>
      <c r="Y1671" s="30"/>
      <c r="Z1671" s="30"/>
      <c r="AA1671" s="30"/>
      <c r="AB1671" s="30"/>
      <c r="AC1671" s="17"/>
      <c r="AD1671" s="17"/>
      <c r="AE1671" s="17"/>
      <c r="AF1671" s="17"/>
      <c r="AG1671" s="20"/>
      <c r="AH1671" s="21"/>
      <c r="AI1671" s="21"/>
      <c r="AJ1671" s="21"/>
      <c r="AK1671" s="21"/>
      <c r="AL1671" s="21"/>
      <c r="AM1671" s="21"/>
      <c r="AN1671" s="21"/>
      <c r="AO1671" s="22"/>
      <c r="AP1671" s="21"/>
      <c r="AQ1671" s="24"/>
      <c r="AR1671" s="21"/>
      <c r="AS1671" s="21"/>
      <c r="AT1671" s="21"/>
      <c r="AU1671" s="21"/>
      <c r="AV1671" s="21"/>
      <c r="AW1671" s="21"/>
      <c r="AX1671" s="22"/>
      <c r="AY1671" s="21"/>
      <c r="AZ1671" s="22"/>
      <c r="BA1671" s="21"/>
      <c r="BB1671" s="20"/>
      <c r="BC1671" s="21"/>
      <c r="BD1671" s="25"/>
      <c r="BE1671" s="26"/>
      <c r="BF1671" s="27"/>
      <c r="BG1671" s="28"/>
    </row>
    <row r="1672" spans="1:59" customFormat="1" ht="15" x14ac:dyDescent="0.35">
      <c r="A1672" s="19"/>
      <c r="B1672" s="49"/>
      <c r="C1672" s="14"/>
      <c r="D1672" s="1"/>
      <c r="E1672" s="149"/>
      <c r="F1672" s="153"/>
      <c r="G1672" s="10"/>
      <c r="H1672" s="17"/>
      <c r="I1672" s="17"/>
      <c r="J1672" s="17"/>
      <c r="K1672" s="30"/>
      <c r="L1672" s="30"/>
      <c r="M1672" s="30"/>
      <c r="N1672" s="30"/>
      <c r="O1672" s="30"/>
      <c r="P1672" s="30"/>
      <c r="Q1672" s="30"/>
      <c r="R1672" s="30"/>
      <c r="S1672" s="30"/>
      <c r="T1672" s="30"/>
      <c r="U1672" s="30"/>
      <c r="V1672" s="30"/>
      <c r="W1672" s="29"/>
      <c r="X1672" s="15"/>
      <c r="Y1672" s="30"/>
      <c r="Z1672" s="30"/>
      <c r="AA1672" s="30"/>
      <c r="AB1672" s="30"/>
      <c r="AC1672" s="17"/>
      <c r="AD1672" s="17"/>
      <c r="AE1672" s="17"/>
      <c r="AF1672" s="17"/>
      <c r="AG1672" s="20"/>
      <c r="AH1672" s="21"/>
      <c r="AI1672" s="21"/>
      <c r="AJ1672" s="21"/>
      <c r="AK1672" s="21"/>
      <c r="AL1672" s="21"/>
      <c r="AM1672" s="21"/>
      <c r="AN1672" s="21"/>
      <c r="AO1672" s="22"/>
      <c r="AP1672" s="21"/>
      <c r="AQ1672" s="24"/>
      <c r="AR1672" s="21"/>
      <c r="AS1672" s="21"/>
      <c r="AT1672" s="21"/>
      <c r="AU1672" s="21"/>
      <c r="AV1672" s="21"/>
      <c r="AW1672" s="21"/>
      <c r="AX1672" s="22"/>
      <c r="AY1672" s="21"/>
      <c r="AZ1672" s="22"/>
      <c r="BA1672" s="21"/>
      <c r="BB1672" s="20"/>
      <c r="BC1672" s="21"/>
      <c r="BD1672" s="25"/>
      <c r="BE1672" s="26"/>
      <c r="BF1672" s="27"/>
      <c r="BG1672" s="28"/>
    </row>
    <row r="1673" spans="1:59" customFormat="1" ht="15" x14ac:dyDescent="0.35">
      <c r="A1673" s="50"/>
      <c r="B1673" s="63"/>
      <c r="C1673" s="39"/>
      <c r="D1673" s="6"/>
      <c r="E1673" s="149"/>
      <c r="F1673" s="153"/>
      <c r="G1673" s="10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12"/>
      <c r="X1673" s="33"/>
      <c r="Y1673" s="6"/>
      <c r="Z1673" s="6"/>
      <c r="AA1673" s="6"/>
      <c r="AB1673" s="6"/>
      <c r="AC1673" s="9"/>
      <c r="AD1673" s="9"/>
      <c r="AE1673" s="9"/>
      <c r="AF1673" s="9"/>
      <c r="AG1673" s="5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59"/>
      <c r="AR1673" s="21"/>
      <c r="AS1673" s="21"/>
      <c r="AT1673" s="3"/>
      <c r="AU1673" s="3"/>
      <c r="AV1673" s="3"/>
      <c r="AW1673" s="3"/>
      <c r="AX1673" s="3"/>
      <c r="AY1673" s="3"/>
      <c r="AZ1673" s="3"/>
      <c r="BA1673" s="3"/>
      <c r="BB1673" s="53"/>
      <c r="BC1673" s="3"/>
      <c r="BD1673" s="59"/>
      <c r="BE1673" s="3"/>
      <c r="BF1673" s="53"/>
      <c r="BG1673" s="59"/>
    </row>
    <row r="1674" spans="1:59" customFormat="1" ht="15" x14ac:dyDescent="0.35">
      <c r="A1674" s="19"/>
      <c r="B1674" s="49"/>
      <c r="C1674" s="14"/>
      <c r="D1674" s="1"/>
      <c r="E1674" s="149"/>
      <c r="F1674" s="153"/>
      <c r="G1674" s="10"/>
      <c r="H1674" s="17"/>
      <c r="I1674" s="17"/>
      <c r="J1674" s="17"/>
      <c r="K1674" s="30"/>
      <c r="L1674" s="30"/>
      <c r="M1674" s="30"/>
      <c r="N1674" s="30"/>
      <c r="O1674" s="30"/>
      <c r="P1674" s="30"/>
      <c r="Q1674" s="30"/>
      <c r="R1674" s="30"/>
      <c r="S1674" s="30"/>
      <c r="T1674" s="30"/>
      <c r="U1674" s="30"/>
      <c r="V1674" s="30"/>
      <c r="W1674" s="29"/>
      <c r="X1674" s="15"/>
      <c r="Y1674" s="30"/>
      <c r="Z1674" s="30"/>
      <c r="AA1674" s="30"/>
      <c r="AB1674" s="30"/>
      <c r="AC1674" s="17"/>
      <c r="AD1674" s="17"/>
      <c r="AE1674" s="17"/>
      <c r="AF1674" s="17"/>
      <c r="AG1674" s="20"/>
      <c r="AH1674" s="21"/>
      <c r="AI1674" s="21"/>
      <c r="AJ1674" s="21"/>
      <c r="AK1674" s="21"/>
      <c r="AL1674" s="21"/>
      <c r="AM1674" s="21"/>
      <c r="AN1674" s="21"/>
      <c r="AO1674" s="22"/>
      <c r="AP1674" s="21"/>
      <c r="AQ1674" s="24"/>
      <c r="AR1674" s="21"/>
      <c r="AS1674" s="21"/>
      <c r="AT1674" s="21"/>
      <c r="AU1674" s="21"/>
      <c r="AV1674" s="21"/>
      <c r="AW1674" s="21"/>
      <c r="AX1674" s="22"/>
      <c r="AY1674" s="21"/>
      <c r="AZ1674" s="22"/>
      <c r="BA1674" s="21"/>
      <c r="BB1674" s="20"/>
      <c r="BC1674" s="21"/>
      <c r="BD1674" s="25"/>
      <c r="BE1674" s="26"/>
      <c r="BF1674" s="27"/>
      <c r="BG1674" s="28"/>
    </row>
    <row r="1675" spans="1:59" customFormat="1" ht="15" x14ac:dyDescent="0.35">
      <c r="A1675" s="19"/>
      <c r="B1675" s="49"/>
      <c r="C1675" s="14"/>
      <c r="D1675" s="1"/>
      <c r="E1675" s="149"/>
      <c r="F1675" s="153"/>
      <c r="G1675" s="10"/>
      <c r="H1675" s="17"/>
      <c r="I1675" s="17"/>
      <c r="J1675" s="17"/>
      <c r="K1675" s="30"/>
      <c r="L1675" s="30"/>
      <c r="M1675" s="30"/>
      <c r="N1675" s="30"/>
      <c r="O1675" s="30"/>
      <c r="P1675" s="30"/>
      <c r="Q1675" s="30"/>
      <c r="R1675" s="30"/>
      <c r="S1675" s="30"/>
      <c r="T1675" s="30"/>
      <c r="U1675" s="30"/>
      <c r="V1675" s="30"/>
      <c r="W1675" s="29"/>
      <c r="X1675" s="15"/>
      <c r="Y1675" s="30"/>
      <c r="Z1675" s="30"/>
      <c r="AA1675" s="30"/>
      <c r="AB1675" s="30"/>
      <c r="AC1675" s="17"/>
      <c r="AD1675" s="17"/>
      <c r="AE1675" s="17"/>
      <c r="AF1675" s="17"/>
      <c r="AG1675" s="20"/>
      <c r="AH1675" s="21"/>
      <c r="AI1675" s="21"/>
      <c r="AJ1675" s="21"/>
      <c r="AK1675" s="21"/>
      <c r="AL1675" s="21"/>
      <c r="AM1675" s="21"/>
      <c r="AN1675" s="21"/>
      <c r="AO1675" s="22"/>
      <c r="AP1675" s="21"/>
      <c r="AQ1675" s="24"/>
      <c r="AR1675" s="21"/>
      <c r="AS1675" s="21"/>
      <c r="AT1675" s="21"/>
      <c r="AU1675" s="21"/>
      <c r="AV1675" s="21"/>
      <c r="AW1675" s="21"/>
      <c r="AX1675" s="22"/>
      <c r="AY1675" s="21"/>
      <c r="AZ1675" s="22"/>
      <c r="BA1675" s="21"/>
      <c r="BB1675" s="20"/>
      <c r="BC1675" s="21"/>
      <c r="BD1675" s="25"/>
      <c r="BE1675" s="26"/>
      <c r="BF1675" s="27"/>
      <c r="BG1675" s="28"/>
    </row>
    <row r="1676" spans="1:59" customFormat="1" ht="15" x14ac:dyDescent="0.35">
      <c r="A1676" s="19"/>
      <c r="B1676" s="49"/>
      <c r="C1676" s="14"/>
      <c r="D1676" s="6"/>
      <c r="E1676" s="149"/>
      <c r="F1676" s="153"/>
      <c r="G1676" s="10"/>
      <c r="H1676" s="17"/>
      <c r="I1676" s="17"/>
      <c r="J1676" s="17"/>
      <c r="K1676" s="30"/>
      <c r="L1676" s="30"/>
      <c r="M1676" s="30"/>
      <c r="N1676" s="30"/>
      <c r="O1676" s="30"/>
      <c r="P1676" s="30"/>
      <c r="Q1676" s="30"/>
      <c r="R1676" s="30"/>
      <c r="S1676" s="30"/>
      <c r="T1676" s="30"/>
      <c r="U1676" s="30"/>
      <c r="V1676" s="30"/>
      <c r="W1676" s="29"/>
      <c r="X1676" s="15"/>
      <c r="Y1676" s="30"/>
      <c r="Z1676" s="30"/>
      <c r="AA1676" s="30"/>
      <c r="AB1676" s="30"/>
      <c r="AC1676" s="17"/>
      <c r="AD1676" s="17"/>
      <c r="AE1676" s="17"/>
      <c r="AF1676" s="17"/>
      <c r="AG1676" s="20"/>
      <c r="AH1676" s="21"/>
      <c r="AI1676" s="21"/>
      <c r="AJ1676" s="21"/>
      <c r="AK1676" s="21"/>
      <c r="AL1676" s="21"/>
      <c r="AM1676" s="21"/>
      <c r="AN1676" s="21"/>
      <c r="AO1676" s="22"/>
      <c r="AP1676" s="21"/>
      <c r="AQ1676" s="24"/>
      <c r="AR1676" s="21"/>
      <c r="AS1676" s="21"/>
      <c r="AT1676" s="21"/>
      <c r="AU1676" s="21"/>
      <c r="AV1676" s="21"/>
      <c r="AW1676" s="21"/>
      <c r="AX1676" s="22"/>
      <c r="AY1676" s="21"/>
      <c r="AZ1676" s="22"/>
      <c r="BA1676" s="21"/>
      <c r="BB1676" s="20"/>
      <c r="BC1676" s="21"/>
      <c r="BD1676" s="25"/>
      <c r="BE1676" s="26"/>
      <c r="BF1676" s="27"/>
      <c r="BG1676" s="28"/>
    </row>
    <row r="1677" spans="1:59" customFormat="1" ht="15" x14ac:dyDescent="0.35">
      <c r="A1677" s="19"/>
      <c r="B1677" s="49"/>
      <c r="C1677" s="39"/>
      <c r="D1677" s="1"/>
      <c r="E1677" s="149"/>
      <c r="F1677" s="153"/>
      <c r="G1677" s="10"/>
      <c r="H1677" s="17"/>
      <c r="I1677" s="17"/>
      <c r="J1677" s="17"/>
      <c r="K1677" s="30"/>
      <c r="L1677" s="30"/>
      <c r="M1677" s="30"/>
      <c r="N1677" s="30"/>
      <c r="O1677" s="30"/>
      <c r="P1677" s="30"/>
      <c r="Q1677" s="30"/>
      <c r="R1677" s="30"/>
      <c r="S1677" s="30"/>
      <c r="T1677" s="30"/>
      <c r="U1677" s="30"/>
      <c r="V1677" s="30"/>
      <c r="W1677" s="29"/>
      <c r="X1677" s="15"/>
      <c r="Y1677" s="30"/>
      <c r="Z1677" s="30"/>
      <c r="AA1677" s="30"/>
      <c r="AB1677" s="30"/>
      <c r="AC1677" s="17"/>
      <c r="AD1677" s="17"/>
      <c r="AE1677" s="17"/>
      <c r="AF1677" s="17"/>
      <c r="AG1677" s="20"/>
      <c r="AH1677" s="21"/>
      <c r="AI1677" s="21"/>
      <c r="AJ1677" s="21"/>
      <c r="AK1677" s="21"/>
      <c r="AL1677" s="21"/>
      <c r="AM1677" s="21"/>
      <c r="AN1677" s="21"/>
      <c r="AO1677" s="22"/>
      <c r="AP1677" s="21"/>
      <c r="AQ1677" s="24"/>
      <c r="AR1677" s="21"/>
      <c r="AS1677" s="21"/>
      <c r="AT1677" s="21"/>
      <c r="AU1677" s="21"/>
      <c r="AV1677" s="21"/>
      <c r="AW1677" s="21"/>
      <c r="AX1677" s="22"/>
      <c r="AY1677" s="21"/>
      <c r="AZ1677" s="22"/>
      <c r="BA1677" s="21"/>
      <c r="BB1677" s="20"/>
      <c r="BC1677" s="21"/>
      <c r="BD1677" s="25"/>
      <c r="BE1677" s="26"/>
      <c r="BF1677" s="27"/>
      <c r="BG1677" s="28"/>
    </row>
    <row r="1678" spans="1:59" customFormat="1" ht="15" x14ac:dyDescent="0.35">
      <c r="A1678" s="50"/>
      <c r="B1678" s="63"/>
      <c r="C1678" s="39"/>
      <c r="D1678" s="6"/>
      <c r="E1678" s="149"/>
      <c r="F1678" s="153"/>
      <c r="G1678" s="10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12"/>
      <c r="X1678" s="33"/>
      <c r="Y1678" s="6"/>
      <c r="Z1678" s="6"/>
      <c r="AA1678" s="6"/>
      <c r="AB1678" s="6"/>
      <c r="AC1678" s="9"/>
      <c r="AD1678" s="9"/>
      <c r="AE1678" s="9"/>
      <c r="AF1678" s="9"/>
      <c r="AG1678" s="5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59"/>
      <c r="AR1678" s="21"/>
      <c r="AS1678" s="21"/>
      <c r="AT1678" s="3"/>
      <c r="AU1678" s="3"/>
      <c r="AV1678" s="3"/>
      <c r="AW1678" s="3"/>
      <c r="AX1678" s="3"/>
      <c r="AY1678" s="3"/>
      <c r="AZ1678" s="3"/>
      <c r="BA1678" s="3"/>
      <c r="BB1678" s="53"/>
      <c r="BC1678" s="3"/>
      <c r="BD1678" s="59"/>
      <c r="BE1678" s="3"/>
      <c r="BF1678" s="53"/>
      <c r="BG1678" s="59"/>
    </row>
    <row r="1679" spans="1:59" customFormat="1" ht="15" x14ac:dyDescent="0.35">
      <c r="A1679" s="50"/>
      <c r="B1679" s="63"/>
      <c r="C1679" s="39"/>
      <c r="D1679" s="6"/>
      <c r="E1679" s="149"/>
      <c r="F1679" s="153"/>
      <c r="G1679" s="10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12"/>
      <c r="X1679" s="33"/>
      <c r="Y1679" s="6"/>
      <c r="Z1679" s="6"/>
      <c r="AA1679" s="6"/>
      <c r="AB1679" s="6"/>
      <c r="AC1679" s="9"/>
      <c r="AD1679" s="9"/>
      <c r="AE1679" s="9"/>
      <c r="AF1679" s="9"/>
      <c r="AG1679" s="5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59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53"/>
      <c r="BC1679" s="3"/>
      <c r="BD1679" s="59"/>
      <c r="BE1679" s="3"/>
      <c r="BF1679" s="53"/>
      <c r="BG1679" s="59"/>
    </row>
    <row r="1680" spans="1:59" customFormat="1" ht="15" x14ac:dyDescent="0.35">
      <c r="A1680" s="19"/>
      <c r="B1680" s="49"/>
      <c r="C1680" s="39"/>
      <c r="D1680" s="1"/>
      <c r="E1680" s="149"/>
      <c r="F1680" s="153"/>
      <c r="G1680" s="10"/>
      <c r="H1680" s="17"/>
      <c r="I1680" s="17"/>
      <c r="J1680" s="17"/>
      <c r="K1680" s="30"/>
      <c r="L1680" s="30"/>
      <c r="M1680" s="30"/>
      <c r="N1680" s="30"/>
      <c r="O1680" s="30"/>
      <c r="P1680" s="30"/>
      <c r="Q1680" s="30"/>
      <c r="R1680" s="30"/>
      <c r="S1680" s="30"/>
      <c r="T1680" s="30"/>
      <c r="U1680" s="30"/>
      <c r="V1680" s="30"/>
      <c r="W1680" s="29"/>
      <c r="X1680" s="15"/>
      <c r="Y1680" s="30"/>
      <c r="Z1680" s="30"/>
      <c r="AA1680" s="30"/>
      <c r="AB1680" s="30"/>
      <c r="AC1680" s="17"/>
      <c r="AD1680" s="17"/>
      <c r="AE1680" s="17"/>
      <c r="AF1680" s="17"/>
      <c r="AG1680" s="20"/>
      <c r="AH1680" s="21"/>
      <c r="AI1680" s="21"/>
      <c r="AJ1680" s="21"/>
      <c r="AK1680" s="21"/>
      <c r="AL1680" s="21"/>
      <c r="AM1680" s="21"/>
      <c r="AN1680" s="21"/>
      <c r="AO1680" s="22"/>
      <c r="AP1680" s="21"/>
      <c r="AQ1680" s="24"/>
      <c r="AR1680" s="21"/>
      <c r="AS1680" s="21"/>
      <c r="AT1680" s="21"/>
      <c r="AU1680" s="21"/>
      <c r="AV1680" s="21"/>
      <c r="AW1680" s="21"/>
      <c r="AX1680" s="22"/>
      <c r="AY1680" s="21"/>
      <c r="AZ1680" s="22"/>
      <c r="BA1680" s="21"/>
      <c r="BB1680" s="20"/>
      <c r="BC1680" s="21"/>
      <c r="BD1680" s="25"/>
      <c r="BE1680" s="26"/>
      <c r="BF1680" s="27"/>
      <c r="BG1680" s="28"/>
    </row>
    <row r="1681" spans="1:59" customFormat="1" ht="15" x14ac:dyDescent="0.35">
      <c r="A1681" s="50"/>
      <c r="B1681" s="63"/>
      <c r="C1681" s="39"/>
      <c r="D1681" s="6"/>
      <c r="E1681" s="149"/>
      <c r="F1681" s="153"/>
      <c r="G1681" s="10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5"/>
      <c r="V1681" s="5"/>
      <c r="W1681" s="13"/>
      <c r="X1681" s="4"/>
      <c r="Y1681" s="4"/>
      <c r="Z1681" s="4"/>
      <c r="AA1681" s="6"/>
      <c r="AB1681" s="5"/>
      <c r="AC1681" s="9"/>
      <c r="AD1681" s="9"/>
      <c r="AE1681" s="9"/>
      <c r="AF1681" s="9"/>
      <c r="AG1681" s="54"/>
      <c r="AH1681" s="3"/>
      <c r="AI1681" s="2"/>
      <c r="AJ1681" s="2"/>
      <c r="AK1681" s="2"/>
      <c r="AL1681" s="3"/>
      <c r="AM1681" s="3"/>
      <c r="AN1681" s="3"/>
      <c r="AO1681" s="3"/>
      <c r="AP1681" s="3"/>
      <c r="AQ1681" s="59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53"/>
      <c r="BC1681" s="3"/>
      <c r="BD1681" s="59"/>
      <c r="BE1681" s="3"/>
      <c r="BF1681" s="53"/>
      <c r="BG1681" s="59"/>
    </row>
    <row r="1682" spans="1:59" customFormat="1" ht="15" x14ac:dyDescent="0.35">
      <c r="A1682" s="50"/>
      <c r="B1682" s="63"/>
      <c r="C1682" s="39"/>
      <c r="D1682" s="6"/>
      <c r="E1682" s="149"/>
      <c r="F1682" s="153"/>
      <c r="G1682" s="10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12"/>
      <c r="X1682" s="33"/>
      <c r="Y1682" s="6"/>
      <c r="Z1682" s="6"/>
      <c r="AA1682" s="6"/>
      <c r="AB1682" s="6"/>
      <c r="AC1682" s="9"/>
      <c r="AD1682" s="9"/>
      <c r="AE1682" s="9"/>
      <c r="AF1682" s="9"/>
      <c r="AG1682" s="5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59"/>
      <c r="AR1682" s="21"/>
      <c r="AS1682" s="21"/>
      <c r="AT1682" s="3"/>
      <c r="AU1682" s="3"/>
      <c r="AV1682" s="3"/>
      <c r="AW1682" s="3"/>
      <c r="AX1682" s="3"/>
      <c r="AY1682" s="3"/>
      <c r="AZ1682" s="3"/>
      <c r="BA1682" s="3"/>
      <c r="BB1682" s="53"/>
      <c r="BC1682" s="3"/>
      <c r="BD1682" s="59"/>
      <c r="BE1682" s="3"/>
      <c r="BF1682" s="53"/>
      <c r="BG1682" s="59"/>
    </row>
    <row r="1683" spans="1:59" customFormat="1" ht="15" x14ac:dyDescent="0.35">
      <c r="A1683" s="50"/>
      <c r="B1683" s="63"/>
      <c r="C1683" s="39"/>
      <c r="D1683" s="6"/>
      <c r="E1683" s="149"/>
      <c r="F1683" s="153"/>
      <c r="G1683" s="10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5"/>
      <c r="V1683" s="5"/>
      <c r="W1683" s="13"/>
      <c r="X1683" s="4"/>
      <c r="Y1683" s="4"/>
      <c r="Z1683" s="4"/>
      <c r="AA1683" s="6"/>
      <c r="AB1683" s="5"/>
      <c r="AC1683" s="9"/>
      <c r="AD1683" s="9"/>
      <c r="AE1683" s="9"/>
      <c r="AF1683" s="9"/>
      <c r="AG1683" s="54"/>
      <c r="AH1683" s="3"/>
      <c r="AI1683" s="2"/>
      <c r="AJ1683" s="2"/>
      <c r="AK1683" s="2"/>
      <c r="AL1683" s="3"/>
      <c r="AM1683" s="3"/>
      <c r="AN1683" s="3"/>
      <c r="AO1683" s="3"/>
      <c r="AP1683" s="3"/>
      <c r="AQ1683" s="59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53"/>
      <c r="BC1683" s="3"/>
      <c r="BD1683" s="59"/>
      <c r="BE1683" s="3"/>
      <c r="BF1683" s="53"/>
      <c r="BG1683" s="65"/>
    </row>
    <row r="1684" spans="1:59" customFormat="1" ht="15" x14ac:dyDescent="0.35">
      <c r="A1684" s="50"/>
      <c r="B1684" s="63"/>
      <c r="C1684" s="39"/>
      <c r="D1684" s="6"/>
      <c r="E1684" s="149"/>
      <c r="F1684" s="153"/>
      <c r="G1684" s="10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5"/>
      <c r="V1684" s="5"/>
      <c r="W1684" s="13"/>
      <c r="X1684" s="4"/>
      <c r="Y1684" s="4"/>
      <c r="Z1684" s="4"/>
      <c r="AA1684" s="6"/>
      <c r="AB1684" s="5"/>
      <c r="AC1684" s="9"/>
      <c r="AD1684" s="9"/>
      <c r="AE1684" s="9"/>
      <c r="AF1684" s="9"/>
      <c r="AG1684" s="54"/>
      <c r="AH1684" s="3"/>
      <c r="AI1684" s="2"/>
      <c r="AJ1684" s="2"/>
      <c r="AK1684" s="2"/>
      <c r="AL1684" s="3"/>
      <c r="AM1684" s="3"/>
      <c r="AN1684" s="3"/>
      <c r="AO1684" s="3"/>
      <c r="AP1684" s="3"/>
      <c r="AQ1684" s="59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53"/>
      <c r="BC1684" s="3"/>
      <c r="BD1684" s="59"/>
      <c r="BE1684" s="3"/>
      <c r="BF1684" s="53"/>
      <c r="BG1684" s="59"/>
    </row>
    <row r="1685" spans="1:59" customFormat="1" ht="15" x14ac:dyDescent="0.35">
      <c r="A1685" s="19"/>
      <c r="B1685" s="49"/>
      <c r="C1685" s="39"/>
      <c r="D1685" s="1"/>
      <c r="E1685" s="149"/>
      <c r="F1685" s="153"/>
      <c r="G1685" s="10"/>
      <c r="H1685" s="17"/>
      <c r="I1685" s="17"/>
      <c r="J1685" s="17"/>
      <c r="K1685" s="30"/>
      <c r="L1685" s="30"/>
      <c r="M1685" s="30"/>
      <c r="N1685" s="30"/>
      <c r="O1685" s="30"/>
      <c r="P1685" s="30"/>
      <c r="Q1685" s="30"/>
      <c r="R1685" s="30"/>
      <c r="S1685" s="30"/>
      <c r="T1685" s="30"/>
      <c r="U1685" s="30"/>
      <c r="V1685" s="30"/>
      <c r="W1685" s="29"/>
      <c r="X1685" s="15"/>
      <c r="Y1685" s="30"/>
      <c r="Z1685" s="30"/>
      <c r="AA1685" s="30"/>
      <c r="AB1685" s="30"/>
      <c r="AC1685" s="17"/>
      <c r="AD1685" s="17"/>
      <c r="AE1685" s="17"/>
      <c r="AF1685" s="17"/>
      <c r="AG1685" s="20"/>
      <c r="AH1685" s="21"/>
      <c r="AI1685" s="21"/>
      <c r="AJ1685" s="21"/>
      <c r="AK1685" s="21"/>
      <c r="AL1685" s="21"/>
      <c r="AM1685" s="21"/>
      <c r="AN1685" s="21"/>
      <c r="AO1685" s="22"/>
      <c r="AP1685" s="21"/>
      <c r="AQ1685" s="24"/>
      <c r="AR1685" s="21"/>
      <c r="AS1685" s="21"/>
      <c r="AT1685" s="21"/>
      <c r="AU1685" s="21"/>
      <c r="AV1685" s="21"/>
      <c r="AW1685" s="21"/>
      <c r="AX1685" s="22"/>
      <c r="AY1685" s="21"/>
      <c r="AZ1685" s="22"/>
      <c r="BA1685" s="21"/>
      <c r="BB1685" s="20"/>
      <c r="BC1685" s="21"/>
      <c r="BD1685" s="25"/>
      <c r="BE1685" s="26"/>
      <c r="BF1685" s="27"/>
      <c r="BG1685" s="28"/>
    </row>
    <row r="1686" spans="1:59" customFormat="1" ht="15" x14ac:dyDescent="0.35">
      <c r="A1686" s="50"/>
      <c r="B1686" s="63"/>
      <c r="C1686" s="39"/>
      <c r="D1686" s="6"/>
      <c r="E1686" s="149"/>
      <c r="F1686" s="153"/>
      <c r="G1686" s="10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5"/>
      <c r="V1686" s="5"/>
      <c r="W1686" s="13"/>
      <c r="X1686" s="4"/>
      <c r="Y1686" s="4"/>
      <c r="Z1686" s="4"/>
      <c r="AA1686" s="6"/>
      <c r="AB1686" s="5"/>
      <c r="AC1686" s="9"/>
      <c r="AD1686" s="9"/>
      <c r="AE1686" s="9"/>
      <c r="AF1686" s="9"/>
      <c r="AG1686" s="54"/>
      <c r="AH1686" s="3"/>
      <c r="AI1686" s="2"/>
      <c r="AJ1686" s="2"/>
      <c r="AK1686" s="2"/>
      <c r="AL1686" s="3"/>
      <c r="AM1686" s="3"/>
      <c r="AN1686" s="3"/>
      <c r="AO1686" s="3"/>
      <c r="AP1686" s="3"/>
      <c r="AQ1686" s="59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53"/>
      <c r="BC1686" s="3"/>
      <c r="BD1686" s="59"/>
      <c r="BE1686" s="3"/>
      <c r="BF1686" s="53"/>
      <c r="BG1686" s="59"/>
    </row>
    <row r="1687" spans="1:59" customFormat="1" ht="15" x14ac:dyDescent="0.35">
      <c r="A1687" s="50"/>
      <c r="B1687" s="63"/>
      <c r="C1687" s="39"/>
      <c r="D1687" s="6"/>
      <c r="E1687" s="149"/>
      <c r="F1687" s="153"/>
      <c r="G1687" s="10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5"/>
      <c r="V1687" s="5"/>
      <c r="W1687" s="13"/>
      <c r="X1687" s="4"/>
      <c r="Y1687" s="4"/>
      <c r="Z1687" s="4"/>
      <c r="AA1687" s="6"/>
      <c r="AB1687" s="5"/>
      <c r="AC1687" s="9"/>
      <c r="AD1687" s="9"/>
      <c r="AE1687" s="9"/>
      <c r="AF1687" s="9"/>
      <c r="AG1687" s="54"/>
      <c r="AH1687" s="3"/>
      <c r="AI1687" s="2"/>
      <c r="AJ1687" s="2"/>
      <c r="AK1687" s="2"/>
      <c r="AL1687" s="3"/>
      <c r="AM1687" s="3"/>
      <c r="AN1687" s="3"/>
      <c r="AO1687" s="3"/>
      <c r="AP1687" s="3"/>
      <c r="AQ1687" s="59"/>
      <c r="AR1687" s="21"/>
      <c r="AS1687" s="21"/>
      <c r="AT1687" s="3"/>
      <c r="AU1687" s="3"/>
      <c r="AV1687" s="3"/>
      <c r="AW1687" s="3"/>
      <c r="AX1687" s="3"/>
      <c r="AY1687" s="3"/>
      <c r="AZ1687" s="3"/>
      <c r="BA1687" s="3"/>
      <c r="BB1687" s="53"/>
      <c r="BC1687" s="3"/>
      <c r="BD1687" s="59"/>
      <c r="BE1687" s="3"/>
      <c r="BF1687" s="53"/>
      <c r="BG1687" s="59"/>
    </row>
    <row r="1688" spans="1:59" customFormat="1" ht="15" x14ac:dyDescent="0.35">
      <c r="A1688" s="50"/>
      <c r="B1688" s="63"/>
      <c r="C1688" s="39"/>
      <c r="D1688" s="6"/>
      <c r="E1688" s="149"/>
      <c r="F1688" s="153"/>
      <c r="G1688" s="10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5"/>
      <c r="V1688" s="5"/>
      <c r="W1688" s="13"/>
      <c r="X1688" s="4"/>
      <c r="Y1688" s="4"/>
      <c r="Z1688" s="4"/>
      <c r="AA1688" s="6"/>
      <c r="AB1688" s="5"/>
      <c r="AC1688" s="9"/>
      <c r="AD1688" s="9"/>
      <c r="AE1688" s="9"/>
      <c r="AF1688" s="9"/>
      <c r="AG1688" s="54"/>
      <c r="AH1688" s="3"/>
      <c r="AI1688" s="2"/>
      <c r="AJ1688" s="2"/>
      <c r="AK1688" s="2"/>
      <c r="AL1688" s="3"/>
      <c r="AM1688" s="3"/>
      <c r="AN1688" s="3"/>
      <c r="AO1688" s="3"/>
      <c r="AP1688" s="3"/>
      <c r="AQ1688" s="59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53"/>
      <c r="BC1688" s="3"/>
      <c r="BD1688" s="59"/>
      <c r="BE1688" s="3"/>
      <c r="BF1688" s="53"/>
      <c r="BG1688" s="59"/>
    </row>
    <row r="1689" spans="1:59" customFormat="1" ht="15" x14ac:dyDescent="0.35">
      <c r="A1689" s="19"/>
      <c r="B1689" s="49"/>
      <c r="C1689" s="14"/>
      <c r="D1689" s="1"/>
      <c r="E1689" s="149"/>
      <c r="F1689" s="153"/>
      <c r="G1689" s="10"/>
      <c r="H1689" s="17"/>
      <c r="I1689" s="17"/>
      <c r="J1689" s="17"/>
      <c r="K1689" s="30"/>
      <c r="L1689" s="30"/>
      <c r="M1689" s="30"/>
      <c r="N1689" s="30"/>
      <c r="O1689" s="30"/>
      <c r="P1689" s="30"/>
      <c r="Q1689" s="30"/>
      <c r="R1689" s="30"/>
      <c r="S1689" s="30"/>
      <c r="T1689" s="30"/>
      <c r="U1689" s="30"/>
      <c r="V1689" s="30"/>
      <c r="W1689" s="29"/>
      <c r="X1689" s="15"/>
      <c r="Y1689" s="30"/>
      <c r="Z1689" s="30"/>
      <c r="AA1689" s="30"/>
      <c r="AB1689" s="30"/>
      <c r="AC1689" s="17"/>
      <c r="AD1689" s="17"/>
      <c r="AE1689" s="17"/>
      <c r="AF1689" s="17"/>
      <c r="AG1689" s="20"/>
      <c r="AH1689" s="21"/>
      <c r="AI1689" s="21"/>
      <c r="AJ1689" s="21"/>
      <c r="AK1689" s="21"/>
      <c r="AL1689" s="21"/>
      <c r="AM1689" s="21"/>
      <c r="AN1689" s="21"/>
      <c r="AO1689" s="22"/>
      <c r="AP1689" s="21"/>
      <c r="AQ1689" s="24"/>
      <c r="AR1689" s="21"/>
      <c r="AS1689" s="21"/>
      <c r="AT1689" s="21"/>
      <c r="AU1689" s="21"/>
      <c r="AV1689" s="21"/>
      <c r="AW1689" s="21"/>
      <c r="AX1689" s="22"/>
      <c r="AY1689" s="21"/>
      <c r="AZ1689" s="22"/>
      <c r="BA1689" s="21"/>
      <c r="BB1689" s="20"/>
      <c r="BC1689" s="21"/>
      <c r="BD1689" s="25"/>
      <c r="BE1689" s="26"/>
      <c r="BF1689" s="27"/>
      <c r="BG1689" s="28"/>
    </row>
    <row r="1690" spans="1:59" customFormat="1" ht="15" x14ac:dyDescent="0.35">
      <c r="A1690" s="50"/>
      <c r="B1690" s="63"/>
      <c r="C1690" s="39"/>
      <c r="D1690" s="6"/>
      <c r="E1690" s="149"/>
      <c r="F1690" s="153"/>
      <c r="G1690" s="10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12"/>
      <c r="X1690" s="33"/>
      <c r="Y1690" s="6"/>
      <c r="Z1690" s="6"/>
      <c r="AA1690" s="6"/>
      <c r="AB1690" s="6"/>
      <c r="AC1690" s="9"/>
      <c r="AD1690" s="9"/>
      <c r="AE1690" s="9"/>
      <c r="AF1690" s="9"/>
      <c r="AG1690" s="5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59"/>
      <c r="AR1690" s="21"/>
      <c r="AS1690" s="21"/>
      <c r="AT1690" s="3"/>
      <c r="AU1690" s="3"/>
      <c r="AV1690" s="3"/>
      <c r="AW1690" s="3"/>
      <c r="AX1690" s="3"/>
      <c r="AY1690" s="3"/>
      <c r="AZ1690" s="3"/>
      <c r="BA1690" s="3"/>
      <c r="BB1690" s="53"/>
      <c r="BC1690" s="3"/>
      <c r="BD1690" s="59"/>
      <c r="BE1690" s="3"/>
      <c r="BF1690" s="53"/>
      <c r="BG1690" s="59"/>
    </row>
    <row r="1691" spans="1:59" customFormat="1" ht="15" x14ac:dyDescent="0.35">
      <c r="A1691" s="50"/>
      <c r="B1691" s="63"/>
      <c r="C1691" s="39"/>
      <c r="D1691" s="6"/>
      <c r="E1691" s="149"/>
      <c r="F1691" s="153"/>
      <c r="G1691" s="10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12"/>
      <c r="X1691" s="33"/>
      <c r="Y1691" s="6"/>
      <c r="Z1691" s="6"/>
      <c r="AA1691" s="6"/>
      <c r="AB1691" s="6"/>
      <c r="AC1691" s="9"/>
      <c r="AD1691" s="9"/>
      <c r="AE1691" s="9"/>
      <c r="AF1691" s="9"/>
      <c r="AG1691" s="5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59"/>
      <c r="AR1691" s="21"/>
      <c r="AS1691" s="21"/>
      <c r="AT1691" s="3"/>
      <c r="AU1691" s="3"/>
      <c r="AV1691" s="3"/>
      <c r="AW1691" s="3"/>
      <c r="AX1691" s="3"/>
      <c r="AY1691" s="3"/>
      <c r="AZ1691" s="3"/>
      <c r="BA1691" s="3"/>
      <c r="BB1691" s="53"/>
      <c r="BC1691" s="3"/>
      <c r="BD1691" s="59"/>
      <c r="BE1691" s="3"/>
      <c r="BF1691" s="53"/>
      <c r="BG1691" s="59"/>
    </row>
    <row r="1692" spans="1:59" customFormat="1" ht="15" x14ac:dyDescent="0.35">
      <c r="A1692" s="50"/>
      <c r="B1692" s="63"/>
      <c r="C1692" s="39"/>
      <c r="D1692" s="6"/>
      <c r="E1692" s="149"/>
      <c r="F1692" s="153"/>
      <c r="G1692" s="10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5"/>
      <c r="V1692" s="5"/>
      <c r="W1692" s="13"/>
      <c r="X1692" s="4"/>
      <c r="Y1692" s="4"/>
      <c r="Z1692" s="4"/>
      <c r="AA1692" s="6"/>
      <c r="AB1692" s="5"/>
      <c r="AC1692" s="9"/>
      <c r="AD1692" s="9"/>
      <c r="AE1692" s="9"/>
      <c r="AF1692" s="9"/>
      <c r="AG1692" s="54"/>
      <c r="AH1692" s="3"/>
      <c r="AI1692" s="2"/>
      <c r="AJ1692" s="2"/>
      <c r="AK1692" s="2"/>
      <c r="AL1692" s="3"/>
      <c r="AM1692" s="3"/>
      <c r="AN1692" s="3"/>
      <c r="AO1692" s="3"/>
      <c r="AP1692" s="3"/>
      <c r="AQ1692" s="59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53"/>
      <c r="BC1692" s="3"/>
      <c r="BD1692" s="59"/>
      <c r="BE1692" s="3"/>
      <c r="BF1692" s="53"/>
      <c r="BG1692" s="59"/>
    </row>
    <row r="1693" spans="1:59" customFormat="1" ht="15" x14ac:dyDescent="0.35">
      <c r="A1693" s="50"/>
      <c r="B1693" s="63"/>
      <c r="C1693" s="39"/>
      <c r="D1693" s="6"/>
      <c r="E1693" s="149"/>
      <c r="F1693" s="153"/>
      <c r="G1693" s="10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5"/>
      <c r="V1693" s="5"/>
      <c r="W1693" s="13"/>
      <c r="X1693" s="4"/>
      <c r="Y1693" s="4"/>
      <c r="Z1693" s="4"/>
      <c r="AA1693" s="6"/>
      <c r="AB1693" s="5"/>
      <c r="AC1693" s="9"/>
      <c r="AD1693" s="9"/>
      <c r="AE1693" s="9"/>
      <c r="AF1693" s="9"/>
      <c r="AG1693" s="54"/>
      <c r="AH1693" s="3"/>
      <c r="AI1693" s="2"/>
      <c r="AJ1693" s="2"/>
      <c r="AK1693" s="2"/>
      <c r="AL1693" s="3"/>
      <c r="AM1693" s="3"/>
      <c r="AN1693" s="3"/>
      <c r="AO1693" s="3"/>
      <c r="AP1693" s="3"/>
      <c r="AQ1693" s="59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53"/>
      <c r="BC1693" s="3"/>
      <c r="BD1693" s="59"/>
      <c r="BE1693" s="3"/>
      <c r="BF1693" s="53"/>
      <c r="BG1693" s="59"/>
    </row>
    <row r="1694" spans="1:59" customFormat="1" ht="15" x14ac:dyDescent="0.35">
      <c r="A1694" s="50"/>
      <c r="B1694" s="63"/>
      <c r="C1694" s="39"/>
      <c r="D1694" s="6"/>
      <c r="E1694" s="149"/>
      <c r="F1694" s="153"/>
      <c r="G1694" s="10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12"/>
      <c r="X1694" s="33"/>
      <c r="Y1694" s="6"/>
      <c r="Z1694" s="6"/>
      <c r="AA1694" s="6"/>
      <c r="AB1694" s="6"/>
      <c r="AC1694" s="9"/>
      <c r="AD1694" s="9"/>
      <c r="AE1694" s="9"/>
      <c r="AF1694" s="9"/>
      <c r="AG1694" s="5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59"/>
      <c r="AR1694" s="21"/>
      <c r="AS1694" s="21"/>
      <c r="AT1694" s="3"/>
      <c r="AU1694" s="3"/>
      <c r="AV1694" s="3"/>
      <c r="AW1694" s="3"/>
      <c r="AX1694" s="3"/>
      <c r="AY1694" s="3"/>
      <c r="AZ1694" s="3"/>
      <c r="BA1694" s="3"/>
      <c r="BB1694" s="53"/>
      <c r="BC1694" s="3"/>
      <c r="BD1694" s="59"/>
      <c r="BE1694" s="3"/>
      <c r="BF1694" s="53"/>
      <c r="BG1694" s="59"/>
    </row>
    <row r="1695" spans="1:59" customFormat="1" ht="15" x14ac:dyDescent="0.35">
      <c r="A1695" s="19"/>
      <c r="B1695" s="49"/>
      <c r="C1695" s="39"/>
      <c r="D1695" s="1"/>
      <c r="E1695" s="149"/>
      <c r="F1695" s="153"/>
      <c r="G1695" s="10"/>
      <c r="H1695" s="17"/>
      <c r="I1695" s="17"/>
      <c r="J1695" s="17"/>
      <c r="K1695" s="30"/>
      <c r="L1695" s="30"/>
      <c r="M1695" s="30"/>
      <c r="N1695" s="30"/>
      <c r="O1695" s="30"/>
      <c r="P1695" s="30"/>
      <c r="Q1695" s="30"/>
      <c r="R1695" s="30"/>
      <c r="S1695" s="30"/>
      <c r="T1695" s="30"/>
      <c r="U1695" s="30"/>
      <c r="V1695" s="30"/>
      <c r="W1695" s="29"/>
      <c r="X1695" s="15"/>
      <c r="Y1695" s="30"/>
      <c r="Z1695" s="30"/>
      <c r="AA1695" s="30"/>
      <c r="AB1695" s="30"/>
      <c r="AC1695" s="17"/>
      <c r="AD1695" s="17"/>
      <c r="AE1695" s="17"/>
      <c r="AF1695" s="17"/>
      <c r="AG1695" s="20"/>
      <c r="AH1695" s="21"/>
      <c r="AI1695" s="21"/>
      <c r="AJ1695" s="21"/>
      <c r="AK1695" s="21"/>
      <c r="AL1695" s="21"/>
      <c r="AM1695" s="21"/>
      <c r="AN1695" s="21"/>
      <c r="AO1695" s="22"/>
      <c r="AP1695" s="21"/>
      <c r="AQ1695" s="24"/>
      <c r="AR1695" s="21"/>
      <c r="AS1695" s="21"/>
      <c r="AT1695" s="21"/>
      <c r="AU1695" s="21"/>
      <c r="AV1695" s="21"/>
      <c r="AW1695" s="21"/>
      <c r="AX1695" s="22"/>
      <c r="AY1695" s="21"/>
      <c r="AZ1695" s="22"/>
      <c r="BA1695" s="21"/>
      <c r="BB1695" s="20"/>
      <c r="BC1695" s="21"/>
      <c r="BD1695" s="25"/>
      <c r="BE1695" s="26"/>
      <c r="BF1695" s="27"/>
      <c r="BG1695" s="28"/>
    </row>
    <row r="1696" spans="1:59" customFormat="1" ht="15" x14ac:dyDescent="0.35">
      <c r="A1696" s="50"/>
      <c r="B1696" s="63"/>
      <c r="C1696" s="39"/>
      <c r="D1696" s="6"/>
      <c r="E1696" s="149"/>
      <c r="F1696" s="153"/>
      <c r="G1696" s="10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12"/>
      <c r="X1696" s="33"/>
      <c r="Y1696" s="6"/>
      <c r="Z1696" s="6"/>
      <c r="AA1696" s="6"/>
      <c r="AB1696" s="6"/>
      <c r="AC1696" s="9"/>
      <c r="AD1696" s="9"/>
      <c r="AE1696" s="9"/>
      <c r="AF1696" s="9"/>
      <c r="AG1696" s="5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59"/>
      <c r="AR1696" s="21"/>
      <c r="AS1696" s="21"/>
      <c r="AT1696" s="3"/>
      <c r="AU1696" s="3"/>
      <c r="AV1696" s="3"/>
      <c r="AW1696" s="3"/>
      <c r="AX1696" s="3"/>
      <c r="AY1696" s="3"/>
      <c r="AZ1696" s="3"/>
      <c r="BA1696" s="3"/>
      <c r="BB1696" s="53"/>
      <c r="BC1696" s="3"/>
      <c r="BD1696" s="59"/>
      <c r="BE1696" s="3"/>
      <c r="BF1696" s="53"/>
      <c r="BG1696" s="59"/>
    </row>
    <row r="1697" spans="1:59" customFormat="1" ht="15" x14ac:dyDescent="0.35">
      <c r="A1697" s="50"/>
      <c r="B1697" s="63"/>
      <c r="C1697" s="39"/>
      <c r="D1697" s="6"/>
      <c r="E1697" s="149"/>
      <c r="F1697" s="153"/>
      <c r="G1697" s="10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12"/>
      <c r="X1697" s="33"/>
      <c r="Y1697" s="6"/>
      <c r="Z1697" s="6"/>
      <c r="AA1697" s="6"/>
      <c r="AB1697" s="6"/>
      <c r="AC1697" s="9"/>
      <c r="AD1697" s="9"/>
      <c r="AE1697" s="9"/>
      <c r="AF1697" s="9"/>
      <c r="AG1697" s="5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59"/>
      <c r="AR1697" s="21"/>
      <c r="AS1697" s="21"/>
      <c r="AT1697" s="3"/>
      <c r="AU1697" s="3"/>
      <c r="AV1697" s="3"/>
      <c r="AW1697" s="3"/>
      <c r="AX1697" s="3"/>
      <c r="AY1697" s="3"/>
      <c r="AZ1697" s="3"/>
      <c r="BA1697" s="3"/>
      <c r="BB1697" s="53"/>
      <c r="BC1697" s="3"/>
      <c r="BD1697" s="59"/>
      <c r="BE1697" s="3"/>
      <c r="BF1697" s="53"/>
      <c r="BG1697" s="59"/>
    </row>
    <row r="1698" spans="1:59" customFormat="1" ht="15" x14ac:dyDescent="0.35">
      <c r="A1698" s="50"/>
      <c r="B1698" s="63"/>
      <c r="C1698" s="39"/>
      <c r="D1698" s="6"/>
      <c r="E1698" s="149"/>
      <c r="F1698" s="153"/>
      <c r="G1698" s="10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5"/>
      <c r="V1698" s="5"/>
      <c r="W1698" s="13"/>
      <c r="X1698" s="4"/>
      <c r="Y1698" s="4"/>
      <c r="Z1698" s="4"/>
      <c r="AA1698" s="6"/>
      <c r="AB1698" s="5"/>
      <c r="AC1698" s="9"/>
      <c r="AD1698" s="9"/>
      <c r="AE1698" s="9"/>
      <c r="AF1698" s="9"/>
      <c r="AG1698" s="54"/>
      <c r="AH1698" s="3"/>
      <c r="AI1698" s="2"/>
      <c r="AJ1698" s="2"/>
      <c r="AK1698" s="2"/>
      <c r="AL1698" s="3"/>
      <c r="AM1698" s="3"/>
      <c r="AN1698" s="3"/>
      <c r="AO1698" s="3"/>
      <c r="AP1698" s="3"/>
      <c r="AQ1698" s="59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53"/>
      <c r="BC1698" s="3"/>
      <c r="BD1698" s="59"/>
      <c r="BE1698" s="3"/>
      <c r="BF1698" s="53"/>
      <c r="BG1698" s="59"/>
    </row>
    <row r="1699" spans="1:59" customFormat="1" ht="15" x14ac:dyDescent="0.35">
      <c r="A1699" s="50"/>
      <c r="B1699" s="63"/>
      <c r="C1699" s="39"/>
      <c r="D1699" s="6"/>
      <c r="E1699" s="149"/>
      <c r="F1699" s="153"/>
      <c r="G1699" s="10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12"/>
      <c r="X1699" s="33"/>
      <c r="Y1699" s="6"/>
      <c r="Z1699" s="6"/>
      <c r="AA1699" s="6"/>
      <c r="AB1699" s="6"/>
      <c r="AC1699" s="9"/>
      <c r="AD1699" s="9"/>
      <c r="AE1699" s="9"/>
      <c r="AF1699" s="9"/>
      <c r="AG1699" s="5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59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53"/>
      <c r="BC1699" s="3"/>
      <c r="BD1699" s="59"/>
      <c r="BE1699" s="3"/>
      <c r="BF1699" s="53"/>
      <c r="BG1699" s="59"/>
    </row>
    <row r="1700" spans="1:59" customFormat="1" ht="15" x14ac:dyDescent="0.35">
      <c r="A1700" s="50"/>
      <c r="B1700" s="63"/>
      <c r="C1700" s="39"/>
      <c r="D1700" s="6"/>
      <c r="E1700" s="149"/>
      <c r="F1700" s="153"/>
      <c r="G1700" s="10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12"/>
      <c r="X1700" s="33"/>
      <c r="Y1700" s="6"/>
      <c r="Z1700" s="6"/>
      <c r="AA1700" s="6"/>
      <c r="AB1700" s="6"/>
      <c r="AC1700" s="9"/>
      <c r="AD1700" s="9"/>
      <c r="AE1700" s="9"/>
      <c r="AF1700" s="9"/>
      <c r="AG1700" s="5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59"/>
      <c r="AR1700" s="21"/>
      <c r="AS1700" s="21"/>
      <c r="AT1700" s="3"/>
      <c r="AU1700" s="3"/>
      <c r="AV1700" s="3"/>
      <c r="AW1700" s="3"/>
      <c r="AX1700" s="3"/>
      <c r="AY1700" s="3"/>
      <c r="AZ1700" s="3"/>
      <c r="BA1700" s="3"/>
      <c r="BB1700" s="53"/>
      <c r="BC1700" s="3"/>
      <c r="BD1700" s="59"/>
      <c r="BE1700" s="3"/>
      <c r="BF1700" s="53"/>
      <c r="BG1700" s="59"/>
    </row>
    <row r="1701" spans="1:59" customFormat="1" ht="15" x14ac:dyDescent="0.35">
      <c r="A1701" s="50"/>
      <c r="B1701" s="63"/>
      <c r="C1701" s="39"/>
      <c r="D1701" s="6"/>
      <c r="E1701" s="149"/>
      <c r="F1701" s="153"/>
      <c r="G1701" s="10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12"/>
      <c r="X1701" s="33"/>
      <c r="Y1701" s="6"/>
      <c r="Z1701" s="6"/>
      <c r="AA1701" s="6"/>
      <c r="AB1701" s="6"/>
      <c r="AC1701" s="9"/>
      <c r="AD1701" s="9"/>
      <c r="AE1701" s="9"/>
      <c r="AF1701" s="9"/>
      <c r="AG1701" s="5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59"/>
      <c r="AR1701" s="21"/>
      <c r="AS1701" s="21"/>
      <c r="AT1701" s="3"/>
      <c r="AU1701" s="3"/>
      <c r="AV1701" s="3"/>
      <c r="AW1701" s="3"/>
      <c r="AX1701" s="3"/>
      <c r="AY1701" s="3"/>
      <c r="AZ1701" s="3"/>
      <c r="BA1701" s="3"/>
      <c r="BB1701" s="53"/>
      <c r="BC1701" s="3"/>
      <c r="BD1701" s="59"/>
      <c r="BE1701" s="3"/>
      <c r="BF1701" s="53"/>
      <c r="BG1701" s="59"/>
    </row>
    <row r="1702" spans="1:59" customFormat="1" ht="15" x14ac:dyDescent="0.35">
      <c r="A1702" s="50"/>
      <c r="B1702" s="63"/>
      <c r="C1702" s="39"/>
      <c r="D1702" s="6"/>
      <c r="E1702" s="149"/>
      <c r="F1702" s="153"/>
      <c r="G1702" s="10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5"/>
      <c r="V1702" s="5"/>
      <c r="W1702" s="13"/>
      <c r="X1702" s="4"/>
      <c r="Y1702" s="4"/>
      <c r="Z1702" s="4"/>
      <c r="AA1702" s="6"/>
      <c r="AB1702" s="5"/>
      <c r="AC1702" s="9"/>
      <c r="AD1702" s="9"/>
      <c r="AE1702" s="9"/>
      <c r="AF1702" s="9"/>
      <c r="AG1702" s="54"/>
      <c r="AH1702" s="3"/>
      <c r="AI1702" s="2"/>
      <c r="AJ1702" s="2"/>
      <c r="AK1702" s="2"/>
      <c r="AL1702" s="3"/>
      <c r="AM1702" s="3"/>
      <c r="AN1702" s="3"/>
      <c r="AO1702" s="3"/>
      <c r="AP1702" s="3"/>
      <c r="AQ1702" s="59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53"/>
      <c r="BC1702" s="3"/>
      <c r="BD1702" s="59"/>
      <c r="BE1702" s="3"/>
      <c r="BF1702" s="53"/>
      <c r="BG1702" s="59"/>
    </row>
    <row r="1703" spans="1:59" customFormat="1" ht="15" x14ac:dyDescent="0.35">
      <c r="A1703" s="50"/>
      <c r="B1703" s="63"/>
      <c r="C1703" s="39"/>
      <c r="D1703" s="6"/>
      <c r="E1703" s="149"/>
      <c r="F1703" s="153"/>
      <c r="G1703" s="10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12"/>
      <c r="X1703" s="33"/>
      <c r="Y1703" s="6"/>
      <c r="Z1703" s="6"/>
      <c r="AA1703" s="6"/>
      <c r="AB1703" s="6"/>
      <c r="AC1703" s="9"/>
      <c r="AD1703" s="9"/>
      <c r="AE1703" s="9"/>
      <c r="AF1703" s="9"/>
      <c r="AG1703" s="5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59"/>
      <c r="AR1703" s="21"/>
      <c r="AS1703" s="21"/>
      <c r="AT1703" s="3"/>
      <c r="AU1703" s="3"/>
      <c r="AV1703" s="3"/>
      <c r="AW1703" s="3"/>
      <c r="AX1703" s="3"/>
      <c r="AY1703" s="3"/>
      <c r="AZ1703" s="3"/>
      <c r="BA1703" s="3"/>
      <c r="BB1703" s="53"/>
      <c r="BC1703" s="3"/>
      <c r="BD1703" s="59"/>
      <c r="BE1703" s="3"/>
      <c r="BF1703" s="53"/>
      <c r="BG1703" s="59"/>
    </row>
    <row r="1704" spans="1:59" customFormat="1" ht="15" x14ac:dyDescent="0.35">
      <c r="A1704" s="50"/>
      <c r="B1704" s="63"/>
      <c r="C1704" s="39"/>
      <c r="D1704" s="6"/>
      <c r="E1704" s="149"/>
      <c r="F1704" s="153"/>
      <c r="G1704" s="10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12"/>
      <c r="X1704" s="33"/>
      <c r="Y1704" s="6"/>
      <c r="Z1704" s="6"/>
      <c r="AA1704" s="6"/>
      <c r="AB1704" s="6"/>
      <c r="AC1704" s="9"/>
      <c r="AD1704" s="9"/>
      <c r="AE1704" s="9"/>
      <c r="AF1704" s="9"/>
      <c r="AG1704" s="5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59"/>
      <c r="AR1704" s="21"/>
      <c r="AS1704" s="21"/>
      <c r="AT1704" s="3"/>
      <c r="AU1704" s="3"/>
      <c r="AV1704" s="3"/>
      <c r="AW1704" s="3"/>
      <c r="AX1704" s="3"/>
      <c r="AY1704" s="3"/>
      <c r="AZ1704" s="3"/>
      <c r="BA1704" s="3"/>
      <c r="BB1704" s="53"/>
      <c r="BC1704" s="3"/>
      <c r="BD1704" s="59"/>
      <c r="BE1704" s="3"/>
      <c r="BF1704" s="53"/>
      <c r="BG1704" s="59"/>
    </row>
    <row r="1705" spans="1:59" customFormat="1" ht="15" x14ac:dyDescent="0.35">
      <c r="A1705" s="50"/>
      <c r="B1705" s="63"/>
      <c r="C1705" s="39"/>
      <c r="D1705" s="6"/>
      <c r="E1705" s="149"/>
      <c r="F1705" s="153"/>
      <c r="G1705" s="10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5"/>
      <c r="V1705" s="5"/>
      <c r="W1705" s="13"/>
      <c r="X1705" s="4"/>
      <c r="Y1705" s="4"/>
      <c r="Z1705" s="4"/>
      <c r="AA1705" s="6"/>
      <c r="AB1705" s="5"/>
      <c r="AC1705" s="9"/>
      <c r="AD1705" s="9"/>
      <c r="AE1705" s="9"/>
      <c r="AF1705" s="9"/>
      <c r="AG1705" s="54"/>
      <c r="AH1705" s="3"/>
      <c r="AI1705" s="2"/>
      <c r="AJ1705" s="2"/>
      <c r="AK1705" s="2"/>
      <c r="AL1705" s="3"/>
      <c r="AM1705" s="3"/>
      <c r="AN1705" s="3"/>
      <c r="AO1705" s="3"/>
      <c r="AP1705" s="3"/>
      <c r="AQ1705" s="59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53"/>
      <c r="BC1705" s="3"/>
      <c r="BD1705" s="59"/>
      <c r="BE1705" s="3"/>
      <c r="BF1705" s="53"/>
      <c r="BG1705" s="59"/>
    </row>
    <row r="1706" spans="1:59" customFormat="1" ht="15" x14ac:dyDescent="0.35">
      <c r="A1706" s="19"/>
      <c r="B1706" s="49"/>
      <c r="C1706" s="39"/>
      <c r="D1706" s="1"/>
      <c r="E1706" s="149"/>
      <c r="F1706" s="153"/>
      <c r="G1706" s="10"/>
      <c r="H1706" s="17"/>
      <c r="I1706" s="17"/>
      <c r="J1706" s="17"/>
      <c r="K1706" s="30"/>
      <c r="L1706" s="30"/>
      <c r="M1706" s="30"/>
      <c r="N1706" s="30"/>
      <c r="O1706" s="30"/>
      <c r="P1706" s="30"/>
      <c r="Q1706" s="30"/>
      <c r="R1706" s="30"/>
      <c r="S1706" s="30"/>
      <c r="T1706" s="30"/>
      <c r="U1706" s="30"/>
      <c r="V1706" s="30"/>
      <c r="W1706" s="29"/>
      <c r="X1706" s="15"/>
      <c r="Y1706" s="30"/>
      <c r="Z1706" s="30"/>
      <c r="AA1706" s="30"/>
      <c r="AB1706" s="30"/>
      <c r="AC1706" s="17"/>
      <c r="AD1706" s="17"/>
      <c r="AE1706" s="17"/>
      <c r="AF1706" s="17"/>
      <c r="AG1706" s="20"/>
      <c r="AH1706" s="21"/>
      <c r="AI1706" s="21"/>
      <c r="AJ1706" s="21"/>
      <c r="AK1706" s="21"/>
      <c r="AL1706" s="21"/>
      <c r="AM1706" s="21"/>
      <c r="AN1706" s="21"/>
      <c r="AO1706" s="22"/>
      <c r="AP1706" s="21"/>
      <c r="AQ1706" s="24"/>
      <c r="AR1706" s="21"/>
      <c r="AS1706" s="21"/>
      <c r="AT1706" s="21"/>
      <c r="AU1706" s="21"/>
      <c r="AV1706" s="21"/>
      <c r="AW1706" s="21"/>
      <c r="AX1706" s="22"/>
      <c r="AY1706" s="21"/>
      <c r="AZ1706" s="22"/>
      <c r="BA1706" s="21"/>
      <c r="BB1706" s="20"/>
      <c r="BC1706" s="21"/>
      <c r="BD1706" s="25"/>
      <c r="BE1706" s="26"/>
      <c r="BF1706" s="27"/>
      <c r="BG1706" s="28"/>
    </row>
    <row r="1707" spans="1:59" customFormat="1" ht="15" x14ac:dyDescent="0.35">
      <c r="A1707" s="50"/>
      <c r="B1707" s="63"/>
      <c r="C1707" s="39"/>
      <c r="D1707" s="6"/>
      <c r="E1707" s="149"/>
      <c r="F1707" s="153"/>
      <c r="G1707" s="10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5"/>
      <c r="V1707" s="5"/>
      <c r="W1707" s="13"/>
      <c r="X1707" s="4"/>
      <c r="Y1707" s="4"/>
      <c r="Z1707" s="4"/>
      <c r="AA1707" s="6"/>
      <c r="AB1707" s="5"/>
      <c r="AC1707" s="9"/>
      <c r="AD1707" s="9"/>
      <c r="AE1707" s="9"/>
      <c r="AF1707" s="9"/>
      <c r="AG1707" s="54"/>
      <c r="AH1707" s="3"/>
      <c r="AI1707" s="2"/>
      <c r="AJ1707" s="2"/>
      <c r="AK1707" s="2"/>
      <c r="AL1707" s="3"/>
      <c r="AM1707" s="3"/>
      <c r="AN1707" s="3"/>
      <c r="AO1707" s="3"/>
      <c r="AP1707" s="3"/>
      <c r="AQ1707" s="59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53"/>
      <c r="BC1707" s="3"/>
      <c r="BD1707" s="59"/>
      <c r="BE1707" s="3"/>
      <c r="BF1707" s="53"/>
      <c r="BG1707" s="59"/>
    </row>
    <row r="1708" spans="1:59" customFormat="1" ht="15" x14ac:dyDescent="0.35">
      <c r="A1708" s="19"/>
      <c r="B1708" s="49"/>
      <c r="C1708" s="14"/>
      <c r="D1708" s="1"/>
      <c r="E1708" s="149"/>
      <c r="F1708" s="153"/>
      <c r="G1708" s="10"/>
      <c r="H1708" s="17"/>
      <c r="I1708" s="17"/>
      <c r="J1708" s="17"/>
      <c r="K1708" s="30"/>
      <c r="L1708" s="30"/>
      <c r="M1708" s="30"/>
      <c r="N1708" s="30"/>
      <c r="O1708" s="30"/>
      <c r="P1708" s="30"/>
      <c r="Q1708" s="30"/>
      <c r="R1708" s="30"/>
      <c r="S1708" s="30"/>
      <c r="T1708" s="30"/>
      <c r="U1708" s="30"/>
      <c r="V1708" s="30"/>
      <c r="W1708" s="29"/>
      <c r="X1708" s="15"/>
      <c r="Y1708" s="30"/>
      <c r="Z1708" s="30"/>
      <c r="AA1708" s="30"/>
      <c r="AB1708" s="30"/>
      <c r="AC1708" s="17"/>
      <c r="AD1708" s="17"/>
      <c r="AE1708" s="17"/>
      <c r="AF1708" s="17"/>
      <c r="AG1708" s="20"/>
      <c r="AH1708" s="21"/>
      <c r="AI1708" s="21"/>
      <c r="AJ1708" s="21"/>
      <c r="AK1708" s="21"/>
      <c r="AL1708" s="21"/>
      <c r="AM1708" s="21"/>
      <c r="AN1708" s="21"/>
      <c r="AO1708" s="22"/>
      <c r="AP1708" s="21"/>
      <c r="AQ1708" s="24"/>
      <c r="AR1708" s="21"/>
      <c r="AS1708" s="21"/>
      <c r="AT1708" s="21"/>
      <c r="AU1708" s="21"/>
      <c r="AV1708" s="21"/>
      <c r="AW1708" s="21"/>
      <c r="AX1708" s="22"/>
      <c r="AY1708" s="21"/>
      <c r="AZ1708" s="22"/>
      <c r="BA1708" s="21"/>
      <c r="BB1708" s="20"/>
      <c r="BC1708" s="21"/>
      <c r="BD1708" s="25"/>
      <c r="BE1708" s="26"/>
      <c r="BF1708" s="27"/>
      <c r="BG1708" s="28"/>
    </row>
    <row r="1709" spans="1:59" customFormat="1" ht="15" x14ac:dyDescent="0.35">
      <c r="A1709" s="50"/>
      <c r="B1709" s="63"/>
      <c r="C1709" s="39"/>
      <c r="D1709" s="6"/>
      <c r="E1709" s="149"/>
      <c r="F1709" s="153"/>
      <c r="G1709" s="10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12"/>
      <c r="X1709" s="33"/>
      <c r="Y1709" s="6"/>
      <c r="Z1709" s="6"/>
      <c r="AA1709" s="6"/>
      <c r="AB1709" s="6"/>
      <c r="AC1709" s="9"/>
      <c r="AD1709" s="9"/>
      <c r="AE1709" s="9"/>
      <c r="AF1709" s="9"/>
      <c r="AG1709" s="5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59"/>
      <c r="AR1709" s="21"/>
      <c r="AS1709" s="21"/>
      <c r="AT1709" s="3"/>
      <c r="AU1709" s="3"/>
      <c r="AV1709" s="3"/>
      <c r="AW1709" s="3"/>
      <c r="AX1709" s="3"/>
      <c r="AY1709" s="3"/>
      <c r="AZ1709" s="3"/>
      <c r="BA1709" s="3"/>
      <c r="BB1709" s="53"/>
      <c r="BC1709" s="3"/>
      <c r="BD1709" s="59"/>
      <c r="BE1709" s="3"/>
      <c r="BF1709" s="53"/>
      <c r="BG1709" s="59"/>
    </row>
    <row r="1710" spans="1:59" customFormat="1" ht="15" x14ac:dyDescent="0.35">
      <c r="A1710" s="19"/>
      <c r="B1710" s="49"/>
      <c r="C1710" s="14"/>
      <c r="D1710" s="1"/>
      <c r="E1710" s="149"/>
      <c r="F1710" s="153"/>
      <c r="G1710" s="10"/>
      <c r="H1710" s="17"/>
      <c r="I1710" s="17"/>
      <c r="J1710" s="17"/>
      <c r="K1710" s="30"/>
      <c r="L1710" s="30"/>
      <c r="M1710" s="30"/>
      <c r="N1710" s="30"/>
      <c r="O1710" s="30"/>
      <c r="P1710" s="30"/>
      <c r="Q1710" s="30"/>
      <c r="R1710" s="30"/>
      <c r="S1710" s="30"/>
      <c r="T1710" s="30"/>
      <c r="U1710" s="30"/>
      <c r="V1710" s="30"/>
      <c r="W1710" s="29"/>
      <c r="X1710" s="15"/>
      <c r="Y1710" s="30"/>
      <c r="Z1710" s="30"/>
      <c r="AA1710" s="30"/>
      <c r="AB1710" s="30"/>
      <c r="AC1710" s="17"/>
      <c r="AD1710" s="17"/>
      <c r="AE1710" s="17"/>
      <c r="AF1710" s="17"/>
      <c r="AG1710" s="20"/>
      <c r="AH1710" s="21"/>
      <c r="AI1710" s="21"/>
      <c r="AJ1710" s="21"/>
      <c r="AK1710" s="21"/>
      <c r="AL1710" s="21"/>
      <c r="AM1710" s="21"/>
      <c r="AN1710" s="21"/>
      <c r="AO1710" s="22"/>
      <c r="AP1710" s="21"/>
      <c r="AQ1710" s="24"/>
      <c r="AR1710" s="21"/>
      <c r="AS1710" s="21"/>
      <c r="AT1710" s="21"/>
      <c r="AU1710" s="21"/>
      <c r="AV1710" s="21"/>
      <c r="AW1710" s="21"/>
      <c r="AX1710" s="22"/>
      <c r="AY1710" s="21"/>
      <c r="AZ1710" s="22"/>
      <c r="BA1710" s="21"/>
      <c r="BB1710" s="20"/>
      <c r="BC1710" s="21"/>
      <c r="BD1710" s="25"/>
      <c r="BE1710" s="26"/>
      <c r="BF1710" s="27"/>
      <c r="BG1710" s="28"/>
    </row>
    <row r="1711" spans="1:59" customFormat="1" ht="15" x14ac:dyDescent="0.35">
      <c r="A1711" s="19"/>
      <c r="B1711" s="49"/>
      <c r="C1711" s="14"/>
      <c r="D1711" s="1"/>
      <c r="E1711" s="149"/>
      <c r="F1711" s="153"/>
      <c r="G1711" s="10"/>
      <c r="H1711" s="17"/>
      <c r="I1711" s="17"/>
      <c r="J1711" s="17"/>
      <c r="K1711" s="30"/>
      <c r="L1711" s="30"/>
      <c r="M1711" s="30"/>
      <c r="N1711" s="30"/>
      <c r="O1711" s="30"/>
      <c r="P1711" s="30"/>
      <c r="Q1711" s="30"/>
      <c r="R1711" s="30"/>
      <c r="S1711" s="30"/>
      <c r="T1711" s="30"/>
      <c r="U1711" s="30"/>
      <c r="V1711" s="30"/>
      <c r="W1711" s="29"/>
      <c r="X1711" s="15"/>
      <c r="Y1711" s="30"/>
      <c r="Z1711" s="30"/>
      <c r="AA1711" s="30"/>
      <c r="AB1711" s="30"/>
      <c r="AC1711" s="17"/>
      <c r="AD1711" s="17"/>
      <c r="AE1711" s="17"/>
      <c r="AF1711" s="17"/>
      <c r="AG1711" s="20"/>
      <c r="AH1711" s="21"/>
      <c r="AI1711" s="21"/>
      <c r="AJ1711" s="21"/>
      <c r="AK1711" s="21"/>
      <c r="AL1711" s="21"/>
      <c r="AM1711" s="21"/>
      <c r="AN1711" s="21"/>
      <c r="AO1711" s="22"/>
      <c r="AP1711" s="21"/>
      <c r="AQ1711" s="24"/>
      <c r="AR1711" s="21"/>
      <c r="AS1711" s="21"/>
      <c r="AT1711" s="21"/>
      <c r="AU1711" s="21"/>
      <c r="AV1711" s="21"/>
      <c r="AW1711" s="21"/>
      <c r="AX1711" s="22"/>
      <c r="AY1711" s="21"/>
      <c r="AZ1711" s="22"/>
      <c r="BA1711" s="21"/>
      <c r="BB1711" s="20"/>
      <c r="BC1711" s="21"/>
      <c r="BD1711" s="25"/>
      <c r="BE1711" s="26"/>
      <c r="BF1711" s="27"/>
      <c r="BG1711" s="28"/>
    </row>
    <row r="1712" spans="1:59" customFormat="1" ht="15" x14ac:dyDescent="0.35">
      <c r="A1712" s="50"/>
      <c r="B1712" s="63"/>
      <c r="C1712" s="39"/>
      <c r="D1712" s="6"/>
      <c r="E1712" s="149"/>
      <c r="F1712" s="153"/>
      <c r="G1712" s="10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12"/>
      <c r="X1712" s="33"/>
      <c r="Y1712" s="6"/>
      <c r="Z1712" s="6"/>
      <c r="AA1712" s="6"/>
      <c r="AB1712" s="6"/>
      <c r="AC1712" s="9"/>
      <c r="AD1712" s="9"/>
      <c r="AE1712" s="9"/>
      <c r="AF1712" s="9"/>
      <c r="AG1712" s="5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59"/>
      <c r="AR1712" s="21"/>
      <c r="AS1712" s="21"/>
      <c r="AT1712" s="3"/>
      <c r="AU1712" s="3"/>
      <c r="AV1712" s="3"/>
      <c r="AW1712" s="3"/>
      <c r="AX1712" s="3"/>
      <c r="AY1712" s="3"/>
      <c r="AZ1712" s="3"/>
      <c r="BA1712" s="3"/>
      <c r="BB1712" s="53"/>
      <c r="BC1712" s="3"/>
      <c r="BD1712" s="59"/>
      <c r="BE1712" s="3"/>
      <c r="BF1712" s="53"/>
      <c r="BG1712" s="59"/>
    </row>
    <row r="1713" spans="1:59" customFormat="1" ht="15" x14ac:dyDescent="0.35">
      <c r="A1713" s="50"/>
      <c r="B1713" s="63"/>
      <c r="C1713" s="39"/>
      <c r="D1713" s="6"/>
      <c r="E1713" s="149"/>
      <c r="F1713" s="153"/>
      <c r="G1713" s="10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5"/>
      <c r="V1713" s="5"/>
      <c r="W1713" s="13"/>
      <c r="X1713" s="4"/>
      <c r="Y1713" s="4"/>
      <c r="Z1713" s="4"/>
      <c r="AA1713" s="6"/>
      <c r="AB1713" s="5"/>
      <c r="AC1713" s="9"/>
      <c r="AD1713" s="9"/>
      <c r="AE1713" s="9"/>
      <c r="AF1713" s="9"/>
      <c r="AG1713" s="54"/>
      <c r="AH1713" s="3"/>
      <c r="AI1713" s="2"/>
      <c r="AJ1713" s="2"/>
      <c r="AK1713" s="2"/>
      <c r="AL1713" s="3"/>
      <c r="AM1713" s="3"/>
      <c r="AN1713" s="3"/>
      <c r="AO1713" s="3"/>
      <c r="AP1713" s="3"/>
      <c r="AQ1713" s="59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53"/>
      <c r="BC1713" s="3"/>
      <c r="BD1713" s="59"/>
      <c r="BE1713" s="3"/>
      <c r="BF1713" s="53"/>
      <c r="BG1713" s="59"/>
    </row>
    <row r="1714" spans="1:59" customFormat="1" ht="15" x14ac:dyDescent="0.35">
      <c r="A1714" s="50"/>
      <c r="B1714" s="63"/>
      <c r="C1714" s="39"/>
      <c r="D1714" s="6"/>
      <c r="E1714" s="149"/>
      <c r="F1714" s="153"/>
      <c r="G1714" s="10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12"/>
      <c r="X1714" s="33"/>
      <c r="Y1714" s="6"/>
      <c r="Z1714" s="6"/>
      <c r="AA1714" s="6"/>
      <c r="AB1714" s="6"/>
      <c r="AC1714" s="9"/>
      <c r="AD1714" s="9"/>
      <c r="AE1714" s="9"/>
      <c r="AF1714" s="9"/>
      <c r="AG1714" s="5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59"/>
      <c r="AR1714" s="21"/>
      <c r="AS1714" s="21"/>
      <c r="AT1714" s="3"/>
      <c r="AU1714" s="3"/>
      <c r="AV1714" s="3"/>
      <c r="AW1714" s="3"/>
      <c r="AX1714" s="3"/>
      <c r="AY1714" s="3"/>
      <c r="AZ1714" s="3"/>
      <c r="BA1714" s="3"/>
      <c r="BB1714" s="53"/>
      <c r="BC1714" s="3"/>
      <c r="BD1714" s="59"/>
      <c r="BE1714" s="3"/>
      <c r="BF1714" s="53"/>
      <c r="BG1714" s="59"/>
    </row>
    <row r="1715" spans="1:59" customFormat="1" ht="15" x14ac:dyDescent="0.35">
      <c r="A1715" s="19"/>
      <c r="B1715" s="49"/>
      <c r="C1715" s="39"/>
      <c r="D1715" s="1"/>
      <c r="E1715" s="149"/>
      <c r="F1715" s="153"/>
      <c r="G1715" s="10"/>
      <c r="H1715" s="17"/>
      <c r="I1715" s="17"/>
      <c r="J1715" s="17"/>
      <c r="K1715" s="30"/>
      <c r="L1715" s="30"/>
      <c r="M1715" s="30"/>
      <c r="N1715" s="30"/>
      <c r="O1715" s="30"/>
      <c r="P1715" s="30"/>
      <c r="Q1715" s="30"/>
      <c r="R1715" s="30"/>
      <c r="S1715" s="30"/>
      <c r="T1715" s="30"/>
      <c r="U1715" s="30"/>
      <c r="V1715" s="30"/>
      <c r="W1715" s="29"/>
      <c r="X1715" s="15"/>
      <c r="Y1715" s="30"/>
      <c r="Z1715" s="30"/>
      <c r="AA1715" s="30"/>
      <c r="AB1715" s="30"/>
      <c r="AC1715" s="17"/>
      <c r="AD1715" s="17"/>
      <c r="AE1715" s="17"/>
      <c r="AF1715" s="17"/>
      <c r="AG1715" s="20"/>
      <c r="AH1715" s="21"/>
      <c r="AI1715" s="21"/>
      <c r="AJ1715" s="21"/>
      <c r="AK1715" s="21"/>
      <c r="AL1715" s="21"/>
      <c r="AM1715" s="21"/>
      <c r="AN1715" s="21"/>
      <c r="AO1715" s="22"/>
      <c r="AP1715" s="21"/>
      <c r="AQ1715" s="24"/>
      <c r="AR1715" s="21"/>
      <c r="AS1715" s="21"/>
      <c r="AT1715" s="21"/>
      <c r="AU1715" s="21"/>
      <c r="AV1715" s="21"/>
      <c r="AW1715" s="21"/>
      <c r="AX1715" s="22"/>
      <c r="AY1715" s="21"/>
      <c r="AZ1715" s="22"/>
      <c r="BA1715" s="21"/>
      <c r="BB1715" s="20"/>
      <c r="BC1715" s="21"/>
      <c r="BD1715" s="25"/>
      <c r="BE1715" s="26"/>
      <c r="BF1715" s="27"/>
      <c r="BG1715" s="28"/>
    </row>
    <row r="1716" spans="1:59" customFormat="1" ht="15" x14ac:dyDescent="0.35">
      <c r="A1716" s="19"/>
      <c r="B1716" s="49"/>
      <c r="C1716" s="14"/>
      <c r="D1716" s="1"/>
      <c r="E1716" s="149"/>
      <c r="F1716" s="153"/>
      <c r="G1716" s="10"/>
      <c r="H1716" s="17"/>
      <c r="I1716" s="17"/>
      <c r="J1716" s="17"/>
      <c r="K1716" s="30"/>
      <c r="L1716" s="30"/>
      <c r="M1716" s="30"/>
      <c r="N1716" s="30"/>
      <c r="O1716" s="30"/>
      <c r="P1716" s="30"/>
      <c r="Q1716" s="30"/>
      <c r="R1716" s="30"/>
      <c r="S1716" s="30"/>
      <c r="T1716" s="30"/>
      <c r="U1716" s="30"/>
      <c r="V1716" s="30"/>
      <c r="W1716" s="29"/>
      <c r="X1716" s="15"/>
      <c r="Y1716" s="30"/>
      <c r="Z1716" s="30"/>
      <c r="AA1716" s="30"/>
      <c r="AB1716" s="30"/>
      <c r="AC1716" s="17"/>
      <c r="AD1716" s="17"/>
      <c r="AE1716" s="17"/>
      <c r="AF1716" s="17"/>
      <c r="AG1716" s="20"/>
      <c r="AH1716" s="21"/>
      <c r="AI1716" s="21"/>
      <c r="AJ1716" s="21"/>
      <c r="AK1716" s="21"/>
      <c r="AL1716" s="21"/>
      <c r="AM1716" s="21"/>
      <c r="AN1716" s="21"/>
      <c r="AO1716" s="22"/>
      <c r="AP1716" s="21"/>
      <c r="AQ1716" s="24"/>
      <c r="AR1716" s="21"/>
      <c r="AS1716" s="21"/>
      <c r="AT1716" s="21"/>
      <c r="AU1716" s="21"/>
      <c r="AV1716" s="21"/>
      <c r="AW1716" s="21"/>
      <c r="AX1716" s="22"/>
      <c r="AY1716" s="21"/>
      <c r="AZ1716" s="22"/>
      <c r="BA1716" s="21"/>
      <c r="BB1716" s="20"/>
      <c r="BC1716" s="21"/>
      <c r="BD1716" s="25"/>
      <c r="BE1716" s="26"/>
      <c r="BF1716" s="27"/>
      <c r="BG1716" s="28"/>
    </row>
    <row r="1717" spans="1:59" customFormat="1" ht="15" x14ac:dyDescent="0.35">
      <c r="A1717" s="19"/>
      <c r="B1717" s="49"/>
      <c r="C1717" s="39"/>
      <c r="D1717" s="1"/>
      <c r="E1717" s="149"/>
      <c r="F1717" s="153"/>
      <c r="G1717" s="10"/>
      <c r="H1717" s="17"/>
      <c r="I1717" s="17"/>
      <c r="J1717" s="17"/>
      <c r="K1717" s="30"/>
      <c r="L1717" s="30"/>
      <c r="M1717" s="30"/>
      <c r="N1717" s="30"/>
      <c r="O1717" s="30"/>
      <c r="P1717" s="30"/>
      <c r="Q1717" s="30"/>
      <c r="R1717" s="30"/>
      <c r="S1717" s="30"/>
      <c r="T1717" s="30"/>
      <c r="U1717" s="30"/>
      <c r="V1717" s="30"/>
      <c r="W1717" s="29"/>
      <c r="X1717" s="15"/>
      <c r="Y1717" s="30"/>
      <c r="Z1717" s="30"/>
      <c r="AA1717" s="30"/>
      <c r="AB1717" s="30"/>
      <c r="AC1717" s="17"/>
      <c r="AD1717" s="17"/>
      <c r="AE1717" s="17"/>
      <c r="AF1717" s="17"/>
      <c r="AG1717" s="20"/>
      <c r="AH1717" s="21"/>
      <c r="AI1717" s="21"/>
      <c r="AJ1717" s="21"/>
      <c r="AK1717" s="21"/>
      <c r="AL1717" s="21"/>
      <c r="AM1717" s="21"/>
      <c r="AN1717" s="21"/>
      <c r="AO1717" s="22"/>
      <c r="AP1717" s="21"/>
      <c r="AQ1717" s="24"/>
      <c r="AR1717" s="21"/>
      <c r="AS1717" s="21"/>
      <c r="AT1717" s="21"/>
      <c r="AU1717" s="21"/>
      <c r="AV1717" s="21"/>
      <c r="AW1717" s="21"/>
      <c r="AX1717" s="22"/>
      <c r="AY1717" s="21"/>
      <c r="AZ1717" s="22"/>
      <c r="BA1717" s="21"/>
      <c r="BB1717" s="20"/>
      <c r="BC1717" s="21"/>
      <c r="BD1717" s="25"/>
      <c r="BE1717" s="26"/>
      <c r="BF1717" s="27"/>
      <c r="BG1717" s="28"/>
    </row>
    <row r="1718" spans="1:59" customFormat="1" ht="15" x14ac:dyDescent="0.35">
      <c r="A1718" s="50"/>
      <c r="B1718" s="63"/>
      <c r="C1718" s="39"/>
      <c r="D1718" s="6"/>
      <c r="E1718" s="149"/>
      <c r="F1718" s="153"/>
      <c r="G1718" s="10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12"/>
      <c r="X1718" s="33"/>
      <c r="Y1718" s="6"/>
      <c r="Z1718" s="6"/>
      <c r="AA1718" s="6"/>
      <c r="AB1718" s="6"/>
      <c r="AC1718" s="9"/>
      <c r="AD1718" s="9"/>
      <c r="AE1718" s="9"/>
      <c r="AF1718" s="9"/>
      <c r="AG1718" s="5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59"/>
      <c r="AR1718" s="21"/>
      <c r="AS1718" s="21"/>
      <c r="AT1718" s="3"/>
      <c r="AU1718" s="3"/>
      <c r="AV1718" s="3"/>
      <c r="AW1718" s="3"/>
      <c r="AX1718" s="3"/>
      <c r="AY1718" s="3"/>
      <c r="AZ1718" s="3"/>
      <c r="BA1718" s="3"/>
      <c r="BB1718" s="53"/>
      <c r="BC1718" s="3"/>
      <c r="BD1718" s="59"/>
      <c r="BE1718" s="3"/>
      <c r="BF1718" s="53"/>
      <c r="BG1718" s="59"/>
    </row>
    <row r="1719" spans="1:59" customFormat="1" ht="15" x14ac:dyDescent="0.35">
      <c r="A1719" s="19"/>
      <c r="B1719" s="49"/>
      <c r="C1719" s="39"/>
      <c r="D1719" s="1"/>
      <c r="E1719" s="149"/>
      <c r="F1719" s="153"/>
      <c r="G1719" s="10"/>
      <c r="H1719" s="17"/>
      <c r="I1719" s="17"/>
      <c r="J1719" s="17"/>
      <c r="K1719" s="30"/>
      <c r="L1719" s="30"/>
      <c r="M1719" s="30"/>
      <c r="N1719" s="30"/>
      <c r="O1719" s="30"/>
      <c r="P1719" s="30"/>
      <c r="Q1719" s="30"/>
      <c r="R1719" s="30"/>
      <c r="S1719" s="30"/>
      <c r="T1719" s="30"/>
      <c r="U1719" s="30"/>
      <c r="V1719" s="30"/>
      <c r="W1719" s="29"/>
      <c r="X1719" s="15"/>
      <c r="Y1719" s="30"/>
      <c r="Z1719" s="30"/>
      <c r="AA1719" s="30"/>
      <c r="AB1719" s="30"/>
      <c r="AC1719" s="17"/>
      <c r="AD1719" s="17"/>
      <c r="AE1719" s="17"/>
      <c r="AF1719" s="17"/>
      <c r="AG1719" s="20"/>
      <c r="AH1719" s="21"/>
      <c r="AI1719" s="21"/>
      <c r="AJ1719" s="21"/>
      <c r="AK1719" s="21"/>
      <c r="AL1719" s="21"/>
      <c r="AM1719" s="21"/>
      <c r="AN1719" s="21"/>
      <c r="AO1719" s="22"/>
      <c r="AP1719" s="21"/>
      <c r="AQ1719" s="24"/>
      <c r="AR1719" s="21"/>
      <c r="AS1719" s="21"/>
      <c r="AT1719" s="21"/>
      <c r="AU1719" s="21"/>
      <c r="AV1719" s="21"/>
      <c r="AW1719" s="21"/>
      <c r="AX1719" s="22"/>
      <c r="AY1719" s="21"/>
      <c r="AZ1719" s="22"/>
      <c r="BA1719" s="21"/>
      <c r="BB1719" s="20"/>
      <c r="BC1719" s="21"/>
      <c r="BD1719" s="25"/>
      <c r="BE1719" s="26"/>
      <c r="BF1719" s="27"/>
      <c r="BG1719" s="28"/>
    </row>
    <row r="1720" spans="1:59" customFormat="1" ht="15" x14ac:dyDescent="0.35">
      <c r="A1720" s="19"/>
      <c r="B1720" s="49"/>
      <c r="C1720" s="14"/>
      <c r="D1720" s="1"/>
      <c r="E1720" s="149"/>
      <c r="F1720" s="153"/>
      <c r="G1720" s="10"/>
      <c r="H1720" s="17"/>
      <c r="I1720" s="17"/>
      <c r="J1720" s="17"/>
      <c r="K1720" s="30"/>
      <c r="L1720" s="30"/>
      <c r="M1720" s="30"/>
      <c r="N1720" s="30"/>
      <c r="O1720" s="30"/>
      <c r="P1720" s="30"/>
      <c r="Q1720" s="30"/>
      <c r="R1720" s="30"/>
      <c r="S1720" s="30"/>
      <c r="T1720" s="30"/>
      <c r="U1720" s="30"/>
      <c r="V1720" s="30"/>
      <c r="W1720" s="29"/>
      <c r="X1720" s="15"/>
      <c r="Y1720" s="30"/>
      <c r="Z1720" s="30"/>
      <c r="AA1720" s="30"/>
      <c r="AB1720" s="30"/>
      <c r="AC1720" s="17"/>
      <c r="AD1720" s="17"/>
      <c r="AE1720" s="17"/>
      <c r="AF1720" s="17"/>
      <c r="AG1720" s="20"/>
      <c r="AH1720" s="21"/>
      <c r="AI1720" s="21"/>
      <c r="AJ1720" s="21"/>
      <c r="AK1720" s="21"/>
      <c r="AL1720" s="21"/>
      <c r="AM1720" s="21"/>
      <c r="AN1720" s="21"/>
      <c r="AO1720" s="22"/>
      <c r="AP1720" s="21"/>
      <c r="AQ1720" s="24"/>
      <c r="AR1720" s="21"/>
      <c r="AS1720" s="21"/>
      <c r="AT1720" s="21"/>
      <c r="AU1720" s="21"/>
      <c r="AV1720" s="21"/>
      <c r="AW1720" s="21"/>
      <c r="AX1720" s="22"/>
      <c r="AY1720" s="21"/>
      <c r="AZ1720" s="22"/>
      <c r="BA1720" s="21"/>
      <c r="BB1720" s="20"/>
      <c r="BC1720" s="21"/>
      <c r="BD1720" s="25"/>
      <c r="BE1720" s="26"/>
      <c r="BF1720" s="27"/>
      <c r="BG1720" s="28"/>
    </row>
    <row r="1721" spans="1:59" customFormat="1" ht="15" x14ac:dyDescent="0.35">
      <c r="A1721" s="19"/>
      <c r="B1721" s="49"/>
      <c r="C1721" s="14"/>
      <c r="D1721" s="1"/>
      <c r="E1721" s="149"/>
      <c r="F1721" s="153"/>
      <c r="G1721" s="10"/>
      <c r="H1721" s="17"/>
      <c r="I1721" s="17"/>
      <c r="J1721" s="17"/>
      <c r="K1721" s="30"/>
      <c r="L1721" s="30"/>
      <c r="M1721" s="30"/>
      <c r="N1721" s="30"/>
      <c r="O1721" s="30"/>
      <c r="P1721" s="30"/>
      <c r="Q1721" s="30"/>
      <c r="R1721" s="30"/>
      <c r="S1721" s="30"/>
      <c r="T1721" s="30"/>
      <c r="U1721" s="30"/>
      <c r="V1721" s="30"/>
      <c r="W1721" s="29"/>
      <c r="X1721" s="15"/>
      <c r="Y1721" s="30"/>
      <c r="Z1721" s="30"/>
      <c r="AA1721" s="30"/>
      <c r="AB1721" s="30"/>
      <c r="AC1721" s="17"/>
      <c r="AD1721" s="17"/>
      <c r="AE1721" s="17"/>
      <c r="AF1721" s="17"/>
      <c r="AG1721" s="20"/>
      <c r="AH1721" s="21"/>
      <c r="AI1721" s="21"/>
      <c r="AJ1721" s="21"/>
      <c r="AK1721" s="21"/>
      <c r="AL1721" s="21"/>
      <c r="AM1721" s="21"/>
      <c r="AN1721" s="21"/>
      <c r="AO1721" s="22"/>
      <c r="AP1721" s="21"/>
      <c r="AQ1721" s="24"/>
      <c r="AR1721" s="21"/>
      <c r="AS1721" s="21"/>
      <c r="AT1721" s="21"/>
      <c r="AU1721" s="21"/>
      <c r="AV1721" s="21"/>
      <c r="AW1721" s="21"/>
      <c r="AX1721" s="22"/>
      <c r="AY1721" s="21"/>
      <c r="AZ1721" s="22"/>
      <c r="BA1721" s="21"/>
      <c r="BB1721" s="20"/>
      <c r="BC1721" s="21"/>
      <c r="BD1721" s="25"/>
      <c r="BE1721" s="26"/>
      <c r="BF1721" s="27"/>
      <c r="BG1721" s="28"/>
    </row>
    <row r="1722" spans="1:59" customFormat="1" ht="15" x14ac:dyDescent="0.35">
      <c r="A1722" s="50"/>
      <c r="B1722" s="63"/>
      <c r="C1722" s="39"/>
      <c r="D1722" s="6"/>
      <c r="E1722" s="149"/>
      <c r="F1722" s="153"/>
      <c r="G1722" s="10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5"/>
      <c r="V1722" s="5"/>
      <c r="W1722" s="13"/>
      <c r="X1722" s="4"/>
      <c r="Y1722" s="4"/>
      <c r="Z1722" s="4"/>
      <c r="AA1722" s="6"/>
      <c r="AB1722" s="5"/>
      <c r="AC1722" s="9"/>
      <c r="AD1722" s="9"/>
      <c r="AE1722" s="9"/>
      <c r="AF1722" s="9"/>
      <c r="AG1722" s="54"/>
      <c r="AH1722" s="3"/>
      <c r="AI1722" s="2"/>
      <c r="AJ1722" s="2"/>
      <c r="AK1722" s="2"/>
      <c r="AL1722" s="3"/>
      <c r="AM1722" s="3"/>
      <c r="AN1722" s="3"/>
      <c r="AO1722" s="3"/>
      <c r="AP1722" s="3"/>
      <c r="AQ1722" s="59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53"/>
      <c r="BC1722" s="3"/>
      <c r="BD1722" s="59"/>
      <c r="BE1722" s="3"/>
      <c r="BF1722" s="53"/>
      <c r="BG1722" s="59"/>
    </row>
    <row r="1723" spans="1:59" customFormat="1" ht="15" x14ac:dyDescent="0.35">
      <c r="A1723" s="50"/>
      <c r="B1723" s="63"/>
      <c r="C1723" s="39"/>
      <c r="D1723" s="6"/>
      <c r="E1723" s="149"/>
      <c r="F1723" s="153"/>
      <c r="G1723" s="10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5"/>
      <c r="V1723" s="5"/>
      <c r="W1723" s="13"/>
      <c r="X1723" s="4"/>
      <c r="Y1723" s="4"/>
      <c r="Z1723" s="4"/>
      <c r="AA1723" s="6"/>
      <c r="AB1723" s="5"/>
      <c r="AC1723" s="9"/>
      <c r="AD1723" s="9"/>
      <c r="AE1723" s="9"/>
      <c r="AF1723" s="9"/>
      <c r="AG1723" s="54"/>
      <c r="AH1723" s="3"/>
      <c r="AI1723" s="2"/>
      <c r="AJ1723" s="2"/>
      <c r="AK1723" s="2"/>
      <c r="AL1723" s="3"/>
      <c r="AM1723" s="3"/>
      <c r="AN1723" s="3"/>
      <c r="AO1723" s="3"/>
      <c r="AP1723" s="3"/>
      <c r="AQ1723" s="59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53"/>
      <c r="BC1723" s="3"/>
      <c r="BD1723" s="59"/>
      <c r="BE1723" s="3"/>
      <c r="BF1723" s="53"/>
      <c r="BG1723" s="59"/>
    </row>
    <row r="1724" spans="1:59" customFormat="1" ht="15" x14ac:dyDescent="0.35">
      <c r="A1724" s="50"/>
      <c r="B1724" s="63"/>
      <c r="C1724" s="39"/>
      <c r="D1724" s="6"/>
      <c r="E1724" s="149"/>
      <c r="F1724" s="153"/>
      <c r="G1724" s="10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5"/>
      <c r="V1724" s="5"/>
      <c r="W1724" s="13"/>
      <c r="X1724" s="4"/>
      <c r="Y1724" s="4"/>
      <c r="Z1724" s="4"/>
      <c r="AA1724" s="6"/>
      <c r="AB1724" s="5"/>
      <c r="AC1724" s="9"/>
      <c r="AD1724" s="9"/>
      <c r="AE1724" s="9"/>
      <c r="AF1724" s="9"/>
      <c r="AG1724" s="54"/>
      <c r="AH1724" s="3"/>
      <c r="AI1724" s="2"/>
      <c r="AJ1724" s="2"/>
      <c r="AK1724" s="2"/>
      <c r="AL1724" s="3"/>
      <c r="AM1724" s="3"/>
      <c r="AN1724" s="3"/>
      <c r="AO1724" s="3"/>
      <c r="AP1724" s="3"/>
      <c r="AQ1724" s="59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53"/>
      <c r="BC1724" s="3"/>
      <c r="BD1724" s="59"/>
      <c r="BE1724" s="3"/>
      <c r="BF1724" s="53"/>
      <c r="BG1724" s="59"/>
    </row>
    <row r="1725" spans="1:59" customFormat="1" ht="15" x14ac:dyDescent="0.35">
      <c r="A1725" s="50"/>
      <c r="B1725" s="63"/>
      <c r="C1725" s="39"/>
      <c r="D1725" s="6"/>
      <c r="E1725" s="149"/>
      <c r="F1725" s="153"/>
      <c r="G1725" s="10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12"/>
      <c r="X1725" s="33"/>
      <c r="Y1725" s="6"/>
      <c r="Z1725" s="6"/>
      <c r="AA1725" s="6"/>
      <c r="AB1725" s="6"/>
      <c r="AC1725" s="9"/>
      <c r="AD1725" s="9"/>
      <c r="AE1725" s="9"/>
      <c r="AF1725" s="9"/>
      <c r="AG1725" s="5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59"/>
      <c r="AR1725" s="21"/>
      <c r="AS1725" s="21"/>
      <c r="AT1725" s="3"/>
      <c r="AU1725" s="3"/>
      <c r="AV1725" s="3"/>
      <c r="AW1725" s="3"/>
      <c r="AX1725" s="3"/>
      <c r="AY1725" s="3"/>
      <c r="AZ1725" s="3"/>
      <c r="BA1725" s="3"/>
      <c r="BB1725" s="53"/>
      <c r="BC1725" s="3"/>
      <c r="BD1725" s="59"/>
      <c r="BE1725" s="3"/>
      <c r="BF1725" s="53"/>
      <c r="BG1725" s="59"/>
    </row>
    <row r="1726" spans="1:59" customFormat="1" ht="15" x14ac:dyDescent="0.35">
      <c r="A1726" s="50"/>
      <c r="B1726" s="63"/>
      <c r="C1726" s="39"/>
      <c r="D1726" s="6"/>
      <c r="E1726" s="149"/>
      <c r="F1726" s="153"/>
      <c r="G1726" s="10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12"/>
      <c r="X1726" s="33"/>
      <c r="Y1726" s="6"/>
      <c r="Z1726" s="6"/>
      <c r="AA1726" s="6"/>
      <c r="AB1726" s="6"/>
      <c r="AC1726" s="9"/>
      <c r="AD1726" s="9"/>
      <c r="AE1726" s="9"/>
      <c r="AF1726" s="9"/>
      <c r="AG1726" s="5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59"/>
      <c r="AR1726" s="21"/>
      <c r="AS1726" s="21"/>
      <c r="AT1726" s="3"/>
      <c r="AU1726" s="3"/>
      <c r="AV1726" s="3"/>
      <c r="AW1726" s="3"/>
      <c r="AX1726" s="3"/>
      <c r="AY1726" s="3"/>
      <c r="AZ1726" s="3"/>
      <c r="BA1726" s="3"/>
      <c r="BB1726" s="53"/>
      <c r="BC1726" s="3"/>
      <c r="BD1726" s="59"/>
      <c r="BE1726" s="3"/>
      <c r="BF1726" s="53"/>
      <c r="BG1726" s="59"/>
    </row>
    <row r="1727" spans="1:59" customFormat="1" ht="15" x14ac:dyDescent="0.35">
      <c r="A1727" s="50"/>
      <c r="B1727" s="63"/>
      <c r="C1727" s="39"/>
      <c r="D1727" s="6"/>
      <c r="E1727" s="149"/>
      <c r="F1727" s="153"/>
      <c r="G1727" s="10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5"/>
      <c r="V1727" s="5"/>
      <c r="W1727" s="13"/>
      <c r="X1727" s="4"/>
      <c r="Y1727" s="4"/>
      <c r="Z1727" s="4"/>
      <c r="AA1727" s="6"/>
      <c r="AB1727" s="5"/>
      <c r="AC1727" s="9"/>
      <c r="AD1727" s="9"/>
      <c r="AE1727" s="9"/>
      <c r="AF1727" s="9"/>
      <c r="AG1727" s="54"/>
      <c r="AH1727" s="3"/>
      <c r="AI1727" s="2"/>
      <c r="AJ1727" s="2"/>
      <c r="AK1727" s="2"/>
      <c r="AL1727" s="3"/>
      <c r="AM1727" s="3"/>
      <c r="AN1727" s="3"/>
      <c r="AO1727" s="3"/>
      <c r="AP1727" s="3"/>
      <c r="AQ1727" s="59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53"/>
      <c r="BC1727" s="3"/>
      <c r="BD1727" s="59"/>
      <c r="BE1727" s="3"/>
      <c r="BF1727" s="53"/>
      <c r="BG1727" s="59"/>
    </row>
    <row r="1728" spans="1:59" customFormat="1" ht="15" x14ac:dyDescent="0.35">
      <c r="A1728" s="19"/>
      <c r="B1728" s="49"/>
      <c r="C1728" s="14"/>
      <c r="D1728" s="1"/>
      <c r="E1728" s="149"/>
      <c r="F1728" s="153"/>
      <c r="G1728" s="10"/>
      <c r="H1728" s="17"/>
      <c r="I1728" s="17"/>
      <c r="J1728" s="17"/>
      <c r="K1728" s="30"/>
      <c r="L1728" s="30"/>
      <c r="M1728" s="30"/>
      <c r="N1728" s="30"/>
      <c r="O1728" s="30"/>
      <c r="P1728" s="30"/>
      <c r="Q1728" s="30"/>
      <c r="R1728" s="30"/>
      <c r="S1728" s="30"/>
      <c r="T1728" s="30"/>
      <c r="U1728" s="30"/>
      <c r="V1728" s="30"/>
      <c r="W1728" s="29"/>
      <c r="X1728" s="15"/>
      <c r="Y1728" s="30"/>
      <c r="Z1728" s="30"/>
      <c r="AA1728" s="30"/>
      <c r="AB1728" s="30"/>
      <c r="AC1728" s="17"/>
      <c r="AD1728" s="17"/>
      <c r="AE1728" s="17"/>
      <c r="AF1728" s="17"/>
      <c r="AG1728" s="20"/>
      <c r="AH1728" s="21"/>
      <c r="AI1728" s="21"/>
      <c r="AJ1728" s="21"/>
      <c r="AK1728" s="21"/>
      <c r="AL1728" s="21"/>
      <c r="AM1728" s="21"/>
      <c r="AN1728" s="21"/>
      <c r="AO1728" s="22"/>
      <c r="AP1728" s="21"/>
      <c r="AQ1728" s="24"/>
      <c r="AR1728" s="21"/>
      <c r="AS1728" s="21"/>
      <c r="AT1728" s="21"/>
      <c r="AU1728" s="21"/>
      <c r="AV1728" s="21"/>
      <c r="AW1728" s="21"/>
      <c r="AX1728" s="22"/>
      <c r="AY1728" s="21"/>
      <c r="AZ1728" s="22"/>
      <c r="BA1728" s="21"/>
      <c r="BB1728" s="20"/>
      <c r="BC1728" s="21"/>
      <c r="BD1728" s="25"/>
      <c r="BE1728" s="26"/>
      <c r="BF1728" s="27"/>
      <c r="BG1728" s="28"/>
    </row>
    <row r="1729" spans="1:59" customFormat="1" ht="15" x14ac:dyDescent="0.35">
      <c r="A1729" s="50"/>
      <c r="B1729" s="63"/>
      <c r="C1729" s="39"/>
      <c r="D1729" s="6"/>
      <c r="E1729" s="149"/>
      <c r="F1729" s="153"/>
      <c r="G1729" s="10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5"/>
      <c r="V1729" s="5"/>
      <c r="W1729" s="13"/>
      <c r="X1729" s="4"/>
      <c r="Y1729" s="4"/>
      <c r="Z1729" s="4"/>
      <c r="AA1729" s="6"/>
      <c r="AB1729" s="5"/>
      <c r="AC1729" s="9"/>
      <c r="AD1729" s="9"/>
      <c r="AE1729" s="9"/>
      <c r="AF1729" s="9"/>
      <c r="AG1729" s="54"/>
      <c r="AH1729" s="3"/>
      <c r="AI1729" s="2"/>
      <c r="AJ1729" s="2"/>
      <c r="AK1729" s="2"/>
      <c r="AL1729" s="3"/>
      <c r="AM1729" s="3"/>
      <c r="AN1729" s="3"/>
      <c r="AO1729" s="3"/>
      <c r="AP1729" s="3"/>
      <c r="AQ1729" s="59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53"/>
      <c r="BC1729" s="3"/>
      <c r="BD1729" s="59"/>
      <c r="BE1729" s="3"/>
      <c r="BF1729" s="53"/>
      <c r="BG1729" s="59"/>
    </row>
    <row r="1730" spans="1:59" customFormat="1" ht="15" x14ac:dyDescent="0.35">
      <c r="A1730" s="50"/>
      <c r="B1730" s="63"/>
      <c r="C1730" s="39"/>
      <c r="D1730" s="6"/>
      <c r="E1730" s="149"/>
      <c r="F1730" s="153"/>
      <c r="G1730" s="10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12"/>
      <c r="X1730" s="33"/>
      <c r="Y1730" s="6"/>
      <c r="Z1730" s="6"/>
      <c r="AA1730" s="6"/>
      <c r="AB1730" s="6"/>
      <c r="AC1730" s="9"/>
      <c r="AD1730" s="9"/>
      <c r="AE1730" s="9"/>
      <c r="AF1730" s="9"/>
      <c r="AG1730" s="5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59"/>
      <c r="AR1730" s="21"/>
      <c r="AS1730" s="21"/>
      <c r="AT1730" s="3"/>
      <c r="AU1730" s="3"/>
      <c r="AV1730" s="3"/>
      <c r="AW1730" s="3"/>
      <c r="AX1730" s="3"/>
      <c r="AY1730" s="3"/>
      <c r="AZ1730" s="3"/>
      <c r="BA1730" s="3"/>
      <c r="BB1730" s="53"/>
      <c r="BC1730" s="3"/>
      <c r="BD1730" s="59"/>
      <c r="BE1730" s="3"/>
      <c r="BF1730" s="53"/>
      <c r="BG1730" s="59"/>
    </row>
    <row r="1731" spans="1:59" customFormat="1" ht="15" x14ac:dyDescent="0.35">
      <c r="A1731" s="19"/>
      <c r="B1731" s="49"/>
      <c r="C1731" s="14"/>
      <c r="D1731" s="1"/>
      <c r="E1731" s="149"/>
      <c r="F1731" s="153"/>
      <c r="G1731" s="10"/>
      <c r="H1731" s="17"/>
      <c r="I1731" s="17"/>
      <c r="J1731" s="17"/>
      <c r="K1731" s="30"/>
      <c r="L1731" s="30"/>
      <c r="M1731" s="30"/>
      <c r="N1731" s="30"/>
      <c r="O1731" s="30"/>
      <c r="P1731" s="30"/>
      <c r="Q1731" s="30"/>
      <c r="R1731" s="30"/>
      <c r="S1731" s="30"/>
      <c r="T1731" s="30"/>
      <c r="U1731" s="30"/>
      <c r="V1731" s="30"/>
      <c r="W1731" s="29"/>
      <c r="X1731" s="15"/>
      <c r="Y1731" s="30"/>
      <c r="Z1731" s="30"/>
      <c r="AA1731" s="30"/>
      <c r="AB1731" s="30"/>
      <c r="AC1731" s="17"/>
      <c r="AD1731" s="17"/>
      <c r="AE1731" s="17"/>
      <c r="AF1731" s="17"/>
      <c r="AG1731" s="20"/>
      <c r="AH1731" s="21"/>
      <c r="AI1731" s="21"/>
      <c r="AJ1731" s="21"/>
      <c r="AK1731" s="21"/>
      <c r="AL1731" s="21"/>
      <c r="AM1731" s="21"/>
      <c r="AN1731" s="21"/>
      <c r="AO1731" s="22"/>
      <c r="AP1731" s="21"/>
      <c r="AQ1731" s="24"/>
      <c r="AR1731" s="21"/>
      <c r="AS1731" s="21"/>
      <c r="AT1731" s="21"/>
      <c r="AU1731" s="21"/>
      <c r="AV1731" s="21"/>
      <c r="AW1731" s="21"/>
      <c r="AX1731" s="22"/>
      <c r="AY1731" s="21"/>
      <c r="AZ1731" s="22"/>
      <c r="BA1731" s="21"/>
      <c r="BB1731" s="20"/>
      <c r="BC1731" s="21"/>
      <c r="BD1731" s="25"/>
      <c r="BE1731" s="26"/>
      <c r="BF1731" s="27"/>
      <c r="BG1731" s="28"/>
    </row>
    <row r="1732" spans="1:59" customFormat="1" ht="15" x14ac:dyDescent="0.35">
      <c r="A1732" s="50"/>
      <c r="B1732" s="63"/>
      <c r="C1732" s="39"/>
      <c r="D1732" s="6"/>
      <c r="E1732" s="149"/>
      <c r="F1732" s="153"/>
      <c r="G1732" s="10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5"/>
      <c r="V1732" s="5"/>
      <c r="W1732" s="13"/>
      <c r="X1732" s="4"/>
      <c r="Y1732" s="4"/>
      <c r="Z1732" s="4"/>
      <c r="AA1732" s="6"/>
      <c r="AB1732" s="5"/>
      <c r="AC1732" s="9"/>
      <c r="AD1732" s="9"/>
      <c r="AE1732" s="9"/>
      <c r="AF1732" s="9"/>
      <c r="AG1732" s="54"/>
      <c r="AH1732" s="3"/>
      <c r="AI1732" s="2"/>
      <c r="AJ1732" s="2"/>
      <c r="AK1732" s="2"/>
      <c r="AL1732" s="3"/>
      <c r="AM1732" s="3"/>
      <c r="AN1732" s="3"/>
      <c r="AO1732" s="3"/>
      <c r="AP1732" s="3"/>
      <c r="AQ1732" s="59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53"/>
      <c r="BC1732" s="3"/>
      <c r="BD1732" s="59"/>
      <c r="BE1732" s="3"/>
      <c r="BF1732" s="53"/>
      <c r="BG1732" s="59"/>
    </row>
    <row r="1733" spans="1:59" customFormat="1" ht="15" x14ac:dyDescent="0.35">
      <c r="A1733" s="50"/>
      <c r="B1733" s="63"/>
      <c r="C1733" s="39"/>
      <c r="D1733" s="6"/>
      <c r="E1733" s="149"/>
      <c r="F1733" s="153"/>
      <c r="G1733" s="10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5"/>
      <c r="V1733" s="5"/>
      <c r="W1733" s="13"/>
      <c r="X1733" s="4"/>
      <c r="Y1733" s="4"/>
      <c r="Z1733" s="4"/>
      <c r="AA1733" s="6"/>
      <c r="AB1733" s="5"/>
      <c r="AC1733" s="9"/>
      <c r="AD1733" s="9"/>
      <c r="AE1733" s="9"/>
      <c r="AF1733" s="9"/>
      <c r="AG1733" s="54"/>
      <c r="AH1733" s="3"/>
      <c r="AI1733" s="2"/>
      <c r="AJ1733" s="2"/>
      <c r="AK1733" s="2"/>
      <c r="AL1733" s="3"/>
      <c r="AM1733" s="3"/>
      <c r="AN1733" s="3"/>
      <c r="AO1733" s="3"/>
      <c r="AP1733" s="3"/>
      <c r="AQ1733" s="59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53"/>
      <c r="BC1733" s="3"/>
      <c r="BD1733" s="59"/>
      <c r="BE1733" s="3"/>
      <c r="BF1733" s="53"/>
      <c r="BG1733" s="59"/>
    </row>
    <row r="1734" spans="1:59" customFormat="1" ht="15" x14ac:dyDescent="0.35">
      <c r="A1734" s="50"/>
      <c r="B1734" s="63"/>
      <c r="C1734" s="39"/>
      <c r="D1734" s="6"/>
      <c r="E1734" s="149"/>
      <c r="F1734" s="153"/>
      <c r="G1734" s="10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12"/>
      <c r="X1734" s="33"/>
      <c r="Y1734" s="6"/>
      <c r="Z1734" s="6"/>
      <c r="AA1734" s="6"/>
      <c r="AB1734" s="6"/>
      <c r="AC1734" s="9"/>
      <c r="AD1734" s="9"/>
      <c r="AE1734" s="9"/>
      <c r="AF1734" s="9"/>
      <c r="AG1734" s="5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59"/>
      <c r="AR1734" s="21"/>
      <c r="AS1734" s="21"/>
      <c r="AT1734" s="3"/>
      <c r="AU1734" s="3"/>
      <c r="AV1734" s="3"/>
      <c r="AW1734" s="3"/>
      <c r="AX1734" s="3"/>
      <c r="AY1734" s="3"/>
      <c r="AZ1734" s="3"/>
      <c r="BA1734" s="3"/>
      <c r="BB1734" s="53"/>
      <c r="BC1734" s="3"/>
      <c r="BD1734" s="59"/>
      <c r="BE1734" s="3"/>
      <c r="BF1734" s="53"/>
      <c r="BG1734" s="59"/>
    </row>
    <row r="1735" spans="1:59" customFormat="1" ht="15" x14ac:dyDescent="0.35">
      <c r="A1735" s="50"/>
      <c r="B1735" s="63"/>
      <c r="C1735" s="39"/>
      <c r="D1735" s="6"/>
      <c r="E1735" s="149"/>
      <c r="F1735" s="153"/>
      <c r="G1735" s="10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5"/>
      <c r="V1735" s="5"/>
      <c r="W1735" s="13"/>
      <c r="X1735" s="4"/>
      <c r="Y1735" s="4"/>
      <c r="Z1735" s="4"/>
      <c r="AA1735" s="6"/>
      <c r="AB1735" s="5"/>
      <c r="AC1735" s="9"/>
      <c r="AD1735" s="9"/>
      <c r="AE1735" s="9"/>
      <c r="AF1735" s="9"/>
      <c r="AG1735" s="54"/>
      <c r="AH1735" s="3"/>
      <c r="AI1735" s="2"/>
      <c r="AJ1735" s="2"/>
      <c r="AK1735" s="2"/>
      <c r="AL1735" s="3"/>
      <c r="AM1735" s="3"/>
      <c r="AN1735" s="3"/>
      <c r="AO1735" s="3"/>
      <c r="AP1735" s="3"/>
      <c r="AQ1735" s="59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53"/>
      <c r="BC1735" s="3"/>
      <c r="BD1735" s="59"/>
      <c r="BE1735" s="3"/>
      <c r="BF1735" s="53"/>
      <c r="BG1735" s="59"/>
    </row>
    <row r="1736" spans="1:59" customFormat="1" ht="15" x14ac:dyDescent="0.35">
      <c r="A1736" s="50"/>
      <c r="B1736" s="63"/>
      <c r="C1736" s="39"/>
      <c r="D1736" s="6"/>
      <c r="E1736" s="149"/>
      <c r="F1736" s="153"/>
      <c r="G1736" s="10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5"/>
      <c r="V1736" s="5"/>
      <c r="W1736" s="13"/>
      <c r="X1736" s="4"/>
      <c r="Y1736" s="4"/>
      <c r="Z1736" s="4"/>
      <c r="AA1736" s="6"/>
      <c r="AB1736" s="5"/>
      <c r="AC1736" s="9"/>
      <c r="AD1736" s="9"/>
      <c r="AE1736" s="9"/>
      <c r="AF1736" s="9"/>
      <c r="AG1736" s="54"/>
      <c r="AH1736" s="3"/>
      <c r="AI1736" s="2"/>
      <c r="AJ1736" s="2"/>
      <c r="AK1736" s="2"/>
      <c r="AL1736" s="3"/>
      <c r="AM1736" s="3"/>
      <c r="AN1736" s="3"/>
      <c r="AO1736" s="3"/>
      <c r="AP1736" s="3"/>
      <c r="AQ1736" s="59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53"/>
      <c r="BC1736" s="3"/>
      <c r="BD1736" s="59"/>
      <c r="BE1736" s="3"/>
      <c r="BF1736" s="53"/>
      <c r="BG1736" s="59"/>
    </row>
    <row r="1737" spans="1:59" customFormat="1" ht="15" x14ac:dyDescent="0.35">
      <c r="A1737" s="50"/>
      <c r="B1737" s="63"/>
      <c r="C1737" s="39"/>
      <c r="D1737" s="6"/>
      <c r="E1737" s="149"/>
      <c r="F1737" s="153"/>
      <c r="G1737" s="10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12"/>
      <c r="X1737" s="33"/>
      <c r="Y1737" s="6"/>
      <c r="Z1737" s="6"/>
      <c r="AA1737" s="6"/>
      <c r="AB1737" s="6"/>
      <c r="AC1737" s="9"/>
      <c r="AD1737" s="9"/>
      <c r="AE1737" s="9"/>
      <c r="AF1737" s="9"/>
      <c r="AG1737" s="5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59"/>
      <c r="AR1737" s="21"/>
      <c r="AS1737" s="21"/>
      <c r="AT1737" s="3"/>
      <c r="AU1737" s="3"/>
      <c r="AV1737" s="3"/>
      <c r="AW1737" s="3"/>
      <c r="AX1737" s="3"/>
      <c r="AY1737" s="3"/>
      <c r="AZ1737" s="3"/>
      <c r="BA1737" s="3"/>
      <c r="BB1737" s="53"/>
      <c r="BC1737" s="3"/>
      <c r="BD1737" s="59"/>
      <c r="BE1737" s="3"/>
      <c r="BF1737" s="53"/>
      <c r="BG1737" s="59"/>
    </row>
    <row r="1738" spans="1:59" customFormat="1" ht="15" x14ac:dyDescent="0.35">
      <c r="A1738" s="19"/>
      <c r="B1738" s="49"/>
      <c r="C1738" s="14"/>
      <c r="D1738" s="1"/>
      <c r="E1738" s="149"/>
      <c r="F1738" s="153"/>
      <c r="G1738" s="10"/>
      <c r="H1738" s="17"/>
      <c r="I1738" s="17"/>
      <c r="J1738" s="17"/>
      <c r="K1738" s="30"/>
      <c r="L1738" s="30"/>
      <c r="M1738" s="30"/>
      <c r="N1738" s="30"/>
      <c r="O1738" s="30"/>
      <c r="P1738" s="30"/>
      <c r="Q1738" s="30"/>
      <c r="R1738" s="30"/>
      <c r="S1738" s="30"/>
      <c r="T1738" s="30"/>
      <c r="U1738" s="30"/>
      <c r="V1738" s="30"/>
      <c r="W1738" s="29"/>
      <c r="X1738" s="15"/>
      <c r="Y1738" s="30"/>
      <c r="Z1738" s="30"/>
      <c r="AA1738" s="30"/>
      <c r="AB1738" s="30"/>
      <c r="AC1738" s="17"/>
      <c r="AD1738" s="17"/>
      <c r="AE1738" s="17"/>
      <c r="AF1738" s="17"/>
      <c r="AG1738" s="20"/>
      <c r="AH1738" s="21"/>
      <c r="AI1738" s="21"/>
      <c r="AJ1738" s="21"/>
      <c r="AK1738" s="21"/>
      <c r="AL1738" s="21"/>
      <c r="AM1738" s="21"/>
      <c r="AN1738" s="21"/>
      <c r="AO1738" s="22"/>
      <c r="AP1738" s="21"/>
      <c r="AQ1738" s="24"/>
      <c r="AR1738" s="21"/>
      <c r="AS1738" s="21"/>
      <c r="AT1738" s="21"/>
      <c r="AU1738" s="21"/>
      <c r="AV1738" s="21"/>
      <c r="AW1738" s="21"/>
      <c r="AX1738" s="22"/>
      <c r="AY1738" s="21"/>
      <c r="AZ1738" s="22"/>
      <c r="BA1738" s="21"/>
      <c r="BB1738" s="20"/>
      <c r="BC1738" s="21"/>
      <c r="BD1738" s="25"/>
      <c r="BE1738" s="26"/>
      <c r="BF1738" s="27"/>
      <c r="BG1738" s="28"/>
    </row>
    <row r="1739" spans="1:59" s="14" customFormat="1" x14ac:dyDescent="0.3">
      <c r="A1739" s="50"/>
      <c r="B1739" s="63"/>
      <c r="C1739" s="39"/>
      <c r="D1739" s="6"/>
      <c r="E1739" s="149"/>
      <c r="F1739" s="153"/>
      <c r="G1739" s="10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5"/>
      <c r="V1739" s="5"/>
      <c r="W1739" s="13"/>
      <c r="X1739" s="4"/>
      <c r="Y1739" s="4"/>
      <c r="Z1739" s="4"/>
      <c r="AA1739" s="6"/>
      <c r="AB1739" s="5"/>
      <c r="AC1739" s="9"/>
      <c r="AD1739" s="9"/>
      <c r="AE1739" s="9"/>
      <c r="AF1739" s="9"/>
      <c r="AG1739" s="54"/>
      <c r="AH1739" s="3"/>
      <c r="AI1739" s="2"/>
      <c r="AJ1739" s="2"/>
      <c r="AK1739" s="2"/>
      <c r="AL1739" s="3"/>
      <c r="AM1739" s="3"/>
      <c r="AN1739" s="3"/>
      <c r="AO1739" s="3"/>
      <c r="AP1739" s="3"/>
      <c r="AQ1739" s="59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53"/>
      <c r="BC1739" s="3"/>
      <c r="BD1739" s="59"/>
      <c r="BE1739" s="3"/>
      <c r="BF1739" s="53"/>
      <c r="BG1739" s="59"/>
    </row>
    <row r="1740" spans="1:59" customFormat="1" ht="15" x14ac:dyDescent="0.35">
      <c r="A1740" s="50"/>
      <c r="B1740" s="63"/>
      <c r="C1740" s="39"/>
      <c r="D1740" s="6"/>
      <c r="E1740" s="149"/>
      <c r="F1740" s="153"/>
      <c r="G1740" s="10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5"/>
      <c r="V1740" s="5"/>
      <c r="W1740" s="13"/>
      <c r="X1740" s="4"/>
      <c r="Y1740" s="4"/>
      <c r="Z1740" s="4"/>
      <c r="AA1740" s="6"/>
      <c r="AB1740" s="5"/>
      <c r="AC1740" s="9"/>
      <c r="AD1740" s="9"/>
      <c r="AE1740" s="9"/>
      <c r="AF1740" s="9"/>
      <c r="AG1740" s="54"/>
      <c r="AH1740" s="3"/>
      <c r="AI1740" s="2"/>
      <c r="AJ1740" s="2"/>
      <c r="AK1740" s="2"/>
      <c r="AL1740" s="3"/>
      <c r="AM1740" s="3"/>
      <c r="AN1740" s="3"/>
      <c r="AO1740" s="3"/>
      <c r="AP1740" s="3"/>
      <c r="AQ1740" s="59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53"/>
      <c r="BC1740" s="3"/>
      <c r="BD1740" s="59"/>
      <c r="BE1740" s="3"/>
      <c r="BF1740" s="53"/>
      <c r="BG1740" s="59"/>
    </row>
    <row r="1741" spans="1:59" customFormat="1" ht="15" x14ac:dyDescent="0.35">
      <c r="A1741" s="50"/>
      <c r="B1741" s="63"/>
      <c r="C1741" s="39"/>
      <c r="D1741" s="6"/>
      <c r="E1741" s="149"/>
      <c r="F1741" s="153"/>
      <c r="G1741" s="10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5"/>
      <c r="V1741" s="5"/>
      <c r="W1741" s="13"/>
      <c r="X1741" s="4"/>
      <c r="Y1741" s="4"/>
      <c r="Z1741" s="4"/>
      <c r="AA1741" s="6"/>
      <c r="AB1741" s="5"/>
      <c r="AC1741" s="9"/>
      <c r="AD1741" s="9"/>
      <c r="AE1741" s="9"/>
      <c r="AF1741" s="9"/>
      <c r="AG1741" s="54"/>
      <c r="AH1741" s="3"/>
      <c r="AI1741" s="2"/>
      <c r="AJ1741" s="2"/>
      <c r="AK1741" s="2"/>
      <c r="AL1741" s="3"/>
      <c r="AM1741" s="3"/>
      <c r="AN1741" s="3"/>
      <c r="AO1741" s="3"/>
      <c r="AP1741" s="3"/>
      <c r="AQ1741" s="59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53"/>
      <c r="BC1741" s="3"/>
      <c r="BD1741" s="59"/>
      <c r="BE1741" s="3"/>
      <c r="BF1741" s="53"/>
      <c r="BG1741" s="59"/>
    </row>
    <row r="1742" spans="1:59" customFormat="1" ht="15" x14ac:dyDescent="0.35">
      <c r="A1742" s="50"/>
      <c r="B1742" s="63"/>
      <c r="C1742" s="39"/>
      <c r="D1742" s="6"/>
      <c r="E1742" s="149"/>
      <c r="F1742" s="153"/>
      <c r="G1742" s="10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5"/>
      <c r="V1742" s="5"/>
      <c r="W1742" s="13"/>
      <c r="X1742" s="4"/>
      <c r="Y1742" s="4"/>
      <c r="Z1742" s="4"/>
      <c r="AA1742" s="6"/>
      <c r="AB1742" s="5"/>
      <c r="AC1742" s="9"/>
      <c r="AD1742" s="9"/>
      <c r="AE1742" s="9"/>
      <c r="AF1742" s="9"/>
      <c r="AG1742" s="54"/>
      <c r="AH1742" s="3"/>
      <c r="AI1742" s="2"/>
      <c r="AJ1742" s="2"/>
      <c r="AK1742" s="2"/>
      <c r="AL1742" s="3"/>
      <c r="AM1742" s="3"/>
      <c r="AN1742" s="3"/>
      <c r="AO1742" s="3"/>
      <c r="AP1742" s="3"/>
      <c r="AQ1742" s="59"/>
      <c r="AR1742" s="21"/>
      <c r="AS1742" s="21"/>
      <c r="AT1742" s="3"/>
      <c r="AU1742" s="3"/>
      <c r="AV1742" s="3"/>
      <c r="AW1742" s="3"/>
      <c r="AX1742" s="3"/>
      <c r="AY1742" s="3"/>
      <c r="AZ1742" s="3"/>
      <c r="BA1742" s="3"/>
      <c r="BB1742" s="53"/>
      <c r="BC1742" s="3"/>
      <c r="BD1742" s="59"/>
      <c r="BE1742" s="3"/>
      <c r="BF1742" s="53"/>
      <c r="BG1742" s="59"/>
    </row>
    <row r="1743" spans="1:59" customFormat="1" ht="15" x14ac:dyDescent="0.35">
      <c r="A1743" s="50"/>
      <c r="B1743" s="63"/>
      <c r="C1743" s="39"/>
      <c r="D1743" s="6"/>
      <c r="E1743" s="149"/>
      <c r="F1743" s="153"/>
      <c r="G1743" s="10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5"/>
      <c r="V1743" s="5"/>
      <c r="W1743" s="13"/>
      <c r="X1743" s="4"/>
      <c r="Y1743" s="4"/>
      <c r="Z1743" s="4"/>
      <c r="AA1743" s="6"/>
      <c r="AB1743" s="5"/>
      <c r="AC1743" s="9"/>
      <c r="AD1743" s="9"/>
      <c r="AE1743" s="9"/>
      <c r="AF1743" s="9"/>
      <c r="AG1743" s="54"/>
      <c r="AH1743" s="3"/>
      <c r="AI1743" s="2"/>
      <c r="AJ1743" s="2"/>
      <c r="AK1743" s="2"/>
      <c r="AL1743" s="3"/>
      <c r="AM1743" s="3"/>
      <c r="AN1743" s="3"/>
      <c r="AO1743" s="3"/>
      <c r="AP1743" s="3"/>
      <c r="AQ1743" s="59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53"/>
      <c r="BC1743" s="3"/>
      <c r="BD1743" s="59"/>
      <c r="BE1743" s="3"/>
      <c r="BF1743" s="53"/>
      <c r="BG1743" s="59"/>
    </row>
    <row r="1744" spans="1:59" customFormat="1" ht="15" x14ac:dyDescent="0.35">
      <c r="A1744" s="19"/>
      <c r="B1744" s="49"/>
      <c r="C1744" s="14"/>
      <c r="D1744" s="1"/>
      <c r="E1744" s="149"/>
      <c r="F1744" s="153"/>
      <c r="G1744" s="10"/>
      <c r="H1744" s="17"/>
      <c r="I1744" s="17"/>
      <c r="J1744" s="17"/>
      <c r="K1744" s="30"/>
      <c r="L1744" s="30"/>
      <c r="M1744" s="30"/>
      <c r="N1744" s="30"/>
      <c r="O1744" s="30"/>
      <c r="P1744" s="30"/>
      <c r="Q1744" s="30"/>
      <c r="R1744" s="30"/>
      <c r="S1744" s="30"/>
      <c r="T1744" s="30"/>
      <c r="U1744" s="30"/>
      <c r="V1744" s="30"/>
      <c r="W1744" s="29"/>
      <c r="X1744" s="15"/>
      <c r="Y1744" s="30"/>
      <c r="Z1744" s="30"/>
      <c r="AA1744" s="30"/>
      <c r="AB1744" s="30"/>
      <c r="AC1744" s="17"/>
      <c r="AD1744" s="17"/>
      <c r="AE1744" s="17"/>
      <c r="AF1744" s="17"/>
      <c r="AG1744" s="20"/>
      <c r="AH1744" s="21"/>
      <c r="AI1744" s="21"/>
      <c r="AJ1744" s="21"/>
      <c r="AK1744" s="21"/>
      <c r="AL1744" s="21"/>
      <c r="AM1744" s="21"/>
      <c r="AN1744" s="21"/>
      <c r="AO1744" s="22"/>
      <c r="AP1744" s="21"/>
      <c r="AQ1744" s="24"/>
      <c r="AR1744" s="21"/>
      <c r="AS1744" s="21"/>
      <c r="AT1744" s="21"/>
      <c r="AU1744" s="21"/>
      <c r="AV1744" s="21"/>
      <c r="AW1744" s="21"/>
      <c r="AX1744" s="22"/>
      <c r="AY1744" s="21"/>
      <c r="AZ1744" s="22"/>
      <c r="BA1744" s="21"/>
      <c r="BB1744" s="20"/>
      <c r="BC1744" s="21"/>
      <c r="BD1744" s="25"/>
      <c r="BE1744" s="26"/>
      <c r="BF1744" s="27"/>
      <c r="BG1744" s="28"/>
    </row>
    <row r="1745" spans="1:59" customFormat="1" ht="15" x14ac:dyDescent="0.35">
      <c r="A1745" s="50"/>
      <c r="B1745" s="63"/>
      <c r="C1745" s="39"/>
      <c r="D1745" s="6"/>
      <c r="E1745" s="149"/>
      <c r="F1745" s="153"/>
      <c r="G1745" s="10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5"/>
      <c r="V1745" s="5"/>
      <c r="W1745" s="13"/>
      <c r="X1745" s="4"/>
      <c r="Y1745" s="4"/>
      <c r="Z1745" s="4"/>
      <c r="AA1745" s="6"/>
      <c r="AB1745" s="5"/>
      <c r="AC1745" s="9"/>
      <c r="AD1745" s="9"/>
      <c r="AE1745" s="9"/>
      <c r="AF1745" s="9"/>
      <c r="AG1745" s="54"/>
      <c r="AH1745" s="3"/>
      <c r="AI1745" s="2"/>
      <c r="AJ1745" s="2"/>
      <c r="AK1745" s="2"/>
      <c r="AL1745" s="3"/>
      <c r="AM1745" s="3"/>
      <c r="AN1745" s="3"/>
      <c r="AO1745" s="3"/>
      <c r="AP1745" s="3"/>
      <c r="AQ1745" s="59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53"/>
      <c r="BC1745" s="3"/>
      <c r="BD1745" s="59"/>
      <c r="BE1745" s="3"/>
      <c r="BF1745" s="53"/>
      <c r="BG1745" s="59"/>
    </row>
    <row r="1746" spans="1:59" customFormat="1" ht="15" x14ac:dyDescent="0.35">
      <c r="A1746" s="50"/>
      <c r="B1746" s="63"/>
      <c r="C1746" s="39"/>
      <c r="D1746" s="6"/>
      <c r="E1746" s="149"/>
      <c r="F1746" s="153"/>
      <c r="G1746" s="10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12"/>
      <c r="X1746" s="33"/>
      <c r="Y1746" s="6"/>
      <c r="Z1746" s="6"/>
      <c r="AA1746" s="6"/>
      <c r="AB1746" s="6"/>
      <c r="AC1746" s="9"/>
      <c r="AD1746" s="9"/>
      <c r="AE1746" s="9"/>
      <c r="AF1746" s="9"/>
      <c r="AG1746" s="5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59"/>
      <c r="AR1746" s="21"/>
      <c r="AS1746" s="21"/>
      <c r="AT1746" s="3"/>
      <c r="AU1746" s="3"/>
      <c r="AV1746" s="3"/>
      <c r="AW1746" s="3"/>
      <c r="AX1746" s="3"/>
      <c r="AY1746" s="3"/>
      <c r="AZ1746" s="3"/>
      <c r="BA1746" s="3"/>
      <c r="BB1746" s="53"/>
      <c r="BC1746" s="3"/>
      <c r="BD1746" s="59"/>
      <c r="BE1746" s="3"/>
      <c r="BF1746" s="53"/>
      <c r="BG1746" s="59"/>
    </row>
    <row r="1747" spans="1:59" customFormat="1" ht="15" x14ac:dyDescent="0.35">
      <c r="A1747" s="50"/>
      <c r="B1747" s="63"/>
      <c r="C1747" s="39"/>
      <c r="D1747" s="6"/>
      <c r="E1747" s="149"/>
      <c r="F1747" s="153"/>
      <c r="G1747" s="10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12"/>
      <c r="X1747" s="33"/>
      <c r="Y1747" s="6"/>
      <c r="Z1747" s="6"/>
      <c r="AA1747" s="6"/>
      <c r="AB1747" s="6"/>
      <c r="AC1747" s="9"/>
      <c r="AD1747" s="9"/>
      <c r="AE1747" s="9"/>
      <c r="AF1747" s="9"/>
      <c r="AG1747" s="5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59"/>
      <c r="AR1747" s="21"/>
      <c r="AS1747" s="21"/>
      <c r="AT1747" s="3"/>
      <c r="AU1747" s="3"/>
      <c r="AV1747" s="3"/>
      <c r="AW1747" s="3"/>
      <c r="AX1747" s="3"/>
      <c r="AY1747" s="3"/>
      <c r="AZ1747" s="3"/>
      <c r="BA1747" s="3"/>
      <c r="BB1747" s="53"/>
      <c r="BC1747" s="3"/>
      <c r="BD1747" s="59"/>
      <c r="BE1747" s="3"/>
      <c r="BF1747" s="53"/>
      <c r="BG1747" s="59"/>
    </row>
    <row r="1748" spans="1:59" customFormat="1" ht="15" x14ac:dyDescent="0.35">
      <c r="A1748" s="50"/>
      <c r="B1748" s="63"/>
      <c r="C1748" s="39"/>
      <c r="D1748" s="6"/>
      <c r="E1748" s="149"/>
      <c r="F1748" s="153"/>
      <c r="G1748" s="10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5"/>
      <c r="V1748" s="5"/>
      <c r="W1748" s="13"/>
      <c r="X1748" s="4"/>
      <c r="Y1748" s="4"/>
      <c r="Z1748" s="4"/>
      <c r="AA1748" s="6"/>
      <c r="AB1748" s="5"/>
      <c r="AC1748" s="9"/>
      <c r="AD1748" s="9"/>
      <c r="AE1748" s="9"/>
      <c r="AF1748" s="9"/>
      <c r="AG1748" s="54"/>
      <c r="AH1748" s="3"/>
      <c r="AI1748" s="2"/>
      <c r="AJ1748" s="2"/>
      <c r="AK1748" s="2"/>
      <c r="AL1748" s="3"/>
      <c r="AM1748" s="3"/>
      <c r="AN1748" s="3"/>
      <c r="AO1748" s="3"/>
      <c r="AP1748" s="3"/>
      <c r="AQ1748" s="59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53"/>
      <c r="BC1748" s="3"/>
      <c r="BD1748" s="59"/>
      <c r="BE1748" s="3"/>
      <c r="BF1748" s="53"/>
      <c r="BG1748" s="59"/>
    </row>
    <row r="1749" spans="1:59" customFormat="1" ht="15" x14ac:dyDescent="0.35">
      <c r="A1749" s="50"/>
      <c r="B1749" s="63"/>
      <c r="C1749" s="39"/>
      <c r="D1749" s="6"/>
      <c r="E1749" s="149"/>
      <c r="F1749" s="153"/>
      <c r="G1749" s="10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5"/>
      <c r="V1749" s="5"/>
      <c r="W1749" s="13"/>
      <c r="X1749" s="4"/>
      <c r="Y1749" s="4"/>
      <c r="Z1749" s="4"/>
      <c r="AA1749" s="6"/>
      <c r="AB1749" s="5"/>
      <c r="AC1749" s="9"/>
      <c r="AD1749" s="9"/>
      <c r="AE1749" s="9"/>
      <c r="AF1749" s="9"/>
      <c r="AG1749" s="54"/>
      <c r="AH1749" s="3"/>
      <c r="AI1749" s="2"/>
      <c r="AJ1749" s="2"/>
      <c r="AK1749" s="2"/>
      <c r="AL1749" s="3"/>
      <c r="AM1749" s="3"/>
      <c r="AN1749" s="3"/>
      <c r="AO1749" s="3"/>
      <c r="AP1749" s="3"/>
      <c r="AQ1749" s="59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53"/>
      <c r="BC1749" s="3"/>
      <c r="BD1749" s="59"/>
      <c r="BE1749" s="3"/>
      <c r="BF1749" s="53"/>
      <c r="BG1749" s="59"/>
    </row>
    <row r="1750" spans="1:59" customFormat="1" ht="15" x14ac:dyDescent="0.35">
      <c r="A1750" s="50"/>
      <c r="B1750" s="63"/>
      <c r="C1750" s="39"/>
      <c r="D1750" s="6"/>
      <c r="E1750" s="149"/>
      <c r="F1750" s="153"/>
      <c r="G1750" s="10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5"/>
      <c r="V1750" s="5"/>
      <c r="W1750" s="13"/>
      <c r="X1750" s="4"/>
      <c r="Y1750" s="4"/>
      <c r="Z1750" s="4"/>
      <c r="AA1750" s="6"/>
      <c r="AB1750" s="5"/>
      <c r="AC1750" s="9"/>
      <c r="AD1750" s="9"/>
      <c r="AE1750" s="9"/>
      <c r="AF1750" s="9"/>
      <c r="AG1750" s="54"/>
      <c r="AH1750" s="3"/>
      <c r="AI1750" s="2"/>
      <c r="AJ1750" s="2"/>
      <c r="AK1750" s="2"/>
      <c r="AL1750" s="3"/>
      <c r="AM1750" s="3"/>
      <c r="AN1750" s="3"/>
      <c r="AO1750" s="3"/>
      <c r="AP1750" s="3"/>
      <c r="AQ1750" s="59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53"/>
      <c r="BC1750" s="3"/>
      <c r="BD1750" s="59"/>
      <c r="BE1750" s="3"/>
      <c r="BF1750" s="53"/>
      <c r="BG1750" s="59"/>
    </row>
    <row r="1751" spans="1:59" customFormat="1" ht="15" x14ac:dyDescent="0.35">
      <c r="A1751" s="50"/>
      <c r="B1751" s="63"/>
      <c r="C1751" s="39"/>
      <c r="D1751" s="6"/>
      <c r="E1751" s="149"/>
      <c r="F1751" s="153"/>
      <c r="G1751" s="10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5"/>
      <c r="V1751" s="5"/>
      <c r="W1751" s="13"/>
      <c r="X1751" s="4"/>
      <c r="Y1751" s="4"/>
      <c r="Z1751" s="4"/>
      <c r="AA1751" s="6"/>
      <c r="AB1751" s="5"/>
      <c r="AC1751" s="9"/>
      <c r="AD1751" s="9"/>
      <c r="AE1751" s="9"/>
      <c r="AF1751" s="9"/>
      <c r="AG1751" s="54"/>
      <c r="AH1751" s="3"/>
      <c r="AI1751" s="2"/>
      <c r="AJ1751" s="2"/>
      <c r="AK1751" s="2"/>
      <c r="AL1751" s="3"/>
      <c r="AM1751" s="3"/>
      <c r="AN1751" s="3"/>
      <c r="AO1751" s="3"/>
      <c r="AP1751" s="3"/>
      <c r="AQ1751" s="59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53"/>
      <c r="BC1751" s="3"/>
      <c r="BD1751" s="59"/>
      <c r="BE1751" s="3"/>
      <c r="BF1751" s="53"/>
      <c r="BG1751" s="59"/>
    </row>
    <row r="1752" spans="1:59" customFormat="1" ht="15" x14ac:dyDescent="0.35">
      <c r="A1752" s="19"/>
      <c r="B1752" s="49"/>
      <c r="C1752" s="39"/>
      <c r="D1752" s="1"/>
      <c r="E1752" s="149"/>
      <c r="F1752" s="153"/>
      <c r="G1752" s="10"/>
      <c r="H1752" s="17"/>
      <c r="I1752" s="17"/>
      <c r="J1752" s="17"/>
      <c r="K1752" s="30"/>
      <c r="L1752" s="30"/>
      <c r="M1752" s="30"/>
      <c r="N1752" s="30"/>
      <c r="O1752" s="30"/>
      <c r="P1752" s="30"/>
      <c r="Q1752" s="30"/>
      <c r="R1752" s="30"/>
      <c r="S1752" s="30"/>
      <c r="T1752" s="30"/>
      <c r="U1752" s="30"/>
      <c r="V1752" s="30"/>
      <c r="W1752" s="29"/>
      <c r="X1752" s="15"/>
      <c r="Y1752" s="30"/>
      <c r="Z1752" s="30"/>
      <c r="AA1752" s="30"/>
      <c r="AB1752" s="30"/>
      <c r="AC1752" s="17"/>
      <c r="AD1752" s="17"/>
      <c r="AE1752" s="17"/>
      <c r="AF1752" s="17"/>
      <c r="AG1752" s="20"/>
      <c r="AH1752" s="21"/>
      <c r="AI1752" s="21"/>
      <c r="AJ1752" s="21"/>
      <c r="AK1752" s="21"/>
      <c r="AL1752" s="21"/>
      <c r="AM1752" s="21"/>
      <c r="AN1752" s="21"/>
      <c r="AO1752" s="22"/>
      <c r="AP1752" s="21"/>
      <c r="AQ1752" s="24"/>
      <c r="AR1752" s="21"/>
      <c r="AS1752" s="21"/>
      <c r="AT1752" s="21"/>
      <c r="AU1752" s="21"/>
      <c r="AV1752" s="21"/>
      <c r="AW1752" s="21"/>
      <c r="AX1752" s="22"/>
      <c r="AY1752" s="21"/>
      <c r="AZ1752" s="22"/>
      <c r="BA1752" s="21"/>
      <c r="BB1752" s="20"/>
      <c r="BC1752" s="21"/>
      <c r="BD1752" s="25"/>
      <c r="BE1752" s="26"/>
      <c r="BF1752" s="27"/>
      <c r="BG1752" s="28"/>
    </row>
    <row r="1753" spans="1:59" customFormat="1" ht="15" x14ac:dyDescent="0.35">
      <c r="A1753" s="50"/>
      <c r="B1753" s="63"/>
      <c r="C1753" s="39"/>
      <c r="D1753" s="6"/>
      <c r="E1753" s="149"/>
      <c r="F1753" s="153"/>
      <c r="G1753" s="10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12"/>
      <c r="X1753" s="33"/>
      <c r="Y1753" s="6"/>
      <c r="Z1753" s="6"/>
      <c r="AA1753" s="6"/>
      <c r="AB1753" s="6"/>
      <c r="AC1753" s="9"/>
      <c r="AD1753" s="9"/>
      <c r="AE1753" s="9"/>
      <c r="AF1753" s="9"/>
      <c r="AG1753" s="5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59"/>
      <c r="AR1753" s="21"/>
      <c r="AS1753" s="21"/>
      <c r="AT1753" s="3"/>
      <c r="AU1753" s="3"/>
      <c r="AV1753" s="3"/>
      <c r="AW1753" s="3"/>
      <c r="AX1753" s="3"/>
      <c r="AY1753" s="3"/>
      <c r="AZ1753" s="3"/>
      <c r="BA1753" s="3"/>
      <c r="BB1753" s="53"/>
      <c r="BC1753" s="3"/>
      <c r="BD1753" s="59"/>
      <c r="BE1753" s="3"/>
      <c r="BF1753" s="53"/>
      <c r="BG1753" s="59"/>
    </row>
    <row r="1754" spans="1:59" customFormat="1" ht="15" x14ac:dyDescent="0.35">
      <c r="A1754" s="50"/>
      <c r="B1754" s="63"/>
      <c r="C1754" s="39"/>
      <c r="D1754" s="6"/>
      <c r="E1754" s="149"/>
      <c r="F1754" s="153"/>
      <c r="G1754" s="10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12"/>
      <c r="X1754" s="33"/>
      <c r="Y1754" s="6"/>
      <c r="Z1754" s="6"/>
      <c r="AA1754" s="6"/>
      <c r="AB1754" s="6"/>
      <c r="AC1754" s="9"/>
      <c r="AD1754" s="9"/>
      <c r="AE1754" s="9"/>
      <c r="AF1754" s="9"/>
      <c r="AG1754" s="5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59"/>
      <c r="AR1754" s="21"/>
      <c r="AS1754" s="21"/>
      <c r="AT1754" s="3"/>
      <c r="AU1754" s="3"/>
      <c r="AV1754" s="3"/>
      <c r="AW1754" s="3"/>
      <c r="AX1754" s="3"/>
      <c r="AY1754" s="3"/>
      <c r="AZ1754" s="3"/>
      <c r="BA1754" s="3"/>
      <c r="BB1754" s="53"/>
      <c r="BC1754" s="3"/>
      <c r="BD1754" s="59"/>
      <c r="BE1754" s="3"/>
      <c r="BF1754" s="53"/>
      <c r="BG1754" s="59"/>
    </row>
    <row r="1755" spans="1:59" customFormat="1" ht="15" x14ac:dyDescent="0.35">
      <c r="A1755" s="50"/>
      <c r="B1755" s="63"/>
      <c r="C1755" s="39"/>
      <c r="D1755" s="6"/>
      <c r="E1755" s="149"/>
      <c r="F1755" s="153"/>
      <c r="G1755" s="10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5"/>
      <c r="V1755" s="5"/>
      <c r="W1755" s="13"/>
      <c r="X1755" s="4"/>
      <c r="Y1755" s="4"/>
      <c r="Z1755" s="4"/>
      <c r="AA1755" s="6"/>
      <c r="AB1755" s="5"/>
      <c r="AC1755" s="9"/>
      <c r="AD1755" s="9"/>
      <c r="AE1755" s="9"/>
      <c r="AF1755" s="9"/>
      <c r="AG1755" s="54"/>
      <c r="AH1755" s="3"/>
      <c r="AI1755" s="2"/>
      <c r="AJ1755" s="2"/>
      <c r="AK1755" s="2"/>
      <c r="AL1755" s="3"/>
      <c r="AM1755" s="3"/>
      <c r="AN1755" s="3"/>
      <c r="AO1755" s="3"/>
      <c r="AP1755" s="3"/>
      <c r="AQ1755" s="59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53"/>
      <c r="BC1755" s="3"/>
      <c r="BD1755" s="59"/>
      <c r="BE1755" s="3"/>
      <c r="BF1755" s="53"/>
      <c r="BG1755" s="59"/>
    </row>
    <row r="1756" spans="1:59" customFormat="1" ht="15" x14ac:dyDescent="0.35">
      <c r="A1756" s="50"/>
      <c r="B1756" s="63"/>
      <c r="C1756" s="39"/>
      <c r="D1756" s="6"/>
      <c r="E1756" s="149"/>
      <c r="F1756" s="153"/>
      <c r="G1756" s="10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5"/>
      <c r="V1756" s="5"/>
      <c r="W1756" s="13"/>
      <c r="X1756" s="4"/>
      <c r="Y1756" s="4"/>
      <c r="Z1756" s="4"/>
      <c r="AA1756" s="6"/>
      <c r="AB1756" s="5"/>
      <c r="AC1756" s="9"/>
      <c r="AD1756" s="9"/>
      <c r="AE1756" s="9"/>
      <c r="AF1756" s="9"/>
      <c r="AG1756" s="54"/>
      <c r="AH1756" s="3"/>
      <c r="AI1756" s="2"/>
      <c r="AJ1756" s="2"/>
      <c r="AK1756" s="2"/>
      <c r="AL1756" s="3"/>
      <c r="AM1756" s="3"/>
      <c r="AN1756" s="3"/>
      <c r="AO1756" s="3"/>
      <c r="AP1756" s="3"/>
      <c r="AQ1756" s="59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53"/>
      <c r="BC1756" s="3"/>
      <c r="BD1756" s="59"/>
      <c r="BE1756" s="3"/>
      <c r="BF1756" s="53"/>
      <c r="BG1756" s="59"/>
    </row>
    <row r="1757" spans="1:59" customFormat="1" ht="15" x14ac:dyDescent="0.35">
      <c r="A1757" s="50"/>
      <c r="B1757" s="63"/>
      <c r="C1757" s="39"/>
      <c r="D1757" s="6"/>
      <c r="E1757" s="149"/>
      <c r="F1757" s="153"/>
      <c r="G1757" s="10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5"/>
      <c r="V1757" s="5"/>
      <c r="W1757" s="13"/>
      <c r="X1757" s="4"/>
      <c r="Y1757" s="4"/>
      <c r="Z1757" s="4"/>
      <c r="AA1757" s="6"/>
      <c r="AB1757" s="5"/>
      <c r="AC1757" s="9"/>
      <c r="AD1757" s="9"/>
      <c r="AE1757" s="9"/>
      <c r="AF1757" s="9"/>
      <c r="AG1757" s="54"/>
      <c r="AH1757" s="3"/>
      <c r="AI1757" s="2"/>
      <c r="AJ1757" s="2"/>
      <c r="AK1757" s="2"/>
      <c r="AL1757" s="3"/>
      <c r="AM1757" s="3"/>
      <c r="AN1757" s="3"/>
      <c r="AO1757" s="3"/>
      <c r="AP1757" s="3"/>
      <c r="AQ1757" s="59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53"/>
      <c r="BC1757" s="3"/>
      <c r="BD1757" s="59"/>
      <c r="BE1757" s="3"/>
      <c r="BF1757" s="53"/>
      <c r="BG1757" s="59"/>
    </row>
    <row r="1758" spans="1:59" customFormat="1" ht="15" x14ac:dyDescent="0.35">
      <c r="A1758" s="50"/>
      <c r="B1758" s="63"/>
      <c r="C1758" s="39"/>
      <c r="D1758" s="6"/>
      <c r="E1758" s="149"/>
      <c r="F1758" s="153"/>
      <c r="G1758" s="10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12"/>
      <c r="X1758" s="33"/>
      <c r="Y1758" s="6"/>
      <c r="Z1758" s="6"/>
      <c r="AA1758" s="6"/>
      <c r="AB1758" s="6"/>
      <c r="AC1758" s="9"/>
      <c r="AD1758" s="9"/>
      <c r="AE1758" s="9"/>
      <c r="AF1758" s="9"/>
      <c r="AG1758" s="5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59"/>
      <c r="AR1758" s="21"/>
      <c r="AS1758" s="21"/>
      <c r="AT1758" s="3"/>
      <c r="AU1758" s="3"/>
      <c r="AV1758" s="3"/>
      <c r="AW1758" s="3"/>
      <c r="AX1758" s="3"/>
      <c r="AY1758" s="3"/>
      <c r="AZ1758" s="3"/>
      <c r="BA1758" s="3"/>
      <c r="BB1758" s="53"/>
      <c r="BC1758" s="3"/>
      <c r="BD1758" s="59"/>
      <c r="BE1758" s="3"/>
      <c r="BF1758" s="53"/>
      <c r="BG1758" s="59"/>
    </row>
    <row r="1759" spans="1:59" customFormat="1" ht="15" x14ac:dyDescent="0.35">
      <c r="A1759" s="50"/>
      <c r="B1759" s="63"/>
      <c r="C1759" s="39"/>
      <c r="D1759" s="6"/>
      <c r="E1759" s="149"/>
      <c r="F1759" s="153"/>
      <c r="G1759" s="10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12"/>
      <c r="X1759" s="33"/>
      <c r="Y1759" s="6"/>
      <c r="Z1759" s="6"/>
      <c r="AA1759" s="6"/>
      <c r="AB1759" s="6"/>
      <c r="AC1759" s="9"/>
      <c r="AD1759" s="9"/>
      <c r="AE1759" s="9"/>
      <c r="AF1759" s="9"/>
      <c r="AG1759" s="5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59"/>
      <c r="AR1759" s="21"/>
      <c r="AS1759" s="21"/>
      <c r="AT1759" s="3"/>
      <c r="AU1759" s="3"/>
      <c r="AV1759" s="3"/>
      <c r="AW1759" s="3"/>
      <c r="AX1759" s="3"/>
      <c r="AY1759" s="3"/>
      <c r="AZ1759" s="3"/>
      <c r="BA1759" s="3"/>
      <c r="BB1759" s="53"/>
      <c r="BC1759" s="3"/>
      <c r="BD1759" s="59"/>
      <c r="BE1759" s="3"/>
      <c r="BF1759" s="53"/>
      <c r="BG1759" s="59"/>
    </row>
    <row r="1760" spans="1:59" customFormat="1" ht="15" x14ac:dyDescent="0.35">
      <c r="A1760" s="50"/>
      <c r="B1760" s="63"/>
      <c r="C1760" s="39"/>
      <c r="D1760" s="6"/>
      <c r="E1760" s="149"/>
      <c r="F1760" s="153"/>
      <c r="G1760" s="10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12"/>
      <c r="X1760" s="33"/>
      <c r="Y1760" s="6"/>
      <c r="Z1760" s="6"/>
      <c r="AA1760" s="6"/>
      <c r="AB1760" s="6"/>
      <c r="AC1760" s="9"/>
      <c r="AD1760" s="9"/>
      <c r="AE1760" s="9"/>
      <c r="AF1760" s="9"/>
      <c r="AG1760" s="5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59"/>
      <c r="AR1760" s="21"/>
      <c r="AS1760" s="21"/>
      <c r="AT1760" s="3"/>
      <c r="AU1760" s="3"/>
      <c r="AV1760" s="3"/>
      <c r="AW1760" s="3"/>
      <c r="AX1760" s="3"/>
      <c r="AY1760" s="3"/>
      <c r="AZ1760" s="3"/>
      <c r="BA1760" s="3"/>
      <c r="BB1760" s="53"/>
      <c r="BC1760" s="3"/>
      <c r="BD1760" s="59"/>
      <c r="BE1760" s="3"/>
      <c r="BF1760" s="53"/>
      <c r="BG1760" s="59"/>
    </row>
    <row r="1761" spans="1:59" customFormat="1" ht="15" x14ac:dyDescent="0.35">
      <c r="A1761" s="50"/>
      <c r="B1761" s="63"/>
      <c r="C1761" s="39"/>
      <c r="D1761" s="6"/>
      <c r="E1761" s="149"/>
      <c r="F1761" s="153"/>
      <c r="G1761" s="10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5"/>
      <c r="V1761" s="5"/>
      <c r="W1761" s="13"/>
      <c r="X1761" s="4"/>
      <c r="Y1761" s="4"/>
      <c r="Z1761" s="4"/>
      <c r="AA1761" s="6"/>
      <c r="AB1761" s="5"/>
      <c r="AC1761" s="9"/>
      <c r="AD1761" s="9"/>
      <c r="AE1761" s="9"/>
      <c r="AF1761" s="9"/>
      <c r="AG1761" s="54"/>
      <c r="AH1761" s="3"/>
      <c r="AI1761" s="2"/>
      <c r="AJ1761" s="2"/>
      <c r="AK1761" s="2"/>
      <c r="AL1761" s="3"/>
      <c r="AM1761" s="3"/>
      <c r="AN1761" s="3"/>
      <c r="AO1761" s="3"/>
      <c r="AP1761" s="3"/>
      <c r="AQ1761" s="59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53"/>
      <c r="BC1761" s="3"/>
      <c r="BD1761" s="59"/>
      <c r="BE1761" s="3"/>
      <c r="BF1761" s="53"/>
      <c r="BG1761" s="59"/>
    </row>
    <row r="1762" spans="1:59" customFormat="1" ht="15" x14ac:dyDescent="0.35">
      <c r="A1762" s="50"/>
      <c r="B1762" s="63"/>
      <c r="C1762" s="39"/>
      <c r="D1762" s="6"/>
      <c r="E1762" s="149"/>
      <c r="F1762" s="153"/>
      <c r="G1762" s="10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5"/>
      <c r="V1762" s="5"/>
      <c r="W1762" s="13"/>
      <c r="X1762" s="4"/>
      <c r="Y1762" s="4"/>
      <c r="Z1762" s="4"/>
      <c r="AA1762" s="6"/>
      <c r="AB1762" s="5"/>
      <c r="AC1762" s="9"/>
      <c r="AD1762" s="9"/>
      <c r="AE1762" s="9"/>
      <c r="AF1762" s="9"/>
      <c r="AG1762" s="54"/>
      <c r="AH1762" s="3"/>
      <c r="AI1762" s="2"/>
      <c r="AJ1762" s="2"/>
      <c r="AK1762" s="2"/>
      <c r="AL1762" s="3"/>
      <c r="AM1762" s="3"/>
      <c r="AN1762" s="3"/>
      <c r="AO1762" s="3"/>
      <c r="AP1762" s="3"/>
      <c r="AQ1762" s="59"/>
      <c r="AR1762" s="21"/>
      <c r="AS1762" s="21"/>
      <c r="AT1762" s="3"/>
      <c r="AU1762" s="3"/>
      <c r="AV1762" s="3"/>
      <c r="AW1762" s="3"/>
      <c r="AX1762" s="3"/>
      <c r="AY1762" s="3"/>
      <c r="AZ1762" s="3"/>
      <c r="BA1762" s="3"/>
      <c r="BB1762" s="53"/>
      <c r="BC1762" s="3"/>
      <c r="BD1762" s="59"/>
      <c r="BE1762" s="3"/>
      <c r="BF1762" s="53"/>
      <c r="BG1762" s="59"/>
    </row>
    <row r="1763" spans="1:59" customFormat="1" ht="15" x14ac:dyDescent="0.35">
      <c r="A1763" s="50"/>
      <c r="B1763" s="63"/>
      <c r="C1763" s="39"/>
      <c r="D1763" s="6"/>
      <c r="E1763" s="149"/>
      <c r="F1763" s="153"/>
      <c r="G1763" s="10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12"/>
      <c r="X1763" s="33"/>
      <c r="Y1763" s="6"/>
      <c r="Z1763" s="6"/>
      <c r="AA1763" s="6"/>
      <c r="AB1763" s="6"/>
      <c r="AC1763" s="9"/>
      <c r="AD1763" s="9"/>
      <c r="AE1763" s="9"/>
      <c r="AF1763" s="9"/>
      <c r="AG1763" s="5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59"/>
      <c r="AR1763" s="21"/>
      <c r="AS1763" s="21"/>
      <c r="AT1763" s="3"/>
      <c r="AU1763" s="3"/>
      <c r="AV1763" s="3"/>
      <c r="AW1763" s="3"/>
      <c r="AX1763" s="3"/>
      <c r="AY1763" s="3"/>
      <c r="AZ1763" s="3"/>
      <c r="BA1763" s="3"/>
      <c r="BB1763" s="53"/>
      <c r="BC1763" s="3"/>
      <c r="BD1763" s="59"/>
      <c r="BE1763" s="3"/>
      <c r="BF1763" s="53"/>
      <c r="BG1763" s="59"/>
    </row>
    <row r="1764" spans="1:59" customFormat="1" ht="15" x14ac:dyDescent="0.35">
      <c r="A1764" s="50"/>
      <c r="B1764" s="63"/>
      <c r="C1764" s="39"/>
      <c r="D1764" s="6"/>
      <c r="E1764" s="149"/>
      <c r="F1764" s="153"/>
      <c r="G1764" s="10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12"/>
      <c r="X1764" s="33"/>
      <c r="Y1764" s="6"/>
      <c r="Z1764" s="6"/>
      <c r="AA1764" s="6"/>
      <c r="AB1764" s="6"/>
      <c r="AC1764" s="9"/>
      <c r="AD1764" s="9"/>
      <c r="AE1764" s="9"/>
      <c r="AF1764" s="9"/>
      <c r="AG1764" s="5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59"/>
      <c r="AR1764" s="21"/>
      <c r="AS1764" s="21"/>
      <c r="AT1764" s="3"/>
      <c r="AU1764" s="3"/>
      <c r="AV1764" s="3"/>
      <c r="AW1764" s="3"/>
      <c r="AX1764" s="3"/>
      <c r="AY1764" s="3"/>
      <c r="AZ1764" s="3"/>
      <c r="BA1764" s="3"/>
      <c r="BB1764" s="53"/>
      <c r="BC1764" s="3"/>
      <c r="BD1764" s="59"/>
      <c r="BE1764" s="3"/>
      <c r="BF1764" s="53"/>
      <c r="BG1764" s="59"/>
    </row>
    <row r="1765" spans="1:59" customFormat="1" ht="15" x14ac:dyDescent="0.35">
      <c r="A1765" s="50"/>
      <c r="B1765" s="63"/>
      <c r="C1765" s="39"/>
      <c r="D1765" s="6"/>
      <c r="E1765" s="149"/>
      <c r="F1765" s="153"/>
      <c r="G1765" s="10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5"/>
      <c r="V1765" s="5"/>
      <c r="W1765" s="13"/>
      <c r="X1765" s="4"/>
      <c r="Y1765" s="4"/>
      <c r="Z1765" s="4"/>
      <c r="AA1765" s="6"/>
      <c r="AB1765" s="5"/>
      <c r="AC1765" s="9"/>
      <c r="AD1765" s="9"/>
      <c r="AE1765" s="9"/>
      <c r="AF1765" s="9"/>
      <c r="AG1765" s="54"/>
      <c r="AH1765" s="3"/>
      <c r="AI1765" s="2"/>
      <c r="AJ1765" s="2"/>
      <c r="AK1765" s="2"/>
      <c r="AL1765" s="3"/>
      <c r="AM1765" s="3"/>
      <c r="AN1765" s="3"/>
      <c r="AO1765" s="3"/>
      <c r="AP1765" s="3"/>
      <c r="AQ1765" s="59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53"/>
      <c r="BC1765" s="3"/>
      <c r="BD1765" s="59"/>
      <c r="BE1765" s="3"/>
      <c r="BF1765" s="53"/>
      <c r="BG1765" s="59"/>
    </row>
    <row r="1766" spans="1:59" customFormat="1" ht="15" x14ac:dyDescent="0.35">
      <c r="A1766" s="19"/>
      <c r="B1766" s="49"/>
      <c r="C1766" s="14"/>
      <c r="D1766" s="1"/>
      <c r="E1766" s="149"/>
      <c r="F1766" s="153"/>
      <c r="G1766" s="10"/>
      <c r="H1766" s="17"/>
      <c r="I1766" s="17"/>
      <c r="J1766" s="17"/>
      <c r="K1766" s="30"/>
      <c r="L1766" s="30"/>
      <c r="M1766" s="30"/>
      <c r="N1766" s="30"/>
      <c r="O1766" s="30"/>
      <c r="P1766" s="30"/>
      <c r="Q1766" s="30"/>
      <c r="R1766" s="30"/>
      <c r="S1766" s="30"/>
      <c r="T1766" s="30"/>
      <c r="U1766" s="30"/>
      <c r="V1766" s="30"/>
      <c r="W1766" s="29"/>
      <c r="X1766" s="15"/>
      <c r="Y1766" s="30"/>
      <c r="Z1766" s="30"/>
      <c r="AA1766" s="30"/>
      <c r="AB1766" s="30"/>
      <c r="AC1766" s="17"/>
      <c r="AD1766" s="17"/>
      <c r="AE1766" s="17"/>
      <c r="AF1766" s="17"/>
      <c r="AG1766" s="20"/>
      <c r="AH1766" s="21"/>
      <c r="AI1766" s="21"/>
      <c r="AJ1766" s="21"/>
      <c r="AK1766" s="21"/>
      <c r="AL1766" s="21"/>
      <c r="AM1766" s="21"/>
      <c r="AN1766" s="21"/>
      <c r="AO1766" s="22"/>
      <c r="AP1766" s="21"/>
      <c r="AQ1766" s="24"/>
      <c r="AR1766" s="21"/>
      <c r="AS1766" s="21"/>
      <c r="AT1766" s="21"/>
      <c r="AU1766" s="21"/>
      <c r="AV1766" s="21"/>
      <c r="AW1766" s="21"/>
      <c r="AX1766" s="22"/>
      <c r="AY1766" s="21"/>
      <c r="AZ1766" s="22"/>
      <c r="BA1766" s="21"/>
      <c r="BB1766" s="20"/>
      <c r="BC1766" s="21"/>
      <c r="BD1766" s="25"/>
      <c r="BE1766" s="26"/>
      <c r="BF1766" s="27"/>
      <c r="BG1766" s="28"/>
    </row>
    <row r="1767" spans="1:59" customFormat="1" ht="15" x14ac:dyDescent="0.35">
      <c r="A1767" s="19"/>
      <c r="B1767" s="49"/>
      <c r="C1767" s="39"/>
      <c r="D1767" s="1"/>
      <c r="E1767" s="149"/>
      <c r="F1767" s="153"/>
      <c r="G1767" s="10"/>
      <c r="H1767" s="17"/>
      <c r="I1767" s="17"/>
      <c r="J1767" s="17"/>
      <c r="K1767" s="30"/>
      <c r="L1767" s="30"/>
      <c r="M1767" s="30"/>
      <c r="N1767" s="30"/>
      <c r="O1767" s="30"/>
      <c r="P1767" s="30"/>
      <c r="Q1767" s="30"/>
      <c r="R1767" s="30"/>
      <c r="S1767" s="30"/>
      <c r="T1767" s="30"/>
      <c r="U1767" s="30"/>
      <c r="V1767" s="30"/>
      <c r="W1767" s="29"/>
      <c r="X1767" s="15"/>
      <c r="Y1767" s="30"/>
      <c r="Z1767" s="30"/>
      <c r="AA1767" s="30"/>
      <c r="AB1767" s="30"/>
      <c r="AC1767" s="17"/>
      <c r="AD1767" s="17"/>
      <c r="AE1767" s="17"/>
      <c r="AF1767" s="17"/>
      <c r="AG1767" s="20"/>
      <c r="AH1767" s="21"/>
      <c r="AI1767" s="21"/>
      <c r="AJ1767" s="21"/>
      <c r="AK1767" s="21"/>
      <c r="AL1767" s="21"/>
      <c r="AM1767" s="21"/>
      <c r="AN1767" s="21"/>
      <c r="AO1767" s="22"/>
      <c r="AP1767" s="21"/>
      <c r="AQ1767" s="24"/>
      <c r="AR1767" s="21"/>
      <c r="AS1767" s="21"/>
      <c r="AT1767" s="21"/>
      <c r="AU1767" s="21"/>
      <c r="AV1767" s="21"/>
      <c r="AW1767" s="21"/>
      <c r="AX1767" s="22"/>
      <c r="AY1767" s="21"/>
      <c r="AZ1767" s="22"/>
      <c r="BA1767" s="21"/>
      <c r="BB1767" s="20"/>
      <c r="BC1767" s="21"/>
      <c r="BD1767" s="25"/>
      <c r="BE1767" s="26"/>
      <c r="BF1767" s="27"/>
      <c r="BG1767" s="28"/>
    </row>
    <row r="1768" spans="1:59" customFormat="1" ht="15" x14ac:dyDescent="0.35">
      <c r="A1768" s="50"/>
      <c r="B1768" s="63"/>
      <c r="C1768" s="39"/>
      <c r="D1768" s="6"/>
      <c r="E1768" s="149"/>
      <c r="F1768" s="153"/>
      <c r="G1768" s="10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12"/>
      <c r="X1768" s="33"/>
      <c r="Y1768" s="6"/>
      <c r="Z1768" s="6"/>
      <c r="AA1768" s="6"/>
      <c r="AB1768" s="6"/>
      <c r="AC1768" s="9"/>
      <c r="AD1768" s="9"/>
      <c r="AE1768" s="9"/>
      <c r="AF1768" s="9"/>
      <c r="AG1768" s="5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59"/>
      <c r="AR1768" s="21"/>
      <c r="AS1768" s="21"/>
      <c r="AT1768" s="3"/>
      <c r="AU1768" s="3"/>
      <c r="AV1768" s="3"/>
      <c r="AW1768" s="3"/>
      <c r="AX1768" s="3"/>
      <c r="AY1768" s="3"/>
      <c r="AZ1768" s="3"/>
      <c r="BA1768" s="3"/>
      <c r="BB1768" s="53"/>
      <c r="BC1768" s="3"/>
      <c r="BD1768" s="59"/>
      <c r="BE1768" s="3"/>
      <c r="BF1768" s="53"/>
      <c r="BG1768" s="59"/>
    </row>
    <row r="1769" spans="1:59" customFormat="1" ht="15" x14ac:dyDescent="0.35">
      <c r="A1769" s="50"/>
      <c r="B1769" s="63"/>
      <c r="C1769" s="39"/>
      <c r="D1769" s="6"/>
      <c r="E1769" s="149"/>
      <c r="F1769" s="153"/>
      <c r="G1769" s="10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5"/>
      <c r="V1769" s="5"/>
      <c r="W1769" s="13"/>
      <c r="X1769" s="4"/>
      <c r="Y1769" s="4"/>
      <c r="Z1769" s="4"/>
      <c r="AA1769" s="6"/>
      <c r="AB1769" s="5"/>
      <c r="AC1769" s="9"/>
      <c r="AD1769" s="9"/>
      <c r="AE1769" s="9"/>
      <c r="AF1769" s="9"/>
      <c r="AG1769" s="54"/>
      <c r="AH1769" s="3"/>
      <c r="AI1769" s="2"/>
      <c r="AJ1769" s="2"/>
      <c r="AK1769" s="2"/>
      <c r="AL1769" s="3"/>
      <c r="AM1769" s="3"/>
      <c r="AN1769" s="3"/>
      <c r="AO1769" s="3"/>
      <c r="AP1769" s="3"/>
      <c r="AQ1769" s="59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53"/>
      <c r="BC1769" s="3"/>
      <c r="BD1769" s="59"/>
      <c r="BE1769" s="3"/>
      <c r="BF1769" s="53"/>
      <c r="BG1769" s="59"/>
    </row>
    <row r="1770" spans="1:59" customFormat="1" ht="15" x14ac:dyDescent="0.35">
      <c r="A1770" s="50"/>
      <c r="B1770" s="63"/>
      <c r="C1770" s="39"/>
      <c r="D1770" s="6"/>
      <c r="E1770" s="149"/>
      <c r="F1770" s="153"/>
      <c r="G1770" s="10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12"/>
      <c r="X1770" s="33"/>
      <c r="Y1770" s="6"/>
      <c r="Z1770" s="6"/>
      <c r="AA1770" s="6"/>
      <c r="AB1770" s="6"/>
      <c r="AC1770" s="9"/>
      <c r="AD1770" s="9"/>
      <c r="AE1770" s="9"/>
      <c r="AF1770" s="9"/>
      <c r="AG1770" s="5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59"/>
      <c r="AR1770" s="21"/>
      <c r="AS1770" s="21"/>
      <c r="AT1770" s="3"/>
      <c r="AU1770" s="3"/>
      <c r="AV1770" s="3"/>
      <c r="AW1770" s="3"/>
      <c r="AX1770" s="3"/>
      <c r="AY1770" s="3"/>
      <c r="AZ1770" s="3"/>
      <c r="BA1770" s="3"/>
      <c r="BB1770" s="53"/>
      <c r="BC1770" s="3"/>
      <c r="BD1770" s="59"/>
      <c r="BE1770" s="3"/>
      <c r="BF1770" s="53"/>
      <c r="BG1770" s="59"/>
    </row>
    <row r="1771" spans="1:59" customFormat="1" ht="15" x14ac:dyDescent="0.35">
      <c r="A1771" s="50"/>
      <c r="B1771" s="63"/>
      <c r="C1771" s="39"/>
      <c r="D1771" s="6"/>
      <c r="E1771" s="149"/>
      <c r="F1771" s="153"/>
      <c r="G1771" s="10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12"/>
      <c r="X1771" s="33"/>
      <c r="Y1771" s="6"/>
      <c r="Z1771" s="6"/>
      <c r="AA1771" s="6"/>
      <c r="AB1771" s="6"/>
      <c r="AC1771" s="9"/>
      <c r="AD1771" s="9"/>
      <c r="AE1771" s="9"/>
      <c r="AF1771" s="9"/>
      <c r="AG1771" s="5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59"/>
      <c r="AR1771" s="21"/>
      <c r="AS1771" s="21"/>
      <c r="AT1771" s="3"/>
      <c r="AU1771" s="3"/>
      <c r="AV1771" s="3"/>
      <c r="AW1771" s="3"/>
      <c r="AX1771" s="3"/>
      <c r="AY1771" s="3"/>
      <c r="AZ1771" s="3"/>
      <c r="BA1771" s="3"/>
      <c r="BB1771" s="53"/>
      <c r="BC1771" s="3"/>
      <c r="BD1771" s="59"/>
      <c r="BE1771" s="3"/>
      <c r="BF1771" s="53"/>
      <c r="BG1771" s="59"/>
    </row>
    <row r="1772" spans="1:59" customFormat="1" ht="15" x14ac:dyDescent="0.35">
      <c r="A1772" s="50"/>
      <c r="B1772" s="63"/>
      <c r="C1772" s="39"/>
      <c r="D1772" s="6"/>
      <c r="E1772" s="149"/>
      <c r="F1772" s="153"/>
      <c r="G1772" s="10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5"/>
      <c r="V1772" s="5"/>
      <c r="W1772" s="13"/>
      <c r="X1772" s="4"/>
      <c r="Y1772" s="4"/>
      <c r="Z1772" s="4"/>
      <c r="AA1772" s="6"/>
      <c r="AB1772" s="5"/>
      <c r="AC1772" s="9"/>
      <c r="AD1772" s="9"/>
      <c r="AE1772" s="9"/>
      <c r="AF1772" s="9"/>
      <c r="AG1772" s="54"/>
      <c r="AH1772" s="3"/>
      <c r="AI1772" s="2"/>
      <c r="AJ1772" s="2"/>
      <c r="AK1772" s="2"/>
      <c r="AL1772" s="3"/>
      <c r="AM1772" s="3"/>
      <c r="AN1772" s="3"/>
      <c r="AO1772" s="3"/>
      <c r="AP1772" s="3"/>
      <c r="AQ1772" s="59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53"/>
      <c r="BC1772" s="3"/>
      <c r="BD1772" s="59"/>
      <c r="BE1772" s="3"/>
      <c r="BF1772" s="53"/>
      <c r="BG1772" s="59"/>
    </row>
    <row r="1773" spans="1:59" customFormat="1" ht="15" x14ac:dyDescent="0.35">
      <c r="A1773" s="19"/>
      <c r="B1773" s="49"/>
      <c r="C1773" s="39"/>
      <c r="D1773" s="1"/>
      <c r="E1773" s="149"/>
      <c r="F1773" s="153"/>
      <c r="G1773" s="10"/>
      <c r="H1773" s="17"/>
      <c r="I1773" s="17"/>
      <c r="J1773" s="17"/>
      <c r="K1773" s="30"/>
      <c r="L1773" s="30"/>
      <c r="M1773" s="30"/>
      <c r="N1773" s="30"/>
      <c r="O1773" s="30"/>
      <c r="P1773" s="30"/>
      <c r="Q1773" s="30"/>
      <c r="R1773" s="30"/>
      <c r="S1773" s="30"/>
      <c r="T1773" s="30"/>
      <c r="U1773" s="30"/>
      <c r="V1773" s="30"/>
      <c r="W1773" s="29"/>
      <c r="X1773" s="15"/>
      <c r="Y1773" s="30"/>
      <c r="Z1773" s="30"/>
      <c r="AA1773" s="30"/>
      <c r="AB1773" s="30"/>
      <c r="AC1773" s="17"/>
      <c r="AD1773" s="17"/>
      <c r="AE1773" s="17"/>
      <c r="AF1773" s="17"/>
      <c r="AG1773" s="20"/>
      <c r="AH1773" s="21"/>
      <c r="AI1773" s="21"/>
      <c r="AJ1773" s="21"/>
      <c r="AK1773" s="21"/>
      <c r="AL1773" s="21"/>
      <c r="AM1773" s="21"/>
      <c r="AN1773" s="21"/>
      <c r="AO1773" s="22"/>
      <c r="AP1773" s="21"/>
      <c r="AQ1773" s="24"/>
      <c r="AR1773" s="21"/>
      <c r="AS1773" s="21"/>
      <c r="AT1773" s="21"/>
      <c r="AU1773" s="21"/>
      <c r="AV1773" s="21"/>
      <c r="AW1773" s="21"/>
      <c r="AX1773" s="22"/>
      <c r="AY1773" s="21"/>
      <c r="AZ1773" s="22"/>
      <c r="BA1773" s="21"/>
      <c r="BB1773" s="20"/>
      <c r="BC1773" s="21"/>
      <c r="BD1773" s="25"/>
      <c r="BE1773" s="26"/>
      <c r="BF1773" s="27"/>
      <c r="BG1773" s="28"/>
    </row>
    <row r="1774" spans="1:59" customFormat="1" ht="15" x14ac:dyDescent="0.35">
      <c r="A1774" s="50"/>
      <c r="B1774" s="63"/>
      <c r="C1774" s="39"/>
      <c r="D1774" s="6"/>
      <c r="E1774" s="149"/>
      <c r="F1774" s="153"/>
      <c r="G1774" s="10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5"/>
      <c r="V1774" s="5"/>
      <c r="W1774" s="13"/>
      <c r="X1774" s="4"/>
      <c r="Y1774" s="4"/>
      <c r="Z1774" s="4"/>
      <c r="AA1774" s="6"/>
      <c r="AB1774" s="5"/>
      <c r="AC1774" s="9"/>
      <c r="AD1774" s="9"/>
      <c r="AE1774" s="9"/>
      <c r="AF1774" s="9"/>
      <c r="AG1774" s="54"/>
      <c r="AH1774" s="3"/>
      <c r="AI1774" s="2"/>
      <c r="AJ1774" s="2"/>
      <c r="AK1774" s="2"/>
      <c r="AL1774" s="3"/>
      <c r="AM1774" s="3"/>
      <c r="AN1774" s="3"/>
      <c r="AO1774" s="3"/>
      <c r="AP1774" s="3"/>
      <c r="AQ1774" s="59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53"/>
      <c r="BC1774" s="3"/>
      <c r="BD1774" s="59"/>
      <c r="BE1774" s="3"/>
      <c r="BF1774" s="53"/>
      <c r="BG1774" s="59"/>
    </row>
    <row r="1775" spans="1:59" customFormat="1" ht="15" x14ac:dyDescent="0.35">
      <c r="A1775" s="19"/>
      <c r="B1775" s="49"/>
      <c r="C1775" s="14"/>
      <c r="D1775" s="1"/>
      <c r="E1775" s="149"/>
      <c r="F1775" s="153"/>
      <c r="G1775" s="10"/>
      <c r="H1775" s="17"/>
      <c r="I1775" s="17"/>
      <c r="J1775" s="17"/>
      <c r="K1775" s="30"/>
      <c r="L1775" s="30"/>
      <c r="M1775" s="30"/>
      <c r="N1775" s="30"/>
      <c r="O1775" s="30"/>
      <c r="P1775" s="30"/>
      <c r="Q1775" s="30"/>
      <c r="R1775" s="30"/>
      <c r="S1775" s="30"/>
      <c r="T1775" s="30"/>
      <c r="U1775" s="30"/>
      <c r="V1775" s="30"/>
      <c r="W1775" s="29"/>
      <c r="X1775" s="15"/>
      <c r="Y1775" s="30"/>
      <c r="Z1775" s="30"/>
      <c r="AA1775" s="30"/>
      <c r="AB1775" s="30"/>
      <c r="AC1775" s="17"/>
      <c r="AD1775" s="17"/>
      <c r="AE1775" s="17"/>
      <c r="AF1775" s="17"/>
      <c r="AG1775" s="20"/>
      <c r="AH1775" s="21"/>
      <c r="AI1775" s="21"/>
      <c r="AJ1775" s="21"/>
      <c r="AK1775" s="21"/>
      <c r="AL1775" s="21"/>
      <c r="AM1775" s="21"/>
      <c r="AN1775" s="21"/>
      <c r="AO1775" s="22"/>
      <c r="AP1775" s="21"/>
      <c r="AQ1775" s="24"/>
      <c r="AR1775" s="21"/>
      <c r="AS1775" s="21"/>
      <c r="AT1775" s="21"/>
      <c r="AU1775" s="21"/>
      <c r="AV1775" s="21"/>
      <c r="AW1775" s="21"/>
      <c r="AX1775" s="22"/>
      <c r="AY1775" s="21"/>
      <c r="AZ1775" s="22"/>
      <c r="BA1775" s="21"/>
      <c r="BB1775" s="20"/>
      <c r="BC1775" s="21"/>
      <c r="BD1775" s="25"/>
      <c r="BE1775" s="26"/>
      <c r="BF1775" s="27"/>
      <c r="BG1775" s="28"/>
    </row>
    <row r="1776" spans="1:59" customFormat="1" ht="15" x14ac:dyDescent="0.35">
      <c r="A1776" s="50"/>
      <c r="B1776" s="63"/>
      <c r="C1776" s="39"/>
      <c r="D1776" s="6"/>
      <c r="E1776" s="149"/>
      <c r="F1776" s="153"/>
      <c r="G1776" s="10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12"/>
      <c r="X1776" s="33"/>
      <c r="Y1776" s="6"/>
      <c r="Z1776" s="6"/>
      <c r="AA1776" s="6"/>
      <c r="AB1776" s="6"/>
      <c r="AC1776" s="9"/>
      <c r="AD1776" s="9"/>
      <c r="AE1776" s="9"/>
      <c r="AF1776" s="9"/>
      <c r="AG1776" s="5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59"/>
      <c r="AR1776" s="21"/>
      <c r="AS1776" s="21"/>
      <c r="AT1776" s="3"/>
      <c r="AU1776" s="3"/>
      <c r="AV1776" s="3"/>
      <c r="AW1776" s="3"/>
      <c r="AX1776" s="3"/>
      <c r="AY1776" s="3"/>
      <c r="AZ1776" s="3"/>
      <c r="BA1776" s="3"/>
      <c r="BB1776" s="53"/>
      <c r="BC1776" s="3"/>
      <c r="BD1776" s="59"/>
      <c r="BE1776" s="3"/>
      <c r="BF1776" s="53"/>
      <c r="BG1776" s="59"/>
    </row>
    <row r="1777" spans="1:59" customFormat="1" ht="15" x14ac:dyDescent="0.35">
      <c r="A1777" s="50"/>
      <c r="B1777" s="63"/>
      <c r="C1777" s="39"/>
      <c r="D1777" s="6"/>
      <c r="E1777" s="149"/>
      <c r="F1777" s="153"/>
      <c r="G1777" s="10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5"/>
      <c r="V1777" s="5"/>
      <c r="W1777" s="13"/>
      <c r="X1777" s="4"/>
      <c r="Y1777" s="4"/>
      <c r="Z1777" s="4"/>
      <c r="AA1777" s="6"/>
      <c r="AB1777" s="5"/>
      <c r="AC1777" s="9"/>
      <c r="AD1777" s="9"/>
      <c r="AE1777" s="9"/>
      <c r="AF1777" s="9"/>
      <c r="AG1777" s="54"/>
      <c r="AH1777" s="3"/>
      <c r="AI1777" s="2"/>
      <c r="AJ1777" s="2"/>
      <c r="AK1777" s="2"/>
      <c r="AL1777" s="3"/>
      <c r="AM1777" s="3"/>
      <c r="AN1777" s="3"/>
      <c r="AO1777" s="3"/>
      <c r="AP1777" s="3"/>
      <c r="AQ1777" s="59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53"/>
      <c r="BC1777" s="3"/>
      <c r="BD1777" s="59"/>
      <c r="BE1777" s="3"/>
      <c r="BF1777" s="53"/>
      <c r="BG1777" s="59"/>
    </row>
    <row r="1778" spans="1:59" customFormat="1" ht="15" x14ac:dyDescent="0.35">
      <c r="A1778" s="50"/>
      <c r="B1778" s="63"/>
      <c r="C1778" s="39"/>
      <c r="D1778" s="6"/>
      <c r="E1778" s="149"/>
      <c r="F1778" s="153"/>
      <c r="G1778" s="10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12"/>
      <c r="X1778" s="33"/>
      <c r="Y1778" s="6"/>
      <c r="Z1778" s="6"/>
      <c r="AA1778" s="6"/>
      <c r="AB1778" s="6"/>
      <c r="AC1778" s="9"/>
      <c r="AD1778" s="9"/>
      <c r="AE1778" s="9"/>
      <c r="AF1778" s="9"/>
      <c r="AG1778" s="5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59"/>
      <c r="AR1778" s="21"/>
      <c r="AS1778" s="21"/>
      <c r="AT1778" s="3"/>
      <c r="AU1778" s="3"/>
      <c r="AV1778" s="3"/>
      <c r="AW1778" s="3"/>
      <c r="AX1778" s="3"/>
      <c r="AY1778" s="3"/>
      <c r="AZ1778" s="3"/>
      <c r="BA1778" s="3"/>
      <c r="BB1778" s="53"/>
      <c r="BC1778" s="3"/>
      <c r="BD1778" s="59"/>
      <c r="BE1778" s="3"/>
      <c r="BF1778" s="53"/>
      <c r="BG1778" s="59"/>
    </row>
    <row r="1779" spans="1:59" customFormat="1" ht="15" x14ac:dyDescent="0.35">
      <c r="A1779" s="19"/>
      <c r="B1779" s="49"/>
      <c r="C1779" s="39"/>
      <c r="D1779" s="1"/>
      <c r="E1779" s="149"/>
      <c r="F1779" s="153"/>
      <c r="G1779" s="10"/>
      <c r="H1779" s="17"/>
      <c r="I1779" s="17"/>
      <c r="J1779" s="17"/>
      <c r="K1779" s="30"/>
      <c r="L1779" s="30"/>
      <c r="M1779" s="30"/>
      <c r="N1779" s="30"/>
      <c r="O1779" s="30"/>
      <c r="P1779" s="30"/>
      <c r="Q1779" s="30"/>
      <c r="R1779" s="30"/>
      <c r="S1779" s="30"/>
      <c r="T1779" s="30"/>
      <c r="U1779" s="30"/>
      <c r="V1779" s="30"/>
      <c r="W1779" s="29"/>
      <c r="X1779" s="15"/>
      <c r="Y1779" s="30"/>
      <c r="Z1779" s="30"/>
      <c r="AA1779" s="30"/>
      <c r="AB1779" s="30"/>
      <c r="AC1779" s="17"/>
      <c r="AD1779" s="17"/>
      <c r="AE1779" s="17"/>
      <c r="AF1779" s="17"/>
      <c r="AG1779" s="20"/>
      <c r="AH1779" s="21"/>
      <c r="AI1779" s="21"/>
      <c r="AJ1779" s="21"/>
      <c r="AK1779" s="21"/>
      <c r="AL1779" s="21"/>
      <c r="AM1779" s="21"/>
      <c r="AN1779" s="21"/>
      <c r="AO1779" s="22"/>
      <c r="AP1779" s="21"/>
      <c r="AQ1779" s="24"/>
      <c r="AR1779" s="21"/>
      <c r="AS1779" s="21"/>
      <c r="AT1779" s="21"/>
      <c r="AU1779" s="21"/>
      <c r="AV1779" s="21"/>
      <c r="AW1779" s="21"/>
      <c r="AX1779" s="22"/>
      <c r="AY1779" s="21"/>
      <c r="AZ1779" s="22"/>
      <c r="BA1779" s="21"/>
      <c r="BB1779" s="20"/>
      <c r="BC1779" s="21"/>
      <c r="BD1779" s="25"/>
      <c r="BE1779" s="26"/>
      <c r="BF1779" s="27"/>
      <c r="BG1779" s="28"/>
    </row>
    <row r="1780" spans="1:59" customFormat="1" ht="15" x14ac:dyDescent="0.35">
      <c r="A1780" s="50"/>
      <c r="B1780" s="63"/>
      <c r="C1780" s="39"/>
      <c r="D1780" s="6"/>
      <c r="E1780" s="149"/>
      <c r="F1780" s="153"/>
      <c r="G1780" s="10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12"/>
      <c r="X1780" s="33"/>
      <c r="Y1780" s="6"/>
      <c r="Z1780" s="6"/>
      <c r="AA1780" s="6"/>
      <c r="AB1780" s="6"/>
      <c r="AC1780" s="9"/>
      <c r="AD1780" s="9"/>
      <c r="AE1780" s="9"/>
      <c r="AF1780" s="9"/>
      <c r="AG1780" s="5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59"/>
      <c r="AR1780" s="21"/>
      <c r="AS1780" s="21"/>
      <c r="AT1780" s="3"/>
      <c r="AU1780" s="3"/>
      <c r="AV1780" s="3"/>
      <c r="AW1780" s="3"/>
      <c r="AX1780" s="3"/>
      <c r="AY1780" s="3"/>
      <c r="AZ1780" s="3"/>
      <c r="BA1780" s="3"/>
      <c r="BB1780" s="53"/>
      <c r="BC1780" s="3"/>
      <c r="BD1780" s="59"/>
      <c r="BE1780" s="3"/>
      <c r="BF1780" s="53"/>
      <c r="BG1780" s="59"/>
    </row>
    <row r="1781" spans="1:59" customFormat="1" ht="15" x14ac:dyDescent="0.35">
      <c r="A1781" s="50"/>
      <c r="B1781" s="63"/>
      <c r="C1781" s="39"/>
      <c r="D1781" s="6"/>
      <c r="E1781" s="149"/>
      <c r="F1781" s="153"/>
      <c r="G1781" s="10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12"/>
      <c r="X1781" s="33"/>
      <c r="Y1781" s="6"/>
      <c r="Z1781" s="6"/>
      <c r="AA1781" s="6"/>
      <c r="AB1781" s="6"/>
      <c r="AC1781" s="9"/>
      <c r="AD1781" s="9"/>
      <c r="AE1781" s="9"/>
      <c r="AF1781" s="9"/>
      <c r="AG1781" s="5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59"/>
      <c r="AR1781" s="21"/>
      <c r="AS1781" s="21"/>
      <c r="AT1781" s="3"/>
      <c r="AU1781" s="3"/>
      <c r="AV1781" s="3"/>
      <c r="AW1781" s="3"/>
      <c r="AX1781" s="3"/>
      <c r="AY1781" s="3"/>
      <c r="AZ1781" s="3"/>
      <c r="BA1781" s="3"/>
      <c r="BB1781" s="53"/>
      <c r="BC1781" s="3"/>
      <c r="BD1781" s="59"/>
      <c r="BE1781" s="3"/>
      <c r="BF1781" s="53"/>
      <c r="BG1781" s="59"/>
    </row>
    <row r="1782" spans="1:59" customFormat="1" ht="15" x14ac:dyDescent="0.35">
      <c r="A1782" s="19"/>
      <c r="B1782" s="49"/>
      <c r="C1782" s="39"/>
      <c r="D1782" s="1"/>
      <c r="E1782" s="149"/>
      <c r="F1782" s="153"/>
      <c r="G1782" s="10"/>
      <c r="H1782" s="17"/>
      <c r="I1782" s="17"/>
      <c r="J1782" s="17"/>
      <c r="K1782" s="30"/>
      <c r="L1782" s="30"/>
      <c r="M1782" s="30"/>
      <c r="N1782" s="30"/>
      <c r="O1782" s="30"/>
      <c r="P1782" s="30"/>
      <c r="Q1782" s="30"/>
      <c r="R1782" s="30"/>
      <c r="S1782" s="30"/>
      <c r="T1782" s="30"/>
      <c r="U1782" s="30"/>
      <c r="V1782" s="30"/>
      <c r="W1782" s="29"/>
      <c r="X1782" s="15"/>
      <c r="Y1782" s="30"/>
      <c r="Z1782" s="30"/>
      <c r="AA1782" s="30"/>
      <c r="AB1782" s="30"/>
      <c r="AC1782" s="17"/>
      <c r="AD1782" s="17"/>
      <c r="AE1782" s="17"/>
      <c r="AF1782" s="17"/>
      <c r="AG1782" s="20"/>
      <c r="AH1782" s="21"/>
      <c r="AI1782" s="21"/>
      <c r="AJ1782" s="21"/>
      <c r="AK1782" s="21"/>
      <c r="AL1782" s="21"/>
      <c r="AM1782" s="21"/>
      <c r="AN1782" s="21"/>
      <c r="AO1782" s="22"/>
      <c r="AP1782" s="21"/>
      <c r="AQ1782" s="24"/>
      <c r="AR1782" s="21"/>
      <c r="AS1782" s="21"/>
      <c r="AT1782" s="21"/>
      <c r="AU1782" s="21"/>
      <c r="AV1782" s="21"/>
      <c r="AW1782" s="21"/>
      <c r="AX1782" s="22"/>
      <c r="AY1782" s="21"/>
      <c r="AZ1782" s="22"/>
      <c r="BA1782" s="21"/>
      <c r="BB1782" s="20"/>
      <c r="BC1782" s="21"/>
      <c r="BD1782" s="25"/>
      <c r="BE1782" s="26"/>
      <c r="BF1782" s="27"/>
      <c r="BG1782" s="28"/>
    </row>
    <row r="1783" spans="1:59" customFormat="1" ht="15" x14ac:dyDescent="0.35">
      <c r="A1783" s="50"/>
      <c r="B1783" s="63"/>
      <c r="C1783" s="39"/>
      <c r="D1783" s="6"/>
      <c r="E1783" s="149"/>
      <c r="F1783" s="153"/>
      <c r="G1783" s="10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12"/>
      <c r="X1783" s="33"/>
      <c r="Y1783" s="6"/>
      <c r="Z1783" s="6"/>
      <c r="AA1783" s="6"/>
      <c r="AB1783" s="6"/>
      <c r="AC1783" s="9"/>
      <c r="AD1783" s="9"/>
      <c r="AE1783" s="9"/>
      <c r="AF1783" s="9"/>
      <c r="AG1783" s="5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59"/>
      <c r="AR1783" s="21"/>
      <c r="AS1783" s="21"/>
      <c r="AT1783" s="3"/>
      <c r="AU1783" s="3"/>
      <c r="AV1783" s="3"/>
      <c r="AW1783" s="3"/>
      <c r="AX1783" s="3"/>
      <c r="AY1783" s="3"/>
      <c r="AZ1783" s="3"/>
      <c r="BA1783" s="3"/>
      <c r="BB1783" s="53"/>
      <c r="BC1783" s="3"/>
      <c r="BD1783" s="59"/>
      <c r="BE1783" s="3"/>
      <c r="BF1783" s="53"/>
      <c r="BG1783" s="59"/>
    </row>
    <row r="1784" spans="1:59" customFormat="1" ht="15" x14ac:dyDescent="0.35">
      <c r="A1784" s="50"/>
      <c r="B1784" s="63"/>
      <c r="C1784" s="39"/>
      <c r="D1784" s="6"/>
      <c r="E1784" s="149"/>
      <c r="F1784" s="153"/>
      <c r="G1784" s="10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5"/>
      <c r="V1784" s="5"/>
      <c r="W1784" s="13"/>
      <c r="X1784" s="4"/>
      <c r="Y1784" s="4"/>
      <c r="Z1784" s="4"/>
      <c r="AA1784" s="6"/>
      <c r="AB1784" s="5"/>
      <c r="AC1784" s="9"/>
      <c r="AD1784" s="9"/>
      <c r="AE1784" s="9"/>
      <c r="AF1784" s="9"/>
      <c r="AG1784" s="54"/>
      <c r="AH1784" s="3"/>
      <c r="AI1784" s="2"/>
      <c r="AJ1784" s="2"/>
      <c r="AK1784" s="2"/>
      <c r="AL1784" s="3"/>
      <c r="AM1784" s="3"/>
      <c r="AN1784" s="3"/>
      <c r="AO1784" s="3"/>
      <c r="AP1784" s="3"/>
      <c r="AQ1784" s="59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53"/>
      <c r="BC1784" s="3"/>
      <c r="BD1784" s="59"/>
      <c r="BE1784" s="3"/>
      <c r="BF1784" s="53"/>
      <c r="BG1784" s="59"/>
    </row>
    <row r="1785" spans="1:59" customFormat="1" ht="15" x14ac:dyDescent="0.35">
      <c r="A1785" s="19"/>
      <c r="B1785" s="49"/>
      <c r="C1785" s="39"/>
      <c r="D1785" s="1"/>
      <c r="E1785" s="149"/>
      <c r="F1785" s="153"/>
      <c r="G1785" s="10"/>
      <c r="H1785" s="17"/>
      <c r="I1785" s="17"/>
      <c r="J1785" s="17"/>
      <c r="K1785" s="30"/>
      <c r="L1785" s="30"/>
      <c r="M1785" s="30"/>
      <c r="N1785" s="30"/>
      <c r="O1785" s="30"/>
      <c r="P1785" s="30"/>
      <c r="Q1785" s="30"/>
      <c r="R1785" s="30"/>
      <c r="S1785" s="30"/>
      <c r="T1785" s="30"/>
      <c r="U1785" s="30"/>
      <c r="V1785" s="30"/>
      <c r="W1785" s="29"/>
      <c r="X1785" s="15"/>
      <c r="Y1785" s="30"/>
      <c r="Z1785" s="30"/>
      <c r="AA1785" s="30"/>
      <c r="AB1785" s="30"/>
      <c r="AC1785" s="17"/>
      <c r="AD1785" s="17"/>
      <c r="AE1785" s="17"/>
      <c r="AF1785" s="17"/>
      <c r="AG1785" s="20"/>
      <c r="AH1785" s="21"/>
      <c r="AI1785" s="21"/>
      <c r="AJ1785" s="21"/>
      <c r="AK1785" s="21"/>
      <c r="AL1785" s="21"/>
      <c r="AM1785" s="21"/>
      <c r="AN1785" s="21"/>
      <c r="AO1785" s="22"/>
      <c r="AP1785" s="21"/>
      <c r="AQ1785" s="24"/>
      <c r="AR1785" s="21"/>
      <c r="AS1785" s="21"/>
      <c r="AT1785" s="21"/>
      <c r="AU1785" s="21"/>
      <c r="AV1785" s="21"/>
      <c r="AW1785" s="21"/>
      <c r="AX1785" s="22"/>
      <c r="AY1785" s="21"/>
      <c r="AZ1785" s="22"/>
      <c r="BA1785" s="21"/>
      <c r="BB1785" s="20"/>
      <c r="BC1785" s="21"/>
      <c r="BD1785" s="25"/>
      <c r="BE1785" s="26"/>
      <c r="BF1785" s="27"/>
      <c r="BG1785" s="28"/>
    </row>
    <row r="1786" spans="1:59" customFormat="1" ht="15" x14ac:dyDescent="0.35">
      <c r="A1786" s="19"/>
      <c r="B1786" s="49"/>
      <c r="C1786" s="39"/>
      <c r="D1786" s="1"/>
      <c r="E1786" s="149"/>
      <c r="F1786" s="153"/>
      <c r="G1786" s="10"/>
      <c r="H1786" s="17"/>
      <c r="I1786" s="17"/>
      <c r="J1786" s="17"/>
      <c r="K1786" s="30"/>
      <c r="L1786" s="30"/>
      <c r="M1786" s="30"/>
      <c r="N1786" s="30"/>
      <c r="O1786" s="30"/>
      <c r="P1786" s="30"/>
      <c r="Q1786" s="30"/>
      <c r="R1786" s="30"/>
      <c r="S1786" s="30"/>
      <c r="T1786" s="30"/>
      <c r="U1786" s="30"/>
      <c r="V1786" s="30"/>
      <c r="W1786" s="29"/>
      <c r="X1786" s="15"/>
      <c r="Y1786" s="30"/>
      <c r="Z1786" s="30"/>
      <c r="AA1786" s="30"/>
      <c r="AB1786" s="30"/>
      <c r="AC1786" s="17"/>
      <c r="AD1786" s="17"/>
      <c r="AE1786" s="17"/>
      <c r="AF1786" s="17"/>
      <c r="AG1786" s="20"/>
      <c r="AH1786" s="21"/>
      <c r="AI1786" s="21"/>
      <c r="AJ1786" s="21"/>
      <c r="AK1786" s="21"/>
      <c r="AL1786" s="21"/>
      <c r="AM1786" s="21"/>
      <c r="AN1786" s="21"/>
      <c r="AO1786" s="22"/>
      <c r="AP1786" s="21"/>
      <c r="AQ1786" s="24"/>
      <c r="AR1786" s="21"/>
      <c r="AS1786" s="21"/>
      <c r="AT1786" s="21"/>
      <c r="AU1786" s="21"/>
      <c r="AV1786" s="21"/>
      <c r="AW1786" s="21"/>
      <c r="AX1786" s="22"/>
      <c r="AY1786" s="21"/>
      <c r="AZ1786" s="22"/>
      <c r="BA1786" s="21"/>
      <c r="BB1786" s="20"/>
      <c r="BC1786" s="21"/>
      <c r="BD1786" s="25"/>
      <c r="BE1786" s="26"/>
      <c r="BF1786" s="27"/>
      <c r="BG1786" s="28"/>
    </row>
    <row r="1787" spans="1:59" customFormat="1" ht="15" x14ac:dyDescent="0.35">
      <c r="A1787" s="19"/>
      <c r="B1787" s="49"/>
      <c r="C1787" s="14"/>
      <c r="D1787" s="1"/>
      <c r="E1787" s="149"/>
      <c r="F1787" s="153"/>
      <c r="G1787" s="10"/>
      <c r="H1787" s="17"/>
      <c r="I1787" s="17"/>
      <c r="J1787" s="17"/>
      <c r="K1787" s="30"/>
      <c r="L1787" s="30"/>
      <c r="M1787" s="30"/>
      <c r="N1787" s="30"/>
      <c r="O1787" s="30"/>
      <c r="P1787" s="30"/>
      <c r="Q1787" s="30"/>
      <c r="R1787" s="30"/>
      <c r="S1787" s="30"/>
      <c r="T1787" s="30"/>
      <c r="U1787" s="30"/>
      <c r="V1787" s="30"/>
      <c r="W1787" s="29"/>
      <c r="X1787" s="15"/>
      <c r="Y1787" s="30"/>
      <c r="Z1787" s="30"/>
      <c r="AA1787" s="30"/>
      <c r="AB1787" s="30"/>
      <c r="AC1787" s="17"/>
      <c r="AD1787" s="17"/>
      <c r="AE1787" s="17"/>
      <c r="AF1787" s="17"/>
      <c r="AG1787" s="20"/>
      <c r="AH1787" s="21"/>
      <c r="AI1787" s="21"/>
      <c r="AJ1787" s="21"/>
      <c r="AK1787" s="21"/>
      <c r="AL1787" s="21"/>
      <c r="AM1787" s="21"/>
      <c r="AN1787" s="21"/>
      <c r="AO1787" s="22"/>
      <c r="AP1787" s="21"/>
      <c r="AQ1787" s="24"/>
      <c r="AR1787" s="21"/>
      <c r="AS1787" s="21"/>
      <c r="AT1787" s="21"/>
      <c r="AU1787" s="21"/>
      <c r="AV1787" s="21"/>
      <c r="AW1787" s="21"/>
      <c r="AX1787" s="22"/>
      <c r="AY1787" s="21"/>
      <c r="AZ1787" s="22"/>
      <c r="BA1787" s="21"/>
      <c r="BB1787" s="20"/>
      <c r="BC1787" s="21"/>
      <c r="BD1787" s="25"/>
      <c r="BE1787" s="26"/>
      <c r="BF1787" s="27"/>
      <c r="BG1787" s="28"/>
    </row>
    <row r="1788" spans="1:59" customFormat="1" ht="15" x14ac:dyDescent="0.35">
      <c r="A1788" s="50"/>
      <c r="B1788" s="63"/>
      <c r="C1788" s="39"/>
      <c r="D1788" s="6"/>
      <c r="E1788" s="149"/>
      <c r="F1788" s="153"/>
      <c r="G1788" s="10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5"/>
      <c r="V1788" s="5"/>
      <c r="W1788" s="13"/>
      <c r="X1788" s="4"/>
      <c r="Y1788" s="4"/>
      <c r="Z1788" s="4"/>
      <c r="AA1788" s="6"/>
      <c r="AB1788" s="5"/>
      <c r="AC1788" s="9"/>
      <c r="AD1788" s="9"/>
      <c r="AE1788" s="9"/>
      <c r="AF1788" s="9"/>
      <c r="AG1788" s="54"/>
      <c r="AH1788" s="3"/>
      <c r="AI1788" s="2"/>
      <c r="AJ1788" s="2"/>
      <c r="AK1788" s="2"/>
      <c r="AL1788" s="3"/>
      <c r="AM1788" s="3"/>
      <c r="AN1788" s="3"/>
      <c r="AO1788" s="3"/>
      <c r="AP1788" s="3"/>
      <c r="AQ1788" s="59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53"/>
      <c r="BC1788" s="3"/>
      <c r="BD1788" s="59"/>
      <c r="BE1788" s="3"/>
      <c r="BF1788" s="53"/>
      <c r="BG1788" s="59"/>
    </row>
    <row r="1789" spans="1:59" customFormat="1" ht="15" x14ac:dyDescent="0.35">
      <c r="A1789" s="50"/>
      <c r="B1789" s="63"/>
      <c r="C1789" s="39"/>
      <c r="D1789" s="6"/>
      <c r="E1789" s="149"/>
      <c r="F1789" s="153"/>
      <c r="G1789" s="10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5"/>
      <c r="V1789" s="5"/>
      <c r="W1789" s="13"/>
      <c r="X1789" s="4"/>
      <c r="Y1789" s="4"/>
      <c r="Z1789" s="4"/>
      <c r="AA1789" s="6"/>
      <c r="AB1789" s="5"/>
      <c r="AC1789" s="9"/>
      <c r="AD1789" s="9"/>
      <c r="AE1789" s="9"/>
      <c r="AF1789" s="9"/>
      <c r="AG1789" s="54"/>
      <c r="AH1789" s="3"/>
      <c r="AI1789" s="2"/>
      <c r="AJ1789" s="2"/>
      <c r="AK1789" s="2"/>
      <c r="AL1789" s="3"/>
      <c r="AM1789" s="3"/>
      <c r="AN1789" s="3"/>
      <c r="AO1789" s="3"/>
      <c r="AP1789" s="3"/>
      <c r="AQ1789" s="59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53"/>
      <c r="BC1789" s="3"/>
      <c r="BD1789" s="59"/>
      <c r="BE1789" s="3"/>
      <c r="BF1789" s="53"/>
      <c r="BG1789" s="59"/>
    </row>
    <row r="1790" spans="1:59" customFormat="1" ht="15" x14ac:dyDescent="0.35">
      <c r="A1790" s="50"/>
      <c r="B1790" s="63"/>
      <c r="C1790" s="39"/>
      <c r="D1790" s="6"/>
      <c r="E1790" s="149"/>
      <c r="F1790" s="153"/>
      <c r="G1790" s="10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12"/>
      <c r="X1790" s="33"/>
      <c r="Y1790" s="6"/>
      <c r="Z1790" s="6"/>
      <c r="AA1790" s="6"/>
      <c r="AB1790" s="6"/>
      <c r="AC1790" s="9"/>
      <c r="AD1790" s="9"/>
      <c r="AE1790" s="9"/>
      <c r="AF1790" s="9"/>
      <c r="AG1790" s="5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59"/>
      <c r="AR1790" s="21"/>
      <c r="AS1790" s="21"/>
      <c r="AT1790" s="3"/>
      <c r="AU1790" s="3"/>
      <c r="AV1790" s="3"/>
      <c r="AW1790" s="3"/>
      <c r="AX1790" s="3"/>
      <c r="AY1790" s="3"/>
      <c r="AZ1790" s="3"/>
      <c r="BA1790" s="3"/>
      <c r="BB1790" s="53"/>
      <c r="BC1790" s="3"/>
      <c r="BD1790" s="59"/>
      <c r="BE1790" s="3"/>
      <c r="BF1790" s="53"/>
      <c r="BG1790" s="59"/>
    </row>
    <row r="1791" spans="1:59" customFormat="1" ht="15" x14ac:dyDescent="0.35">
      <c r="A1791" s="50"/>
      <c r="B1791" s="63"/>
      <c r="C1791" s="39"/>
      <c r="D1791" s="6"/>
      <c r="E1791" s="149"/>
      <c r="F1791" s="153"/>
      <c r="G1791" s="10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5"/>
      <c r="V1791" s="5"/>
      <c r="W1791" s="13"/>
      <c r="X1791" s="4"/>
      <c r="Y1791" s="4"/>
      <c r="Z1791" s="4"/>
      <c r="AA1791" s="6"/>
      <c r="AB1791" s="5"/>
      <c r="AC1791" s="9"/>
      <c r="AD1791" s="9"/>
      <c r="AE1791" s="9"/>
      <c r="AF1791" s="9"/>
      <c r="AG1791" s="54"/>
      <c r="AH1791" s="3"/>
      <c r="AI1791" s="2"/>
      <c r="AJ1791" s="2"/>
      <c r="AK1791" s="2"/>
      <c r="AL1791" s="3"/>
      <c r="AM1791" s="3"/>
      <c r="AN1791" s="3"/>
      <c r="AO1791" s="3"/>
      <c r="AP1791" s="3"/>
      <c r="AQ1791" s="59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53"/>
      <c r="BC1791" s="3"/>
      <c r="BD1791" s="59"/>
      <c r="BE1791" s="3"/>
      <c r="BF1791" s="53"/>
      <c r="BG1791" s="59"/>
    </row>
    <row r="1792" spans="1:59" customFormat="1" ht="15" x14ac:dyDescent="0.35">
      <c r="A1792" s="50"/>
      <c r="B1792" s="63"/>
      <c r="C1792" s="39"/>
      <c r="D1792" s="6"/>
      <c r="E1792" s="149"/>
      <c r="F1792" s="153"/>
      <c r="G1792" s="10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5"/>
      <c r="V1792" s="5"/>
      <c r="W1792" s="13"/>
      <c r="X1792" s="4"/>
      <c r="Y1792" s="4"/>
      <c r="Z1792" s="4"/>
      <c r="AA1792" s="6"/>
      <c r="AB1792" s="5"/>
      <c r="AC1792" s="9"/>
      <c r="AD1792" s="9"/>
      <c r="AE1792" s="9"/>
      <c r="AF1792" s="9"/>
      <c r="AG1792" s="54"/>
      <c r="AH1792" s="3"/>
      <c r="AI1792" s="2"/>
      <c r="AJ1792" s="2"/>
      <c r="AK1792" s="2"/>
      <c r="AL1792" s="3"/>
      <c r="AM1792" s="3"/>
      <c r="AN1792" s="3"/>
      <c r="AO1792" s="3"/>
      <c r="AP1792" s="3"/>
      <c r="AQ1792" s="59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53"/>
      <c r="BC1792" s="3"/>
      <c r="BD1792" s="59"/>
      <c r="BE1792" s="3"/>
      <c r="BF1792" s="53"/>
      <c r="BG1792" s="59"/>
    </row>
    <row r="1793" spans="1:59" customFormat="1" ht="15" x14ac:dyDescent="0.35">
      <c r="A1793" s="50"/>
      <c r="B1793" s="63"/>
      <c r="C1793" s="39"/>
      <c r="D1793" s="6"/>
      <c r="E1793" s="149"/>
      <c r="F1793" s="153"/>
      <c r="G1793" s="10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12"/>
      <c r="X1793" s="33"/>
      <c r="Y1793" s="6"/>
      <c r="Z1793" s="6"/>
      <c r="AA1793" s="6"/>
      <c r="AB1793" s="6"/>
      <c r="AC1793" s="9"/>
      <c r="AD1793" s="9"/>
      <c r="AE1793" s="9"/>
      <c r="AF1793" s="9"/>
      <c r="AG1793" s="5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59"/>
      <c r="AR1793" s="21"/>
      <c r="AS1793" s="21"/>
      <c r="AT1793" s="3"/>
      <c r="AU1793" s="3"/>
      <c r="AV1793" s="3"/>
      <c r="AW1793" s="3"/>
      <c r="AX1793" s="3"/>
      <c r="AY1793" s="3"/>
      <c r="AZ1793" s="3"/>
      <c r="BA1793" s="3"/>
      <c r="BB1793" s="53"/>
      <c r="BC1793" s="3"/>
      <c r="BD1793" s="59"/>
      <c r="BE1793" s="3"/>
      <c r="BF1793" s="53"/>
      <c r="BG1793" s="59"/>
    </row>
    <row r="1794" spans="1:59" customFormat="1" ht="15" x14ac:dyDescent="0.35">
      <c r="A1794" s="50"/>
      <c r="B1794" s="63"/>
      <c r="C1794" s="39"/>
      <c r="D1794" s="6"/>
      <c r="E1794" s="149"/>
      <c r="F1794" s="153"/>
      <c r="G1794" s="10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5"/>
      <c r="V1794" s="5"/>
      <c r="W1794" s="13"/>
      <c r="X1794" s="4"/>
      <c r="Y1794" s="4"/>
      <c r="Z1794" s="4"/>
      <c r="AA1794" s="6"/>
      <c r="AB1794" s="5"/>
      <c r="AC1794" s="9"/>
      <c r="AD1794" s="9"/>
      <c r="AE1794" s="9"/>
      <c r="AF1794" s="9"/>
      <c r="AG1794" s="54"/>
      <c r="AH1794" s="3"/>
      <c r="AI1794" s="2"/>
      <c r="AJ1794" s="2"/>
      <c r="AK1794" s="2"/>
      <c r="AL1794" s="3"/>
      <c r="AM1794" s="3"/>
      <c r="AN1794" s="3"/>
      <c r="AO1794" s="3"/>
      <c r="AP1794" s="3"/>
      <c r="AQ1794" s="59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53"/>
      <c r="BC1794" s="3"/>
      <c r="BD1794" s="59"/>
      <c r="BE1794" s="3"/>
      <c r="BF1794" s="53"/>
      <c r="BG1794" s="59"/>
    </row>
    <row r="1795" spans="1:59" customFormat="1" ht="15" x14ac:dyDescent="0.35">
      <c r="A1795" s="50"/>
      <c r="B1795" s="63"/>
      <c r="C1795" s="39"/>
      <c r="D1795" s="6"/>
      <c r="E1795" s="149"/>
      <c r="F1795" s="153"/>
      <c r="G1795" s="10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5"/>
      <c r="V1795" s="5"/>
      <c r="W1795" s="13"/>
      <c r="X1795" s="4"/>
      <c r="Y1795" s="4"/>
      <c r="Z1795" s="4"/>
      <c r="AA1795" s="6"/>
      <c r="AB1795" s="5"/>
      <c r="AC1795" s="9"/>
      <c r="AD1795" s="9"/>
      <c r="AE1795" s="9"/>
      <c r="AF1795" s="9"/>
      <c r="AG1795" s="54"/>
      <c r="AH1795" s="3"/>
      <c r="AI1795" s="2"/>
      <c r="AJ1795" s="2"/>
      <c r="AK1795" s="2"/>
      <c r="AL1795" s="3"/>
      <c r="AM1795" s="3"/>
      <c r="AN1795" s="3"/>
      <c r="AO1795" s="3"/>
      <c r="AP1795" s="3"/>
      <c r="AQ1795" s="59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53"/>
      <c r="BC1795" s="3"/>
      <c r="BD1795" s="59"/>
      <c r="BE1795" s="3"/>
      <c r="BF1795" s="53"/>
      <c r="BG1795" s="59"/>
    </row>
    <row r="1796" spans="1:59" customFormat="1" ht="15" x14ac:dyDescent="0.35">
      <c r="A1796" s="50"/>
      <c r="B1796" s="63"/>
      <c r="C1796" s="39"/>
      <c r="D1796" s="6"/>
      <c r="E1796" s="149"/>
      <c r="F1796" s="153"/>
      <c r="G1796" s="10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12"/>
      <c r="X1796" s="33"/>
      <c r="Y1796" s="6"/>
      <c r="Z1796" s="6"/>
      <c r="AA1796" s="6"/>
      <c r="AB1796" s="6"/>
      <c r="AC1796" s="9"/>
      <c r="AD1796" s="9"/>
      <c r="AE1796" s="9"/>
      <c r="AF1796" s="9"/>
      <c r="AG1796" s="5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59"/>
      <c r="AR1796" s="21"/>
      <c r="AS1796" s="21"/>
      <c r="AT1796" s="3"/>
      <c r="AU1796" s="3"/>
      <c r="AV1796" s="3"/>
      <c r="AW1796" s="3"/>
      <c r="AX1796" s="3"/>
      <c r="AY1796" s="3"/>
      <c r="AZ1796" s="3"/>
      <c r="BA1796" s="3"/>
      <c r="BB1796" s="53"/>
      <c r="BC1796" s="3"/>
      <c r="BD1796" s="59"/>
      <c r="BE1796" s="3"/>
      <c r="BF1796" s="53"/>
      <c r="BG1796" s="59"/>
    </row>
    <row r="1797" spans="1:59" customFormat="1" ht="15" x14ac:dyDescent="0.35">
      <c r="A1797" s="50"/>
      <c r="B1797" s="63"/>
      <c r="C1797" s="39"/>
      <c r="D1797" s="6"/>
      <c r="E1797" s="149"/>
      <c r="F1797" s="153"/>
      <c r="G1797" s="10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12"/>
      <c r="X1797" s="33"/>
      <c r="Y1797" s="6"/>
      <c r="Z1797" s="6"/>
      <c r="AA1797" s="6"/>
      <c r="AB1797" s="6"/>
      <c r="AC1797" s="9"/>
      <c r="AD1797" s="9"/>
      <c r="AE1797" s="9"/>
      <c r="AF1797" s="9"/>
      <c r="AG1797" s="5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59"/>
      <c r="AR1797" s="21"/>
      <c r="AS1797" s="21"/>
      <c r="AT1797" s="3"/>
      <c r="AU1797" s="3"/>
      <c r="AV1797" s="3"/>
      <c r="AW1797" s="3"/>
      <c r="AX1797" s="3"/>
      <c r="AY1797" s="3"/>
      <c r="AZ1797" s="3"/>
      <c r="BA1797" s="3"/>
      <c r="BB1797" s="53"/>
      <c r="BC1797" s="3"/>
      <c r="BD1797" s="59"/>
      <c r="BE1797" s="3"/>
      <c r="BF1797" s="53"/>
      <c r="BG1797" s="59"/>
    </row>
    <row r="1798" spans="1:59" customFormat="1" ht="15" x14ac:dyDescent="0.35">
      <c r="A1798" s="50"/>
      <c r="B1798" s="63"/>
      <c r="C1798" s="39"/>
      <c r="D1798" s="6"/>
      <c r="E1798" s="149"/>
      <c r="F1798" s="153"/>
      <c r="G1798" s="10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12"/>
      <c r="X1798" s="33"/>
      <c r="Y1798" s="6"/>
      <c r="Z1798" s="6"/>
      <c r="AA1798" s="6"/>
      <c r="AB1798" s="6"/>
      <c r="AC1798" s="9"/>
      <c r="AD1798" s="9"/>
      <c r="AE1798" s="9"/>
      <c r="AF1798" s="9"/>
      <c r="AG1798" s="5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59"/>
      <c r="AR1798" s="21"/>
      <c r="AS1798" s="21"/>
      <c r="AT1798" s="3"/>
      <c r="AU1798" s="3"/>
      <c r="AV1798" s="3"/>
      <c r="AW1798" s="3"/>
      <c r="AX1798" s="3"/>
      <c r="AY1798" s="3"/>
      <c r="AZ1798" s="3"/>
      <c r="BA1798" s="3"/>
      <c r="BB1798" s="53"/>
      <c r="BC1798" s="3"/>
      <c r="BD1798" s="59"/>
      <c r="BE1798" s="3"/>
      <c r="BF1798" s="53"/>
      <c r="BG1798" s="59"/>
    </row>
    <row r="1799" spans="1:59" customFormat="1" ht="15" x14ac:dyDescent="0.35">
      <c r="A1799" s="19"/>
      <c r="B1799" s="49"/>
      <c r="C1799" s="14"/>
      <c r="D1799" s="1"/>
      <c r="E1799" s="149"/>
      <c r="F1799" s="153"/>
      <c r="G1799" s="10"/>
      <c r="H1799" s="17"/>
      <c r="I1799" s="17"/>
      <c r="J1799" s="17"/>
      <c r="K1799" s="30"/>
      <c r="L1799" s="30"/>
      <c r="M1799" s="30"/>
      <c r="N1799" s="30"/>
      <c r="O1799" s="30"/>
      <c r="P1799" s="30"/>
      <c r="Q1799" s="30"/>
      <c r="R1799" s="30"/>
      <c r="S1799" s="30"/>
      <c r="T1799" s="30"/>
      <c r="U1799" s="30"/>
      <c r="V1799" s="30"/>
      <c r="W1799" s="29"/>
      <c r="X1799" s="15"/>
      <c r="Y1799" s="30"/>
      <c r="Z1799" s="30"/>
      <c r="AA1799" s="30"/>
      <c r="AB1799" s="30"/>
      <c r="AC1799" s="17"/>
      <c r="AD1799" s="17"/>
      <c r="AE1799" s="17"/>
      <c r="AF1799" s="17"/>
      <c r="AG1799" s="20"/>
      <c r="AH1799" s="21"/>
      <c r="AI1799" s="21"/>
      <c r="AJ1799" s="21"/>
      <c r="AK1799" s="21"/>
      <c r="AL1799" s="21"/>
      <c r="AM1799" s="21"/>
      <c r="AN1799" s="21"/>
      <c r="AO1799" s="22"/>
      <c r="AP1799" s="21"/>
      <c r="AQ1799" s="24"/>
      <c r="AR1799" s="21"/>
      <c r="AS1799" s="21"/>
      <c r="AT1799" s="21"/>
      <c r="AU1799" s="21"/>
      <c r="AV1799" s="21"/>
      <c r="AW1799" s="21"/>
      <c r="AX1799" s="22"/>
      <c r="AY1799" s="21"/>
      <c r="AZ1799" s="22"/>
      <c r="BA1799" s="21"/>
      <c r="BB1799" s="20"/>
      <c r="BC1799" s="21"/>
      <c r="BD1799" s="25"/>
      <c r="BE1799" s="26"/>
      <c r="BF1799" s="27"/>
      <c r="BG1799" s="28"/>
    </row>
    <row r="1800" spans="1:59" customFormat="1" ht="15" x14ac:dyDescent="0.35">
      <c r="A1800" s="19"/>
      <c r="B1800" s="49"/>
      <c r="C1800" s="39"/>
      <c r="D1800" s="1"/>
      <c r="E1800" s="149"/>
      <c r="F1800" s="153"/>
      <c r="G1800" s="10"/>
      <c r="H1800" s="17"/>
      <c r="I1800" s="17"/>
      <c r="J1800" s="17"/>
      <c r="K1800" s="30"/>
      <c r="L1800" s="30"/>
      <c r="M1800" s="30"/>
      <c r="N1800" s="30"/>
      <c r="O1800" s="30"/>
      <c r="P1800" s="30"/>
      <c r="Q1800" s="30"/>
      <c r="R1800" s="30"/>
      <c r="S1800" s="30"/>
      <c r="T1800" s="30"/>
      <c r="U1800" s="30"/>
      <c r="V1800" s="30"/>
      <c r="W1800" s="29"/>
      <c r="X1800" s="15"/>
      <c r="Y1800" s="30"/>
      <c r="Z1800" s="30"/>
      <c r="AA1800" s="30"/>
      <c r="AB1800" s="30"/>
      <c r="AC1800" s="17"/>
      <c r="AD1800" s="17"/>
      <c r="AE1800" s="17"/>
      <c r="AF1800" s="17"/>
      <c r="AG1800" s="20"/>
      <c r="AH1800" s="21"/>
      <c r="AI1800" s="21"/>
      <c r="AJ1800" s="21"/>
      <c r="AK1800" s="21"/>
      <c r="AL1800" s="21"/>
      <c r="AM1800" s="21"/>
      <c r="AN1800" s="21"/>
      <c r="AO1800" s="22"/>
      <c r="AP1800" s="21"/>
      <c r="AQ1800" s="24"/>
      <c r="AR1800" s="21"/>
      <c r="AS1800" s="21"/>
      <c r="AT1800" s="21"/>
      <c r="AU1800" s="21"/>
      <c r="AV1800" s="21"/>
      <c r="AW1800" s="21"/>
      <c r="AX1800" s="22"/>
      <c r="AY1800" s="21"/>
      <c r="AZ1800" s="22"/>
      <c r="BA1800" s="21"/>
      <c r="BB1800" s="20"/>
      <c r="BC1800" s="21"/>
      <c r="BD1800" s="25"/>
      <c r="BE1800" s="26"/>
      <c r="BF1800" s="27"/>
      <c r="BG1800" s="28"/>
    </row>
    <row r="1801" spans="1:59" customFormat="1" ht="15" x14ac:dyDescent="0.35">
      <c r="A1801" s="50"/>
      <c r="B1801" s="63"/>
      <c r="C1801" s="39"/>
      <c r="D1801" s="6"/>
      <c r="E1801" s="149"/>
      <c r="F1801" s="153"/>
      <c r="G1801" s="10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5"/>
      <c r="V1801" s="5"/>
      <c r="W1801" s="13"/>
      <c r="X1801" s="4"/>
      <c r="Y1801" s="4"/>
      <c r="Z1801" s="4"/>
      <c r="AA1801" s="6"/>
      <c r="AB1801" s="5"/>
      <c r="AC1801" s="9"/>
      <c r="AD1801" s="9"/>
      <c r="AE1801" s="9"/>
      <c r="AF1801" s="9"/>
      <c r="AG1801" s="54"/>
      <c r="AH1801" s="3"/>
      <c r="AI1801" s="2"/>
      <c r="AJ1801" s="2"/>
      <c r="AK1801" s="2"/>
      <c r="AL1801" s="3"/>
      <c r="AM1801" s="3"/>
      <c r="AN1801" s="3"/>
      <c r="AO1801" s="3"/>
      <c r="AP1801" s="3"/>
      <c r="AQ1801" s="59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53"/>
      <c r="BC1801" s="3"/>
      <c r="BD1801" s="59"/>
      <c r="BE1801" s="3"/>
      <c r="BF1801" s="53"/>
      <c r="BG1801" s="59"/>
    </row>
    <row r="1802" spans="1:59" customFormat="1" ht="15" x14ac:dyDescent="0.35">
      <c r="A1802" s="19"/>
      <c r="B1802" s="49"/>
      <c r="C1802" s="14"/>
      <c r="D1802" s="1"/>
      <c r="E1802" s="149"/>
      <c r="F1802" s="153"/>
      <c r="G1802" s="10"/>
      <c r="H1802" s="17"/>
      <c r="I1802" s="17"/>
      <c r="J1802" s="17"/>
      <c r="K1802" s="30"/>
      <c r="L1802" s="30"/>
      <c r="M1802" s="30"/>
      <c r="N1802" s="30"/>
      <c r="O1802" s="30"/>
      <c r="P1802" s="30"/>
      <c r="Q1802" s="30"/>
      <c r="R1802" s="30"/>
      <c r="S1802" s="30"/>
      <c r="T1802" s="30"/>
      <c r="U1802" s="30"/>
      <c r="V1802" s="30"/>
      <c r="W1802" s="29"/>
      <c r="X1802" s="15"/>
      <c r="Y1802" s="30"/>
      <c r="Z1802" s="30"/>
      <c r="AA1802" s="30"/>
      <c r="AB1802" s="30"/>
      <c r="AC1802" s="17"/>
      <c r="AD1802" s="17"/>
      <c r="AE1802" s="17"/>
      <c r="AF1802" s="17"/>
      <c r="AG1802" s="20"/>
      <c r="AH1802" s="21"/>
      <c r="AI1802" s="21"/>
      <c r="AJ1802" s="21"/>
      <c r="AK1802" s="21"/>
      <c r="AL1802" s="21"/>
      <c r="AM1802" s="21"/>
      <c r="AN1802" s="21"/>
      <c r="AO1802" s="22"/>
      <c r="AP1802" s="21"/>
      <c r="AQ1802" s="24"/>
      <c r="AR1802" s="21"/>
      <c r="AS1802" s="21"/>
      <c r="AT1802" s="21"/>
      <c r="AU1802" s="21"/>
      <c r="AV1802" s="21"/>
      <c r="AW1802" s="21"/>
      <c r="AX1802" s="22"/>
      <c r="AY1802" s="21"/>
      <c r="AZ1802" s="22"/>
      <c r="BA1802" s="21"/>
      <c r="BB1802" s="20"/>
      <c r="BC1802" s="21"/>
      <c r="BD1802" s="25"/>
      <c r="BE1802" s="26"/>
      <c r="BF1802" s="27"/>
      <c r="BG1802" s="28"/>
    </row>
    <row r="1803" spans="1:59" customFormat="1" ht="15" x14ac:dyDescent="0.35">
      <c r="A1803" s="50"/>
      <c r="B1803" s="63"/>
      <c r="C1803" s="39"/>
      <c r="D1803" s="6"/>
      <c r="E1803" s="149"/>
      <c r="F1803" s="153"/>
      <c r="G1803" s="10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12"/>
      <c r="X1803" s="33"/>
      <c r="Y1803" s="6"/>
      <c r="Z1803" s="6"/>
      <c r="AA1803" s="6"/>
      <c r="AB1803" s="6"/>
      <c r="AC1803" s="9"/>
      <c r="AD1803" s="9"/>
      <c r="AE1803" s="9"/>
      <c r="AF1803" s="9"/>
      <c r="AG1803" s="5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59"/>
      <c r="AR1803" s="21"/>
      <c r="AS1803" s="21"/>
      <c r="AT1803" s="3"/>
      <c r="AU1803" s="3"/>
      <c r="AV1803" s="3"/>
      <c r="AW1803" s="3"/>
      <c r="AX1803" s="3"/>
      <c r="AY1803" s="3"/>
      <c r="AZ1803" s="3"/>
      <c r="BA1803" s="3"/>
      <c r="BB1803" s="53"/>
      <c r="BC1803" s="3"/>
      <c r="BD1803" s="59"/>
      <c r="BE1803" s="3"/>
      <c r="BF1803" s="53"/>
      <c r="BG1803" s="59"/>
    </row>
    <row r="1804" spans="1:59" customFormat="1" ht="15" x14ac:dyDescent="0.35">
      <c r="A1804" s="50"/>
      <c r="B1804" s="63"/>
      <c r="C1804" s="39"/>
      <c r="D1804" s="6"/>
      <c r="E1804" s="149"/>
      <c r="F1804" s="153"/>
      <c r="G1804" s="10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12"/>
      <c r="X1804" s="33"/>
      <c r="Y1804" s="6"/>
      <c r="Z1804" s="6"/>
      <c r="AA1804" s="6"/>
      <c r="AB1804" s="6"/>
      <c r="AC1804" s="9"/>
      <c r="AD1804" s="9"/>
      <c r="AE1804" s="9"/>
      <c r="AF1804" s="9"/>
      <c r="AG1804" s="5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59"/>
      <c r="AR1804" s="21"/>
      <c r="AS1804" s="21"/>
      <c r="AT1804" s="3"/>
      <c r="AU1804" s="3"/>
      <c r="AV1804" s="3"/>
      <c r="AW1804" s="3"/>
      <c r="AX1804" s="3"/>
      <c r="AY1804" s="3"/>
      <c r="AZ1804" s="3"/>
      <c r="BA1804" s="3"/>
      <c r="BB1804" s="53"/>
      <c r="BC1804" s="3"/>
      <c r="BD1804" s="59"/>
      <c r="BE1804" s="3"/>
      <c r="BF1804" s="53"/>
      <c r="BG1804" s="59"/>
    </row>
    <row r="1805" spans="1:59" customFormat="1" ht="15" x14ac:dyDescent="0.35">
      <c r="A1805" s="19"/>
      <c r="B1805" s="49"/>
      <c r="C1805" s="14"/>
      <c r="D1805" s="6"/>
      <c r="E1805" s="149"/>
      <c r="F1805" s="153"/>
      <c r="G1805" s="10"/>
      <c r="H1805" s="17"/>
      <c r="I1805" s="17"/>
      <c r="J1805" s="17"/>
      <c r="K1805" s="30"/>
      <c r="L1805" s="30"/>
      <c r="M1805" s="30"/>
      <c r="N1805" s="30"/>
      <c r="O1805" s="30"/>
      <c r="P1805" s="30"/>
      <c r="Q1805" s="30"/>
      <c r="R1805" s="30"/>
      <c r="S1805" s="30"/>
      <c r="T1805" s="30"/>
      <c r="U1805" s="30"/>
      <c r="V1805" s="30"/>
      <c r="W1805" s="29"/>
      <c r="X1805" s="15"/>
      <c r="Y1805" s="30"/>
      <c r="Z1805" s="30"/>
      <c r="AA1805" s="30"/>
      <c r="AB1805" s="30"/>
      <c r="AC1805" s="17"/>
      <c r="AD1805" s="17"/>
      <c r="AE1805" s="17"/>
      <c r="AF1805" s="17"/>
      <c r="AG1805" s="20"/>
      <c r="AH1805" s="21"/>
      <c r="AI1805" s="21"/>
      <c r="AJ1805" s="21"/>
      <c r="AK1805" s="21"/>
      <c r="AL1805" s="21"/>
      <c r="AM1805" s="21"/>
      <c r="AN1805" s="21"/>
      <c r="AO1805" s="22"/>
      <c r="AP1805" s="21"/>
      <c r="AQ1805" s="24"/>
      <c r="AR1805" s="21"/>
      <c r="AS1805" s="21"/>
      <c r="AT1805" s="21"/>
      <c r="AU1805" s="21"/>
      <c r="AV1805" s="21"/>
      <c r="AW1805" s="21"/>
      <c r="AX1805" s="22"/>
      <c r="AY1805" s="21"/>
      <c r="AZ1805" s="22"/>
      <c r="BA1805" s="21"/>
      <c r="BB1805" s="20"/>
      <c r="BC1805" s="21"/>
      <c r="BD1805" s="25"/>
      <c r="BE1805" s="26"/>
      <c r="BF1805" s="27"/>
      <c r="BG1805" s="28"/>
    </row>
    <row r="1806" spans="1:59" customFormat="1" ht="15" x14ac:dyDescent="0.35">
      <c r="A1806" s="50"/>
      <c r="B1806" s="63"/>
      <c r="C1806" s="39"/>
      <c r="D1806" s="6"/>
      <c r="E1806" s="149"/>
      <c r="F1806" s="153"/>
      <c r="G1806" s="10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12"/>
      <c r="X1806" s="33"/>
      <c r="Y1806" s="6"/>
      <c r="Z1806" s="6"/>
      <c r="AA1806" s="6"/>
      <c r="AB1806" s="6"/>
      <c r="AC1806" s="9"/>
      <c r="AD1806" s="9"/>
      <c r="AE1806" s="9"/>
      <c r="AF1806" s="9"/>
      <c r="AG1806" s="5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59"/>
      <c r="AR1806" s="21"/>
      <c r="AS1806" s="21"/>
      <c r="AT1806" s="3"/>
      <c r="AU1806" s="3"/>
      <c r="AV1806" s="3"/>
      <c r="AW1806" s="3"/>
      <c r="AX1806" s="3"/>
      <c r="AY1806" s="3"/>
      <c r="AZ1806" s="3"/>
      <c r="BA1806" s="3"/>
      <c r="BB1806" s="53"/>
      <c r="BC1806" s="3"/>
      <c r="BD1806" s="59"/>
      <c r="BE1806" s="3"/>
      <c r="BF1806" s="53"/>
      <c r="BG1806" s="59"/>
    </row>
    <row r="1807" spans="1:59" customFormat="1" ht="15" x14ac:dyDescent="0.35">
      <c r="A1807" s="19"/>
      <c r="B1807" s="49"/>
      <c r="C1807" s="14"/>
      <c r="D1807" s="1"/>
      <c r="E1807" s="149"/>
      <c r="F1807" s="153"/>
      <c r="G1807" s="10"/>
      <c r="H1807" s="17"/>
      <c r="I1807" s="17"/>
      <c r="J1807" s="17"/>
      <c r="K1807" s="30"/>
      <c r="L1807" s="30"/>
      <c r="M1807" s="30"/>
      <c r="N1807" s="30"/>
      <c r="O1807" s="30"/>
      <c r="P1807" s="30"/>
      <c r="Q1807" s="30"/>
      <c r="R1807" s="30"/>
      <c r="S1807" s="30"/>
      <c r="T1807" s="30"/>
      <c r="U1807" s="30"/>
      <c r="V1807" s="30"/>
      <c r="W1807" s="29"/>
      <c r="X1807" s="15"/>
      <c r="Y1807" s="30"/>
      <c r="Z1807" s="30"/>
      <c r="AA1807" s="30"/>
      <c r="AB1807" s="30"/>
      <c r="AC1807" s="17"/>
      <c r="AD1807" s="17"/>
      <c r="AE1807" s="17"/>
      <c r="AF1807" s="17"/>
      <c r="AG1807" s="20"/>
      <c r="AH1807" s="21"/>
      <c r="AI1807" s="21"/>
      <c r="AJ1807" s="21"/>
      <c r="AK1807" s="21"/>
      <c r="AL1807" s="21"/>
      <c r="AM1807" s="21"/>
      <c r="AN1807" s="21"/>
      <c r="AO1807" s="22"/>
      <c r="AP1807" s="21"/>
      <c r="AQ1807" s="24"/>
      <c r="AR1807" s="21"/>
      <c r="AS1807" s="21"/>
      <c r="AT1807" s="21"/>
      <c r="AU1807" s="21"/>
      <c r="AV1807" s="21"/>
      <c r="AW1807" s="21"/>
      <c r="AX1807" s="22"/>
      <c r="AY1807" s="21"/>
      <c r="AZ1807" s="22"/>
      <c r="BA1807" s="21"/>
      <c r="BB1807" s="20"/>
      <c r="BC1807" s="21"/>
      <c r="BD1807" s="25"/>
      <c r="BE1807" s="26"/>
      <c r="BF1807" s="27"/>
      <c r="BG1807" s="28"/>
    </row>
    <row r="1808" spans="1:59" customFormat="1" ht="15" x14ac:dyDescent="0.35">
      <c r="A1808" s="50"/>
      <c r="B1808" s="63"/>
      <c r="C1808" s="39"/>
      <c r="D1808" s="6"/>
      <c r="E1808" s="149"/>
      <c r="F1808" s="153"/>
      <c r="G1808" s="10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12"/>
      <c r="X1808" s="33"/>
      <c r="Y1808" s="6"/>
      <c r="Z1808" s="6"/>
      <c r="AA1808" s="6"/>
      <c r="AB1808" s="6"/>
      <c r="AC1808" s="9"/>
      <c r="AD1808" s="9"/>
      <c r="AE1808" s="9"/>
      <c r="AF1808" s="9"/>
      <c r="AG1808" s="5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59"/>
      <c r="AR1808" s="21"/>
      <c r="AS1808" s="21"/>
      <c r="AT1808" s="3"/>
      <c r="AU1808" s="3"/>
      <c r="AV1808" s="3"/>
      <c r="AW1808" s="3"/>
      <c r="AX1808" s="3"/>
      <c r="AY1808" s="3"/>
      <c r="AZ1808" s="3"/>
      <c r="BA1808" s="3"/>
      <c r="BB1808" s="53"/>
      <c r="BC1808" s="3"/>
      <c r="BD1808" s="59"/>
      <c r="BE1808" s="3"/>
      <c r="BF1808" s="53"/>
      <c r="BG1808" s="59"/>
    </row>
    <row r="1809" spans="1:59" customFormat="1" ht="15" x14ac:dyDescent="0.35">
      <c r="A1809" s="50"/>
      <c r="B1809" s="63"/>
      <c r="C1809" s="39"/>
      <c r="D1809" s="6"/>
      <c r="E1809" s="149"/>
      <c r="F1809" s="153"/>
      <c r="G1809" s="10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12"/>
      <c r="X1809" s="33"/>
      <c r="Y1809" s="6"/>
      <c r="Z1809" s="6"/>
      <c r="AA1809" s="6"/>
      <c r="AB1809" s="6"/>
      <c r="AC1809" s="9"/>
      <c r="AD1809" s="9"/>
      <c r="AE1809" s="9"/>
      <c r="AF1809" s="9"/>
      <c r="AG1809" s="5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59"/>
      <c r="AR1809" s="21"/>
      <c r="AS1809" s="21"/>
      <c r="AT1809" s="3"/>
      <c r="AU1809" s="3"/>
      <c r="AV1809" s="3"/>
      <c r="AW1809" s="3"/>
      <c r="AX1809" s="3"/>
      <c r="AY1809" s="3"/>
      <c r="AZ1809" s="3"/>
      <c r="BA1809" s="3"/>
      <c r="BB1809" s="53"/>
      <c r="BC1809" s="3"/>
      <c r="BD1809" s="59"/>
      <c r="BE1809" s="3"/>
      <c r="BF1809" s="53"/>
      <c r="BG1809" s="59"/>
    </row>
    <row r="1810" spans="1:59" customFormat="1" ht="15" x14ac:dyDescent="0.35">
      <c r="A1810" s="19"/>
      <c r="B1810" s="49"/>
      <c r="C1810" s="39"/>
      <c r="D1810" s="1"/>
      <c r="E1810" s="149"/>
      <c r="F1810" s="153"/>
      <c r="G1810" s="10"/>
      <c r="H1810" s="17"/>
      <c r="I1810" s="17"/>
      <c r="J1810" s="17"/>
      <c r="K1810" s="30"/>
      <c r="L1810" s="30"/>
      <c r="M1810" s="30"/>
      <c r="N1810" s="30"/>
      <c r="O1810" s="30"/>
      <c r="P1810" s="30"/>
      <c r="Q1810" s="30"/>
      <c r="R1810" s="30"/>
      <c r="S1810" s="30"/>
      <c r="T1810" s="30"/>
      <c r="U1810" s="30"/>
      <c r="V1810" s="30"/>
      <c r="W1810" s="29"/>
      <c r="X1810" s="15"/>
      <c r="Y1810" s="30"/>
      <c r="Z1810" s="30"/>
      <c r="AA1810" s="30"/>
      <c r="AB1810" s="30"/>
      <c r="AC1810" s="17"/>
      <c r="AD1810" s="17"/>
      <c r="AE1810" s="17"/>
      <c r="AF1810" s="17"/>
      <c r="AG1810" s="20"/>
      <c r="AH1810" s="21"/>
      <c r="AI1810" s="21"/>
      <c r="AJ1810" s="21"/>
      <c r="AK1810" s="21"/>
      <c r="AL1810" s="21"/>
      <c r="AM1810" s="21"/>
      <c r="AN1810" s="21"/>
      <c r="AO1810" s="22"/>
      <c r="AP1810" s="21"/>
      <c r="AQ1810" s="24"/>
      <c r="AR1810" s="21"/>
      <c r="AS1810" s="21"/>
      <c r="AT1810" s="21"/>
      <c r="AU1810" s="21"/>
      <c r="AV1810" s="21"/>
      <c r="AW1810" s="21"/>
      <c r="AX1810" s="22"/>
      <c r="AY1810" s="21"/>
      <c r="AZ1810" s="22"/>
      <c r="BA1810" s="21"/>
      <c r="BB1810" s="20"/>
      <c r="BC1810" s="21"/>
      <c r="BD1810" s="25"/>
      <c r="BE1810" s="26"/>
      <c r="BF1810" s="27"/>
      <c r="BG1810" s="28"/>
    </row>
    <row r="1811" spans="1:59" customFormat="1" ht="15" x14ac:dyDescent="0.35">
      <c r="A1811" s="50"/>
      <c r="B1811" s="63"/>
      <c r="C1811" s="39"/>
      <c r="D1811" s="6"/>
      <c r="E1811" s="149"/>
      <c r="F1811" s="153"/>
      <c r="G1811" s="10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5"/>
      <c r="V1811" s="5"/>
      <c r="W1811" s="13"/>
      <c r="X1811" s="4"/>
      <c r="Y1811" s="4"/>
      <c r="Z1811" s="4"/>
      <c r="AA1811" s="6"/>
      <c r="AB1811" s="5"/>
      <c r="AC1811" s="9"/>
      <c r="AD1811" s="9"/>
      <c r="AE1811" s="9"/>
      <c r="AF1811" s="9"/>
      <c r="AG1811" s="54"/>
      <c r="AH1811" s="3"/>
      <c r="AI1811" s="2"/>
      <c r="AJ1811" s="2"/>
      <c r="AK1811" s="2"/>
      <c r="AL1811" s="3"/>
      <c r="AM1811" s="3"/>
      <c r="AN1811" s="3"/>
      <c r="AO1811" s="3"/>
      <c r="AP1811" s="3"/>
      <c r="AQ1811" s="59"/>
      <c r="AR1811" s="21"/>
      <c r="AS1811" s="21"/>
      <c r="AT1811" s="3"/>
      <c r="AU1811" s="3"/>
      <c r="AV1811" s="3"/>
      <c r="AW1811" s="3"/>
      <c r="AX1811" s="3"/>
      <c r="AY1811" s="3"/>
      <c r="AZ1811" s="3"/>
      <c r="BA1811" s="3"/>
      <c r="BB1811" s="53"/>
      <c r="BC1811" s="3"/>
      <c r="BD1811" s="59"/>
      <c r="BE1811" s="3"/>
      <c r="BF1811" s="53"/>
      <c r="BG1811" s="59"/>
    </row>
    <row r="1812" spans="1:59" customFormat="1" ht="15" x14ac:dyDescent="0.35">
      <c r="A1812" s="50"/>
      <c r="B1812" s="63"/>
      <c r="C1812" s="39"/>
      <c r="D1812" s="6"/>
      <c r="E1812" s="149"/>
      <c r="F1812" s="153"/>
      <c r="G1812" s="10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12"/>
      <c r="X1812" s="33"/>
      <c r="Y1812" s="6"/>
      <c r="Z1812" s="6"/>
      <c r="AA1812" s="6"/>
      <c r="AB1812" s="6"/>
      <c r="AC1812" s="9"/>
      <c r="AD1812" s="9"/>
      <c r="AE1812" s="9"/>
      <c r="AF1812" s="9"/>
      <c r="AG1812" s="5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59"/>
      <c r="AR1812" s="21"/>
      <c r="AS1812" s="21"/>
      <c r="AT1812" s="3"/>
      <c r="AU1812" s="3"/>
      <c r="AV1812" s="3"/>
      <c r="AW1812" s="3"/>
      <c r="AX1812" s="3"/>
      <c r="AY1812" s="3"/>
      <c r="AZ1812" s="3"/>
      <c r="BA1812" s="3"/>
      <c r="BB1812" s="53"/>
      <c r="BC1812" s="3"/>
      <c r="BD1812" s="59"/>
      <c r="BE1812" s="3"/>
      <c r="BF1812" s="53"/>
      <c r="BG1812" s="59"/>
    </row>
    <row r="1813" spans="1:59" customFormat="1" ht="15" x14ac:dyDescent="0.35">
      <c r="A1813" s="19"/>
      <c r="B1813" s="49"/>
      <c r="C1813" s="14"/>
      <c r="D1813" s="1"/>
      <c r="E1813" s="149"/>
      <c r="F1813" s="153"/>
      <c r="G1813" s="10"/>
      <c r="H1813" s="17"/>
      <c r="I1813" s="17"/>
      <c r="J1813" s="17"/>
      <c r="K1813" s="30"/>
      <c r="L1813" s="30"/>
      <c r="M1813" s="30"/>
      <c r="N1813" s="30"/>
      <c r="O1813" s="30"/>
      <c r="P1813" s="30"/>
      <c r="Q1813" s="30"/>
      <c r="R1813" s="30"/>
      <c r="S1813" s="30"/>
      <c r="T1813" s="30"/>
      <c r="U1813" s="30"/>
      <c r="V1813" s="30"/>
      <c r="W1813" s="29"/>
      <c r="X1813" s="15"/>
      <c r="Y1813" s="30"/>
      <c r="Z1813" s="30"/>
      <c r="AA1813" s="30"/>
      <c r="AB1813" s="30"/>
      <c r="AC1813" s="17"/>
      <c r="AD1813" s="17"/>
      <c r="AE1813" s="17"/>
      <c r="AF1813" s="17"/>
      <c r="AG1813" s="20"/>
      <c r="AH1813" s="21"/>
      <c r="AI1813" s="21"/>
      <c r="AJ1813" s="21"/>
      <c r="AK1813" s="21"/>
      <c r="AL1813" s="21"/>
      <c r="AM1813" s="21"/>
      <c r="AN1813" s="21"/>
      <c r="AO1813" s="22"/>
      <c r="AP1813" s="21"/>
      <c r="AQ1813" s="24"/>
      <c r="AR1813" s="21"/>
      <c r="AS1813" s="21"/>
      <c r="AT1813" s="21"/>
      <c r="AU1813" s="21"/>
      <c r="AV1813" s="21"/>
      <c r="AW1813" s="21"/>
      <c r="AX1813" s="22"/>
      <c r="AY1813" s="21"/>
      <c r="AZ1813" s="22"/>
      <c r="BA1813" s="21"/>
      <c r="BB1813" s="20"/>
      <c r="BC1813" s="21"/>
      <c r="BD1813" s="25"/>
      <c r="BE1813" s="26"/>
      <c r="BF1813" s="27"/>
      <c r="BG1813" s="28"/>
    </row>
    <row r="1814" spans="1:59" customFormat="1" ht="15" x14ac:dyDescent="0.35">
      <c r="A1814" s="19"/>
      <c r="B1814" s="49"/>
      <c r="C1814" s="14"/>
      <c r="D1814" s="1"/>
      <c r="E1814" s="149"/>
      <c r="F1814" s="153"/>
      <c r="G1814" s="10"/>
      <c r="H1814" s="17"/>
      <c r="I1814" s="17"/>
      <c r="J1814" s="17"/>
      <c r="K1814" s="30"/>
      <c r="L1814" s="30"/>
      <c r="M1814" s="30"/>
      <c r="N1814" s="30"/>
      <c r="O1814" s="30"/>
      <c r="P1814" s="30"/>
      <c r="Q1814" s="30"/>
      <c r="R1814" s="30"/>
      <c r="S1814" s="30"/>
      <c r="T1814" s="30"/>
      <c r="U1814" s="30"/>
      <c r="V1814" s="30"/>
      <c r="W1814" s="29"/>
      <c r="X1814" s="15"/>
      <c r="Y1814" s="30"/>
      <c r="Z1814" s="30"/>
      <c r="AA1814" s="30"/>
      <c r="AB1814" s="30"/>
      <c r="AC1814" s="17"/>
      <c r="AD1814" s="17"/>
      <c r="AE1814" s="17"/>
      <c r="AF1814" s="17"/>
      <c r="AG1814" s="20"/>
      <c r="AH1814" s="21"/>
      <c r="AI1814" s="21"/>
      <c r="AJ1814" s="21"/>
      <c r="AK1814" s="21"/>
      <c r="AL1814" s="21"/>
      <c r="AM1814" s="21"/>
      <c r="AN1814" s="21"/>
      <c r="AO1814" s="22"/>
      <c r="AP1814" s="21"/>
      <c r="AQ1814" s="24"/>
      <c r="AR1814" s="21"/>
      <c r="AS1814" s="21"/>
      <c r="AT1814" s="21"/>
      <c r="AU1814" s="21"/>
      <c r="AV1814" s="21"/>
      <c r="AW1814" s="21"/>
      <c r="AX1814" s="22"/>
      <c r="AY1814" s="21"/>
      <c r="AZ1814" s="22"/>
      <c r="BA1814" s="21"/>
      <c r="BB1814" s="20"/>
      <c r="BC1814" s="21"/>
      <c r="BD1814" s="25"/>
      <c r="BE1814" s="26"/>
      <c r="BF1814" s="27"/>
      <c r="BG1814" s="28"/>
    </row>
    <row r="1815" spans="1:59" customFormat="1" ht="15" x14ac:dyDescent="0.35">
      <c r="A1815" s="50"/>
      <c r="B1815" s="63"/>
      <c r="C1815" s="39"/>
      <c r="D1815" s="6"/>
      <c r="E1815" s="149"/>
      <c r="F1815" s="153"/>
      <c r="G1815" s="10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5"/>
      <c r="V1815" s="5"/>
      <c r="W1815" s="13"/>
      <c r="X1815" s="4"/>
      <c r="Y1815" s="4"/>
      <c r="Z1815" s="4"/>
      <c r="AA1815" s="6"/>
      <c r="AB1815" s="5"/>
      <c r="AC1815" s="9"/>
      <c r="AD1815" s="9"/>
      <c r="AE1815" s="9"/>
      <c r="AF1815" s="9"/>
      <c r="AG1815" s="54"/>
      <c r="AH1815" s="3"/>
      <c r="AI1815" s="2"/>
      <c r="AJ1815" s="2"/>
      <c r="AK1815" s="2"/>
      <c r="AL1815" s="3"/>
      <c r="AM1815" s="3"/>
      <c r="AN1815" s="3"/>
      <c r="AO1815" s="3"/>
      <c r="AP1815" s="3"/>
      <c r="AQ1815" s="59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53"/>
      <c r="BC1815" s="3"/>
      <c r="BD1815" s="59"/>
      <c r="BE1815" s="3"/>
      <c r="BF1815" s="53"/>
      <c r="BG1815" s="59"/>
    </row>
    <row r="1816" spans="1:59" customFormat="1" ht="15" x14ac:dyDescent="0.35">
      <c r="A1816" s="50"/>
      <c r="B1816" s="63"/>
      <c r="C1816" s="39"/>
      <c r="D1816" s="6"/>
      <c r="E1816" s="149"/>
      <c r="F1816" s="153"/>
      <c r="G1816" s="10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12"/>
      <c r="X1816" s="33"/>
      <c r="Y1816" s="6"/>
      <c r="Z1816" s="6"/>
      <c r="AA1816" s="6"/>
      <c r="AB1816" s="6"/>
      <c r="AC1816" s="9"/>
      <c r="AD1816" s="9"/>
      <c r="AE1816" s="9"/>
      <c r="AF1816" s="9"/>
      <c r="AG1816" s="5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59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53"/>
      <c r="BC1816" s="3"/>
      <c r="BD1816" s="59"/>
      <c r="BE1816" s="3"/>
      <c r="BF1816" s="53"/>
      <c r="BG1816" s="59"/>
    </row>
    <row r="1817" spans="1:59" customFormat="1" ht="15" x14ac:dyDescent="0.35">
      <c r="A1817" s="19"/>
      <c r="B1817" s="49"/>
      <c r="C1817" s="14"/>
      <c r="D1817" s="1"/>
      <c r="E1817" s="149"/>
      <c r="F1817" s="153"/>
      <c r="G1817" s="10"/>
      <c r="H1817" s="17"/>
      <c r="I1817" s="17"/>
      <c r="J1817" s="17"/>
      <c r="K1817" s="30"/>
      <c r="L1817" s="30"/>
      <c r="M1817" s="30"/>
      <c r="N1817" s="30"/>
      <c r="O1817" s="30"/>
      <c r="P1817" s="30"/>
      <c r="Q1817" s="30"/>
      <c r="R1817" s="30"/>
      <c r="S1817" s="30"/>
      <c r="T1817" s="30"/>
      <c r="U1817" s="30"/>
      <c r="V1817" s="30"/>
      <c r="W1817" s="29"/>
      <c r="X1817" s="15"/>
      <c r="Y1817" s="30"/>
      <c r="Z1817" s="30"/>
      <c r="AA1817" s="30"/>
      <c r="AB1817" s="30"/>
      <c r="AC1817" s="17"/>
      <c r="AD1817" s="17"/>
      <c r="AE1817" s="17"/>
      <c r="AF1817" s="17"/>
      <c r="AG1817" s="20"/>
      <c r="AH1817" s="21"/>
      <c r="AI1817" s="21"/>
      <c r="AJ1817" s="21"/>
      <c r="AK1817" s="21"/>
      <c r="AL1817" s="21"/>
      <c r="AM1817" s="21"/>
      <c r="AN1817" s="21"/>
      <c r="AO1817" s="22"/>
      <c r="AP1817" s="21"/>
      <c r="AQ1817" s="24"/>
      <c r="AR1817" s="21"/>
      <c r="AS1817" s="21"/>
      <c r="AT1817" s="21"/>
      <c r="AU1817" s="21"/>
      <c r="AV1817" s="21"/>
      <c r="AW1817" s="21"/>
      <c r="AX1817" s="22"/>
      <c r="AY1817" s="21"/>
      <c r="AZ1817" s="22"/>
      <c r="BA1817" s="21"/>
      <c r="BB1817" s="20"/>
      <c r="BC1817" s="21"/>
      <c r="BD1817" s="25"/>
      <c r="BE1817" s="26"/>
      <c r="BF1817" s="27"/>
      <c r="BG1817" s="28"/>
    </row>
    <row r="1818" spans="1:59" customFormat="1" ht="15" x14ac:dyDescent="0.35">
      <c r="A1818" s="19"/>
      <c r="B1818" s="49"/>
      <c r="C1818" s="39"/>
      <c r="D1818" s="1"/>
      <c r="E1818" s="149"/>
      <c r="F1818" s="153"/>
      <c r="G1818" s="10"/>
      <c r="H1818" s="17"/>
      <c r="I1818" s="17"/>
      <c r="J1818" s="17"/>
      <c r="K1818" s="30"/>
      <c r="L1818" s="30"/>
      <c r="M1818" s="30"/>
      <c r="N1818" s="30"/>
      <c r="O1818" s="30"/>
      <c r="P1818" s="30"/>
      <c r="Q1818" s="30"/>
      <c r="R1818" s="30"/>
      <c r="S1818" s="30"/>
      <c r="T1818" s="30"/>
      <c r="U1818" s="30"/>
      <c r="V1818" s="30"/>
      <c r="W1818" s="29"/>
      <c r="X1818" s="15"/>
      <c r="Y1818" s="30"/>
      <c r="Z1818" s="30"/>
      <c r="AA1818" s="30"/>
      <c r="AB1818" s="30"/>
      <c r="AC1818" s="17"/>
      <c r="AD1818" s="17"/>
      <c r="AE1818" s="17"/>
      <c r="AF1818" s="17"/>
      <c r="AG1818" s="20"/>
      <c r="AH1818" s="21"/>
      <c r="AI1818" s="21"/>
      <c r="AJ1818" s="21"/>
      <c r="AK1818" s="21"/>
      <c r="AL1818" s="21"/>
      <c r="AM1818" s="21"/>
      <c r="AN1818" s="21"/>
      <c r="AO1818" s="22"/>
      <c r="AP1818" s="21"/>
      <c r="AQ1818" s="24"/>
      <c r="AR1818" s="21"/>
      <c r="AS1818" s="21"/>
      <c r="AT1818" s="21"/>
      <c r="AU1818" s="21"/>
      <c r="AV1818" s="21"/>
      <c r="AW1818" s="21"/>
      <c r="AX1818" s="22"/>
      <c r="AY1818" s="21"/>
      <c r="AZ1818" s="22"/>
      <c r="BA1818" s="21"/>
      <c r="BB1818" s="20"/>
      <c r="BC1818" s="21"/>
      <c r="BD1818" s="25"/>
      <c r="BE1818" s="26"/>
      <c r="BF1818" s="27"/>
      <c r="BG1818" s="65"/>
    </row>
    <row r="1819" spans="1:59" customFormat="1" ht="15" x14ac:dyDescent="0.35">
      <c r="A1819" s="50"/>
      <c r="B1819" s="63"/>
      <c r="C1819" s="39"/>
      <c r="D1819" s="6"/>
      <c r="E1819" s="149"/>
      <c r="F1819" s="153"/>
      <c r="G1819" s="10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12"/>
      <c r="X1819" s="33"/>
      <c r="Y1819" s="6"/>
      <c r="Z1819" s="6"/>
      <c r="AA1819" s="6"/>
      <c r="AB1819" s="6"/>
      <c r="AC1819" s="9"/>
      <c r="AD1819" s="9"/>
      <c r="AE1819" s="9"/>
      <c r="AF1819" s="9"/>
      <c r="AG1819" s="5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59"/>
      <c r="AR1819" s="21"/>
      <c r="AS1819" s="21"/>
      <c r="AT1819" s="3"/>
      <c r="AU1819" s="3"/>
      <c r="AV1819" s="3"/>
      <c r="AW1819" s="3"/>
      <c r="AX1819" s="3"/>
      <c r="AY1819" s="3"/>
      <c r="AZ1819" s="3"/>
      <c r="BA1819" s="3"/>
      <c r="BB1819" s="53"/>
      <c r="BC1819" s="3"/>
      <c r="BD1819" s="59"/>
      <c r="BE1819" s="3"/>
      <c r="BF1819" s="53"/>
      <c r="BG1819" s="59"/>
    </row>
    <row r="1820" spans="1:59" customFormat="1" ht="15" x14ac:dyDescent="0.35">
      <c r="A1820" s="50"/>
      <c r="B1820" s="63"/>
      <c r="C1820" s="39"/>
      <c r="D1820" s="6"/>
      <c r="E1820" s="149"/>
      <c r="F1820" s="153"/>
      <c r="G1820" s="10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5"/>
      <c r="V1820" s="5"/>
      <c r="W1820" s="13"/>
      <c r="X1820" s="4"/>
      <c r="Y1820" s="4"/>
      <c r="Z1820" s="4"/>
      <c r="AA1820" s="6"/>
      <c r="AB1820" s="5"/>
      <c r="AC1820" s="9"/>
      <c r="AD1820" s="9"/>
      <c r="AE1820" s="9"/>
      <c r="AF1820" s="9"/>
      <c r="AG1820" s="54"/>
      <c r="AH1820" s="3"/>
      <c r="AI1820" s="2"/>
      <c r="AJ1820" s="2"/>
      <c r="AK1820" s="2"/>
      <c r="AL1820" s="3"/>
      <c r="AM1820" s="3"/>
      <c r="AN1820" s="3"/>
      <c r="AO1820" s="3"/>
      <c r="AP1820" s="3"/>
      <c r="AQ1820" s="59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53"/>
      <c r="BC1820" s="3"/>
      <c r="BD1820" s="59"/>
      <c r="BE1820" s="3"/>
      <c r="BF1820" s="53"/>
      <c r="BG1820" s="59"/>
    </row>
    <row r="1821" spans="1:59" customFormat="1" ht="15" x14ac:dyDescent="0.35">
      <c r="A1821" s="50"/>
      <c r="B1821" s="63"/>
      <c r="C1821" s="39"/>
      <c r="D1821" s="6"/>
      <c r="E1821" s="149"/>
      <c r="F1821" s="153"/>
      <c r="G1821" s="10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5"/>
      <c r="V1821" s="5"/>
      <c r="W1821" s="13"/>
      <c r="X1821" s="4"/>
      <c r="Y1821" s="4"/>
      <c r="Z1821" s="4"/>
      <c r="AA1821" s="6"/>
      <c r="AB1821" s="5"/>
      <c r="AC1821" s="9"/>
      <c r="AD1821" s="9"/>
      <c r="AE1821" s="9"/>
      <c r="AF1821" s="9"/>
      <c r="AG1821" s="54"/>
      <c r="AH1821" s="3"/>
      <c r="AI1821" s="2"/>
      <c r="AJ1821" s="2"/>
      <c r="AK1821" s="2"/>
      <c r="AL1821" s="3"/>
      <c r="AM1821" s="3"/>
      <c r="AN1821" s="3"/>
      <c r="AO1821" s="3"/>
      <c r="AP1821" s="3"/>
      <c r="AQ1821" s="59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53"/>
      <c r="BC1821" s="3"/>
      <c r="BD1821" s="59"/>
      <c r="BE1821" s="3"/>
      <c r="BF1821" s="53"/>
      <c r="BG1821" s="59"/>
    </row>
    <row r="1822" spans="1:59" customFormat="1" ht="15" x14ac:dyDescent="0.35">
      <c r="A1822" s="50"/>
      <c r="B1822" s="63"/>
      <c r="C1822" s="39"/>
      <c r="D1822" s="6"/>
      <c r="E1822" s="149"/>
      <c r="F1822" s="153"/>
      <c r="G1822" s="10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12"/>
      <c r="X1822" s="33"/>
      <c r="Y1822" s="6"/>
      <c r="Z1822" s="6"/>
      <c r="AA1822" s="6"/>
      <c r="AB1822" s="6"/>
      <c r="AC1822" s="9"/>
      <c r="AD1822" s="9"/>
      <c r="AE1822" s="9"/>
      <c r="AF1822" s="9"/>
      <c r="AG1822" s="5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59"/>
      <c r="AR1822" s="21"/>
      <c r="AS1822" s="21"/>
      <c r="AT1822" s="3"/>
      <c r="AU1822" s="3"/>
      <c r="AV1822" s="3"/>
      <c r="AW1822" s="3"/>
      <c r="AX1822" s="3"/>
      <c r="AY1822" s="3"/>
      <c r="AZ1822" s="3"/>
      <c r="BA1822" s="3"/>
      <c r="BB1822" s="53"/>
      <c r="BC1822" s="3"/>
      <c r="BD1822" s="59"/>
      <c r="BE1822" s="3"/>
      <c r="BF1822" s="53"/>
      <c r="BG1822" s="59"/>
    </row>
    <row r="1823" spans="1:59" customFormat="1" ht="15" x14ac:dyDescent="0.35">
      <c r="A1823" s="50"/>
      <c r="B1823" s="63"/>
      <c r="C1823" s="39"/>
      <c r="D1823" s="6"/>
      <c r="E1823" s="149"/>
      <c r="F1823" s="153"/>
      <c r="G1823" s="10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5"/>
      <c r="V1823" s="5"/>
      <c r="W1823" s="13"/>
      <c r="X1823" s="4"/>
      <c r="Y1823" s="4"/>
      <c r="Z1823" s="4"/>
      <c r="AA1823" s="6"/>
      <c r="AB1823" s="5"/>
      <c r="AC1823" s="9"/>
      <c r="AD1823" s="9"/>
      <c r="AE1823" s="9"/>
      <c r="AF1823" s="9"/>
      <c r="AG1823" s="54"/>
      <c r="AH1823" s="3"/>
      <c r="AI1823" s="2"/>
      <c r="AJ1823" s="2"/>
      <c r="AK1823" s="2"/>
      <c r="AL1823" s="3"/>
      <c r="AM1823" s="3"/>
      <c r="AN1823" s="3"/>
      <c r="AO1823" s="3"/>
      <c r="AP1823" s="3"/>
      <c r="AQ1823" s="59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53"/>
      <c r="BC1823" s="3"/>
      <c r="BD1823" s="59"/>
      <c r="BE1823" s="3"/>
      <c r="BF1823" s="53"/>
      <c r="BG1823" s="59"/>
    </row>
    <row r="1824" spans="1:59" customFormat="1" ht="15" x14ac:dyDescent="0.35">
      <c r="A1824" s="50"/>
      <c r="B1824" s="63"/>
      <c r="C1824" s="39"/>
      <c r="D1824" s="6"/>
      <c r="E1824" s="149"/>
      <c r="F1824" s="153"/>
      <c r="G1824" s="10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12"/>
      <c r="X1824" s="33"/>
      <c r="Y1824" s="6"/>
      <c r="Z1824" s="6"/>
      <c r="AA1824" s="6"/>
      <c r="AB1824" s="6"/>
      <c r="AC1824" s="9"/>
      <c r="AD1824" s="9"/>
      <c r="AE1824" s="9"/>
      <c r="AF1824" s="9"/>
      <c r="AG1824" s="5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59"/>
      <c r="AR1824" s="21"/>
      <c r="AS1824" s="21"/>
      <c r="AT1824" s="3"/>
      <c r="AU1824" s="3"/>
      <c r="AV1824" s="3"/>
      <c r="AW1824" s="3"/>
      <c r="AX1824" s="3"/>
      <c r="AY1824" s="3"/>
      <c r="AZ1824" s="3"/>
      <c r="BA1824" s="3"/>
      <c r="BB1824" s="53"/>
      <c r="BC1824" s="3"/>
      <c r="BD1824" s="59"/>
      <c r="BE1824" s="3"/>
      <c r="BF1824" s="53"/>
      <c r="BG1824" s="65"/>
    </row>
    <row r="1825" spans="1:59" customFormat="1" ht="15" x14ac:dyDescent="0.35">
      <c r="A1825" s="19"/>
      <c r="B1825" s="49"/>
      <c r="C1825" s="39"/>
      <c r="D1825" s="1"/>
      <c r="E1825" s="149"/>
      <c r="F1825" s="153"/>
      <c r="G1825" s="10"/>
      <c r="H1825" s="17"/>
      <c r="I1825" s="17"/>
      <c r="J1825" s="17"/>
      <c r="K1825" s="30"/>
      <c r="L1825" s="30"/>
      <c r="M1825" s="30"/>
      <c r="N1825" s="30"/>
      <c r="O1825" s="30"/>
      <c r="P1825" s="30"/>
      <c r="Q1825" s="30"/>
      <c r="R1825" s="30"/>
      <c r="S1825" s="30"/>
      <c r="T1825" s="30"/>
      <c r="U1825" s="30"/>
      <c r="V1825" s="30"/>
      <c r="W1825" s="29"/>
      <c r="X1825" s="15"/>
      <c r="Y1825" s="30"/>
      <c r="Z1825" s="30"/>
      <c r="AA1825" s="30"/>
      <c r="AB1825" s="30"/>
      <c r="AC1825" s="17"/>
      <c r="AD1825" s="17"/>
      <c r="AE1825" s="17"/>
      <c r="AF1825" s="17"/>
      <c r="AG1825" s="20"/>
      <c r="AH1825" s="21"/>
      <c r="AI1825" s="21"/>
      <c r="AJ1825" s="21"/>
      <c r="AK1825" s="21"/>
      <c r="AL1825" s="21"/>
      <c r="AM1825" s="21"/>
      <c r="AN1825" s="21"/>
      <c r="AO1825" s="22"/>
      <c r="AP1825" s="21"/>
      <c r="AQ1825" s="24"/>
      <c r="AR1825" s="21"/>
      <c r="AS1825" s="21"/>
      <c r="AT1825" s="21"/>
      <c r="AU1825" s="21"/>
      <c r="AV1825" s="21"/>
      <c r="AW1825" s="21"/>
      <c r="AX1825" s="22"/>
      <c r="AY1825" s="21"/>
      <c r="AZ1825" s="22"/>
      <c r="BA1825" s="21"/>
      <c r="BB1825" s="20"/>
      <c r="BC1825" s="21"/>
      <c r="BD1825" s="25"/>
      <c r="BE1825" s="26"/>
      <c r="BF1825" s="27"/>
      <c r="BG1825" s="28"/>
    </row>
    <row r="1826" spans="1:59" customFormat="1" ht="15" x14ac:dyDescent="0.35">
      <c r="A1826" s="50"/>
      <c r="B1826" s="63"/>
      <c r="C1826" s="39"/>
      <c r="D1826" s="6"/>
      <c r="E1826" s="149"/>
      <c r="F1826" s="153"/>
      <c r="G1826" s="10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5"/>
      <c r="V1826" s="5"/>
      <c r="W1826" s="13"/>
      <c r="X1826" s="4"/>
      <c r="Y1826" s="4"/>
      <c r="Z1826" s="4"/>
      <c r="AA1826" s="6"/>
      <c r="AB1826" s="5"/>
      <c r="AC1826" s="9"/>
      <c r="AD1826" s="9"/>
      <c r="AE1826" s="9"/>
      <c r="AF1826" s="9"/>
      <c r="AG1826" s="54"/>
      <c r="AH1826" s="3"/>
      <c r="AI1826" s="2"/>
      <c r="AJ1826" s="2"/>
      <c r="AK1826" s="2"/>
      <c r="AL1826" s="3"/>
      <c r="AM1826" s="3"/>
      <c r="AN1826" s="3"/>
      <c r="AO1826" s="3"/>
      <c r="AP1826" s="3"/>
      <c r="AQ1826" s="59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53"/>
      <c r="BC1826" s="3"/>
      <c r="BD1826" s="59"/>
      <c r="BE1826" s="3"/>
      <c r="BF1826" s="53"/>
      <c r="BG1826" s="59"/>
    </row>
    <row r="1827" spans="1:59" customFormat="1" ht="15" x14ac:dyDescent="0.35">
      <c r="A1827" s="50"/>
      <c r="B1827" s="63"/>
      <c r="C1827" s="39"/>
      <c r="D1827" s="6"/>
      <c r="E1827" s="149"/>
      <c r="F1827" s="153"/>
      <c r="G1827" s="10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5"/>
      <c r="V1827" s="5"/>
      <c r="W1827" s="13"/>
      <c r="X1827" s="4"/>
      <c r="Y1827" s="4"/>
      <c r="Z1827" s="4"/>
      <c r="AA1827" s="6"/>
      <c r="AB1827" s="5"/>
      <c r="AC1827" s="9"/>
      <c r="AD1827" s="9"/>
      <c r="AE1827" s="9"/>
      <c r="AF1827" s="9"/>
      <c r="AG1827" s="54"/>
      <c r="AH1827" s="3"/>
      <c r="AI1827" s="2"/>
      <c r="AJ1827" s="2"/>
      <c r="AK1827" s="2"/>
      <c r="AL1827" s="3"/>
      <c r="AM1827" s="3"/>
      <c r="AN1827" s="3"/>
      <c r="AO1827" s="3"/>
      <c r="AP1827" s="3"/>
      <c r="AQ1827" s="59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53"/>
      <c r="BC1827" s="3"/>
      <c r="BD1827" s="59"/>
      <c r="BE1827" s="3"/>
      <c r="BF1827" s="53"/>
      <c r="BG1827" s="59"/>
    </row>
    <row r="1828" spans="1:59" customFormat="1" ht="15" x14ac:dyDescent="0.35">
      <c r="A1828" s="50"/>
      <c r="B1828" s="63"/>
      <c r="C1828" s="39"/>
      <c r="D1828" s="6"/>
      <c r="E1828" s="149"/>
      <c r="F1828" s="153"/>
      <c r="G1828" s="10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12"/>
      <c r="X1828" s="33"/>
      <c r="Y1828" s="6"/>
      <c r="Z1828" s="6"/>
      <c r="AA1828" s="6"/>
      <c r="AB1828" s="6"/>
      <c r="AC1828" s="9"/>
      <c r="AD1828" s="9"/>
      <c r="AE1828" s="9"/>
      <c r="AF1828" s="9"/>
      <c r="AG1828" s="5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59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53"/>
      <c r="BC1828" s="3"/>
      <c r="BD1828" s="59"/>
      <c r="BE1828" s="3"/>
      <c r="BF1828" s="53"/>
      <c r="BG1828" s="59"/>
    </row>
    <row r="1829" spans="1:59" customFormat="1" ht="15" x14ac:dyDescent="0.35">
      <c r="A1829" s="50"/>
      <c r="B1829" s="63"/>
      <c r="C1829" s="39"/>
      <c r="D1829" s="6"/>
      <c r="E1829" s="149"/>
      <c r="F1829" s="153"/>
      <c r="G1829" s="10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5"/>
      <c r="V1829" s="5"/>
      <c r="W1829" s="13"/>
      <c r="X1829" s="4"/>
      <c r="Y1829" s="4"/>
      <c r="Z1829" s="4"/>
      <c r="AA1829" s="6"/>
      <c r="AB1829" s="5"/>
      <c r="AC1829" s="9"/>
      <c r="AD1829" s="9"/>
      <c r="AE1829" s="9"/>
      <c r="AF1829" s="9"/>
      <c r="AG1829" s="54"/>
      <c r="AH1829" s="3"/>
      <c r="AI1829" s="2"/>
      <c r="AJ1829" s="2"/>
      <c r="AK1829" s="2"/>
      <c r="AL1829" s="3"/>
      <c r="AM1829" s="3"/>
      <c r="AN1829" s="3"/>
      <c r="AO1829" s="3"/>
      <c r="AP1829" s="3"/>
      <c r="AQ1829" s="59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53"/>
      <c r="BC1829" s="3"/>
      <c r="BD1829" s="59"/>
      <c r="BE1829" s="3"/>
      <c r="BF1829" s="53"/>
      <c r="BG1829" s="59"/>
    </row>
    <row r="1830" spans="1:59" customFormat="1" ht="15" x14ac:dyDescent="0.35">
      <c r="A1830" s="19"/>
      <c r="B1830" s="49"/>
      <c r="C1830" s="14"/>
      <c r="D1830" s="1"/>
      <c r="E1830" s="149"/>
      <c r="F1830" s="153"/>
      <c r="G1830" s="10"/>
      <c r="H1830" s="17"/>
      <c r="I1830" s="17"/>
      <c r="J1830" s="17"/>
      <c r="K1830" s="30"/>
      <c r="L1830" s="30"/>
      <c r="M1830" s="30"/>
      <c r="N1830" s="30"/>
      <c r="O1830" s="30"/>
      <c r="P1830" s="30"/>
      <c r="Q1830" s="30"/>
      <c r="R1830" s="30"/>
      <c r="S1830" s="30"/>
      <c r="T1830" s="30"/>
      <c r="U1830" s="30"/>
      <c r="V1830" s="30"/>
      <c r="W1830" s="29"/>
      <c r="X1830" s="15"/>
      <c r="Y1830" s="30"/>
      <c r="Z1830" s="30"/>
      <c r="AA1830" s="30"/>
      <c r="AB1830" s="30"/>
      <c r="AC1830" s="17"/>
      <c r="AD1830" s="17"/>
      <c r="AE1830" s="17"/>
      <c r="AF1830" s="17"/>
      <c r="AG1830" s="20"/>
      <c r="AH1830" s="21"/>
      <c r="AI1830" s="21"/>
      <c r="AJ1830" s="21"/>
      <c r="AK1830" s="21"/>
      <c r="AL1830" s="21"/>
      <c r="AM1830" s="21"/>
      <c r="AN1830" s="21"/>
      <c r="AO1830" s="22"/>
      <c r="AP1830" s="21"/>
      <c r="AQ1830" s="24"/>
      <c r="AR1830" s="21"/>
      <c r="AS1830" s="21"/>
      <c r="AT1830" s="21"/>
      <c r="AU1830" s="21"/>
      <c r="AV1830" s="21"/>
      <c r="AW1830" s="21"/>
      <c r="AX1830" s="22"/>
      <c r="AY1830" s="21"/>
      <c r="AZ1830" s="22"/>
      <c r="BA1830" s="21"/>
      <c r="BB1830" s="20"/>
      <c r="BC1830" s="21"/>
      <c r="BD1830" s="25"/>
      <c r="BE1830" s="26"/>
      <c r="BF1830" s="27"/>
      <c r="BG1830" s="28"/>
    </row>
    <row r="1831" spans="1:59" customFormat="1" ht="15" x14ac:dyDescent="0.35">
      <c r="A1831" s="19"/>
      <c r="B1831" s="49"/>
      <c r="C1831" s="39"/>
      <c r="D1831" s="1"/>
      <c r="E1831" s="149"/>
      <c r="F1831" s="153"/>
      <c r="G1831" s="10"/>
      <c r="H1831" s="17"/>
      <c r="I1831" s="17"/>
      <c r="J1831" s="17"/>
      <c r="K1831" s="30"/>
      <c r="L1831" s="30"/>
      <c r="M1831" s="30"/>
      <c r="N1831" s="30"/>
      <c r="O1831" s="30"/>
      <c r="P1831" s="30"/>
      <c r="Q1831" s="30"/>
      <c r="R1831" s="30"/>
      <c r="S1831" s="30"/>
      <c r="T1831" s="30"/>
      <c r="U1831" s="30"/>
      <c r="V1831" s="30"/>
      <c r="W1831" s="29"/>
      <c r="X1831" s="15"/>
      <c r="Y1831" s="30"/>
      <c r="Z1831" s="30"/>
      <c r="AA1831" s="30"/>
      <c r="AB1831" s="30"/>
      <c r="AC1831" s="17"/>
      <c r="AD1831" s="17"/>
      <c r="AE1831" s="17"/>
      <c r="AF1831" s="17"/>
      <c r="AG1831" s="20"/>
      <c r="AH1831" s="21"/>
      <c r="AI1831" s="21"/>
      <c r="AJ1831" s="21"/>
      <c r="AK1831" s="21"/>
      <c r="AL1831" s="21"/>
      <c r="AM1831" s="21"/>
      <c r="AN1831" s="21"/>
      <c r="AO1831" s="22"/>
      <c r="AP1831" s="21"/>
      <c r="AQ1831" s="24"/>
      <c r="AR1831" s="21"/>
      <c r="AS1831" s="21"/>
      <c r="AT1831" s="21"/>
      <c r="AU1831" s="21"/>
      <c r="AV1831" s="21"/>
      <c r="AW1831" s="21"/>
      <c r="AX1831" s="22"/>
      <c r="AY1831" s="21"/>
      <c r="AZ1831" s="22"/>
      <c r="BA1831" s="21"/>
      <c r="BB1831" s="20"/>
      <c r="BC1831" s="21"/>
      <c r="BD1831" s="25"/>
      <c r="BE1831" s="26"/>
      <c r="BF1831" s="27"/>
      <c r="BG1831" s="28"/>
    </row>
    <row r="1832" spans="1:59" customFormat="1" ht="15" x14ac:dyDescent="0.35">
      <c r="A1832" s="50"/>
      <c r="B1832" s="63"/>
      <c r="C1832" s="39"/>
      <c r="D1832" s="6"/>
      <c r="E1832" s="149"/>
      <c r="F1832" s="153"/>
      <c r="G1832" s="10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12"/>
      <c r="X1832" s="33"/>
      <c r="Y1832" s="6"/>
      <c r="Z1832" s="6"/>
      <c r="AA1832" s="6"/>
      <c r="AB1832" s="6"/>
      <c r="AC1832" s="9"/>
      <c r="AD1832" s="9"/>
      <c r="AE1832" s="9"/>
      <c r="AF1832" s="9"/>
      <c r="AG1832" s="5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59"/>
      <c r="AR1832" s="21"/>
      <c r="AS1832" s="21"/>
      <c r="AT1832" s="3"/>
      <c r="AU1832" s="3"/>
      <c r="AV1832" s="3"/>
      <c r="AW1832" s="3"/>
      <c r="AX1832" s="3"/>
      <c r="AY1832" s="3"/>
      <c r="AZ1832" s="3"/>
      <c r="BA1832" s="3"/>
      <c r="BB1832" s="53"/>
      <c r="BC1832" s="3"/>
      <c r="BD1832" s="59"/>
      <c r="BE1832" s="3"/>
      <c r="BF1832" s="53"/>
      <c r="BG1832" s="59"/>
    </row>
    <row r="1833" spans="1:59" customFormat="1" ht="15" x14ac:dyDescent="0.35">
      <c r="A1833" s="50"/>
      <c r="B1833" s="63"/>
      <c r="C1833" s="39"/>
      <c r="D1833" s="6"/>
      <c r="E1833" s="149"/>
      <c r="F1833" s="153"/>
      <c r="G1833" s="10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12"/>
      <c r="X1833" s="33"/>
      <c r="Y1833" s="6"/>
      <c r="Z1833" s="6"/>
      <c r="AA1833" s="6"/>
      <c r="AB1833" s="6"/>
      <c r="AC1833" s="9"/>
      <c r="AD1833" s="9"/>
      <c r="AE1833" s="9"/>
      <c r="AF1833" s="9"/>
      <c r="AG1833" s="5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59"/>
      <c r="AR1833" s="21"/>
      <c r="AS1833" s="21"/>
      <c r="AT1833" s="3"/>
      <c r="AU1833" s="3"/>
      <c r="AV1833" s="3"/>
      <c r="AW1833" s="3"/>
      <c r="AX1833" s="3"/>
      <c r="AY1833" s="3"/>
      <c r="AZ1833" s="3"/>
      <c r="BA1833" s="3"/>
      <c r="BB1833" s="53"/>
      <c r="BC1833" s="3"/>
      <c r="BD1833" s="59"/>
      <c r="BE1833" s="3"/>
      <c r="BF1833" s="53"/>
      <c r="BG1833" s="59"/>
    </row>
    <row r="1834" spans="1:59" customFormat="1" ht="15" x14ac:dyDescent="0.35">
      <c r="A1834" s="19"/>
      <c r="B1834" s="49"/>
      <c r="C1834" s="39"/>
      <c r="D1834" s="1"/>
      <c r="E1834" s="149"/>
      <c r="F1834" s="153"/>
      <c r="G1834" s="10"/>
      <c r="H1834" s="17"/>
      <c r="I1834" s="17"/>
      <c r="J1834" s="17"/>
      <c r="K1834" s="30"/>
      <c r="L1834" s="30"/>
      <c r="M1834" s="30"/>
      <c r="N1834" s="30"/>
      <c r="O1834" s="30"/>
      <c r="P1834" s="30"/>
      <c r="Q1834" s="30"/>
      <c r="R1834" s="30"/>
      <c r="S1834" s="30"/>
      <c r="T1834" s="30"/>
      <c r="U1834" s="30"/>
      <c r="V1834" s="30"/>
      <c r="W1834" s="29"/>
      <c r="X1834" s="15"/>
      <c r="Y1834" s="30"/>
      <c r="Z1834" s="30"/>
      <c r="AA1834" s="30"/>
      <c r="AB1834" s="30"/>
      <c r="AC1834" s="17"/>
      <c r="AD1834" s="17"/>
      <c r="AE1834" s="17"/>
      <c r="AF1834" s="17"/>
      <c r="AG1834" s="20"/>
      <c r="AH1834" s="21"/>
      <c r="AI1834" s="21"/>
      <c r="AJ1834" s="21"/>
      <c r="AK1834" s="21"/>
      <c r="AL1834" s="21"/>
      <c r="AM1834" s="21"/>
      <c r="AN1834" s="21"/>
      <c r="AO1834" s="22"/>
      <c r="AP1834" s="21"/>
      <c r="AQ1834" s="24"/>
      <c r="AR1834" s="21"/>
      <c r="AS1834" s="21"/>
      <c r="AT1834" s="21"/>
      <c r="AU1834" s="21"/>
      <c r="AV1834" s="21"/>
      <c r="AW1834" s="21"/>
      <c r="AX1834" s="22"/>
      <c r="AY1834" s="21"/>
      <c r="AZ1834" s="22"/>
      <c r="BA1834" s="21"/>
      <c r="BB1834" s="20"/>
      <c r="BC1834" s="21"/>
      <c r="BD1834" s="25"/>
      <c r="BE1834" s="26"/>
      <c r="BF1834" s="27"/>
      <c r="BG1834" s="28"/>
    </row>
    <row r="1835" spans="1:59" customFormat="1" ht="15" x14ac:dyDescent="0.35">
      <c r="A1835" s="50"/>
      <c r="B1835" s="63"/>
      <c r="C1835" s="39"/>
      <c r="D1835" s="6"/>
      <c r="E1835" s="149"/>
      <c r="F1835" s="153"/>
      <c r="G1835" s="10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5"/>
      <c r="V1835" s="5"/>
      <c r="W1835" s="13"/>
      <c r="X1835" s="4"/>
      <c r="Y1835" s="4"/>
      <c r="Z1835" s="4"/>
      <c r="AA1835" s="6"/>
      <c r="AB1835" s="5"/>
      <c r="AC1835" s="9"/>
      <c r="AD1835" s="9"/>
      <c r="AE1835" s="9"/>
      <c r="AF1835" s="9"/>
      <c r="AG1835" s="54"/>
      <c r="AH1835" s="3"/>
      <c r="AI1835" s="2"/>
      <c r="AJ1835" s="2"/>
      <c r="AK1835" s="2"/>
      <c r="AL1835" s="3"/>
      <c r="AM1835" s="3"/>
      <c r="AN1835" s="3"/>
      <c r="AO1835" s="3"/>
      <c r="AP1835" s="3"/>
      <c r="AQ1835" s="59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53"/>
      <c r="BC1835" s="3"/>
      <c r="BD1835" s="59"/>
      <c r="BE1835" s="3"/>
      <c r="BF1835" s="53"/>
      <c r="BG1835" s="59"/>
    </row>
    <row r="1836" spans="1:59" customFormat="1" ht="15" x14ac:dyDescent="0.35">
      <c r="A1836" s="50"/>
      <c r="B1836" s="63"/>
      <c r="C1836" s="39"/>
      <c r="D1836" s="6"/>
      <c r="E1836" s="149"/>
      <c r="F1836" s="153"/>
      <c r="G1836" s="10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5"/>
      <c r="V1836" s="5"/>
      <c r="W1836" s="13"/>
      <c r="X1836" s="4"/>
      <c r="Y1836" s="4"/>
      <c r="Z1836" s="4"/>
      <c r="AA1836" s="6"/>
      <c r="AB1836" s="5"/>
      <c r="AC1836" s="9"/>
      <c r="AD1836" s="9"/>
      <c r="AE1836" s="9"/>
      <c r="AF1836" s="9"/>
      <c r="AG1836" s="54"/>
      <c r="AH1836" s="3"/>
      <c r="AI1836" s="2"/>
      <c r="AJ1836" s="2"/>
      <c r="AK1836" s="2"/>
      <c r="AL1836" s="3"/>
      <c r="AM1836" s="3"/>
      <c r="AN1836" s="3"/>
      <c r="AO1836" s="3"/>
      <c r="AP1836" s="3"/>
      <c r="AQ1836" s="59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53"/>
      <c r="BC1836" s="3"/>
      <c r="BD1836" s="59"/>
      <c r="BE1836" s="3"/>
      <c r="BF1836" s="53"/>
      <c r="BG1836" s="59"/>
    </row>
    <row r="1837" spans="1:59" customFormat="1" ht="15" x14ac:dyDescent="0.35">
      <c r="A1837" s="50"/>
      <c r="B1837" s="63"/>
      <c r="C1837" s="39"/>
      <c r="D1837" s="6"/>
      <c r="E1837" s="149"/>
      <c r="F1837" s="153"/>
      <c r="G1837" s="10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12"/>
      <c r="X1837" s="33"/>
      <c r="Y1837" s="6"/>
      <c r="Z1837" s="6"/>
      <c r="AA1837" s="6"/>
      <c r="AB1837" s="6"/>
      <c r="AC1837" s="9"/>
      <c r="AD1837" s="9"/>
      <c r="AE1837" s="9"/>
      <c r="AF1837" s="9"/>
      <c r="AG1837" s="5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59"/>
      <c r="AR1837" s="21"/>
      <c r="AS1837" s="21"/>
      <c r="AT1837" s="3"/>
      <c r="AU1837" s="3"/>
      <c r="AV1837" s="3"/>
      <c r="AW1837" s="3"/>
      <c r="AX1837" s="3"/>
      <c r="AY1837" s="3"/>
      <c r="AZ1837" s="3"/>
      <c r="BA1837" s="3"/>
      <c r="BB1837" s="53"/>
      <c r="BC1837" s="3"/>
      <c r="BD1837" s="59"/>
      <c r="BE1837" s="3"/>
      <c r="BF1837" s="53"/>
      <c r="BG1837" s="59"/>
    </row>
    <row r="1838" spans="1:59" customFormat="1" ht="15" x14ac:dyDescent="0.35">
      <c r="A1838" s="50"/>
      <c r="B1838" s="63"/>
      <c r="C1838" s="39"/>
      <c r="D1838" s="6"/>
      <c r="E1838" s="149"/>
      <c r="F1838" s="153"/>
      <c r="G1838" s="10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12"/>
      <c r="X1838" s="33"/>
      <c r="Y1838" s="6"/>
      <c r="Z1838" s="6"/>
      <c r="AA1838" s="6"/>
      <c r="AB1838" s="6"/>
      <c r="AC1838" s="9"/>
      <c r="AD1838" s="9"/>
      <c r="AE1838" s="9"/>
      <c r="AF1838" s="9"/>
      <c r="AG1838" s="5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59"/>
      <c r="AR1838" s="21"/>
      <c r="AS1838" s="21"/>
      <c r="AT1838" s="3"/>
      <c r="AU1838" s="3"/>
      <c r="AV1838" s="3"/>
      <c r="AW1838" s="3"/>
      <c r="AX1838" s="3"/>
      <c r="AY1838" s="3"/>
      <c r="AZ1838" s="3"/>
      <c r="BA1838" s="3"/>
      <c r="BB1838" s="53"/>
      <c r="BC1838" s="3"/>
      <c r="BD1838" s="59"/>
      <c r="BE1838" s="3"/>
      <c r="BF1838" s="53"/>
      <c r="BG1838" s="59"/>
    </row>
    <row r="1839" spans="1:59" customFormat="1" ht="15" x14ac:dyDescent="0.35">
      <c r="A1839" s="50"/>
      <c r="B1839" s="63"/>
      <c r="C1839" s="39"/>
      <c r="D1839" s="6"/>
      <c r="E1839" s="149"/>
      <c r="F1839" s="153"/>
      <c r="G1839" s="10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12"/>
      <c r="X1839" s="33"/>
      <c r="Y1839" s="6"/>
      <c r="Z1839" s="6"/>
      <c r="AA1839" s="6"/>
      <c r="AB1839" s="6"/>
      <c r="AC1839" s="9"/>
      <c r="AD1839" s="9"/>
      <c r="AE1839" s="9"/>
      <c r="AF1839" s="9"/>
      <c r="AG1839" s="5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59"/>
      <c r="AR1839" s="21"/>
      <c r="AS1839" s="21"/>
      <c r="AT1839" s="3"/>
      <c r="AU1839" s="3"/>
      <c r="AV1839" s="3"/>
      <c r="AW1839" s="3"/>
      <c r="AX1839" s="3"/>
      <c r="AY1839" s="3"/>
      <c r="AZ1839" s="3"/>
      <c r="BA1839" s="3"/>
      <c r="BB1839" s="53"/>
      <c r="BC1839" s="3"/>
      <c r="BD1839" s="59"/>
      <c r="BE1839" s="3"/>
      <c r="BF1839" s="53"/>
      <c r="BG1839" s="59"/>
    </row>
    <row r="1840" spans="1:59" customFormat="1" ht="15" x14ac:dyDescent="0.35">
      <c r="A1840" s="19"/>
      <c r="B1840" s="49"/>
      <c r="C1840" s="14"/>
      <c r="D1840" s="1"/>
      <c r="E1840" s="149"/>
      <c r="F1840" s="153"/>
      <c r="G1840" s="10"/>
      <c r="H1840" s="17"/>
      <c r="I1840" s="17"/>
      <c r="J1840" s="17"/>
      <c r="K1840" s="30"/>
      <c r="L1840" s="30"/>
      <c r="M1840" s="30"/>
      <c r="N1840" s="30"/>
      <c r="O1840" s="30"/>
      <c r="P1840" s="30"/>
      <c r="Q1840" s="30"/>
      <c r="R1840" s="30"/>
      <c r="S1840" s="30"/>
      <c r="T1840" s="30"/>
      <c r="U1840" s="30"/>
      <c r="V1840" s="30"/>
      <c r="W1840" s="29"/>
      <c r="X1840" s="15"/>
      <c r="Y1840" s="30"/>
      <c r="Z1840" s="30"/>
      <c r="AA1840" s="30"/>
      <c r="AB1840" s="30"/>
      <c r="AC1840" s="17"/>
      <c r="AD1840" s="17"/>
      <c r="AE1840" s="17"/>
      <c r="AF1840" s="17"/>
      <c r="AG1840" s="20"/>
      <c r="AH1840" s="21"/>
      <c r="AI1840" s="21"/>
      <c r="AJ1840" s="21"/>
      <c r="AK1840" s="21"/>
      <c r="AL1840" s="21"/>
      <c r="AM1840" s="21"/>
      <c r="AN1840" s="21"/>
      <c r="AO1840" s="22"/>
      <c r="AP1840" s="21"/>
      <c r="AQ1840" s="24"/>
      <c r="AR1840" s="21"/>
      <c r="AS1840" s="21"/>
      <c r="AT1840" s="21"/>
      <c r="AU1840" s="21"/>
      <c r="AV1840" s="21"/>
      <c r="AW1840" s="21"/>
      <c r="AX1840" s="22"/>
      <c r="AY1840" s="21"/>
      <c r="AZ1840" s="22"/>
      <c r="BA1840" s="21"/>
      <c r="BB1840" s="20"/>
      <c r="BC1840" s="21"/>
      <c r="BD1840" s="25"/>
      <c r="BE1840" s="26"/>
      <c r="BF1840" s="27"/>
      <c r="BG1840" s="28"/>
    </row>
    <row r="1841" spans="1:59" customFormat="1" ht="15" x14ac:dyDescent="0.35">
      <c r="A1841" s="50"/>
      <c r="B1841" s="63"/>
      <c r="C1841" s="39"/>
      <c r="D1841" s="6"/>
      <c r="E1841" s="149"/>
      <c r="F1841" s="153"/>
      <c r="G1841" s="10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12"/>
      <c r="X1841" s="33"/>
      <c r="Y1841" s="6"/>
      <c r="Z1841" s="6"/>
      <c r="AA1841" s="6"/>
      <c r="AB1841" s="6"/>
      <c r="AC1841" s="9"/>
      <c r="AD1841" s="9"/>
      <c r="AE1841" s="9"/>
      <c r="AF1841" s="9"/>
      <c r="AG1841" s="5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59"/>
      <c r="AR1841" s="21"/>
      <c r="AS1841" s="21"/>
      <c r="AT1841" s="3"/>
      <c r="AU1841" s="3"/>
      <c r="AV1841" s="3"/>
      <c r="AW1841" s="3"/>
      <c r="AX1841" s="3"/>
      <c r="AY1841" s="3"/>
      <c r="AZ1841" s="3"/>
      <c r="BA1841" s="3"/>
      <c r="BB1841" s="53"/>
      <c r="BC1841" s="3"/>
      <c r="BD1841" s="59"/>
      <c r="BE1841" s="3"/>
      <c r="BF1841" s="53"/>
      <c r="BG1841" s="59"/>
    </row>
    <row r="1842" spans="1:59" customFormat="1" ht="15" x14ac:dyDescent="0.35">
      <c r="A1842" s="19"/>
      <c r="B1842" s="49"/>
      <c r="C1842" s="39"/>
      <c r="D1842" s="1"/>
      <c r="E1842" s="149"/>
      <c r="F1842" s="153"/>
      <c r="G1842" s="10"/>
      <c r="H1842" s="17"/>
      <c r="I1842" s="17"/>
      <c r="J1842" s="17"/>
      <c r="K1842" s="30"/>
      <c r="L1842" s="30"/>
      <c r="M1842" s="30"/>
      <c r="N1842" s="30"/>
      <c r="O1842" s="30"/>
      <c r="P1842" s="30"/>
      <c r="Q1842" s="30"/>
      <c r="R1842" s="30"/>
      <c r="S1842" s="30"/>
      <c r="T1842" s="30"/>
      <c r="U1842" s="30"/>
      <c r="V1842" s="30"/>
      <c r="W1842" s="29"/>
      <c r="X1842" s="15"/>
      <c r="Y1842" s="30"/>
      <c r="Z1842" s="30"/>
      <c r="AA1842" s="30"/>
      <c r="AB1842" s="30"/>
      <c r="AC1842" s="17"/>
      <c r="AD1842" s="17"/>
      <c r="AE1842" s="17"/>
      <c r="AF1842" s="17"/>
      <c r="AG1842" s="20"/>
      <c r="AH1842" s="21"/>
      <c r="AI1842" s="21"/>
      <c r="AJ1842" s="21"/>
      <c r="AK1842" s="21"/>
      <c r="AL1842" s="21"/>
      <c r="AM1842" s="21"/>
      <c r="AN1842" s="21"/>
      <c r="AO1842" s="22"/>
      <c r="AP1842" s="21"/>
      <c r="AQ1842" s="24"/>
      <c r="AR1842" s="21"/>
      <c r="AS1842" s="21"/>
      <c r="AT1842" s="21"/>
      <c r="AU1842" s="21"/>
      <c r="AV1842" s="21"/>
      <c r="AW1842" s="21"/>
      <c r="AX1842" s="22"/>
      <c r="AY1842" s="21"/>
      <c r="AZ1842" s="22"/>
      <c r="BA1842" s="21"/>
      <c r="BB1842" s="20"/>
      <c r="BC1842" s="21"/>
      <c r="BD1842" s="25"/>
      <c r="BE1842" s="26"/>
      <c r="BF1842" s="27"/>
      <c r="BG1842" s="28"/>
    </row>
    <row r="1843" spans="1:59" customFormat="1" ht="15" x14ac:dyDescent="0.35">
      <c r="A1843" s="19"/>
      <c r="B1843" s="49"/>
      <c r="C1843" s="39"/>
      <c r="D1843" s="1"/>
      <c r="E1843" s="149"/>
      <c r="F1843" s="153"/>
      <c r="G1843" s="10"/>
      <c r="H1843" s="17"/>
      <c r="I1843" s="17"/>
      <c r="J1843" s="17"/>
      <c r="K1843" s="30"/>
      <c r="L1843" s="30"/>
      <c r="M1843" s="30"/>
      <c r="N1843" s="30"/>
      <c r="O1843" s="30"/>
      <c r="P1843" s="30"/>
      <c r="Q1843" s="30"/>
      <c r="R1843" s="30"/>
      <c r="S1843" s="30"/>
      <c r="T1843" s="30"/>
      <c r="U1843" s="30"/>
      <c r="V1843" s="30"/>
      <c r="W1843" s="29"/>
      <c r="X1843" s="15"/>
      <c r="Y1843" s="30"/>
      <c r="Z1843" s="30"/>
      <c r="AA1843" s="30"/>
      <c r="AB1843" s="30"/>
      <c r="AC1843" s="17"/>
      <c r="AD1843" s="17"/>
      <c r="AE1843" s="17"/>
      <c r="AF1843" s="17"/>
      <c r="AG1843" s="20"/>
      <c r="AH1843" s="21"/>
      <c r="AI1843" s="21"/>
      <c r="AJ1843" s="21"/>
      <c r="AK1843" s="21"/>
      <c r="AL1843" s="21"/>
      <c r="AM1843" s="21"/>
      <c r="AN1843" s="21"/>
      <c r="AO1843" s="22"/>
      <c r="AP1843" s="21"/>
      <c r="AQ1843" s="24"/>
      <c r="AR1843" s="21"/>
      <c r="AS1843" s="21"/>
      <c r="AT1843" s="21"/>
      <c r="AU1843" s="21"/>
      <c r="AV1843" s="21"/>
      <c r="AW1843" s="21"/>
      <c r="AX1843" s="22"/>
      <c r="AY1843" s="21"/>
      <c r="AZ1843" s="22"/>
      <c r="BA1843" s="21"/>
      <c r="BB1843" s="20"/>
      <c r="BC1843" s="21"/>
      <c r="BD1843" s="25"/>
      <c r="BE1843" s="26"/>
      <c r="BF1843" s="27"/>
      <c r="BG1843" s="28"/>
    </row>
    <row r="1844" spans="1:59" customFormat="1" ht="15" x14ac:dyDescent="0.35">
      <c r="A1844" s="50"/>
      <c r="B1844" s="63"/>
      <c r="C1844" s="39"/>
      <c r="D1844" s="6"/>
      <c r="E1844" s="149"/>
      <c r="F1844" s="153"/>
      <c r="G1844" s="10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5"/>
      <c r="V1844" s="5"/>
      <c r="W1844" s="13"/>
      <c r="X1844" s="4"/>
      <c r="Y1844" s="4"/>
      <c r="Z1844" s="4"/>
      <c r="AA1844" s="6"/>
      <c r="AB1844" s="5"/>
      <c r="AC1844" s="9"/>
      <c r="AD1844" s="9"/>
      <c r="AE1844" s="9"/>
      <c r="AF1844" s="9"/>
      <c r="AG1844" s="54"/>
      <c r="AH1844" s="3"/>
      <c r="AI1844" s="2"/>
      <c r="AJ1844" s="2"/>
      <c r="AK1844" s="2"/>
      <c r="AL1844" s="3"/>
      <c r="AM1844" s="3"/>
      <c r="AN1844" s="3"/>
      <c r="AO1844" s="3"/>
      <c r="AP1844" s="3"/>
      <c r="AQ1844" s="59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53"/>
      <c r="BC1844" s="3"/>
      <c r="BD1844" s="59"/>
      <c r="BE1844" s="3"/>
      <c r="BF1844" s="53"/>
      <c r="BG1844" s="59"/>
    </row>
    <row r="1845" spans="1:59" customFormat="1" ht="15" x14ac:dyDescent="0.35">
      <c r="A1845" s="19"/>
      <c r="B1845" s="49"/>
      <c r="C1845" s="39"/>
      <c r="D1845" s="1"/>
      <c r="E1845" s="149"/>
      <c r="F1845" s="153"/>
      <c r="G1845" s="10"/>
      <c r="H1845" s="17"/>
      <c r="I1845" s="17"/>
      <c r="J1845" s="17"/>
      <c r="K1845" s="30"/>
      <c r="L1845" s="30"/>
      <c r="M1845" s="30"/>
      <c r="N1845" s="30"/>
      <c r="O1845" s="30"/>
      <c r="P1845" s="30"/>
      <c r="Q1845" s="30"/>
      <c r="R1845" s="30"/>
      <c r="S1845" s="30"/>
      <c r="T1845" s="30"/>
      <c r="U1845" s="30"/>
      <c r="V1845" s="30"/>
      <c r="W1845" s="29"/>
      <c r="X1845" s="15"/>
      <c r="Y1845" s="30"/>
      <c r="Z1845" s="30"/>
      <c r="AA1845" s="30"/>
      <c r="AB1845" s="30"/>
      <c r="AC1845" s="17"/>
      <c r="AD1845" s="17"/>
      <c r="AE1845" s="17"/>
      <c r="AF1845" s="17"/>
      <c r="AG1845" s="20"/>
      <c r="AH1845" s="21"/>
      <c r="AI1845" s="21"/>
      <c r="AJ1845" s="21"/>
      <c r="AK1845" s="21"/>
      <c r="AL1845" s="21"/>
      <c r="AM1845" s="21"/>
      <c r="AN1845" s="21"/>
      <c r="AO1845" s="22"/>
      <c r="AP1845" s="21"/>
      <c r="AQ1845" s="24"/>
      <c r="AR1845" s="21"/>
      <c r="AS1845" s="21"/>
      <c r="AT1845" s="21"/>
      <c r="AU1845" s="21"/>
      <c r="AV1845" s="21"/>
      <c r="AW1845" s="21"/>
      <c r="AX1845" s="22"/>
      <c r="AY1845" s="21"/>
      <c r="AZ1845" s="22"/>
      <c r="BA1845" s="21"/>
      <c r="BB1845" s="20"/>
      <c r="BC1845" s="21"/>
      <c r="BD1845" s="25"/>
      <c r="BE1845" s="26"/>
      <c r="BF1845" s="27"/>
      <c r="BG1845" s="28"/>
    </row>
    <row r="1846" spans="1:59" customFormat="1" ht="15" x14ac:dyDescent="0.35">
      <c r="A1846" s="19"/>
      <c r="B1846" s="49"/>
      <c r="C1846" s="14"/>
      <c r="D1846" s="1"/>
      <c r="E1846" s="149"/>
      <c r="F1846" s="153"/>
      <c r="G1846" s="10"/>
      <c r="H1846" s="17"/>
      <c r="I1846" s="17"/>
      <c r="J1846" s="17"/>
      <c r="K1846" s="30"/>
      <c r="L1846" s="30"/>
      <c r="M1846" s="30"/>
      <c r="N1846" s="30"/>
      <c r="O1846" s="30"/>
      <c r="P1846" s="30"/>
      <c r="Q1846" s="30"/>
      <c r="R1846" s="30"/>
      <c r="S1846" s="30"/>
      <c r="T1846" s="30"/>
      <c r="U1846" s="30"/>
      <c r="V1846" s="30"/>
      <c r="W1846" s="29"/>
      <c r="X1846" s="15"/>
      <c r="Y1846" s="30"/>
      <c r="Z1846" s="30"/>
      <c r="AA1846" s="30"/>
      <c r="AB1846" s="30"/>
      <c r="AC1846" s="17"/>
      <c r="AD1846" s="17"/>
      <c r="AE1846" s="17"/>
      <c r="AF1846" s="17"/>
      <c r="AG1846" s="20"/>
      <c r="AH1846" s="21"/>
      <c r="AI1846" s="21"/>
      <c r="AJ1846" s="21"/>
      <c r="AK1846" s="21"/>
      <c r="AL1846" s="21"/>
      <c r="AM1846" s="21"/>
      <c r="AN1846" s="21"/>
      <c r="AO1846" s="22"/>
      <c r="AP1846" s="21"/>
      <c r="AQ1846" s="24"/>
      <c r="AR1846" s="21"/>
      <c r="AS1846" s="21"/>
      <c r="AT1846" s="21"/>
      <c r="AU1846" s="21"/>
      <c r="AV1846" s="21"/>
      <c r="AW1846" s="21"/>
      <c r="AX1846" s="22"/>
      <c r="AY1846" s="21"/>
      <c r="AZ1846" s="22"/>
      <c r="BA1846" s="21"/>
      <c r="BB1846" s="20"/>
      <c r="BC1846" s="21"/>
      <c r="BD1846" s="25"/>
      <c r="BE1846" s="26"/>
      <c r="BF1846" s="27"/>
      <c r="BG1846" s="28"/>
    </row>
    <row r="1847" spans="1:59" customFormat="1" ht="15" x14ac:dyDescent="0.35">
      <c r="A1847" s="50"/>
      <c r="B1847" s="63"/>
      <c r="C1847" s="39"/>
      <c r="D1847" s="6"/>
      <c r="E1847" s="149"/>
      <c r="F1847" s="153"/>
      <c r="G1847" s="10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5"/>
      <c r="V1847" s="5"/>
      <c r="W1847" s="13"/>
      <c r="X1847" s="4"/>
      <c r="Y1847" s="4"/>
      <c r="Z1847" s="4"/>
      <c r="AA1847" s="6"/>
      <c r="AB1847" s="5"/>
      <c r="AC1847" s="9"/>
      <c r="AD1847" s="9"/>
      <c r="AE1847" s="9"/>
      <c r="AF1847" s="9"/>
      <c r="AG1847" s="54"/>
      <c r="AH1847" s="3"/>
      <c r="AI1847" s="2"/>
      <c r="AJ1847" s="2"/>
      <c r="AK1847" s="2"/>
      <c r="AL1847" s="3"/>
      <c r="AM1847" s="3"/>
      <c r="AN1847" s="3"/>
      <c r="AO1847" s="3"/>
      <c r="AP1847" s="3"/>
      <c r="AQ1847" s="59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53"/>
      <c r="BC1847" s="3"/>
      <c r="BD1847" s="59"/>
      <c r="BE1847" s="3"/>
      <c r="BF1847" s="53"/>
      <c r="BG1847" s="59"/>
    </row>
    <row r="1848" spans="1:59" customFormat="1" ht="15" x14ac:dyDescent="0.35">
      <c r="A1848" s="50"/>
      <c r="B1848" s="63"/>
      <c r="C1848" s="39"/>
      <c r="D1848" s="6"/>
      <c r="E1848" s="149"/>
      <c r="F1848" s="153"/>
      <c r="G1848" s="10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12"/>
      <c r="X1848" s="33"/>
      <c r="Y1848" s="6"/>
      <c r="Z1848" s="6"/>
      <c r="AA1848" s="6"/>
      <c r="AB1848" s="6"/>
      <c r="AC1848" s="9"/>
      <c r="AD1848" s="9"/>
      <c r="AE1848" s="9"/>
      <c r="AF1848" s="9"/>
      <c r="AG1848" s="5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59"/>
      <c r="AR1848" s="21"/>
      <c r="AS1848" s="21"/>
      <c r="AT1848" s="3"/>
      <c r="AU1848" s="3"/>
      <c r="AV1848" s="3"/>
      <c r="AW1848" s="3"/>
      <c r="AX1848" s="3"/>
      <c r="AY1848" s="3"/>
      <c r="AZ1848" s="3"/>
      <c r="BA1848" s="3"/>
      <c r="BB1848" s="53"/>
      <c r="BC1848" s="3"/>
      <c r="BD1848" s="59"/>
      <c r="BE1848" s="3"/>
      <c r="BF1848" s="53"/>
      <c r="BG1848" s="59"/>
    </row>
    <row r="1849" spans="1:59" customFormat="1" ht="15" x14ac:dyDescent="0.35">
      <c r="A1849" s="50"/>
      <c r="B1849" s="63"/>
      <c r="C1849" s="39"/>
      <c r="D1849" s="6"/>
      <c r="E1849" s="149"/>
      <c r="F1849" s="153"/>
      <c r="G1849" s="10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12"/>
      <c r="X1849" s="33"/>
      <c r="Y1849" s="6"/>
      <c r="Z1849" s="6"/>
      <c r="AA1849" s="6"/>
      <c r="AB1849" s="6"/>
      <c r="AC1849" s="9"/>
      <c r="AD1849" s="9"/>
      <c r="AE1849" s="9"/>
      <c r="AF1849" s="9"/>
      <c r="AG1849" s="5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59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53"/>
      <c r="BC1849" s="3"/>
      <c r="BD1849" s="59"/>
      <c r="BE1849" s="3"/>
      <c r="BF1849" s="53"/>
      <c r="BG1849" s="59"/>
    </row>
    <row r="1850" spans="1:59" customFormat="1" ht="15" x14ac:dyDescent="0.35">
      <c r="A1850" s="19"/>
      <c r="B1850" s="49"/>
      <c r="C1850" s="14"/>
      <c r="D1850" s="1"/>
      <c r="E1850" s="149"/>
      <c r="F1850" s="153"/>
      <c r="G1850" s="10"/>
      <c r="H1850" s="17"/>
      <c r="I1850" s="17"/>
      <c r="J1850" s="17"/>
      <c r="K1850" s="30"/>
      <c r="L1850" s="30"/>
      <c r="M1850" s="30"/>
      <c r="N1850" s="30"/>
      <c r="O1850" s="30"/>
      <c r="P1850" s="30"/>
      <c r="Q1850" s="30"/>
      <c r="R1850" s="30"/>
      <c r="S1850" s="30"/>
      <c r="T1850" s="30"/>
      <c r="U1850" s="30"/>
      <c r="V1850" s="30"/>
      <c r="W1850" s="29"/>
      <c r="X1850" s="15"/>
      <c r="Y1850" s="30"/>
      <c r="Z1850" s="30"/>
      <c r="AA1850" s="30"/>
      <c r="AB1850" s="30"/>
      <c r="AC1850" s="17"/>
      <c r="AD1850" s="17"/>
      <c r="AE1850" s="17"/>
      <c r="AF1850" s="17"/>
      <c r="AG1850" s="20"/>
      <c r="AH1850" s="21"/>
      <c r="AI1850" s="21"/>
      <c r="AJ1850" s="21"/>
      <c r="AK1850" s="21"/>
      <c r="AL1850" s="21"/>
      <c r="AM1850" s="21"/>
      <c r="AN1850" s="21"/>
      <c r="AO1850" s="22"/>
      <c r="AP1850" s="21"/>
      <c r="AQ1850" s="24"/>
      <c r="AR1850" s="21"/>
      <c r="AS1850" s="21"/>
      <c r="AT1850" s="21"/>
      <c r="AU1850" s="21"/>
      <c r="AV1850" s="21"/>
      <c r="AW1850" s="21"/>
      <c r="AX1850" s="22"/>
      <c r="AY1850" s="21"/>
      <c r="AZ1850" s="22"/>
      <c r="BA1850" s="21"/>
      <c r="BB1850" s="20"/>
      <c r="BC1850" s="21"/>
      <c r="BD1850" s="25"/>
      <c r="BE1850" s="26"/>
      <c r="BF1850" s="27"/>
      <c r="BG1850" s="28"/>
    </row>
    <row r="1851" spans="1:59" customFormat="1" ht="15" x14ac:dyDescent="0.35">
      <c r="A1851" s="50"/>
      <c r="B1851" s="63"/>
      <c r="C1851" s="39"/>
      <c r="D1851" s="6"/>
      <c r="E1851" s="149"/>
      <c r="F1851" s="153"/>
      <c r="G1851" s="10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12"/>
      <c r="X1851" s="33"/>
      <c r="Y1851" s="6"/>
      <c r="Z1851" s="6"/>
      <c r="AA1851" s="6"/>
      <c r="AB1851" s="6"/>
      <c r="AC1851" s="9"/>
      <c r="AD1851" s="9"/>
      <c r="AE1851" s="9"/>
      <c r="AF1851" s="9"/>
      <c r="AG1851" s="5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59"/>
      <c r="AR1851" s="21"/>
      <c r="AS1851" s="21"/>
      <c r="AT1851" s="3"/>
      <c r="AU1851" s="3"/>
      <c r="AV1851" s="3"/>
      <c r="AW1851" s="3"/>
      <c r="AX1851" s="3"/>
      <c r="AY1851" s="3"/>
      <c r="AZ1851" s="3"/>
      <c r="BA1851" s="3"/>
      <c r="BB1851" s="53"/>
      <c r="BC1851" s="3"/>
      <c r="BD1851" s="59"/>
      <c r="BE1851" s="3"/>
      <c r="BF1851" s="53"/>
      <c r="BG1851" s="59"/>
    </row>
    <row r="1852" spans="1:59" customFormat="1" ht="15" x14ac:dyDescent="0.35">
      <c r="A1852" s="50"/>
      <c r="B1852" s="63"/>
      <c r="C1852" s="39"/>
      <c r="D1852" s="6"/>
      <c r="E1852" s="149"/>
      <c r="F1852" s="153"/>
      <c r="G1852" s="10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12"/>
      <c r="X1852" s="33"/>
      <c r="Y1852" s="6"/>
      <c r="Z1852" s="6"/>
      <c r="AA1852" s="6"/>
      <c r="AB1852" s="6"/>
      <c r="AC1852" s="9"/>
      <c r="AD1852" s="9"/>
      <c r="AE1852" s="9"/>
      <c r="AF1852" s="9"/>
      <c r="AG1852" s="5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59"/>
      <c r="AR1852" s="21"/>
      <c r="AS1852" s="21"/>
      <c r="AT1852" s="3"/>
      <c r="AU1852" s="3"/>
      <c r="AV1852" s="3"/>
      <c r="AW1852" s="3"/>
      <c r="AX1852" s="3"/>
      <c r="AY1852" s="3"/>
      <c r="AZ1852" s="3"/>
      <c r="BA1852" s="3"/>
      <c r="BB1852" s="53"/>
      <c r="BC1852" s="3"/>
      <c r="BD1852" s="59"/>
      <c r="BE1852" s="3"/>
      <c r="BF1852" s="53"/>
      <c r="BG1852" s="59"/>
    </row>
    <row r="1853" spans="1:59" customFormat="1" ht="15" x14ac:dyDescent="0.35">
      <c r="A1853" s="19"/>
      <c r="B1853" s="49"/>
      <c r="C1853" s="14"/>
      <c r="D1853" s="1"/>
      <c r="E1853" s="149"/>
      <c r="F1853" s="153"/>
      <c r="G1853" s="10"/>
      <c r="H1853" s="17"/>
      <c r="I1853" s="17"/>
      <c r="J1853" s="17"/>
      <c r="K1853" s="30"/>
      <c r="L1853" s="30"/>
      <c r="M1853" s="30"/>
      <c r="N1853" s="30"/>
      <c r="O1853" s="30"/>
      <c r="P1853" s="30"/>
      <c r="Q1853" s="30"/>
      <c r="R1853" s="30"/>
      <c r="S1853" s="30"/>
      <c r="T1853" s="30"/>
      <c r="U1853" s="30"/>
      <c r="V1853" s="30"/>
      <c r="W1853" s="29"/>
      <c r="X1853" s="15"/>
      <c r="Y1853" s="30"/>
      <c r="Z1853" s="30"/>
      <c r="AA1853" s="30"/>
      <c r="AB1853" s="30"/>
      <c r="AC1853" s="17"/>
      <c r="AD1853" s="17"/>
      <c r="AE1853" s="17"/>
      <c r="AF1853" s="17"/>
      <c r="AG1853" s="20"/>
      <c r="AH1853" s="21"/>
      <c r="AI1853" s="21"/>
      <c r="AJ1853" s="21"/>
      <c r="AK1853" s="21"/>
      <c r="AL1853" s="21"/>
      <c r="AM1853" s="21"/>
      <c r="AN1853" s="21"/>
      <c r="AO1853" s="22"/>
      <c r="AP1853" s="21"/>
      <c r="AQ1853" s="24"/>
      <c r="AR1853" s="21"/>
      <c r="AS1853" s="21"/>
      <c r="AT1853" s="21"/>
      <c r="AU1853" s="21"/>
      <c r="AV1853" s="21"/>
      <c r="AW1853" s="21"/>
      <c r="AX1853" s="22"/>
      <c r="AY1853" s="21"/>
      <c r="AZ1853" s="22"/>
      <c r="BA1853" s="21"/>
      <c r="BB1853" s="20"/>
      <c r="BC1853" s="21"/>
      <c r="BD1853" s="25"/>
      <c r="BE1853" s="26"/>
      <c r="BF1853" s="27"/>
      <c r="BG1853" s="28"/>
    </row>
    <row r="1854" spans="1:59" customFormat="1" ht="15" x14ac:dyDescent="0.35">
      <c r="A1854" s="19"/>
      <c r="B1854" s="49"/>
      <c r="C1854" s="14"/>
      <c r="D1854" s="1"/>
      <c r="E1854" s="149"/>
      <c r="F1854" s="153"/>
      <c r="G1854" s="10"/>
      <c r="H1854" s="17"/>
      <c r="I1854" s="17"/>
      <c r="J1854" s="17"/>
      <c r="K1854" s="30"/>
      <c r="L1854" s="30"/>
      <c r="M1854" s="30"/>
      <c r="N1854" s="30"/>
      <c r="O1854" s="30"/>
      <c r="P1854" s="30"/>
      <c r="Q1854" s="30"/>
      <c r="R1854" s="30"/>
      <c r="S1854" s="30"/>
      <c r="T1854" s="30"/>
      <c r="U1854" s="30"/>
      <c r="V1854" s="30"/>
      <c r="W1854" s="29"/>
      <c r="X1854" s="15"/>
      <c r="Y1854" s="30"/>
      <c r="Z1854" s="30"/>
      <c r="AA1854" s="30"/>
      <c r="AB1854" s="30"/>
      <c r="AC1854" s="17"/>
      <c r="AD1854" s="17"/>
      <c r="AE1854" s="17"/>
      <c r="AF1854" s="17"/>
      <c r="AG1854" s="20"/>
      <c r="AH1854" s="21"/>
      <c r="AI1854" s="21"/>
      <c r="AJ1854" s="21"/>
      <c r="AK1854" s="21"/>
      <c r="AL1854" s="21"/>
      <c r="AM1854" s="21"/>
      <c r="AN1854" s="21"/>
      <c r="AO1854" s="22"/>
      <c r="AP1854" s="21"/>
      <c r="AQ1854" s="24"/>
      <c r="AR1854" s="21"/>
      <c r="AS1854" s="21"/>
      <c r="AT1854" s="21"/>
      <c r="AU1854" s="21"/>
      <c r="AV1854" s="21"/>
      <c r="AW1854" s="21"/>
      <c r="AX1854" s="22"/>
      <c r="AY1854" s="21"/>
      <c r="AZ1854" s="22"/>
      <c r="BA1854" s="21"/>
      <c r="BB1854" s="20"/>
      <c r="BC1854" s="21"/>
      <c r="BD1854" s="25"/>
      <c r="BE1854" s="26"/>
      <c r="BF1854" s="27"/>
      <c r="BG1854" s="28"/>
    </row>
    <row r="1855" spans="1:59" customFormat="1" ht="15" x14ac:dyDescent="0.35">
      <c r="A1855" s="50"/>
      <c r="B1855" s="63"/>
      <c r="C1855" s="39"/>
      <c r="D1855" s="6"/>
      <c r="E1855" s="149"/>
      <c r="F1855" s="153"/>
      <c r="G1855" s="10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5"/>
      <c r="V1855" s="5"/>
      <c r="W1855" s="13"/>
      <c r="X1855" s="4"/>
      <c r="Y1855" s="4"/>
      <c r="Z1855" s="4"/>
      <c r="AA1855" s="6"/>
      <c r="AB1855" s="5"/>
      <c r="AC1855" s="9"/>
      <c r="AD1855" s="9"/>
      <c r="AE1855" s="9"/>
      <c r="AF1855" s="9"/>
      <c r="AG1855" s="54"/>
      <c r="AH1855" s="3"/>
      <c r="AI1855" s="2"/>
      <c r="AJ1855" s="2"/>
      <c r="AK1855" s="2"/>
      <c r="AL1855" s="3"/>
      <c r="AM1855" s="3"/>
      <c r="AN1855" s="3"/>
      <c r="AO1855" s="3"/>
      <c r="AP1855" s="3"/>
      <c r="AQ1855" s="59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53"/>
      <c r="BC1855" s="3"/>
      <c r="BD1855" s="59"/>
      <c r="BE1855" s="3"/>
      <c r="BF1855" s="53"/>
      <c r="BG1855" s="59"/>
    </row>
    <row r="1856" spans="1:59" customFormat="1" ht="15" x14ac:dyDescent="0.35">
      <c r="A1856" s="50"/>
      <c r="B1856" s="63"/>
      <c r="C1856" s="39"/>
      <c r="D1856" s="6"/>
      <c r="E1856" s="149"/>
      <c r="F1856" s="153"/>
      <c r="G1856" s="10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5"/>
      <c r="V1856" s="5"/>
      <c r="W1856" s="13"/>
      <c r="X1856" s="4"/>
      <c r="Y1856" s="4"/>
      <c r="Z1856" s="4"/>
      <c r="AA1856" s="6"/>
      <c r="AB1856" s="5"/>
      <c r="AC1856" s="9"/>
      <c r="AD1856" s="9"/>
      <c r="AE1856" s="9"/>
      <c r="AF1856" s="9"/>
      <c r="AG1856" s="54"/>
      <c r="AH1856" s="3"/>
      <c r="AI1856" s="2"/>
      <c r="AJ1856" s="2"/>
      <c r="AK1856" s="2"/>
      <c r="AL1856" s="3"/>
      <c r="AM1856" s="3"/>
      <c r="AN1856" s="3"/>
      <c r="AO1856" s="3"/>
      <c r="AP1856" s="3"/>
      <c r="AQ1856" s="59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53"/>
      <c r="BC1856" s="3"/>
      <c r="BD1856" s="59"/>
      <c r="BE1856" s="3"/>
      <c r="BF1856" s="53"/>
      <c r="BG1856" s="59"/>
    </row>
    <row r="1857" spans="1:59" customFormat="1" ht="15" x14ac:dyDescent="0.35">
      <c r="A1857" s="50"/>
      <c r="B1857" s="63"/>
      <c r="C1857" s="39"/>
      <c r="D1857" s="6"/>
      <c r="E1857" s="149"/>
      <c r="F1857" s="153"/>
      <c r="G1857" s="10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12"/>
      <c r="X1857" s="33"/>
      <c r="Y1857" s="6"/>
      <c r="Z1857" s="6"/>
      <c r="AA1857" s="6"/>
      <c r="AB1857" s="6"/>
      <c r="AC1857" s="9"/>
      <c r="AD1857" s="9"/>
      <c r="AE1857" s="9"/>
      <c r="AF1857" s="9"/>
      <c r="AG1857" s="5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59"/>
      <c r="AR1857" s="21"/>
      <c r="AS1857" s="21"/>
      <c r="AT1857" s="3"/>
      <c r="AU1857" s="3"/>
      <c r="AV1857" s="3"/>
      <c r="AW1857" s="3"/>
      <c r="AX1857" s="3"/>
      <c r="AY1857" s="3"/>
      <c r="AZ1857" s="3"/>
      <c r="BA1857" s="3"/>
      <c r="BB1857" s="53"/>
      <c r="BC1857" s="3"/>
      <c r="BD1857" s="59"/>
      <c r="BE1857" s="3"/>
      <c r="BF1857" s="53"/>
      <c r="BG1857" s="59"/>
    </row>
    <row r="1858" spans="1:59" customFormat="1" ht="15" x14ac:dyDescent="0.35">
      <c r="A1858" s="50"/>
      <c r="B1858" s="63"/>
      <c r="C1858" s="39"/>
      <c r="D1858" s="6"/>
      <c r="E1858" s="149"/>
      <c r="F1858" s="153"/>
      <c r="G1858" s="10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12"/>
      <c r="X1858" s="33"/>
      <c r="Y1858" s="6"/>
      <c r="Z1858" s="6"/>
      <c r="AA1858" s="6"/>
      <c r="AB1858" s="6"/>
      <c r="AC1858" s="9"/>
      <c r="AD1858" s="9"/>
      <c r="AE1858" s="9"/>
      <c r="AF1858" s="9"/>
      <c r="AG1858" s="5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59"/>
      <c r="AR1858" s="21"/>
      <c r="AS1858" s="21"/>
      <c r="AT1858" s="3"/>
      <c r="AU1858" s="3"/>
      <c r="AV1858" s="3"/>
      <c r="AW1858" s="3"/>
      <c r="AX1858" s="3"/>
      <c r="AY1858" s="3"/>
      <c r="AZ1858" s="3"/>
      <c r="BA1858" s="3"/>
      <c r="BB1858" s="53"/>
      <c r="BC1858" s="3"/>
      <c r="BD1858" s="59"/>
      <c r="BE1858" s="3"/>
      <c r="BF1858" s="53"/>
      <c r="BG1858" s="59"/>
    </row>
    <row r="1859" spans="1:59" customFormat="1" ht="15" x14ac:dyDescent="0.35">
      <c r="A1859" s="50"/>
      <c r="B1859" s="63"/>
      <c r="C1859" s="39"/>
      <c r="D1859" s="6"/>
      <c r="E1859" s="149"/>
      <c r="F1859" s="153"/>
      <c r="G1859" s="10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12"/>
      <c r="X1859" s="33"/>
      <c r="Y1859" s="6"/>
      <c r="Z1859" s="6"/>
      <c r="AA1859" s="6"/>
      <c r="AB1859" s="6"/>
      <c r="AC1859" s="9"/>
      <c r="AD1859" s="9"/>
      <c r="AE1859" s="9"/>
      <c r="AF1859" s="9"/>
      <c r="AG1859" s="5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59"/>
      <c r="AR1859" s="21"/>
      <c r="AS1859" s="21"/>
      <c r="AT1859" s="3"/>
      <c r="AU1859" s="3"/>
      <c r="AV1859" s="3"/>
      <c r="AW1859" s="3"/>
      <c r="AX1859" s="3"/>
      <c r="AY1859" s="3"/>
      <c r="AZ1859" s="3"/>
      <c r="BA1859" s="3"/>
      <c r="BB1859" s="53"/>
      <c r="BC1859" s="3"/>
      <c r="BD1859" s="59"/>
      <c r="BE1859" s="3"/>
      <c r="BF1859" s="53"/>
      <c r="BG1859" s="59"/>
    </row>
    <row r="1860" spans="1:59" customFormat="1" ht="15" x14ac:dyDescent="0.35">
      <c r="A1860" s="50"/>
      <c r="B1860" s="63"/>
      <c r="C1860" s="39"/>
      <c r="D1860" s="6"/>
      <c r="E1860" s="149"/>
      <c r="F1860" s="153"/>
      <c r="G1860" s="10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5"/>
      <c r="V1860" s="5"/>
      <c r="W1860" s="13"/>
      <c r="X1860" s="4"/>
      <c r="Y1860" s="4"/>
      <c r="Z1860" s="4"/>
      <c r="AA1860" s="6"/>
      <c r="AB1860" s="5"/>
      <c r="AC1860" s="9"/>
      <c r="AD1860" s="9"/>
      <c r="AE1860" s="9"/>
      <c r="AF1860" s="9"/>
      <c r="AG1860" s="54"/>
      <c r="AH1860" s="3"/>
      <c r="AI1860" s="2"/>
      <c r="AJ1860" s="2"/>
      <c r="AK1860" s="2"/>
      <c r="AL1860" s="3"/>
      <c r="AM1860" s="3"/>
      <c r="AN1860" s="3"/>
      <c r="AO1860" s="3"/>
      <c r="AP1860" s="3"/>
      <c r="AQ1860" s="59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53"/>
      <c r="BC1860" s="3"/>
      <c r="BD1860" s="59"/>
      <c r="BE1860" s="3"/>
      <c r="BF1860" s="53"/>
      <c r="BG1860" s="59"/>
    </row>
    <row r="1861" spans="1:59" customFormat="1" ht="15" x14ac:dyDescent="0.35">
      <c r="A1861" s="50"/>
      <c r="B1861" s="63"/>
      <c r="C1861" s="39"/>
      <c r="D1861" s="6"/>
      <c r="E1861" s="149"/>
      <c r="F1861" s="153"/>
      <c r="G1861" s="10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5"/>
      <c r="V1861" s="5"/>
      <c r="W1861" s="13"/>
      <c r="X1861" s="4"/>
      <c r="Y1861" s="4"/>
      <c r="Z1861" s="4"/>
      <c r="AA1861" s="6"/>
      <c r="AB1861" s="5"/>
      <c r="AC1861" s="9"/>
      <c r="AD1861" s="9"/>
      <c r="AE1861" s="9"/>
      <c r="AF1861" s="9"/>
      <c r="AG1861" s="54"/>
      <c r="AH1861" s="3"/>
      <c r="AI1861" s="2"/>
      <c r="AJ1861" s="2"/>
      <c r="AK1861" s="2"/>
      <c r="AL1861" s="3"/>
      <c r="AM1861" s="3"/>
      <c r="AN1861" s="3"/>
      <c r="AO1861" s="3"/>
      <c r="AP1861" s="3"/>
      <c r="AQ1861" s="59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53"/>
      <c r="BC1861" s="3"/>
      <c r="BD1861" s="59"/>
      <c r="BE1861" s="3"/>
      <c r="BF1861" s="53"/>
      <c r="BG1861" s="59"/>
    </row>
    <row r="1862" spans="1:59" customFormat="1" ht="15" x14ac:dyDescent="0.35">
      <c r="A1862" s="50"/>
      <c r="B1862" s="63"/>
      <c r="C1862" s="39"/>
      <c r="D1862" s="6"/>
      <c r="E1862" s="149"/>
      <c r="F1862" s="153"/>
      <c r="G1862" s="10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12"/>
      <c r="X1862" s="33"/>
      <c r="Y1862" s="6"/>
      <c r="Z1862" s="6"/>
      <c r="AA1862" s="6"/>
      <c r="AB1862" s="6"/>
      <c r="AC1862" s="9"/>
      <c r="AD1862" s="9"/>
      <c r="AE1862" s="9"/>
      <c r="AF1862" s="9"/>
      <c r="AG1862" s="5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59"/>
      <c r="AR1862" s="21"/>
      <c r="AS1862" s="21"/>
      <c r="AT1862" s="3"/>
      <c r="AU1862" s="3"/>
      <c r="AV1862" s="3"/>
      <c r="AW1862" s="3"/>
      <c r="AX1862" s="3"/>
      <c r="AY1862" s="3"/>
      <c r="AZ1862" s="3"/>
      <c r="BA1862" s="3"/>
      <c r="BB1862" s="53"/>
      <c r="BC1862" s="3"/>
      <c r="BD1862" s="59"/>
      <c r="BE1862" s="3"/>
      <c r="BF1862" s="53"/>
      <c r="BG1862" s="59"/>
    </row>
    <row r="1863" spans="1:59" customFormat="1" ht="15" x14ac:dyDescent="0.35">
      <c r="A1863" s="50"/>
      <c r="B1863" s="63"/>
      <c r="C1863" s="39"/>
      <c r="D1863" s="6"/>
      <c r="E1863" s="149"/>
      <c r="F1863" s="153"/>
      <c r="G1863" s="10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12"/>
      <c r="X1863" s="33"/>
      <c r="Y1863" s="6"/>
      <c r="Z1863" s="6"/>
      <c r="AA1863" s="6"/>
      <c r="AB1863" s="6"/>
      <c r="AC1863" s="9"/>
      <c r="AD1863" s="9"/>
      <c r="AE1863" s="9"/>
      <c r="AF1863" s="9"/>
      <c r="AG1863" s="5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59"/>
      <c r="AR1863" s="21"/>
      <c r="AS1863" s="21"/>
      <c r="AT1863" s="3"/>
      <c r="AU1863" s="3"/>
      <c r="AV1863" s="3"/>
      <c r="AW1863" s="3"/>
      <c r="AX1863" s="3"/>
      <c r="AY1863" s="3"/>
      <c r="AZ1863" s="3"/>
      <c r="BA1863" s="3"/>
      <c r="BB1863" s="53"/>
      <c r="BC1863" s="3"/>
      <c r="BD1863" s="59"/>
      <c r="BE1863" s="3"/>
      <c r="BF1863" s="53"/>
      <c r="BG1863" s="59"/>
    </row>
    <row r="1864" spans="1:59" customFormat="1" ht="15" x14ac:dyDescent="0.35">
      <c r="A1864" s="50"/>
      <c r="B1864" s="63"/>
      <c r="C1864" s="39"/>
      <c r="D1864" s="6"/>
      <c r="E1864" s="149"/>
      <c r="F1864" s="153"/>
      <c r="G1864" s="10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12"/>
      <c r="X1864" s="33"/>
      <c r="Y1864" s="6"/>
      <c r="Z1864" s="6"/>
      <c r="AA1864" s="6"/>
      <c r="AB1864" s="6"/>
      <c r="AC1864" s="9"/>
      <c r="AD1864" s="9"/>
      <c r="AE1864" s="9"/>
      <c r="AF1864" s="9"/>
      <c r="AG1864" s="5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59"/>
      <c r="AR1864" s="21"/>
      <c r="AS1864" s="21"/>
      <c r="AT1864" s="3"/>
      <c r="AU1864" s="3"/>
      <c r="AV1864" s="3"/>
      <c r="AW1864" s="3"/>
      <c r="AX1864" s="3"/>
      <c r="AY1864" s="3"/>
      <c r="AZ1864" s="3"/>
      <c r="BA1864" s="3"/>
      <c r="BB1864" s="53"/>
      <c r="BC1864" s="3"/>
      <c r="BD1864" s="59"/>
      <c r="BE1864" s="3"/>
      <c r="BF1864" s="53"/>
      <c r="BG1864" s="59"/>
    </row>
    <row r="1865" spans="1:59" customFormat="1" ht="15" x14ac:dyDescent="0.35">
      <c r="A1865" s="50"/>
      <c r="B1865" s="63"/>
      <c r="C1865" s="39"/>
      <c r="D1865" s="6"/>
      <c r="E1865" s="149"/>
      <c r="F1865" s="153"/>
      <c r="G1865" s="10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5"/>
      <c r="V1865" s="5"/>
      <c r="W1865" s="13"/>
      <c r="X1865" s="4"/>
      <c r="Y1865" s="4"/>
      <c r="Z1865" s="4"/>
      <c r="AA1865" s="6"/>
      <c r="AB1865" s="5"/>
      <c r="AC1865" s="9"/>
      <c r="AD1865" s="9"/>
      <c r="AE1865" s="9"/>
      <c r="AF1865" s="9"/>
      <c r="AG1865" s="54"/>
      <c r="AH1865" s="3"/>
      <c r="AI1865" s="2"/>
      <c r="AJ1865" s="2"/>
      <c r="AK1865" s="2"/>
      <c r="AL1865" s="3"/>
      <c r="AM1865" s="3"/>
      <c r="AN1865" s="3"/>
      <c r="AO1865" s="3"/>
      <c r="AP1865" s="3"/>
      <c r="AQ1865" s="59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53"/>
      <c r="BC1865" s="3"/>
      <c r="BD1865" s="59"/>
      <c r="BE1865" s="3"/>
      <c r="BF1865" s="53"/>
      <c r="BG1865" s="59"/>
    </row>
    <row r="1866" spans="1:59" customFormat="1" ht="15" x14ac:dyDescent="0.35">
      <c r="A1866" s="50"/>
      <c r="B1866" s="63"/>
      <c r="C1866" s="39"/>
      <c r="D1866" s="6"/>
      <c r="E1866" s="149"/>
      <c r="F1866" s="153"/>
      <c r="G1866" s="10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5"/>
      <c r="V1866" s="5"/>
      <c r="W1866" s="13"/>
      <c r="X1866" s="4"/>
      <c r="Y1866" s="4"/>
      <c r="Z1866" s="4"/>
      <c r="AA1866" s="6"/>
      <c r="AB1866" s="5"/>
      <c r="AC1866" s="9"/>
      <c r="AD1866" s="9"/>
      <c r="AE1866" s="9"/>
      <c r="AF1866" s="9"/>
      <c r="AG1866" s="54"/>
      <c r="AH1866" s="3"/>
      <c r="AI1866" s="2"/>
      <c r="AJ1866" s="2"/>
      <c r="AK1866" s="2"/>
      <c r="AL1866" s="3"/>
      <c r="AM1866" s="3"/>
      <c r="AN1866" s="3"/>
      <c r="AO1866" s="3"/>
      <c r="AP1866" s="3"/>
      <c r="AQ1866" s="59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53"/>
      <c r="BC1866" s="3"/>
      <c r="BD1866" s="59"/>
      <c r="BE1866" s="3"/>
      <c r="BF1866" s="53"/>
      <c r="BG1866" s="59"/>
    </row>
    <row r="1867" spans="1:59" customFormat="1" ht="15" x14ac:dyDescent="0.35">
      <c r="A1867" s="50"/>
      <c r="B1867" s="63"/>
      <c r="C1867" s="39"/>
      <c r="D1867" s="6"/>
      <c r="E1867" s="149"/>
      <c r="F1867" s="153"/>
      <c r="G1867" s="10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12"/>
      <c r="X1867" s="33"/>
      <c r="Y1867" s="6"/>
      <c r="Z1867" s="6"/>
      <c r="AA1867" s="6"/>
      <c r="AB1867" s="6"/>
      <c r="AC1867" s="9"/>
      <c r="AD1867" s="9"/>
      <c r="AE1867" s="9"/>
      <c r="AF1867" s="9"/>
      <c r="AG1867" s="5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59"/>
      <c r="AR1867" s="21"/>
      <c r="AS1867" s="21"/>
      <c r="AT1867" s="3"/>
      <c r="AU1867" s="3"/>
      <c r="AV1867" s="3"/>
      <c r="AW1867" s="3"/>
      <c r="AX1867" s="3"/>
      <c r="AY1867" s="3"/>
      <c r="AZ1867" s="3"/>
      <c r="BA1867" s="3"/>
      <c r="BB1867" s="53"/>
      <c r="BC1867" s="3"/>
      <c r="BD1867" s="59"/>
      <c r="BE1867" s="3"/>
      <c r="BF1867" s="53"/>
      <c r="BG1867" s="59"/>
    </row>
    <row r="1868" spans="1:59" customFormat="1" ht="15" x14ac:dyDescent="0.35">
      <c r="A1868" s="50"/>
      <c r="B1868" s="63"/>
      <c r="C1868" s="39"/>
      <c r="D1868" s="6"/>
      <c r="E1868" s="149"/>
      <c r="F1868" s="153"/>
      <c r="G1868" s="10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5"/>
      <c r="V1868" s="5"/>
      <c r="W1868" s="13"/>
      <c r="X1868" s="4"/>
      <c r="Y1868" s="4"/>
      <c r="Z1868" s="4"/>
      <c r="AA1868" s="6"/>
      <c r="AB1868" s="5"/>
      <c r="AC1868" s="9"/>
      <c r="AD1868" s="9"/>
      <c r="AE1868" s="9"/>
      <c r="AF1868" s="9"/>
      <c r="AG1868" s="54"/>
      <c r="AH1868" s="3"/>
      <c r="AI1868" s="2"/>
      <c r="AJ1868" s="2"/>
      <c r="AK1868" s="2"/>
      <c r="AL1868" s="3"/>
      <c r="AM1868" s="3"/>
      <c r="AN1868" s="3"/>
      <c r="AO1868" s="3"/>
      <c r="AP1868" s="3"/>
      <c r="AQ1868" s="59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53"/>
      <c r="BC1868" s="3"/>
      <c r="BD1868" s="59"/>
      <c r="BE1868" s="3"/>
      <c r="BF1868" s="53"/>
      <c r="BG1868" s="59"/>
    </row>
    <row r="1869" spans="1:59" customFormat="1" ht="15" x14ac:dyDescent="0.35">
      <c r="A1869" s="50"/>
      <c r="B1869" s="63"/>
      <c r="C1869" s="39"/>
      <c r="D1869" s="6"/>
      <c r="E1869" s="149"/>
      <c r="F1869" s="153"/>
      <c r="G1869" s="10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12"/>
      <c r="X1869" s="33"/>
      <c r="Y1869" s="6"/>
      <c r="Z1869" s="6"/>
      <c r="AA1869" s="6"/>
      <c r="AB1869" s="6"/>
      <c r="AC1869" s="9"/>
      <c r="AD1869" s="9"/>
      <c r="AE1869" s="9"/>
      <c r="AF1869" s="9"/>
      <c r="AG1869" s="5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59"/>
      <c r="AR1869" s="21"/>
      <c r="AS1869" s="21"/>
      <c r="AT1869" s="3"/>
      <c r="AU1869" s="3"/>
      <c r="AV1869" s="3"/>
      <c r="AW1869" s="3"/>
      <c r="AX1869" s="3"/>
      <c r="AY1869" s="3"/>
      <c r="AZ1869" s="3"/>
      <c r="BA1869" s="3"/>
      <c r="BB1869" s="53"/>
      <c r="BC1869" s="3"/>
      <c r="BD1869" s="59"/>
      <c r="BE1869" s="3"/>
      <c r="BF1869" s="53"/>
      <c r="BG1869" s="59"/>
    </row>
    <row r="1870" spans="1:59" customFormat="1" ht="15" x14ac:dyDescent="0.35">
      <c r="A1870" s="50"/>
      <c r="B1870" s="63"/>
      <c r="C1870" s="39"/>
      <c r="D1870" s="6"/>
      <c r="E1870" s="149"/>
      <c r="F1870" s="153"/>
      <c r="G1870" s="10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5"/>
      <c r="V1870" s="5"/>
      <c r="W1870" s="13"/>
      <c r="X1870" s="4"/>
      <c r="Y1870" s="4"/>
      <c r="Z1870" s="4"/>
      <c r="AA1870" s="6"/>
      <c r="AB1870" s="5"/>
      <c r="AC1870" s="9"/>
      <c r="AD1870" s="9"/>
      <c r="AE1870" s="9"/>
      <c r="AF1870" s="9"/>
      <c r="AG1870" s="54"/>
      <c r="AH1870" s="3"/>
      <c r="AI1870" s="2"/>
      <c r="AJ1870" s="2"/>
      <c r="AK1870" s="2"/>
      <c r="AL1870" s="3"/>
      <c r="AM1870" s="3"/>
      <c r="AN1870" s="3"/>
      <c r="AO1870" s="3"/>
      <c r="AP1870" s="3"/>
      <c r="AQ1870" s="59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53"/>
      <c r="BC1870" s="3"/>
      <c r="BD1870" s="59"/>
      <c r="BE1870" s="3"/>
      <c r="BF1870" s="53"/>
      <c r="BG1870" s="59"/>
    </row>
    <row r="1871" spans="1:59" customFormat="1" ht="15" x14ac:dyDescent="0.35">
      <c r="A1871" s="50"/>
      <c r="B1871" s="63"/>
      <c r="C1871" s="39"/>
      <c r="D1871" s="6"/>
      <c r="E1871" s="149"/>
      <c r="F1871" s="153"/>
      <c r="G1871" s="10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5"/>
      <c r="V1871" s="5"/>
      <c r="W1871" s="13"/>
      <c r="X1871" s="4"/>
      <c r="Y1871" s="4"/>
      <c r="Z1871" s="4"/>
      <c r="AA1871" s="6"/>
      <c r="AB1871" s="5"/>
      <c r="AC1871" s="9"/>
      <c r="AD1871" s="9"/>
      <c r="AE1871" s="9"/>
      <c r="AF1871" s="9"/>
      <c r="AG1871" s="54"/>
      <c r="AH1871" s="3"/>
      <c r="AI1871" s="2"/>
      <c r="AJ1871" s="2"/>
      <c r="AK1871" s="2"/>
      <c r="AL1871" s="3"/>
      <c r="AM1871" s="3"/>
      <c r="AN1871" s="3"/>
      <c r="AO1871" s="3"/>
      <c r="AP1871" s="3"/>
      <c r="AQ1871" s="59"/>
      <c r="AR1871" s="21"/>
      <c r="AS1871" s="21"/>
      <c r="AT1871" s="3"/>
      <c r="AU1871" s="3"/>
      <c r="AV1871" s="3"/>
      <c r="AW1871" s="3"/>
      <c r="AX1871" s="3"/>
      <c r="AY1871" s="3"/>
      <c r="AZ1871" s="3"/>
      <c r="BA1871" s="3"/>
      <c r="BB1871" s="53"/>
      <c r="BC1871" s="3"/>
      <c r="BD1871" s="59"/>
      <c r="BE1871" s="3"/>
      <c r="BF1871" s="53"/>
      <c r="BG1871" s="59"/>
    </row>
    <row r="1872" spans="1:59" customFormat="1" ht="15" x14ac:dyDescent="0.35">
      <c r="A1872" s="50"/>
      <c r="B1872" s="63"/>
      <c r="C1872" s="39"/>
      <c r="D1872" s="6"/>
      <c r="E1872" s="149"/>
      <c r="F1872" s="153"/>
      <c r="G1872" s="10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12"/>
      <c r="X1872" s="33"/>
      <c r="Y1872" s="6"/>
      <c r="Z1872" s="6"/>
      <c r="AA1872" s="6"/>
      <c r="AB1872" s="6"/>
      <c r="AC1872" s="9"/>
      <c r="AD1872" s="9"/>
      <c r="AE1872" s="9"/>
      <c r="AF1872" s="9"/>
      <c r="AG1872" s="5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59"/>
      <c r="AR1872" s="21"/>
      <c r="AS1872" s="21"/>
      <c r="AT1872" s="3"/>
      <c r="AU1872" s="3"/>
      <c r="AV1872" s="3"/>
      <c r="AW1872" s="3"/>
      <c r="AX1872" s="3"/>
      <c r="AY1872" s="3"/>
      <c r="AZ1872" s="3"/>
      <c r="BA1872" s="3"/>
      <c r="BB1872" s="53"/>
      <c r="BC1872" s="3"/>
      <c r="BD1872" s="59"/>
      <c r="BE1872" s="3"/>
      <c r="BF1872" s="53"/>
      <c r="BG1872" s="59"/>
    </row>
    <row r="1873" spans="1:59" customFormat="1" ht="15" x14ac:dyDescent="0.35">
      <c r="A1873" s="50"/>
      <c r="B1873" s="63"/>
      <c r="C1873" s="39"/>
      <c r="D1873" s="6"/>
      <c r="E1873" s="149"/>
      <c r="F1873" s="153"/>
      <c r="G1873" s="10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5"/>
      <c r="V1873" s="5"/>
      <c r="W1873" s="13"/>
      <c r="X1873" s="4"/>
      <c r="Y1873" s="4"/>
      <c r="Z1873" s="4"/>
      <c r="AA1873" s="6"/>
      <c r="AB1873" s="5"/>
      <c r="AC1873" s="9"/>
      <c r="AD1873" s="9"/>
      <c r="AE1873" s="9"/>
      <c r="AF1873" s="9"/>
      <c r="AG1873" s="54"/>
      <c r="AH1873" s="3"/>
      <c r="AI1873" s="2"/>
      <c r="AJ1873" s="2"/>
      <c r="AK1873" s="2"/>
      <c r="AL1873" s="3"/>
      <c r="AM1873" s="3"/>
      <c r="AN1873" s="3"/>
      <c r="AO1873" s="3"/>
      <c r="AP1873" s="3"/>
      <c r="AQ1873" s="59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53"/>
      <c r="BC1873" s="3"/>
      <c r="BD1873" s="59"/>
      <c r="BE1873" s="3"/>
      <c r="BF1873" s="53"/>
      <c r="BG1873" s="59"/>
    </row>
    <row r="1874" spans="1:59" customFormat="1" ht="15" x14ac:dyDescent="0.35">
      <c r="A1874" s="19"/>
      <c r="B1874" s="49"/>
      <c r="C1874" s="14"/>
      <c r="D1874" s="1"/>
      <c r="E1874" s="149"/>
      <c r="F1874" s="153"/>
      <c r="G1874" s="10"/>
      <c r="H1874" s="17"/>
      <c r="I1874" s="17"/>
      <c r="J1874" s="17"/>
      <c r="K1874" s="30"/>
      <c r="L1874" s="30"/>
      <c r="M1874" s="30"/>
      <c r="N1874" s="30"/>
      <c r="O1874" s="30"/>
      <c r="P1874" s="30"/>
      <c r="Q1874" s="30"/>
      <c r="R1874" s="30"/>
      <c r="S1874" s="30"/>
      <c r="T1874" s="30"/>
      <c r="U1874" s="30"/>
      <c r="V1874" s="30"/>
      <c r="W1874" s="29"/>
      <c r="X1874" s="15"/>
      <c r="Y1874" s="30"/>
      <c r="Z1874" s="30"/>
      <c r="AA1874" s="30"/>
      <c r="AB1874" s="30"/>
      <c r="AC1874" s="17"/>
      <c r="AD1874" s="17"/>
      <c r="AE1874" s="17"/>
      <c r="AF1874" s="17"/>
      <c r="AG1874" s="20"/>
      <c r="AH1874" s="21"/>
      <c r="AI1874" s="21"/>
      <c r="AJ1874" s="21"/>
      <c r="AK1874" s="21"/>
      <c r="AL1874" s="21"/>
      <c r="AM1874" s="21"/>
      <c r="AN1874" s="21"/>
      <c r="AO1874" s="22"/>
      <c r="AP1874" s="21"/>
      <c r="AQ1874" s="24"/>
      <c r="AR1874" s="21"/>
      <c r="AS1874" s="21"/>
      <c r="AT1874" s="21"/>
      <c r="AU1874" s="21"/>
      <c r="AV1874" s="21"/>
      <c r="AW1874" s="21"/>
      <c r="AX1874" s="22"/>
      <c r="AY1874" s="21"/>
      <c r="AZ1874" s="22"/>
      <c r="BA1874" s="21"/>
      <c r="BB1874" s="20"/>
      <c r="BC1874" s="21"/>
      <c r="BD1874" s="25"/>
      <c r="BE1874" s="26"/>
      <c r="BF1874" s="27"/>
      <c r="BG1874" s="28"/>
    </row>
    <row r="1875" spans="1:59" customFormat="1" ht="15" x14ac:dyDescent="0.35">
      <c r="A1875" s="19"/>
      <c r="B1875" s="49"/>
      <c r="C1875" s="39"/>
      <c r="D1875" s="1"/>
      <c r="E1875" s="149"/>
      <c r="F1875" s="153"/>
      <c r="G1875" s="10"/>
      <c r="H1875" s="17"/>
      <c r="I1875" s="17"/>
      <c r="J1875" s="17"/>
      <c r="K1875" s="30"/>
      <c r="L1875" s="30"/>
      <c r="M1875" s="30"/>
      <c r="N1875" s="30"/>
      <c r="O1875" s="30"/>
      <c r="P1875" s="30"/>
      <c r="Q1875" s="30"/>
      <c r="R1875" s="30"/>
      <c r="S1875" s="30"/>
      <c r="T1875" s="30"/>
      <c r="U1875" s="30"/>
      <c r="V1875" s="30"/>
      <c r="W1875" s="29"/>
      <c r="X1875" s="15"/>
      <c r="Y1875" s="30"/>
      <c r="Z1875" s="30"/>
      <c r="AA1875" s="30"/>
      <c r="AB1875" s="30"/>
      <c r="AC1875" s="17"/>
      <c r="AD1875" s="17"/>
      <c r="AE1875" s="17"/>
      <c r="AF1875" s="17"/>
      <c r="AG1875" s="20"/>
      <c r="AH1875" s="21"/>
      <c r="AI1875" s="21"/>
      <c r="AJ1875" s="21"/>
      <c r="AK1875" s="21"/>
      <c r="AL1875" s="21"/>
      <c r="AM1875" s="21"/>
      <c r="AN1875" s="21"/>
      <c r="AO1875" s="22"/>
      <c r="AP1875" s="21"/>
      <c r="AQ1875" s="24"/>
      <c r="AR1875" s="21"/>
      <c r="AS1875" s="21"/>
      <c r="AT1875" s="21"/>
      <c r="AU1875" s="21"/>
      <c r="AV1875" s="21"/>
      <c r="AW1875" s="21"/>
      <c r="AX1875" s="22"/>
      <c r="AY1875" s="21"/>
      <c r="AZ1875" s="22"/>
      <c r="BA1875" s="21"/>
      <c r="BB1875" s="20"/>
      <c r="BC1875" s="21"/>
      <c r="BD1875" s="25"/>
      <c r="BE1875" s="26"/>
      <c r="BF1875" s="27"/>
      <c r="BG1875" s="28"/>
    </row>
    <row r="1876" spans="1:59" customFormat="1" ht="15" x14ac:dyDescent="0.35">
      <c r="A1876" s="50"/>
      <c r="B1876" s="63"/>
      <c r="C1876" s="39"/>
      <c r="D1876" s="6"/>
      <c r="E1876" s="149"/>
      <c r="F1876" s="153"/>
      <c r="G1876" s="10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5"/>
      <c r="V1876" s="5"/>
      <c r="W1876" s="13"/>
      <c r="X1876" s="4"/>
      <c r="Y1876" s="4"/>
      <c r="Z1876" s="4"/>
      <c r="AA1876" s="6"/>
      <c r="AB1876" s="5"/>
      <c r="AC1876" s="9"/>
      <c r="AD1876" s="9"/>
      <c r="AE1876" s="9"/>
      <c r="AF1876" s="9"/>
      <c r="AG1876" s="54"/>
      <c r="AH1876" s="3"/>
      <c r="AI1876" s="2"/>
      <c r="AJ1876" s="2"/>
      <c r="AK1876" s="2"/>
      <c r="AL1876" s="3"/>
      <c r="AM1876" s="3"/>
      <c r="AN1876" s="3"/>
      <c r="AO1876" s="3"/>
      <c r="AP1876" s="3"/>
      <c r="AQ1876" s="59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53"/>
      <c r="BC1876" s="3"/>
      <c r="BD1876" s="59"/>
      <c r="BE1876" s="3"/>
      <c r="BF1876" s="53"/>
      <c r="BG1876" s="59"/>
    </row>
    <row r="1877" spans="1:59" customFormat="1" ht="15" x14ac:dyDescent="0.35">
      <c r="A1877" s="50"/>
      <c r="B1877" s="63"/>
      <c r="C1877" s="39"/>
      <c r="D1877" s="6"/>
      <c r="E1877" s="149"/>
      <c r="F1877" s="153"/>
      <c r="G1877" s="10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12"/>
      <c r="X1877" s="33"/>
      <c r="Y1877" s="6"/>
      <c r="Z1877" s="6"/>
      <c r="AA1877" s="6"/>
      <c r="AB1877" s="6"/>
      <c r="AC1877" s="9"/>
      <c r="AD1877" s="9"/>
      <c r="AE1877" s="9"/>
      <c r="AF1877" s="9"/>
      <c r="AG1877" s="5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59"/>
      <c r="AR1877" s="21"/>
      <c r="AS1877" s="21"/>
      <c r="AT1877" s="3"/>
      <c r="AU1877" s="3"/>
      <c r="AV1877" s="3"/>
      <c r="AW1877" s="3"/>
      <c r="AX1877" s="3"/>
      <c r="AY1877" s="3"/>
      <c r="AZ1877" s="3"/>
      <c r="BA1877" s="3"/>
      <c r="BB1877" s="53"/>
      <c r="BC1877" s="3"/>
      <c r="BD1877" s="59"/>
      <c r="BE1877" s="3"/>
      <c r="BF1877" s="53"/>
      <c r="BG1877" s="65"/>
    </row>
    <row r="1878" spans="1:59" customFormat="1" ht="15" x14ac:dyDescent="0.35">
      <c r="A1878" s="19"/>
      <c r="B1878" s="49"/>
      <c r="C1878" s="39"/>
      <c r="D1878" s="1"/>
      <c r="E1878" s="149"/>
      <c r="F1878" s="153"/>
      <c r="G1878" s="10"/>
      <c r="H1878" s="17"/>
      <c r="I1878" s="17"/>
      <c r="J1878" s="17"/>
      <c r="K1878" s="30"/>
      <c r="L1878" s="30"/>
      <c r="M1878" s="30"/>
      <c r="N1878" s="30"/>
      <c r="O1878" s="30"/>
      <c r="P1878" s="30"/>
      <c r="Q1878" s="30"/>
      <c r="R1878" s="30"/>
      <c r="S1878" s="30"/>
      <c r="T1878" s="30"/>
      <c r="U1878" s="30"/>
      <c r="V1878" s="30"/>
      <c r="W1878" s="29"/>
      <c r="X1878" s="15"/>
      <c r="Y1878" s="30"/>
      <c r="Z1878" s="30"/>
      <c r="AA1878" s="30"/>
      <c r="AB1878" s="30"/>
      <c r="AC1878" s="17"/>
      <c r="AD1878" s="17"/>
      <c r="AE1878" s="17"/>
      <c r="AF1878" s="17"/>
      <c r="AG1878" s="20"/>
      <c r="AH1878" s="21"/>
      <c r="AI1878" s="21"/>
      <c r="AJ1878" s="21"/>
      <c r="AK1878" s="21"/>
      <c r="AL1878" s="21"/>
      <c r="AM1878" s="21"/>
      <c r="AN1878" s="21"/>
      <c r="AO1878" s="22"/>
      <c r="AP1878" s="21"/>
      <c r="AQ1878" s="24"/>
      <c r="AR1878" s="21"/>
      <c r="AS1878" s="21"/>
      <c r="AT1878" s="21"/>
      <c r="AU1878" s="21"/>
      <c r="AV1878" s="21"/>
      <c r="AW1878" s="21"/>
      <c r="AX1878" s="22"/>
      <c r="AY1878" s="21"/>
      <c r="AZ1878" s="22"/>
      <c r="BA1878" s="21"/>
      <c r="BB1878" s="20"/>
      <c r="BC1878" s="21"/>
      <c r="BD1878" s="25"/>
      <c r="BE1878" s="26"/>
      <c r="BF1878" s="27"/>
      <c r="BG1878" s="28"/>
    </row>
    <row r="1879" spans="1:59" customFormat="1" ht="15" x14ac:dyDescent="0.35">
      <c r="A1879" s="50"/>
      <c r="B1879" s="63"/>
      <c r="C1879" s="39"/>
      <c r="D1879" s="6"/>
      <c r="E1879" s="149"/>
      <c r="F1879" s="153"/>
      <c r="G1879" s="10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5"/>
      <c r="V1879" s="5"/>
      <c r="W1879" s="13"/>
      <c r="X1879" s="4"/>
      <c r="Y1879" s="4"/>
      <c r="Z1879" s="4"/>
      <c r="AA1879" s="6"/>
      <c r="AB1879" s="5"/>
      <c r="AC1879" s="9"/>
      <c r="AD1879" s="9"/>
      <c r="AE1879" s="9"/>
      <c r="AF1879" s="9"/>
      <c r="AG1879" s="54"/>
      <c r="AH1879" s="3"/>
      <c r="AI1879" s="2"/>
      <c r="AJ1879" s="2"/>
      <c r="AK1879" s="2"/>
      <c r="AL1879" s="3"/>
      <c r="AM1879" s="3"/>
      <c r="AN1879" s="3"/>
      <c r="AO1879" s="3"/>
      <c r="AP1879" s="3"/>
      <c r="AQ1879" s="59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53"/>
      <c r="BC1879" s="3"/>
      <c r="BD1879" s="59"/>
      <c r="BE1879" s="3"/>
      <c r="BF1879" s="53"/>
      <c r="BG1879" s="59"/>
    </row>
    <row r="1880" spans="1:59" customFormat="1" ht="15" x14ac:dyDescent="0.35">
      <c r="A1880" s="50"/>
      <c r="B1880" s="63"/>
      <c r="C1880" s="39"/>
      <c r="D1880" s="6"/>
      <c r="E1880" s="149"/>
      <c r="F1880" s="153"/>
      <c r="G1880" s="10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12"/>
      <c r="X1880" s="33"/>
      <c r="Y1880" s="6"/>
      <c r="Z1880" s="6"/>
      <c r="AA1880" s="6"/>
      <c r="AB1880" s="6"/>
      <c r="AC1880" s="9"/>
      <c r="AD1880" s="9"/>
      <c r="AE1880" s="9"/>
      <c r="AF1880" s="9"/>
      <c r="AG1880" s="5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59"/>
      <c r="AR1880" s="21"/>
      <c r="AS1880" s="21"/>
      <c r="AT1880" s="3"/>
      <c r="AU1880" s="3"/>
      <c r="AV1880" s="3"/>
      <c r="AW1880" s="3"/>
      <c r="AX1880" s="3"/>
      <c r="AY1880" s="3"/>
      <c r="AZ1880" s="3"/>
      <c r="BA1880" s="3"/>
      <c r="BB1880" s="53"/>
      <c r="BC1880" s="3"/>
      <c r="BD1880" s="59"/>
      <c r="BE1880" s="3"/>
      <c r="BF1880" s="53"/>
      <c r="BG1880" s="59"/>
    </row>
    <row r="1881" spans="1:59" customFormat="1" ht="15" x14ac:dyDescent="0.35">
      <c r="A1881" s="50"/>
      <c r="B1881" s="63"/>
      <c r="C1881" s="39"/>
      <c r="D1881" s="6"/>
      <c r="E1881" s="149"/>
      <c r="F1881" s="153"/>
      <c r="G1881" s="10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5"/>
      <c r="V1881" s="5"/>
      <c r="W1881" s="13"/>
      <c r="X1881" s="4"/>
      <c r="Y1881" s="4"/>
      <c r="Z1881" s="4"/>
      <c r="AA1881" s="6"/>
      <c r="AB1881" s="5"/>
      <c r="AC1881" s="9"/>
      <c r="AD1881" s="9"/>
      <c r="AE1881" s="9"/>
      <c r="AF1881" s="9"/>
      <c r="AG1881" s="54"/>
      <c r="AH1881" s="3"/>
      <c r="AI1881" s="2"/>
      <c r="AJ1881" s="2"/>
      <c r="AK1881" s="2"/>
      <c r="AL1881" s="3"/>
      <c r="AM1881" s="3"/>
      <c r="AN1881" s="3"/>
      <c r="AO1881" s="3"/>
      <c r="AP1881" s="3"/>
      <c r="AQ1881" s="59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53"/>
      <c r="BC1881" s="3"/>
      <c r="BD1881" s="59"/>
      <c r="BE1881" s="3"/>
      <c r="BF1881" s="53"/>
      <c r="BG1881" s="59"/>
    </row>
    <row r="1882" spans="1:59" customFormat="1" ht="15" x14ac:dyDescent="0.35">
      <c r="A1882" s="19"/>
      <c r="B1882" s="49"/>
      <c r="C1882" s="39"/>
      <c r="D1882" s="1"/>
      <c r="E1882" s="149"/>
      <c r="F1882" s="153"/>
      <c r="G1882" s="10"/>
      <c r="H1882" s="17"/>
      <c r="I1882" s="17"/>
      <c r="J1882" s="17"/>
      <c r="K1882" s="30"/>
      <c r="L1882" s="30"/>
      <c r="M1882" s="30"/>
      <c r="N1882" s="30"/>
      <c r="O1882" s="30"/>
      <c r="P1882" s="30"/>
      <c r="Q1882" s="30"/>
      <c r="R1882" s="30"/>
      <c r="S1882" s="30"/>
      <c r="T1882" s="30"/>
      <c r="U1882" s="30"/>
      <c r="V1882" s="30"/>
      <c r="W1882" s="29"/>
      <c r="X1882" s="15"/>
      <c r="Y1882" s="30"/>
      <c r="Z1882" s="30"/>
      <c r="AA1882" s="30"/>
      <c r="AB1882" s="30"/>
      <c r="AC1882" s="17"/>
      <c r="AD1882" s="17"/>
      <c r="AE1882" s="17"/>
      <c r="AF1882" s="17"/>
      <c r="AG1882" s="20"/>
      <c r="AH1882" s="21"/>
      <c r="AI1882" s="21"/>
      <c r="AJ1882" s="21"/>
      <c r="AK1882" s="21"/>
      <c r="AL1882" s="21"/>
      <c r="AM1882" s="21"/>
      <c r="AN1882" s="21"/>
      <c r="AO1882" s="22"/>
      <c r="AP1882" s="21"/>
      <c r="AQ1882" s="24"/>
      <c r="AR1882" s="21"/>
      <c r="AS1882" s="21"/>
      <c r="AT1882" s="21"/>
      <c r="AU1882" s="21"/>
      <c r="AV1882" s="21"/>
      <c r="AW1882" s="21"/>
      <c r="AX1882" s="22"/>
      <c r="AY1882" s="21"/>
      <c r="AZ1882" s="22"/>
      <c r="BA1882" s="21"/>
      <c r="BB1882" s="20"/>
      <c r="BC1882" s="21"/>
      <c r="BD1882" s="25"/>
      <c r="BE1882" s="26"/>
      <c r="BF1882" s="27"/>
      <c r="BG1882" s="28"/>
    </row>
    <row r="1883" spans="1:59" customFormat="1" ht="15" x14ac:dyDescent="0.35">
      <c r="A1883" s="50"/>
      <c r="B1883" s="63"/>
      <c r="C1883" s="39"/>
      <c r="D1883" s="6"/>
      <c r="E1883" s="149"/>
      <c r="F1883" s="153"/>
      <c r="G1883" s="10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12"/>
      <c r="X1883" s="33"/>
      <c r="Y1883" s="6"/>
      <c r="Z1883" s="6"/>
      <c r="AA1883" s="6"/>
      <c r="AB1883" s="6"/>
      <c r="AC1883" s="9"/>
      <c r="AD1883" s="9"/>
      <c r="AE1883" s="9"/>
      <c r="AF1883" s="9"/>
      <c r="AG1883" s="5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59"/>
      <c r="AR1883" s="21"/>
      <c r="AS1883" s="21"/>
      <c r="AT1883" s="3"/>
      <c r="AU1883" s="3"/>
      <c r="AV1883" s="3"/>
      <c r="AW1883" s="3"/>
      <c r="AX1883" s="3"/>
      <c r="AY1883" s="3"/>
      <c r="AZ1883" s="3"/>
      <c r="BA1883" s="3"/>
      <c r="BB1883" s="53"/>
      <c r="BC1883" s="3"/>
      <c r="BD1883" s="59"/>
      <c r="BE1883" s="3"/>
      <c r="BF1883" s="53"/>
      <c r="BG1883" s="59"/>
    </row>
    <row r="1884" spans="1:59" customFormat="1" ht="15" x14ac:dyDescent="0.35">
      <c r="A1884" s="50"/>
      <c r="B1884" s="63"/>
      <c r="C1884" s="39"/>
      <c r="D1884" s="6"/>
      <c r="E1884" s="149"/>
      <c r="F1884" s="153"/>
      <c r="G1884" s="10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5"/>
      <c r="V1884" s="5"/>
      <c r="W1884" s="13"/>
      <c r="X1884" s="4"/>
      <c r="Y1884" s="4"/>
      <c r="Z1884" s="4"/>
      <c r="AA1884" s="6"/>
      <c r="AB1884" s="5"/>
      <c r="AC1884" s="9"/>
      <c r="AD1884" s="9"/>
      <c r="AE1884" s="9"/>
      <c r="AF1884" s="9"/>
      <c r="AG1884" s="54"/>
      <c r="AH1884" s="3"/>
      <c r="AI1884" s="2"/>
      <c r="AJ1884" s="2"/>
      <c r="AK1884" s="2"/>
      <c r="AL1884" s="3"/>
      <c r="AM1884" s="3"/>
      <c r="AN1884" s="3"/>
      <c r="AO1884" s="3"/>
      <c r="AP1884" s="3"/>
      <c r="AQ1884" s="59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53"/>
      <c r="BC1884" s="3"/>
      <c r="BD1884" s="59"/>
      <c r="BE1884" s="3"/>
      <c r="BF1884" s="53"/>
      <c r="BG1884" s="59"/>
    </row>
    <row r="1885" spans="1:59" customFormat="1" ht="15" x14ac:dyDescent="0.35">
      <c r="A1885" s="50"/>
      <c r="B1885" s="63"/>
      <c r="C1885" s="39"/>
      <c r="D1885" s="6"/>
      <c r="E1885" s="149"/>
      <c r="F1885" s="153"/>
      <c r="G1885" s="10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12"/>
      <c r="X1885" s="33"/>
      <c r="Y1885" s="6"/>
      <c r="Z1885" s="6"/>
      <c r="AA1885" s="6"/>
      <c r="AB1885" s="6"/>
      <c r="AC1885" s="9"/>
      <c r="AD1885" s="9"/>
      <c r="AE1885" s="9"/>
      <c r="AF1885" s="9"/>
      <c r="AG1885" s="5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59"/>
      <c r="AR1885" s="21"/>
      <c r="AS1885" s="21"/>
      <c r="AT1885" s="3"/>
      <c r="AU1885" s="3"/>
      <c r="AV1885" s="3"/>
      <c r="AW1885" s="3"/>
      <c r="AX1885" s="3"/>
      <c r="AY1885" s="3"/>
      <c r="AZ1885" s="3"/>
      <c r="BA1885" s="3"/>
      <c r="BB1885" s="53"/>
      <c r="BC1885" s="3"/>
      <c r="BD1885" s="59"/>
      <c r="BE1885" s="3"/>
      <c r="BF1885" s="53"/>
      <c r="BG1885" s="59"/>
    </row>
    <row r="1886" spans="1:59" customFormat="1" ht="15" x14ac:dyDescent="0.35">
      <c r="A1886" s="50"/>
      <c r="B1886" s="63"/>
      <c r="C1886" s="39"/>
      <c r="D1886" s="6"/>
      <c r="E1886" s="149"/>
      <c r="F1886" s="153"/>
      <c r="G1886" s="10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5"/>
      <c r="V1886" s="5"/>
      <c r="W1886" s="13"/>
      <c r="X1886" s="4"/>
      <c r="Y1886" s="4"/>
      <c r="Z1886" s="4"/>
      <c r="AA1886" s="6"/>
      <c r="AB1886" s="5"/>
      <c r="AC1886" s="9"/>
      <c r="AD1886" s="9"/>
      <c r="AE1886" s="9"/>
      <c r="AF1886" s="9"/>
      <c r="AG1886" s="54"/>
      <c r="AH1886" s="3"/>
      <c r="AI1886" s="2"/>
      <c r="AJ1886" s="2"/>
      <c r="AK1886" s="2"/>
      <c r="AL1886" s="3"/>
      <c r="AM1886" s="3"/>
      <c r="AN1886" s="3"/>
      <c r="AO1886" s="3"/>
      <c r="AP1886" s="3"/>
      <c r="AQ1886" s="59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53"/>
      <c r="BC1886" s="3"/>
      <c r="BD1886" s="59"/>
      <c r="BE1886" s="3"/>
      <c r="BF1886" s="53"/>
      <c r="BG1886" s="59"/>
    </row>
    <row r="1887" spans="1:59" customFormat="1" ht="15" x14ac:dyDescent="0.35">
      <c r="A1887" s="50"/>
      <c r="B1887" s="63"/>
      <c r="C1887" s="39"/>
      <c r="D1887" s="6"/>
      <c r="E1887" s="149"/>
      <c r="F1887" s="153"/>
      <c r="G1887" s="10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12"/>
      <c r="X1887" s="33"/>
      <c r="Y1887" s="6"/>
      <c r="Z1887" s="6"/>
      <c r="AA1887" s="6"/>
      <c r="AB1887" s="6"/>
      <c r="AC1887" s="9"/>
      <c r="AD1887" s="9"/>
      <c r="AE1887" s="9"/>
      <c r="AF1887" s="9"/>
      <c r="AG1887" s="5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59"/>
      <c r="AR1887" s="21"/>
      <c r="AS1887" s="21"/>
      <c r="AT1887" s="3"/>
      <c r="AU1887" s="3"/>
      <c r="AV1887" s="3"/>
      <c r="AW1887" s="3"/>
      <c r="AX1887" s="3"/>
      <c r="AY1887" s="3"/>
      <c r="AZ1887" s="3"/>
      <c r="BA1887" s="3"/>
      <c r="BB1887" s="53"/>
      <c r="BC1887" s="3"/>
      <c r="BD1887" s="59"/>
      <c r="BE1887" s="3"/>
      <c r="BF1887" s="53"/>
      <c r="BG1887" s="59"/>
    </row>
    <row r="1888" spans="1:59" customFormat="1" ht="15" x14ac:dyDescent="0.35">
      <c r="A1888" s="50"/>
      <c r="B1888" s="63"/>
      <c r="C1888" s="39"/>
      <c r="D1888" s="6"/>
      <c r="E1888" s="149"/>
      <c r="F1888" s="153"/>
      <c r="G1888" s="10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5"/>
      <c r="V1888" s="5"/>
      <c r="W1888" s="13"/>
      <c r="X1888" s="4"/>
      <c r="Y1888" s="4"/>
      <c r="Z1888" s="4"/>
      <c r="AA1888" s="6"/>
      <c r="AB1888" s="5"/>
      <c r="AC1888" s="9"/>
      <c r="AD1888" s="9"/>
      <c r="AE1888" s="9"/>
      <c r="AF1888" s="9"/>
      <c r="AG1888" s="54"/>
      <c r="AH1888" s="3"/>
      <c r="AI1888" s="2"/>
      <c r="AJ1888" s="2"/>
      <c r="AK1888" s="2"/>
      <c r="AL1888" s="3"/>
      <c r="AM1888" s="3"/>
      <c r="AN1888" s="3"/>
      <c r="AO1888" s="3"/>
      <c r="AP1888" s="3"/>
      <c r="AQ1888" s="59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53"/>
      <c r="BC1888" s="3"/>
      <c r="BD1888" s="59"/>
      <c r="BE1888" s="3"/>
      <c r="BF1888" s="53"/>
      <c r="BG1888" s="59"/>
    </row>
    <row r="1889" spans="1:59" customFormat="1" ht="15" x14ac:dyDescent="0.35">
      <c r="A1889" s="19"/>
      <c r="B1889" s="49"/>
      <c r="C1889" s="39"/>
      <c r="D1889" s="1"/>
      <c r="E1889" s="149"/>
      <c r="F1889" s="153"/>
      <c r="G1889" s="10"/>
      <c r="H1889" s="17"/>
      <c r="I1889" s="17"/>
      <c r="J1889" s="17"/>
      <c r="K1889" s="30"/>
      <c r="L1889" s="30"/>
      <c r="M1889" s="30"/>
      <c r="N1889" s="30"/>
      <c r="O1889" s="30"/>
      <c r="P1889" s="30"/>
      <c r="Q1889" s="30"/>
      <c r="R1889" s="30"/>
      <c r="S1889" s="30"/>
      <c r="T1889" s="30"/>
      <c r="U1889" s="30"/>
      <c r="V1889" s="30"/>
      <c r="W1889" s="29"/>
      <c r="X1889" s="15"/>
      <c r="Y1889" s="30"/>
      <c r="Z1889" s="30"/>
      <c r="AA1889" s="30"/>
      <c r="AB1889" s="30"/>
      <c r="AC1889" s="17"/>
      <c r="AD1889" s="17"/>
      <c r="AE1889" s="17"/>
      <c r="AF1889" s="17"/>
      <c r="AG1889" s="20"/>
      <c r="AH1889" s="21"/>
      <c r="AI1889" s="21"/>
      <c r="AJ1889" s="21"/>
      <c r="AK1889" s="21"/>
      <c r="AL1889" s="21"/>
      <c r="AM1889" s="21"/>
      <c r="AN1889" s="21"/>
      <c r="AO1889" s="22"/>
      <c r="AP1889" s="21"/>
      <c r="AQ1889" s="24"/>
      <c r="AR1889" s="21"/>
      <c r="AS1889" s="21"/>
      <c r="AT1889" s="21"/>
      <c r="AU1889" s="21"/>
      <c r="AV1889" s="21"/>
      <c r="AW1889" s="21"/>
      <c r="AX1889" s="22"/>
      <c r="AY1889" s="21"/>
      <c r="AZ1889" s="22"/>
      <c r="BA1889" s="21"/>
      <c r="BB1889" s="20"/>
      <c r="BC1889" s="21"/>
      <c r="BD1889" s="25"/>
      <c r="BE1889" s="26"/>
      <c r="BF1889" s="27"/>
      <c r="BG1889" s="28"/>
    </row>
    <row r="1890" spans="1:59" customFormat="1" ht="15" x14ac:dyDescent="0.35">
      <c r="A1890" s="50"/>
      <c r="B1890" s="63"/>
      <c r="C1890" s="39"/>
      <c r="D1890" s="6"/>
      <c r="E1890" s="149"/>
      <c r="F1890" s="153"/>
      <c r="G1890" s="10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5"/>
      <c r="V1890" s="5"/>
      <c r="W1890" s="13"/>
      <c r="X1890" s="4"/>
      <c r="Y1890" s="4"/>
      <c r="Z1890" s="4"/>
      <c r="AA1890" s="6"/>
      <c r="AB1890" s="5"/>
      <c r="AC1890" s="9"/>
      <c r="AD1890" s="9"/>
      <c r="AE1890" s="9"/>
      <c r="AF1890" s="9"/>
      <c r="AG1890" s="54"/>
      <c r="AH1890" s="3"/>
      <c r="AI1890" s="2"/>
      <c r="AJ1890" s="2"/>
      <c r="AK1890" s="2"/>
      <c r="AL1890" s="3"/>
      <c r="AM1890" s="3"/>
      <c r="AN1890" s="3"/>
      <c r="AO1890" s="3"/>
      <c r="AP1890" s="3"/>
      <c r="AQ1890" s="59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53"/>
      <c r="BC1890" s="3"/>
      <c r="BD1890" s="59"/>
      <c r="BE1890" s="3"/>
      <c r="BF1890" s="53"/>
      <c r="BG1890" s="59"/>
    </row>
    <row r="1891" spans="1:59" customFormat="1" ht="15" x14ac:dyDescent="0.35">
      <c r="A1891" s="50"/>
      <c r="B1891" s="63"/>
      <c r="C1891" s="39"/>
      <c r="D1891" s="6"/>
      <c r="E1891" s="149"/>
      <c r="F1891" s="153"/>
      <c r="G1891" s="10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5"/>
      <c r="V1891" s="5"/>
      <c r="W1891" s="13"/>
      <c r="X1891" s="4"/>
      <c r="Y1891" s="4"/>
      <c r="Z1891" s="4"/>
      <c r="AA1891" s="6"/>
      <c r="AB1891" s="5"/>
      <c r="AC1891" s="9"/>
      <c r="AD1891" s="9"/>
      <c r="AE1891" s="9"/>
      <c r="AF1891" s="9"/>
      <c r="AG1891" s="54"/>
      <c r="AH1891" s="3"/>
      <c r="AI1891" s="2"/>
      <c r="AJ1891" s="2"/>
      <c r="AK1891" s="2"/>
      <c r="AL1891" s="3"/>
      <c r="AM1891" s="3"/>
      <c r="AN1891" s="3"/>
      <c r="AO1891" s="3"/>
      <c r="AP1891" s="3"/>
      <c r="AQ1891" s="59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53"/>
      <c r="BC1891" s="3"/>
      <c r="BD1891" s="59"/>
      <c r="BE1891" s="3"/>
      <c r="BF1891" s="53"/>
      <c r="BG1891" s="59"/>
    </row>
    <row r="1892" spans="1:59" customFormat="1" ht="15" x14ac:dyDescent="0.35">
      <c r="A1892" s="19"/>
      <c r="B1892" s="49"/>
      <c r="C1892" s="14"/>
      <c r="D1892" s="1"/>
      <c r="E1892" s="149"/>
      <c r="F1892" s="153"/>
      <c r="G1892" s="10"/>
      <c r="H1892" s="17"/>
      <c r="I1892" s="17"/>
      <c r="J1892" s="17"/>
      <c r="K1892" s="30"/>
      <c r="L1892" s="30"/>
      <c r="M1892" s="30"/>
      <c r="N1892" s="30"/>
      <c r="O1892" s="30"/>
      <c r="P1892" s="30"/>
      <c r="Q1892" s="30"/>
      <c r="R1892" s="30"/>
      <c r="S1892" s="30"/>
      <c r="T1892" s="30"/>
      <c r="U1892" s="30"/>
      <c r="V1892" s="30"/>
      <c r="W1892" s="29"/>
      <c r="X1892" s="15"/>
      <c r="Y1892" s="30"/>
      <c r="Z1892" s="30"/>
      <c r="AA1892" s="30"/>
      <c r="AB1892" s="30"/>
      <c r="AC1892" s="17"/>
      <c r="AD1892" s="17"/>
      <c r="AE1892" s="17"/>
      <c r="AF1892" s="17"/>
      <c r="AG1892" s="20"/>
      <c r="AH1892" s="21"/>
      <c r="AI1892" s="21"/>
      <c r="AJ1892" s="21"/>
      <c r="AK1892" s="21"/>
      <c r="AL1892" s="21"/>
      <c r="AM1892" s="21"/>
      <c r="AN1892" s="21"/>
      <c r="AO1892" s="22"/>
      <c r="AP1892" s="21"/>
      <c r="AQ1892" s="24"/>
      <c r="AR1892" s="21"/>
      <c r="AS1892" s="21"/>
      <c r="AT1892" s="21"/>
      <c r="AU1892" s="21"/>
      <c r="AV1892" s="21"/>
      <c r="AW1892" s="21"/>
      <c r="AX1892" s="22"/>
      <c r="AY1892" s="21"/>
      <c r="AZ1892" s="22"/>
      <c r="BA1892" s="21"/>
      <c r="BB1892" s="20"/>
      <c r="BC1892" s="21"/>
      <c r="BD1892" s="25"/>
      <c r="BE1892" s="26"/>
      <c r="BF1892" s="27"/>
      <c r="BG1892" s="28"/>
    </row>
    <row r="1893" spans="1:59" customFormat="1" ht="15" x14ac:dyDescent="0.35">
      <c r="A1893" s="50"/>
      <c r="B1893" s="63"/>
      <c r="C1893" s="39"/>
      <c r="D1893" s="6"/>
      <c r="E1893" s="149"/>
      <c r="F1893" s="153"/>
      <c r="G1893" s="10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12"/>
      <c r="X1893" s="33"/>
      <c r="Y1893" s="6"/>
      <c r="Z1893" s="6"/>
      <c r="AA1893" s="6"/>
      <c r="AB1893" s="6"/>
      <c r="AC1893" s="9"/>
      <c r="AD1893" s="9"/>
      <c r="AE1893" s="9"/>
      <c r="AF1893" s="9"/>
      <c r="AG1893" s="5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59"/>
      <c r="AR1893" s="21"/>
      <c r="AS1893" s="21"/>
      <c r="AT1893" s="3"/>
      <c r="AU1893" s="3"/>
      <c r="AV1893" s="3"/>
      <c r="AW1893" s="3"/>
      <c r="AX1893" s="3"/>
      <c r="AY1893" s="3"/>
      <c r="AZ1893" s="3"/>
      <c r="BA1893" s="3"/>
      <c r="BB1893" s="53"/>
      <c r="BC1893" s="3"/>
      <c r="BD1893" s="59"/>
      <c r="BE1893" s="3"/>
      <c r="BF1893" s="53"/>
      <c r="BG1893" s="59"/>
    </row>
    <row r="1894" spans="1:59" customFormat="1" ht="15" x14ac:dyDescent="0.35">
      <c r="A1894" s="50"/>
      <c r="B1894" s="63"/>
      <c r="C1894" s="39"/>
      <c r="D1894" s="6"/>
      <c r="E1894" s="149"/>
      <c r="F1894" s="153"/>
      <c r="G1894" s="10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12"/>
      <c r="X1894" s="33"/>
      <c r="Y1894" s="6"/>
      <c r="Z1894" s="6"/>
      <c r="AA1894" s="6"/>
      <c r="AB1894" s="6"/>
      <c r="AC1894" s="9"/>
      <c r="AD1894" s="9"/>
      <c r="AE1894" s="9"/>
      <c r="AF1894" s="9"/>
      <c r="AG1894" s="5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59"/>
      <c r="AR1894" s="21"/>
      <c r="AS1894" s="21"/>
      <c r="AT1894" s="3"/>
      <c r="AU1894" s="3"/>
      <c r="AV1894" s="3"/>
      <c r="AW1894" s="3"/>
      <c r="AX1894" s="3"/>
      <c r="AY1894" s="3"/>
      <c r="AZ1894" s="3"/>
      <c r="BA1894" s="3"/>
      <c r="BB1894" s="53"/>
      <c r="BC1894" s="3"/>
      <c r="BD1894" s="59"/>
      <c r="BE1894" s="3"/>
      <c r="BF1894" s="53"/>
      <c r="BG1894" s="59"/>
    </row>
    <row r="1895" spans="1:59" customFormat="1" ht="15" x14ac:dyDescent="0.35">
      <c r="A1895" s="50"/>
      <c r="B1895" s="63"/>
      <c r="C1895" s="39"/>
      <c r="D1895" s="6"/>
      <c r="E1895" s="149"/>
      <c r="F1895" s="153"/>
      <c r="G1895" s="10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12"/>
      <c r="X1895" s="33"/>
      <c r="Y1895" s="6"/>
      <c r="Z1895" s="6"/>
      <c r="AA1895" s="6"/>
      <c r="AB1895" s="6"/>
      <c r="AC1895" s="9"/>
      <c r="AD1895" s="9"/>
      <c r="AE1895" s="9"/>
      <c r="AF1895" s="9"/>
      <c r="AG1895" s="5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59"/>
      <c r="AR1895" s="21"/>
      <c r="AS1895" s="21"/>
      <c r="AT1895" s="3"/>
      <c r="AU1895" s="3"/>
      <c r="AV1895" s="3"/>
      <c r="AW1895" s="3"/>
      <c r="AX1895" s="3"/>
      <c r="AY1895" s="3"/>
      <c r="AZ1895" s="3"/>
      <c r="BA1895" s="3"/>
      <c r="BB1895" s="53"/>
      <c r="BC1895" s="3"/>
      <c r="BD1895" s="59"/>
      <c r="BE1895" s="3"/>
      <c r="BF1895" s="53"/>
      <c r="BG1895" s="59"/>
    </row>
    <row r="1896" spans="1:59" customFormat="1" ht="15" x14ac:dyDescent="0.35">
      <c r="A1896" s="19"/>
      <c r="B1896" s="49"/>
      <c r="C1896" s="14"/>
      <c r="D1896" s="1"/>
      <c r="E1896" s="149"/>
      <c r="F1896" s="153"/>
      <c r="G1896" s="10"/>
      <c r="H1896" s="17"/>
      <c r="I1896" s="17"/>
      <c r="J1896" s="17"/>
      <c r="K1896" s="30"/>
      <c r="L1896" s="30"/>
      <c r="M1896" s="30"/>
      <c r="N1896" s="30"/>
      <c r="O1896" s="30"/>
      <c r="P1896" s="30"/>
      <c r="Q1896" s="30"/>
      <c r="R1896" s="30"/>
      <c r="S1896" s="30"/>
      <c r="T1896" s="30"/>
      <c r="U1896" s="30"/>
      <c r="V1896" s="30"/>
      <c r="W1896" s="29"/>
      <c r="X1896" s="15"/>
      <c r="Y1896" s="30"/>
      <c r="Z1896" s="30"/>
      <c r="AA1896" s="30"/>
      <c r="AB1896" s="30"/>
      <c r="AC1896" s="17"/>
      <c r="AD1896" s="17"/>
      <c r="AE1896" s="17"/>
      <c r="AF1896" s="17"/>
      <c r="AG1896" s="20"/>
      <c r="AH1896" s="21"/>
      <c r="AI1896" s="21"/>
      <c r="AJ1896" s="21"/>
      <c r="AK1896" s="21"/>
      <c r="AL1896" s="21"/>
      <c r="AM1896" s="21"/>
      <c r="AN1896" s="21"/>
      <c r="AO1896" s="22"/>
      <c r="AP1896" s="21"/>
      <c r="AQ1896" s="24"/>
      <c r="AR1896" s="21"/>
      <c r="AS1896" s="21"/>
      <c r="AT1896" s="21"/>
      <c r="AU1896" s="21"/>
      <c r="AV1896" s="21"/>
      <c r="AW1896" s="21"/>
      <c r="AX1896" s="22"/>
      <c r="AY1896" s="21"/>
      <c r="AZ1896" s="22"/>
      <c r="BA1896" s="21"/>
      <c r="BB1896" s="20"/>
      <c r="BC1896" s="21"/>
      <c r="BD1896" s="25"/>
      <c r="BE1896" s="26"/>
      <c r="BF1896" s="27"/>
      <c r="BG1896" s="28"/>
    </row>
    <row r="1897" spans="1:59" customFormat="1" ht="15" x14ac:dyDescent="0.35">
      <c r="A1897" s="50"/>
      <c r="B1897" s="63"/>
      <c r="C1897" s="39"/>
      <c r="D1897" s="6"/>
      <c r="E1897" s="149"/>
      <c r="F1897" s="153"/>
      <c r="G1897" s="10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12"/>
      <c r="X1897" s="33"/>
      <c r="Y1897" s="6"/>
      <c r="Z1897" s="6"/>
      <c r="AA1897" s="6"/>
      <c r="AB1897" s="6"/>
      <c r="AC1897" s="9"/>
      <c r="AD1897" s="9"/>
      <c r="AE1897" s="9"/>
      <c r="AF1897" s="9"/>
      <c r="AG1897" s="5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59"/>
      <c r="AR1897" s="21"/>
      <c r="AS1897" s="21"/>
      <c r="AT1897" s="3"/>
      <c r="AU1897" s="3"/>
      <c r="AV1897" s="3"/>
      <c r="AW1897" s="3"/>
      <c r="AX1897" s="3"/>
      <c r="AY1897" s="3"/>
      <c r="AZ1897" s="3"/>
      <c r="BA1897" s="3"/>
      <c r="BB1897" s="53"/>
      <c r="BC1897" s="3"/>
      <c r="BD1897" s="59"/>
      <c r="BE1897" s="3"/>
      <c r="BF1897" s="53"/>
      <c r="BG1897" s="59"/>
    </row>
    <row r="1898" spans="1:59" customFormat="1" ht="15" x14ac:dyDescent="0.35">
      <c r="A1898" s="50"/>
      <c r="B1898" s="63"/>
      <c r="C1898" s="39"/>
      <c r="D1898" s="6"/>
      <c r="E1898" s="149"/>
      <c r="F1898" s="153"/>
      <c r="G1898" s="10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12"/>
      <c r="X1898" s="33"/>
      <c r="Y1898" s="6"/>
      <c r="Z1898" s="6"/>
      <c r="AA1898" s="6"/>
      <c r="AB1898" s="6"/>
      <c r="AC1898" s="9"/>
      <c r="AD1898" s="9"/>
      <c r="AE1898" s="9"/>
      <c r="AF1898" s="9"/>
      <c r="AG1898" s="5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59"/>
      <c r="AR1898" s="21"/>
      <c r="AS1898" s="21"/>
      <c r="AT1898" s="3"/>
      <c r="AU1898" s="3"/>
      <c r="AV1898" s="3"/>
      <c r="AW1898" s="3"/>
      <c r="AX1898" s="3"/>
      <c r="AY1898" s="3"/>
      <c r="AZ1898" s="3"/>
      <c r="BA1898" s="3"/>
      <c r="BB1898" s="53"/>
      <c r="BC1898" s="3"/>
      <c r="BD1898" s="59"/>
      <c r="BE1898" s="3"/>
      <c r="BF1898" s="53"/>
      <c r="BG1898" s="59"/>
    </row>
    <row r="1899" spans="1:59" customFormat="1" ht="15" x14ac:dyDescent="0.35">
      <c r="A1899" s="19"/>
      <c r="B1899" s="49"/>
      <c r="C1899" s="14"/>
      <c r="D1899" s="1"/>
      <c r="E1899" s="149"/>
      <c r="F1899" s="153"/>
      <c r="G1899" s="10"/>
      <c r="H1899" s="17"/>
      <c r="I1899" s="17"/>
      <c r="J1899" s="17"/>
      <c r="K1899" s="30"/>
      <c r="L1899" s="30"/>
      <c r="M1899" s="30"/>
      <c r="N1899" s="30"/>
      <c r="O1899" s="30"/>
      <c r="P1899" s="30"/>
      <c r="Q1899" s="30"/>
      <c r="R1899" s="30"/>
      <c r="S1899" s="30"/>
      <c r="T1899" s="30"/>
      <c r="U1899" s="30"/>
      <c r="V1899" s="30"/>
      <c r="W1899" s="29"/>
      <c r="X1899" s="15"/>
      <c r="Y1899" s="30"/>
      <c r="Z1899" s="30"/>
      <c r="AA1899" s="30"/>
      <c r="AB1899" s="30"/>
      <c r="AC1899" s="17"/>
      <c r="AD1899" s="17"/>
      <c r="AE1899" s="17"/>
      <c r="AF1899" s="17"/>
      <c r="AG1899" s="20"/>
      <c r="AH1899" s="21"/>
      <c r="AI1899" s="21"/>
      <c r="AJ1899" s="21"/>
      <c r="AK1899" s="21"/>
      <c r="AL1899" s="21"/>
      <c r="AM1899" s="21"/>
      <c r="AN1899" s="21"/>
      <c r="AO1899" s="22"/>
      <c r="AP1899" s="21"/>
      <c r="AQ1899" s="24"/>
      <c r="AR1899" s="21"/>
      <c r="AS1899" s="21"/>
      <c r="AT1899" s="21"/>
      <c r="AU1899" s="21"/>
      <c r="AV1899" s="21"/>
      <c r="AW1899" s="21"/>
      <c r="AX1899" s="22"/>
      <c r="AY1899" s="21"/>
      <c r="AZ1899" s="22"/>
      <c r="BA1899" s="21"/>
      <c r="BB1899" s="20"/>
      <c r="BC1899" s="21"/>
      <c r="BD1899" s="25"/>
      <c r="BE1899" s="26"/>
      <c r="BF1899" s="27"/>
      <c r="BG1899" s="65"/>
    </row>
    <row r="1900" spans="1:59" customFormat="1" ht="15" x14ac:dyDescent="0.35">
      <c r="A1900" s="50"/>
      <c r="B1900" s="63"/>
      <c r="C1900" s="39"/>
      <c r="D1900" s="6"/>
      <c r="E1900" s="149"/>
      <c r="F1900" s="153"/>
      <c r="G1900" s="10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12"/>
      <c r="X1900" s="33"/>
      <c r="Y1900" s="6"/>
      <c r="Z1900" s="6"/>
      <c r="AA1900" s="6"/>
      <c r="AB1900" s="6"/>
      <c r="AC1900" s="9"/>
      <c r="AD1900" s="9"/>
      <c r="AE1900" s="9"/>
      <c r="AF1900" s="9"/>
      <c r="AG1900" s="5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59"/>
      <c r="AR1900" s="21"/>
      <c r="AS1900" s="21"/>
      <c r="AT1900" s="3"/>
      <c r="AU1900" s="3"/>
      <c r="AV1900" s="3"/>
      <c r="AW1900" s="3"/>
      <c r="AX1900" s="3"/>
      <c r="AY1900" s="3"/>
      <c r="AZ1900" s="3"/>
      <c r="BA1900" s="3"/>
      <c r="BB1900" s="53"/>
      <c r="BC1900" s="3"/>
      <c r="BD1900" s="59"/>
      <c r="BE1900" s="3"/>
      <c r="BF1900" s="53"/>
      <c r="BG1900" s="59"/>
    </row>
    <row r="1901" spans="1:59" customFormat="1" ht="15" x14ac:dyDescent="0.35">
      <c r="A1901" s="50"/>
      <c r="B1901" s="63"/>
      <c r="C1901" s="39"/>
      <c r="D1901" s="6"/>
      <c r="E1901" s="149"/>
      <c r="F1901" s="153"/>
      <c r="G1901" s="10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12"/>
      <c r="X1901" s="33"/>
      <c r="Y1901" s="6"/>
      <c r="Z1901" s="6"/>
      <c r="AA1901" s="6"/>
      <c r="AB1901" s="6"/>
      <c r="AC1901" s="9"/>
      <c r="AD1901" s="9"/>
      <c r="AE1901" s="9"/>
      <c r="AF1901" s="9"/>
      <c r="AG1901" s="5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59"/>
      <c r="AR1901" s="21"/>
      <c r="AS1901" s="21"/>
      <c r="AT1901" s="3"/>
      <c r="AU1901" s="3"/>
      <c r="AV1901" s="3"/>
      <c r="AW1901" s="3"/>
      <c r="AX1901" s="3"/>
      <c r="AY1901" s="3"/>
      <c r="AZ1901" s="3"/>
      <c r="BA1901" s="3"/>
      <c r="BB1901" s="53"/>
      <c r="BC1901" s="3"/>
      <c r="BD1901" s="59"/>
      <c r="BE1901" s="3"/>
      <c r="BF1901" s="53"/>
      <c r="BG1901" s="59"/>
    </row>
    <row r="1902" spans="1:59" customFormat="1" ht="15" x14ac:dyDescent="0.35">
      <c r="A1902" s="50"/>
      <c r="B1902" s="63"/>
      <c r="C1902" s="39"/>
      <c r="D1902" s="6"/>
      <c r="E1902" s="149"/>
      <c r="F1902" s="153"/>
      <c r="G1902" s="10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5"/>
      <c r="V1902" s="5"/>
      <c r="W1902" s="13"/>
      <c r="X1902" s="4"/>
      <c r="Y1902" s="4"/>
      <c r="Z1902" s="4"/>
      <c r="AA1902" s="6"/>
      <c r="AB1902" s="5"/>
      <c r="AC1902" s="9"/>
      <c r="AD1902" s="9"/>
      <c r="AE1902" s="9"/>
      <c r="AF1902" s="9"/>
      <c r="AG1902" s="54"/>
      <c r="AH1902" s="3"/>
      <c r="AI1902" s="2"/>
      <c r="AJ1902" s="2"/>
      <c r="AK1902" s="2"/>
      <c r="AL1902" s="3"/>
      <c r="AM1902" s="3"/>
      <c r="AN1902" s="3"/>
      <c r="AO1902" s="3"/>
      <c r="AP1902" s="3"/>
      <c r="AQ1902" s="59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53"/>
      <c r="BC1902" s="3"/>
      <c r="BD1902" s="59"/>
      <c r="BE1902" s="3"/>
      <c r="BF1902" s="53"/>
      <c r="BG1902" s="59"/>
    </row>
    <row r="1903" spans="1:59" customFormat="1" ht="15" x14ac:dyDescent="0.35">
      <c r="A1903" s="50"/>
      <c r="B1903" s="63"/>
      <c r="C1903" s="39"/>
      <c r="D1903" s="6"/>
      <c r="E1903" s="149"/>
      <c r="F1903" s="153"/>
      <c r="G1903" s="10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12"/>
      <c r="X1903" s="33"/>
      <c r="Y1903" s="6"/>
      <c r="Z1903" s="6"/>
      <c r="AA1903" s="6"/>
      <c r="AB1903" s="6"/>
      <c r="AC1903" s="9"/>
      <c r="AD1903" s="9"/>
      <c r="AE1903" s="9"/>
      <c r="AF1903" s="9"/>
      <c r="AG1903" s="5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59"/>
      <c r="AR1903" s="21"/>
      <c r="AS1903" s="21"/>
      <c r="AT1903" s="3"/>
      <c r="AU1903" s="3"/>
      <c r="AV1903" s="3"/>
      <c r="AW1903" s="3"/>
      <c r="AX1903" s="3"/>
      <c r="AY1903" s="3"/>
      <c r="AZ1903" s="3"/>
      <c r="BA1903" s="3"/>
      <c r="BB1903" s="53"/>
      <c r="BC1903" s="3"/>
      <c r="BD1903" s="59"/>
      <c r="BE1903" s="3"/>
      <c r="BF1903" s="53"/>
      <c r="BG1903" s="59"/>
    </row>
    <row r="1904" spans="1:59" customFormat="1" ht="15" x14ac:dyDescent="0.35">
      <c r="A1904" s="19"/>
      <c r="B1904" s="49"/>
      <c r="C1904" s="14"/>
      <c r="D1904" s="1"/>
      <c r="E1904" s="149"/>
      <c r="F1904" s="153"/>
      <c r="G1904" s="10"/>
      <c r="H1904" s="17"/>
      <c r="I1904" s="17"/>
      <c r="J1904" s="17"/>
      <c r="K1904" s="30"/>
      <c r="L1904" s="30"/>
      <c r="M1904" s="30"/>
      <c r="N1904" s="30"/>
      <c r="O1904" s="30"/>
      <c r="P1904" s="30"/>
      <c r="Q1904" s="30"/>
      <c r="R1904" s="30"/>
      <c r="S1904" s="30"/>
      <c r="T1904" s="30"/>
      <c r="U1904" s="30"/>
      <c r="V1904" s="30"/>
      <c r="W1904" s="29"/>
      <c r="X1904" s="15"/>
      <c r="Y1904" s="30"/>
      <c r="Z1904" s="30"/>
      <c r="AA1904" s="30"/>
      <c r="AB1904" s="30"/>
      <c r="AC1904" s="17"/>
      <c r="AD1904" s="17"/>
      <c r="AE1904" s="17"/>
      <c r="AF1904" s="17"/>
      <c r="AG1904" s="20"/>
      <c r="AH1904" s="21"/>
      <c r="AI1904" s="21"/>
      <c r="AJ1904" s="21"/>
      <c r="AK1904" s="21"/>
      <c r="AL1904" s="21"/>
      <c r="AM1904" s="21"/>
      <c r="AN1904" s="21"/>
      <c r="AO1904" s="22"/>
      <c r="AP1904" s="21"/>
      <c r="AQ1904" s="24"/>
      <c r="AR1904" s="21"/>
      <c r="AS1904" s="21"/>
      <c r="AT1904" s="21"/>
      <c r="AU1904" s="21"/>
      <c r="AV1904" s="21"/>
      <c r="AW1904" s="21"/>
      <c r="AX1904" s="22"/>
      <c r="AY1904" s="21"/>
      <c r="AZ1904" s="22"/>
      <c r="BA1904" s="21"/>
      <c r="BB1904" s="20"/>
      <c r="BC1904" s="21"/>
      <c r="BD1904" s="25"/>
      <c r="BE1904" s="26"/>
      <c r="BF1904" s="27"/>
      <c r="BG1904" s="28"/>
    </row>
    <row r="1905" spans="1:59" customFormat="1" ht="15" x14ac:dyDescent="0.35">
      <c r="A1905" s="50"/>
      <c r="B1905" s="63"/>
      <c r="C1905" s="39"/>
      <c r="D1905" s="6"/>
      <c r="E1905" s="149"/>
      <c r="F1905" s="153"/>
      <c r="G1905" s="10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12"/>
      <c r="X1905" s="33"/>
      <c r="Y1905" s="6"/>
      <c r="Z1905" s="6"/>
      <c r="AA1905" s="6"/>
      <c r="AB1905" s="6"/>
      <c r="AC1905" s="9"/>
      <c r="AD1905" s="9"/>
      <c r="AE1905" s="9"/>
      <c r="AF1905" s="9"/>
      <c r="AG1905" s="5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59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53"/>
      <c r="BC1905" s="3"/>
      <c r="BD1905" s="59"/>
      <c r="BE1905" s="3"/>
      <c r="BF1905" s="53"/>
      <c r="BG1905" s="59"/>
    </row>
    <row r="1906" spans="1:59" customFormat="1" ht="15" x14ac:dyDescent="0.35">
      <c r="A1906" s="19"/>
      <c r="B1906" s="49"/>
      <c r="C1906" s="14"/>
      <c r="D1906" s="1"/>
      <c r="E1906" s="149"/>
      <c r="F1906" s="153"/>
      <c r="G1906" s="10"/>
      <c r="H1906" s="17"/>
      <c r="I1906" s="17"/>
      <c r="J1906" s="17"/>
      <c r="K1906" s="30"/>
      <c r="L1906" s="30"/>
      <c r="M1906" s="30"/>
      <c r="N1906" s="30"/>
      <c r="O1906" s="30"/>
      <c r="P1906" s="30"/>
      <c r="Q1906" s="30"/>
      <c r="R1906" s="30"/>
      <c r="S1906" s="30"/>
      <c r="T1906" s="30"/>
      <c r="U1906" s="30"/>
      <c r="V1906" s="30"/>
      <c r="W1906" s="29"/>
      <c r="X1906" s="15"/>
      <c r="Y1906" s="30"/>
      <c r="Z1906" s="30"/>
      <c r="AA1906" s="30"/>
      <c r="AB1906" s="30"/>
      <c r="AC1906" s="17"/>
      <c r="AD1906" s="17"/>
      <c r="AE1906" s="17"/>
      <c r="AF1906" s="17"/>
      <c r="AG1906" s="20"/>
      <c r="AH1906" s="21"/>
      <c r="AI1906" s="21"/>
      <c r="AJ1906" s="21"/>
      <c r="AK1906" s="21"/>
      <c r="AL1906" s="21"/>
      <c r="AM1906" s="21"/>
      <c r="AN1906" s="21"/>
      <c r="AO1906" s="22"/>
      <c r="AP1906" s="21"/>
      <c r="AQ1906" s="24"/>
      <c r="AR1906" s="21"/>
      <c r="AS1906" s="21"/>
      <c r="AT1906" s="21"/>
      <c r="AU1906" s="21"/>
      <c r="AV1906" s="21"/>
      <c r="AW1906" s="21"/>
      <c r="AX1906" s="22"/>
      <c r="AY1906" s="21"/>
      <c r="AZ1906" s="22"/>
      <c r="BA1906" s="21"/>
      <c r="BB1906" s="20"/>
      <c r="BC1906" s="21"/>
      <c r="BD1906" s="25"/>
      <c r="BE1906" s="26"/>
      <c r="BF1906" s="27"/>
      <c r="BG1906" s="28"/>
    </row>
    <row r="1907" spans="1:59" customFormat="1" ht="15" x14ac:dyDescent="0.35">
      <c r="A1907" s="19"/>
      <c r="B1907" s="49"/>
      <c r="C1907" s="39"/>
      <c r="D1907" s="1"/>
      <c r="E1907" s="149"/>
      <c r="F1907" s="153"/>
      <c r="G1907" s="10"/>
      <c r="H1907" s="17"/>
      <c r="I1907" s="17"/>
      <c r="J1907" s="17"/>
      <c r="K1907" s="30"/>
      <c r="L1907" s="30"/>
      <c r="M1907" s="30"/>
      <c r="N1907" s="30"/>
      <c r="O1907" s="30"/>
      <c r="P1907" s="30"/>
      <c r="Q1907" s="30"/>
      <c r="R1907" s="30"/>
      <c r="S1907" s="30"/>
      <c r="T1907" s="30"/>
      <c r="U1907" s="30"/>
      <c r="V1907" s="30"/>
      <c r="W1907" s="29"/>
      <c r="X1907" s="15"/>
      <c r="Y1907" s="30"/>
      <c r="Z1907" s="30"/>
      <c r="AA1907" s="30"/>
      <c r="AB1907" s="30"/>
      <c r="AC1907" s="17"/>
      <c r="AD1907" s="17"/>
      <c r="AE1907" s="17"/>
      <c r="AF1907" s="17"/>
      <c r="AG1907" s="20"/>
      <c r="AH1907" s="21"/>
      <c r="AI1907" s="21"/>
      <c r="AJ1907" s="21"/>
      <c r="AK1907" s="21"/>
      <c r="AL1907" s="21"/>
      <c r="AM1907" s="21"/>
      <c r="AN1907" s="21"/>
      <c r="AO1907" s="22"/>
      <c r="AP1907" s="21"/>
      <c r="AQ1907" s="24"/>
      <c r="AR1907" s="21"/>
      <c r="AS1907" s="21"/>
      <c r="AT1907" s="21"/>
      <c r="AU1907" s="21"/>
      <c r="AV1907" s="21"/>
      <c r="AW1907" s="21"/>
      <c r="AX1907" s="22"/>
      <c r="AY1907" s="21"/>
      <c r="AZ1907" s="22"/>
      <c r="BA1907" s="21"/>
      <c r="BB1907" s="20"/>
      <c r="BC1907" s="21"/>
      <c r="BD1907" s="25"/>
      <c r="BE1907" s="26"/>
      <c r="BF1907" s="27"/>
      <c r="BG1907" s="28"/>
    </row>
    <row r="1908" spans="1:59" customFormat="1" ht="15" x14ac:dyDescent="0.35">
      <c r="A1908" s="50"/>
      <c r="B1908" s="63"/>
      <c r="C1908" s="39"/>
      <c r="D1908" s="6"/>
      <c r="E1908" s="149"/>
      <c r="F1908" s="153"/>
      <c r="G1908" s="10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12"/>
      <c r="X1908" s="33"/>
      <c r="Y1908" s="6"/>
      <c r="Z1908" s="6"/>
      <c r="AA1908" s="6"/>
      <c r="AB1908" s="6"/>
      <c r="AC1908" s="9"/>
      <c r="AD1908" s="9"/>
      <c r="AE1908" s="9"/>
      <c r="AF1908" s="9"/>
      <c r="AG1908" s="5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59"/>
      <c r="AR1908" s="21"/>
      <c r="AS1908" s="21"/>
      <c r="AT1908" s="3"/>
      <c r="AU1908" s="3"/>
      <c r="AV1908" s="3"/>
      <c r="AW1908" s="3"/>
      <c r="AX1908" s="3"/>
      <c r="AY1908" s="3"/>
      <c r="AZ1908" s="3"/>
      <c r="BA1908" s="3"/>
      <c r="BB1908" s="53"/>
      <c r="BC1908" s="3"/>
      <c r="BD1908" s="59"/>
      <c r="BE1908" s="3"/>
      <c r="BF1908" s="53"/>
      <c r="BG1908" s="59"/>
    </row>
    <row r="1909" spans="1:59" customFormat="1" ht="15" x14ac:dyDescent="0.35">
      <c r="A1909" s="50"/>
      <c r="B1909" s="63"/>
      <c r="C1909" s="39"/>
      <c r="D1909" s="6"/>
      <c r="E1909" s="149"/>
      <c r="F1909" s="153"/>
      <c r="G1909" s="10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12"/>
      <c r="X1909" s="33"/>
      <c r="Y1909" s="6"/>
      <c r="Z1909" s="6"/>
      <c r="AA1909" s="6"/>
      <c r="AB1909" s="6"/>
      <c r="AC1909" s="9"/>
      <c r="AD1909" s="9"/>
      <c r="AE1909" s="9"/>
      <c r="AF1909" s="9"/>
      <c r="AG1909" s="5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59"/>
      <c r="AR1909" s="21"/>
      <c r="AS1909" s="21"/>
      <c r="AT1909" s="3"/>
      <c r="AU1909" s="3"/>
      <c r="AV1909" s="3"/>
      <c r="AW1909" s="3"/>
      <c r="AX1909" s="3"/>
      <c r="AY1909" s="3"/>
      <c r="AZ1909" s="3"/>
      <c r="BA1909" s="3"/>
      <c r="BB1909" s="53"/>
      <c r="BC1909" s="3"/>
      <c r="BD1909" s="59"/>
      <c r="BE1909" s="3"/>
      <c r="BF1909" s="53"/>
      <c r="BG1909" s="59"/>
    </row>
    <row r="1910" spans="1:59" customFormat="1" ht="15" x14ac:dyDescent="0.35">
      <c r="A1910" s="50"/>
      <c r="B1910" s="63"/>
      <c r="C1910" s="39"/>
      <c r="D1910" s="6"/>
      <c r="E1910" s="149"/>
      <c r="F1910" s="153"/>
      <c r="G1910" s="10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5"/>
      <c r="V1910" s="5"/>
      <c r="W1910" s="13"/>
      <c r="X1910" s="4"/>
      <c r="Y1910" s="4"/>
      <c r="Z1910" s="4"/>
      <c r="AA1910" s="6"/>
      <c r="AB1910" s="5"/>
      <c r="AC1910" s="9"/>
      <c r="AD1910" s="9"/>
      <c r="AE1910" s="9"/>
      <c r="AF1910" s="9"/>
      <c r="AG1910" s="54"/>
      <c r="AH1910" s="3"/>
      <c r="AI1910" s="2"/>
      <c r="AJ1910" s="2"/>
      <c r="AK1910" s="2"/>
      <c r="AL1910" s="3"/>
      <c r="AM1910" s="3"/>
      <c r="AN1910" s="3"/>
      <c r="AO1910" s="3"/>
      <c r="AP1910" s="3"/>
      <c r="AQ1910" s="59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53"/>
      <c r="BC1910" s="3"/>
      <c r="BD1910" s="59"/>
      <c r="BE1910" s="3"/>
      <c r="BF1910" s="53"/>
      <c r="BG1910" s="59"/>
    </row>
    <row r="1911" spans="1:59" customFormat="1" ht="15" x14ac:dyDescent="0.35">
      <c r="A1911" s="50"/>
      <c r="B1911" s="63"/>
      <c r="C1911" s="39"/>
      <c r="D1911" s="6"/>
      <c r="E1911" s="149"/>
      <c r="F1911" s="153"/>
      <c r="G1911" s="10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5"/>
      <c r="V1911" s="5"/>
      <c r="W1911" s="13"/>
      <c r="X1911" s="4"/>
      <c r="Y1911" s="4"/>
      <c r="Z1911" s="4"/>
      <c r="AA1911" s="6"/>
      <c r="AB1911" s="5"/>
      <c r="AC1911" s="9"/>
      <c r="AD1911" s="9"/>
      <c r="AE1911" s="9"/>
      <c r="AF1911" s="9"/>
      <c r="AG1911" s="54"/>
      <c r="AH1911" s="3"/>
      <c r="AI1911" s="2"/>
      <c r="AJ1911" s="2"/>
      <c r="AK1911" s="2"/>
      <c r="AL1911" s="3"/>
      <c r="AM1911" s="3"/>
      <c r="AN1911" s="3"/>
      <c r="AO1911" s="3"/>
      <c r="AP1911" s="3"/>
      <c r="AQ1911" s="59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53"/>
      <c r="BC1911" s="3"/>
      <c r="BD1911" s="59"/>
      <c r="BE1911" s="3"/>
      <c r="BF1911" s="53"/>
      <c r="BG1911" s="59"/>
    </row>
    <row r="1912" spans="1:59" customFormat="1" ht="15" x14ac:dyDescent="0.35">
      <c r="A1912" s="50"/>
      <c r="B1912" s="63"/>
      <c r="C1912" s="39"/>
      <c r="D1912" s="6"/>
      <c r="E1912" s="149"/>
      <c r="F1912" s="153"/>
      <c r="G1912" s="10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12"/>
      <c r="X1912" s="33"/>
      <c r="Y1912" s="6"/>
      <c r="Z1912" s="6"/>
      <c r="AA1912" s="6"/>
      <c r="AB1912" s="6"/>
      <c r="AC1912" s="9"/>
      <c r="AD1912" s="9"/>
      <c r="AE1912" s="9"/>
      <c r="AF1912" s="9"/>
      <c r="AG1912" s="5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59"/>
      <c r="AR1912" s="21"/>
      <c r="AS1912" s="21"/>
      <c r="AT1912" s="3"/>
      <c r="AU1912" s="3"/>
      <c r="AV1912" s="3"/>
      <c r="AW1912" s="3"/>
      <c r="AX1912" s="3"/>
      <c r="AY1912" s="3"/>
      <c r="AZ1912" s="3"/>
      <c r="BA1912" s="3"/>
      <c r="BB1912" s="53"/>
      <c r="BC1912" s="3"/>
      <c r="BD1912" s="59"/>
      <c r="BE1912" s="3"/>
      <c r="BF1912" s="53"/>
      <c r="BG1912" s="59"/>
    </row>
    <row r="1913" spans="1:59" customFormat="1" ht="15" x14ac:dyDescent="0.35">
      <c r="A1913" s="19"/>
      <c r="B1913" s="49"/>
      <c r="C1913" s="14"/>
      <c r="D1913" s="1"/>
      <c r="E1913" s="149"/>
      <c r="F1913" s="153"/>
      <c r="G1913" s="10"/>
      <c r="H1913" s="17"/>
      <c r="I1913" s="17"/>
      <c r="J1913" s="17"/>
      <c r="K1913" s="30"/>
      <c r="L1913" s="30"/>
      <c r="M1913" s="30"/>
      <c r="N1913" s="30"/>
      <c r="O1913" s="30"/>
      <c r="P1913" s="30"/>
      <c r="Q1913" s="30"/>
      <c r="R1913" s="30"/>
      <c r="S1913" s="30"/>
      <c r="T1913" s="30"/>
      <c r="U1913" s="30"/>
      <c r="V1913" s="30"/>
      <c r="W1913" s="29"/>
      <c r="X1913" s="15"/>
      <c r="Y1913" s="30"/>
      <c r="Z1913" s="30"/>
      <c r="AA1913" s="30"/>
      <c r="AB1913" s="30"/>
      <c r="AC1913" s="17"/>
      <c r="AD1913" s="17"/>
      <c r="AE1913" s="17"/>
      <c r="AF1913" s="17"/>
      <c r="AG1913" s="20"/>
      <c r="AH1913" s="21"/>
      <c r="AI1913" s="21"/>
      <c r="AJ1913" s="21"/>
      <c r="AK1913" s="21"/>
      <c r="AL1913" s="21"/>
      <c r="AM1913" s="21"/>
      <c r="AN1913" s="21"/>
      <c r="AO1913" s="22"/>
      <c r="AP1913" s="21"/>
      <c r="AQ1913" s="24"/>
      <c r="AR1913" s="21"/>
      <c r="AS1913" s="21"/>
      <c r="AT1913" s="21"/>
      <c r="AU1913" s="21"/>
      <c r="AV1913" s="21"/>
      <c r="AW1913" s="21"/>
      <c r="AX1913" s="22"/>
      <c r="AY1913" s="21"/>
      <c r="AZ1913" s="22"/>
      <c r="BA1913" s="21"/>
      <c r="BB1913" s="20"/>
      <c r="BC1913" s="21"/>
      <c r="BD1913" s="25"/>
      <c r="BE1913" s="26"/>
      <c r="BF1913" s="27"/>
      <c r="BG1913" s="28"/>
    </row>
    <row r="1914" spans="1:59" customFormat="1" ht="15" x14ac:dyDescent="0.35">
      <c r="A1914" s="19"/>
      <c r="B1914" s="49"/>
      <c r="C1914" s="14"/>
      <c r="D1914" s="1"/>
      <c r="E1914" s="149"/>
      <c r="F1914" s="153"/>
      <c r="G1914" s="10"/>
      <c r="H1914" s="17"/>
      <c r="I1914" s="17"/>
      <c r="J1914" s="17"/>
      <c r="K1914" s="30"/>
      <c r="L1914" s="30"/>
      <c r="M1914" s="30"/>
      <c r="N1914" s="30"/>
      <c r="O1914" s="30"/>
      <c r="P1914" s="30"/>
      <c r="Q1914" s="30"/>
      <c r="R1914" s="30"/>
      <c r="S1914" s="30"/>
      <c r="T1914" s="30"/>
      <c r="U1914" s="30"/>
      <c r="V1914" s="30"/>
      <c r="W1914" s="29"/>
      <c r="X1914" s="15"/>
      <c r="Y1914" s="30"/>
      <c r="Z1914" s="30"/>
      <c r="AA1914" s="30"/>
      <c r="AB1914" s="30"/>
      <c r="AC1914" s="17"/>
      <c r="AD1914" s="17"/>
      <c r="AE1914" s="17"/>
      <c r="AF1914" s="17"/>
      <c r="AG1914" s="20"/>
      <c r="AH1914" s="21"/>
      <c r="AI1914" s="21"/>
      <c r="AJ1914" s="21"/>
      <c r="AK1914" s="21"/>
      <c r="AL1914" s="21"/>
      <c r="AM1914" s="21"/>
      <c r="AN1914" s="21"/>
      <c r="AO1914" s="22"/>
      <c r="AP1914" s="21"/>
      <c r="AQ1914" s="24"/>
      <c r="AR1914" s="21"/>
      <c r="AS1914" s="21"/>
      <c r="AT1914" s="21"/>
      <c r="AU1914" s="21"/>
      <c r="AV1914" s="21"/>
      <c r="AW1914" s="21"/>
      <c r="AX1914" s="22"/>
      <c r="AY1914" s="21"/>
      <c r="AZ1914" s="22"/>
      <c r="BA1914" s="21"/>
      <c r="BB1914" s="20"/>
      <c r="BC1914" s="21"/>
      <c r="BD1914" s="25"/>
      <c r="BE1914" s="26"/>
      <c r="BF1914" s="27"/>
      <c r="BG1914" s="28"/>
    </row>
    <row r="1915" spans="1:59" customFormat="1" ht="15" x14ac:dyDescent="0.35">
      <c r="A1915" s="50"/>
      <c r="B1915" s="63"/>
      <c r="C1915" s="39"/>
      <c r="D1915" s="6"/>
      <c r="E1915" s="149"/>
      <c r="F1915" s="153"/>
      <c r="G1915" s="10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12"/>
      <c r="X1915" s="33"/>
      <c r="Y1915" s="6"/>
      <c r="Z1915" s="6"/>
      <c r="AA1915" s="6"/>
      <c r="AB1915" s="6"/>
      <c r="AC1915" s="9"/>
      <c r="AD1915" s="9"/>
      <c r="AE1915" s="9"/>
      <c r="AF1915" s="9"/>
      <c r="AG1915" s="5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59"/>
      <c r="AR1915" s="21"/>
      <c r="AS1915" s="21"/>
      <c r="AT1915" s="3"/>
      <c r="AU1915" s="3"/>
      <c r="AV1915" s="3"/>
      <c r="AW1915" s="3"/>
      <c r="AX1915" s="3"/>
      <c r="AY1915" s="3"/>
      <c r="AZ1915" s="3"/>
      <c r="BA1915" s="3"/>
      <c r="BB1915" s="53"/>
      <c r="BC1915" s="3"/>
      <c r="BD1915" s="59"/>
      <c r="BE1915" s="3"/>
      <c r="BF1915" s="53"/>
      <c r="BG1915" s="59"/>
    </row>
    <row r="1916" spans="1:59" customFormat="1" ht="15" x14ac:dyDescent="0.35">
      <c r="A1916" s="19"/>
      <c r="B1916" s="49"/>
      <c r="C1916" s="39"/>
      <c r="D1916" s="1"/>
      <c r="E1916" s="149"/>
      <c r="F1916" s="153"/>
      <c r="G1916" s="10"/>
      <c r="H1916" s="17"/>
      <c r="I1916" s="17"/>
      <c r="J1916" s="17"/>
      <c r="K1916" s="30"/>
      <c r="L1916" s="30"/>
      <c r="M1916" s="30"/>
      <c r="N1916" s="30"/>
      <c r="O1916" s="30"/>
      <c r="P1916" s="30"/>
      <c r="Q1916" s="30"/>
      <c r="R1916" s="30"/>
      <c r="S1916" s="30"/>
      <c r="T1916" s="30"/>
      <c r="U1916" s="30"/>
      <c r="V1916" s="30"/>
      <c r="W1916" s="29"/>
      <c r="X1916" s="15"/>
      <c r="Y1916" s="30"/>
      <c r="Z1916" s="30"/>
      <c r="AA1916" s="30"/>
      <c r="AB1916" s="30"/>
      <c r="AC1916" s="17"/>
      <c r="AD1916" s="17"/>
      <c r="AE1916" s="17"/>
      <c r="AF1916" s="17"/>
      <c r="AG1916" s="20"/>
      <c r="AH1916" s="21"/>
      <c r="AI1916" s="21"/>
      <c r="AJ1916" s="21"/>
      <c r="AK1916" s="21"/>
      <c r="AL1916" s="21"/>
      <c r="AM1916" s="21"/>
      <c r="AN1916" s="21"/>
      <c r="AO1916" s="22"/>
      <c r="AP1916" s="21"/>
      <c r="AQ1916" s="24"/>
      <c r="AR1916" s="21"/>
      <c r="AS1916" s="21"/>
      <c r="AT1916" s="21"/>
      <c r="AU1916" s="21"/>
      <c r="AV1916" s="21"/>
      <c r="AW1916" s="21"/>
      <c r="AX1916" s="22"/>
      <c r="AY1916" s="21"/>
      <c r="AZ1916" s="22"/>
      <c r="BA1916" s="21"/>
      <c r="BB1916" s="20"/>
      <c r="BC1916" s="21"/>
      <c r="BD1916" s="25"/>
      <c r="BE1916" s="26"/>
      <c r="BF1916" s="27"/>
      <c r="BG1916" s="28"/>
    </row>
    <row r="1917" spans="1:59" customFormat="1" ht="15" x14ac:dyDescent="0.35">
      <c r="A1917" s="50"/>
      <c r="B1917" s="63"/>
      <c r="C1917" s="39"/>
      <c r="D1917" s="6"/>
      <c r="E1917" s="149"/>
      <c r="F1917" s="153"/>
      <c r="G1917" s="10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12"/>
      <c r="X1917" s="33"/>
      <c r="Y1917" s="6"/>
      <c r="Z1917" s="6"/>
      <c r="AA1917" s="6"/>
      <c r="AB1917" s="6"/>
      <c r="AC1917" s="9"/>
      <c r="AD1917" s="9"/>
      <c r="AE1917" s="9"/>
      <c r="AF1917" s="9"/>
      <c r="AG1917" s="5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59"/>
      <c r="AR1917" s="21"/>
      <c r="AS1917" s="21"/>
      <c r="AT1917" s="3"/>
      <c r="AU1917" s="3"/>
      <c r="AV1917" s="3"/>
      <c r="AW1917" s="3"/>
      <c r="AX1917" s="3"/>
      <c r="AY1917" s="3"/>
      <c r="AZ1917" s="3"/>
      <c r="BA1917" s="3"/>
      <c r="BB1917" s="53"/>
      <c r="BC1917" s="3"/>
      <c r="BD1917" s="59"/>
      <c r="BE1917" s="3"/>
      <c r="BF1917" s="53"/>
      <c r="BG1917" s="59"/>
    </row>
    <row r="1918" spans="1:59" customFormat="1" ht="15" x14ac:dyDescent="0.35">
      <c r="A1918" s="50"/>
      <c r="B1918" s="63"/>
      <c r="C1918" s="39"/>
      <c r="D1918" s="6"/>
      <c r="E1918" s="149"/>
      <c r="F1918" s="153"/>
      <c r="G1918" s="10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12"/>
      <c r="X1918" s="33"/>
      <c r="Y1918" s="6"/>
      <c r="Z1918" s="6"/>
      <c r="AA1918" s="6"/>
      <c r="AB1918" s="6"/>
      <c r="AC1918" s="9"/>
      <c r="AD1918" s="9"/>
      <c r="AE1918" s="9"/>
      <c r="AF1918" s="9"/>
      <c r="AG1918" s="5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59"/>
      <c r="AR1918" s="21"/>
      <c r="AS1918" s="21"/>
      <c r="AT1918" s="3"/>
      <c r="AU1918" s="3"/>
      <c r="AV1918" s="3"/>
      <c r="AW1918" s="3"/>
      <c r="AX1918" s="3"/>
      <c r="AY1918" s="3"/>
      <c r="AZ1918" s="3"/>
      <c r="BA1918" s="3"/>
      <c r="BB1918" s="53"/>
      <c r="BC1918" s="3"/>
      <c r="BD1918" s="59"/>
      <c r="BE1918" s="3"/>
      <c r="BF1918" s="53"/>
      <c r="BG1918" s="59"/>
    </row>
    <row r="1919" spans="1:59" customFormat="1" ht="15" x14ac:dyDescent="0.35">
      <c r="A1919" s="50"/>
      <c r="B1919" s="63"/>
      <c r="C1919" s="39"/>
      <c r="D1919" s="6"/>
      <c r="E1919" s="149"/>
      <c r="F1919" s="153"/>
      <c r="G1919" s="10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5"/>
      <c r="V1919" s="5"/>
      <c r="W1919" s="13"/>
      <c r="X1919" s="4"/>
      <c r="Y1919" s="4"/>
      <c r="Z1919" s="4"/>
      <c r="AA1919" s="6"/>
      <c r="AB1919" s="5"/>
      <c r="AC1919" s="9"/>
      <c r="AD1919" s="9"/>
      <c r="AE1919" s="9"/>
      <c r="AF1919" s="9"/>
      <c r="AG1919" s="54"/>
      <c r="AH1919" s="3"/>
      <c r="AI1919" s="2"/>
      <c r="AJ1919" s="2"/>
      <c r="AK1919" s="2"/>
      <c r="AL1919" s="3"/>
      <c r="AM1919" s="3"/>
      <c r="AN1919" s="3"/>
      <c r="AO1919" s="3"/>
      <c r="AP1919" s="3"/>
      <c r="AQ1919" s="59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53"/>
      <c r="BC1919" s="3"/>
      <c r="BD1919" s="59"/>
      <c r="BE1919" s="3"/>
      <c r="BF1919" s="53"/>
      <c r="BG1919" s="59"/>
    </row>
    <row r="1920" spans="1:59" customFormat="1" ht="15" x14ac:dyDescent="0.35">
      <c r="A1920" s="50"/>
      <c r="B1920" s="63"/>
      <c r="C1920" s="39"/>
      <c r="D1920" s="6"/>
      <c r="E1920" s="149"/>
      <c r="F1920" s="153"/>
      <c r="G1920" s="10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5"/>
      <c r="V1920" s="5"/>
      <c r="W1920" s="13"/>
      <c r="X1920" s="4"/>
      <c r="Y1920" s="4"/>
      <c r="Z1920" s="4"/>
      <c r="AA1920" s="6"/>
      <c r="AB1920" s="5"/>
      <c r="AC1920" s="9"/>
      <c r="AD1920" s="9"/>
      <c r="AE1920" s="9"/>
      <c r="AF1920" s="9"/>
      <c r="AG1920" s="54"/>
      <c r="AH1920" s="3"/>
      <c r="AI1920" s="2"/>
      <c r="AJ1920" s="2"/>
      <c r="AK1920" s="2"/>
      <c r="AL1920" s="3"/>
      <c r="AM1920" s="3"/>
      <c r="AN1920" s="3"/>
      <c r="AO1920" s="3"/>
      <c r="AP1920" s="3"/>
      <c r="AQ1920" s="59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53"/>
      <c r="BC1920" s="3"/>
      <c r="BD1920" s="59"/>
      <c r="BE1920" s="3"/>
      <c r="BF1920" s="53"/>
      <c r="BG1920" s="59"/>
    </row>
    <row r="1921" spans="1:59" customFormat="1" ht="15" x14ac:dyDescent="0.35">
      <c r="A1921" s="50"/>
      <c r="B1921" s="63"/>
      <c r="C1921" s="39"/>
      <c r="D1921" s="6"/>
      <c r="E1921" s="149"/>
      <c r="F1921" s="153"/>
      <c r="G1921" s="10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12"/>
      <c r="X1921" s="33"/>
      <c r="Y1921" s="6"/>
      <c r="Z1921" s="6"/>
      <c r="AA1921" s="6"/>
      <c r="AB1921" s="6"/>
      <c r="AC1921" s="9"/>
      <c r="AD1921" s="9"/>
      <c r="AE1921" s="9"/>
      <c r="AF1921" s="9"/>
      <c r="AG1921" s="5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59"/>
      <c r="AR1921" s="21"/>
      <c r="AS1921" s="21"/>
      <c r="AT1921" s="3"/>
      <c r="AU1921" s="3"/>
      <c r="AV1921" s="3"/>
      <c r="AW1921" s="3"/>
      <c r="AX1921" s="3"/>
      <c r="AY1921" s="3"/>
      <c r="AZ1921" s="3"/>
      <c r="BA1921" s="3"/>
      <c r="BB1921" s="53"/>
      <c r="BC1921" s="3"/>
      <c r="BD1921" s="59"/>
      <c r="BE1921" s="3"/>
      <c r="BF1921" s="53"/>
      <c r="BG1921" s="59"/>
    </row>
    <row r="1922" spans="1:59" customFormat="1" ht="15" x14ac:dyDescent="0.35">
      <c r="A1922" s="19"/>
      <c r="B1922" s="49"/>
      <c r="C1922" s="14"/>
      <c r="D1922" s="1"/>
      <c r="E1922" s="149"/>
      <c r="F1922" s="153"/>
      <c r="G1922" s="10"/>
      <c r="H1922" s="17"/>
      <c r="I1922" s="17"/>
      <c r="J1922" s="17"/>
      <c r="K1922" s="30"/>
      <c r="L1922" s="30"/>
      <c r="M1922" s="30"/>
      <c r="N1922" s="30"/>
      <c r="O1922" s="30"/>
      <c r="P1922" s="30"/>
      <c r="Q1922" s="30"/>
      <c r="R1922" s="30"/>
      <c r="S1922" s="30"/>
      <c r="T1922" s="30"/>
      <c r="U1922" s="30"/>
      <c r="V1922" s="30"/>
      <c r="W1922" s="29"/>
      <c r="X1922" s="15"/>
      <c r="Y1922" s="30"/>
      <c r="Z1922" s="30"/>
      <c r="AA1922" s="30"/>
      <c r="AB1922" s="30"/>
      <c r="AC1922" s="17"/>
      <c r="AD1922" s="17"/>
      <c r="AE1922" s="17"/>
      <c r="AF1922" s="17"/>
      <c r="AG1922" s="20"/>
      <c r="AH1922" s="21"/>
      <c r="AI1922" s="21"/>
      <c r="AJ1922" s="21"/>
      <c r="AK1922" s="21"/>
      <c r="AL1922" s="21"/>
      <c r="AM1922" s="21"/>
      <c r="AN1922" s="21"/>
      <c r="AO1922" s="22"/>
      <c r="AP1922" s="21"/>
      <c r="AQ1922" s="24"/>
      <c r="AR1922" s="21"/>
      <c r="AS1922" s="21"/>
      <c r="AT1922" s="21"/>
      <c r="AU1922" s="21"/>
      <c r="AV1922" s="21"/>
      <c r="AW1922" s="21"/>
      <c r="AX1922" s="22"/>
      <c r="AY1922" s="21"/>
      <c r="AZ1922" s="22"/>
      <c r="BA1922" s="21"/>
      <c r="BB1922" s="20"/>
      <c r="BC1922" s="21"/>
      <c r="BD1922" s="25"/>
      <c r="BE1922" s="26"/>
      <c r="BF1922" s="27"/>
      <c r="BG1922" s="28"/>
    </row>
    <row r="1923" spans="1:59" customFormat="1" ht="15" x14ac:dyDescent="0.35">
      <c r="A1923" s="19"/>
      <c r="B1923" s="49"/>
      <c r="C1923" s="39"/>
      <c r="D1923" s="1"/>
      <c r="E1923" s="149"/>
      <c r="F1923" s="153"/>
      <c r="G1923" s="10"/>
      <c r="H1923" s="17"/>
      <c r="I1923" s="17"/>
      <c r="J1923" s="17"/>
      <c r="K1923" s="30"/>
      <c r="L1923" s="30"/>
      <c r="M1923" s="30"/>
      <c r="N1923" s="30"/>
      <c r="O1923" s="30"/>
      <c r="P1923" s="30"/>
      <c r="Q1923" s="30"/>
      <c r="R1923" s="30"/>
      <c r="S1923" s="30"/>
      <c r="T1923" s="30"/>
      <c r="U1923" s="30"/>
      <c r="V1923" s="30"/>
      <c r="W1923" s="29"/>
      <c r="X1923" s="15"/>
      <c r="Y1923" s="30"/>
      <c r="Z1923" s="30"/>
      <c r="AA1923" s="30"/>
      <c r="AB1923" s="30"/>
      <c r="AC1923" s="17"/>
      <c r="AD1923" s="17"/>
      <c r="AE1923" s="17"/>
      <c r="AF1923" s="17"/>
      <c r="AG1923" s="20"/>
      <c r="AH1923" s="21"/>
      <c r="AI1923" s="21"/>
      <c r="AJ1923" s="21"/>
      <c r="AK1923" s="21"/>
      <c r="AL1923" s="21"/>
      <c r="AM1923" s="21"/>
      <c r="AN1923" s="21"/>
      <c r="AO1923" s="22"/>
      <c r="AP1923" s="21"/>
      <c r="AQ1923" s="24"/>
      <c r="AR1923" s="21"/>
      <c r="AS1923" s="21"/>
      <c r="AT1923" s="21"/>
      <c r="AU1923" s="21"/>
      <c r="AV1923" s="21"/>
      <c r="AW1923" s="21"/>
      <c r="AX1923" s="22"/>
      <c r="AY1923" s="21"/>
      <c r="AZ1923" s="22"/>
      <c r="BA1923" s="21"/>
      <c r="BB1923" s="20"/>
      <c r="BC1923" s="21"/>
      <c r="BD1923" s="25"/>
      <c r="BE1923" s="26"/>
      <c r="BF1923" s="27"/>
      <c r="BG1923" s="28"/>
    </row>
    <row r="1924" spans="1:59" customFormat="1" ht="15" x14ac:dyDescent="0.35">
      <c r="A1924" s="50"/>
      <c r="B1924" s="63"/>
      <c r="C1924" s="39"/>
      <c r="D1924" s="6"/>
      <c r="E1924" s="149"/>
      <c r="F1924" s="153"/>
      <c r="G1924" s="10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12"/>
      <c r="X1924" s="33"/>
      <c r="Y1924" s="6"/>
      <c r="Z1924" s="6"/>
      <c r="AA1924" s="6"/>
      <c r="AB1924" s="6"/>
      <c r="AC1924" s="9"/>
      <c r="AD1924" s="9"/>
      <c r="AE1924" s="9"/>
      <c r="AF1924" s="9"/>
      <c r="AG1924" s="5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59"/>
      <c r="AR1924" s="21"/>
      <c r="AS1924" s="21"/>
      <c r="AT1924" s="3"/>
      <c r="AU1924" s="3"/>
      <c r="AV1924" s="3"/>
      <c r="AW1924" s="3"/>
      <c r="AX1924" s="3"/>
      <c r="AY1924" s="3"/>
      <c r="AZ1924" s="3"/>
      <c r="BA1924" s="3"/>
      <c r="BB1924" s="53"/>
      <c r="BC1924" s="3"/>
      <c r="BD1924" s="59"/>
      <c r="BE1924" s="3"/>
      <c r="BF1924" s="53"/>
      <c r="BG1924" s="59"/>
    </row>
    <row r="1925" spans="1:59" customFormat="1" ht="15" x14ac:dyDescent="0.35">
      <c r="A1925" s="50"/>
      <c r="B1925" s="63"/>
      <c r="C1925" s="39"/>
      <c r="D1925" s="6"/>
      <c r="E1925" s="149"/>
      <c r="F1925" s="153"/>
      <c r="G1925" s="10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12"/>
      <c r="X1925" s="33"/>
      <c r="Y1925" s="6"/>
      <c r="Z1925" s="6"/>
      <c r="AA1925" s="6"/>
      <c r="AB1925" s="6"/>
      <c r="AC1925" s="9"/>
      <c r="AD1925" s="9"/>
      <c r="AE1925" s="9"/>
      <c r="AF1925" s="9"/>
      <c r="AG1925" s="5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59"/>
      <c r="AR1925" s="21"/>
      <c r="AS1925" s="21"/>
      <c r="AT1925" s="3"/>
      <c r="AU1925" s="3"/>
      <c r="AV1925" s="3"/>
      <c r="AW1925" s="3"/>
      <c r="AX1925" s="3"/>
      <c r="AY1925" s="3"/>
      <c r="AZ1925" s="3"/>
      <c r="BA1925" s="3"/>
      <c r="BB1925" s="53"/>
      <c r="BC1925" s="3"/>
      <c r="BD1925" s="59"/>
      <c r="BE1925" s="3"/>
      <c r="BF1925" s="53"/>
      <c r="BG1925" s="59"/>
    </row>
    <row r="1926" spans="1:59" customFormat="1" ht="15" x14ac:dyDescent="0.35">
      <c r="A1926" s="50"/>
      <c r="B1926" s="63"/>
      <c r="C1926" s="39"/>
      <c r="D1926" s="6"/>
      <c r="E1926" s="149"/>
      <c r="F1926" s="153"/>
      <c r="G1926" s="10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12"/>
      <c r="X1926" s="33"/>
      <c r="Y1926" s="6"/>
      <c r="Z1926" s="6"/>
      <c r="AA1926" s="6"/>
      <c r="AB1926" s="6"/>
      <c r="AC1926" s="9"/>
      <c r="AD1926" s="9"/>
      <c r="AE1926" s="9"/>
      <c r="AF1926" s="9"/>
      <c r="AG1926" s="5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59"/>
      <c r="AR1926" s="21"/>
      <c r="AS1926" s="21"/>
      <c r="AT1926" s="3"/>
      <c r="AU1926" s="3"/>
      <c r="AV1926" s="3"/>
      <c r="AW1926" s="3"/>
      <c r="AX1926" s="3"/>
      <c r="AY1926" s="3"/>
      <c r="AZ1926" s="3"/>
      <c r="BA1926" s="3"/>
      <c r="BB1926" s="53"/>
      <c r="BC1926" s="3"/>
      <c r="BD1926" s="59"/>
      <c r="BE1926" s="3"/>
      <c r="BF1926" s="53"/>
      <c r="BG1926" s="59"/>
    </row>
    <row r="1927" spans="1:59" customFormat="1" ht="15" x14ac:dyDescent="0.35">
      <c r="A1927" s="50"/>
      <c r="B1927" s="63"/>
      <c r="C1927" s="39"/>
      <c r="D1927" s="6"/>
      <c r="E1927" s="149"/>
      <c r="F1927" s="153"/>
      <c r="G1927" s="10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5"/>
      <c r="V1927" s="5"/>
      <c r="W1927" s="13"/>
      <c r="X1927" s="4"/>
      <c r="Y1927" s="4"/>
      <c r="Z1927" s="4"/>
      <c r="AA1927" s="6"/>
      <c r="AB1927" s="5"/>
      <c r="AC1927" s="9"/>
      <c r="AD1927" s="9"/>
      <c r="AE1927" s="9"/>
      <c r="AF1927" s="9"/>
      <c r="AG1927" s="54"/>
      <c r="AH1927" s="3"/>
      <c r="AI1927" s="2"/>
      <c r="AJ1927" s="2"/>
      <c r="AK1927" s="2"/>
      <c r="AL1927" s="3"/>
      <c r="AM1927" s="3"/>
      <c r="AN1927" s="3"/>
      <c r="AO1927" s="3"/>
      <c r="AP1927" s="3"/>
      <c r="AQ1927" s="59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53"/>
      <c r="BC1927" s="3"/>
      <c r="BD1927" s="59"/>
      <c r="BE1927" s="3"/>
      <c r="BF1927" s="53"/>
      <c r="BG1927" s="59"/>
    </row>
    <row r="1928" spans="1:59" customFormat="1" ht="15" x14ac:dyDescent="0.35">
      <c r="A1928" s="50"/>
      <c r="B1928" s="63"/>
      <c r="C1928" s="39"/>
      <c r="D1928" s="6"/>
      <c r="E1928" s="149"/>
      <c r="F1928" s="153"/>
      <c r="G1928" s="10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12"/>
      <c r="X1928" s="33"/>
      <c r="Y1928" s="6"/>
      <c r="Z1928" s="6"/>
      <c r="AA1928" s="6"/>
      <c r="AB1928" s="6"/>
      <c r="AC1928" s="9"/>
      <c r="AD1928" s="9"/>
      <c r="AE1928" s="9"/>
      <c r="AF1928" s="9"/>
      <c r="AG1928" s="5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59"/>
      <c r="AR1928" s="21"/>
      <c r="AS1928" s="21"/>
      <c r="AT1928" s="3"/>
      <c r="AU1928" s="3"/>
      <c r="AV1928" s="3"/>
      <c r="AW1928" s="3"/>
      <c r="AX1928" s="3"/>
      <c r="AY1928" s="3"/>
      <c r="AZ1928" s="3"/>
      <c r="BA1928" s="3"/>
      <c r="BB1928" s="53"/>
      <c r="BC1928" s="3"/>
      <c r="BD1928" s="59"/>
      <c r="BE1928" s="3"/>
      <c r="BF1928" s="53"/>
      <c r="BG1928" s="59"/>
    </row>
    <row r="1929" spans="1:59" customFormat="1" ht="15" x14ac:dyDescent="0.35">
      <c r="A1929" s="50"/>
      <c r="B1929" s="63"/>
      <c r="C1929" s="39"/>
      <c r="D1929" s="6"/>
      <c r="E1929" s="149"/>
      <c r="F1929" s="153"/>
      <c r="G1929" s="10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12"/>
      <c r="X1929" s="33"/>
      <c r="Y1929" s="6"/>
      <c r="Z1929" s="6"/>
      <c r="AA1929" s="6"/>
      <c r="AB1929" s="6"/>
      <c r="AC1929" s="9"/>
      <c r="AD1929" s="9"/>
      <c r="AE1929" s="9"/>
      <c r="AF1929" s="9"/>
      <c r="AG1929" s="5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59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53"/>
      <c r="BC1929" s="3"/>
      <c r="BD1929" s="59"/>
      <c r="BE1929" s="3"/>
      <c r="BF1929" s="53"/>
      <c r="BG1929" s="59"/>
    </row>
    <row r="1930" spans="1:59" customFormat="1" ht="15" x14ac:dyDescent="0.35">
      <c r="A1930" s="19"/>
      <c r="B1930" s="49"/>
      <c r="C1930" s="14"/>
      <c r="D1930" s="1"/>
      <c r="E1930" s="149"/>
      <c r="F1930" s="153"/>
      <c r="G1930" s="10"/>
      <c r="H1930" s="17"/>
      <c r="I1930" s="17"/>
      <c r="J1930" s="17"/>
      <c r="K1930" s="30"/>
      <c r="L1930" s="30"/>
      <c r="M1930" s="30"/>
      <c r="N1930" s="30"/>
      <c r="O1930" s="30"/>
      <c r="P1930" s="30"/>
      <c r="Q1930" s="30"/>
      <c r="R1930" s="30"/>
      <c r="S1930" s="30"/>
      <c r="T1930" s="30"/>
      <c r="U1930" s="30"/>
      <c r="V1930" s="30"/>
      <c r="W1930" s="29"/>
      <c r="X1930" s="15"/>
      <c r="Y1930" s="30"/>
      <c r="Z1930" s="30"/>
      <c r="AA1930" s="30"/>
      <c r="AB1930" s="30"/>
      <c r="AC1930" s="17"/>
      <c r="AD1930" s="17"/>
      <c r="AE1930" s="17"/>
      <c r="AF1930" s="17"/>
      <c r="AG1930" s="20"/>
      <c r="AH1930" s="21"/>
      <c r="AI1930" s="21"/>
      <c r="AJ1930" s="21"/>
      <c r="AK1930" s="21"/>
      <c r="AL1930" s="21"/>
      <c r="AM1930" s="21"/>
      <c r="AN1930" s="21"/>
      <c r="AO1930" s="22"/>
      <c r="AP1930" s="21"/>
      <c r="AQ1930" s="24"/>
      <c r="AR1930" s="21"/>
      <c r="AS1930" s="21"/>
      <c r="AT1930" s="21"/>
      <c r="AU1930" s="21"/>
      <c r="AV1930" s="21"/>
      <c r="AW1930" s="21"/>
      <c r="AX1930" s="22"/>
      <c r="AY1930" s="21"/>
      <c r="AZ1930" s="22"/>
      <c r="BA1930" s="21"/>
      <c r="BB1930" s="20"/>
      <c r="BC1930" s="21"/>
      <c r="BD1930" s="25"/>
      <c r="BE1930" s="26"/>
      <c r="BF1930" s="27"/>
      <c r="BG1930" s="28"/>
    </row>
    <row r="1931" spans="1:59" customFormat="1" ht="15" x14ac:dyDescent="0.35">
      <c r="A1931" s="50"/>
      <c r="B1931" s="63"/>
      <c r="C1931" s="39"/>
      <c r="D1931" s="6"/>
      <c r="E1931" s="149"/>
      <c r="F1931" s="153"/>
      <c r="G1931" s="10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5"/>
      <c r="V1931" s="5"/>
      <c r="W1931" s="13"/>
      <c r="X1931" s="4"/>
      <c r="Y1931" s="4"/>
      <c r="Z1931" s="4"/>
      <c r="AA1931" s="6"/>
      <c r="AB1931" s="5"/>
      <c r="AC1931" s="9"/>
      <c r="AD1931" s="9"/>
      <c r="AE1931" s="9"/>
      <c r="AF1931" s="9"/>
      <c r="AG1931" s="54"/>
      <c r="AH1931" s="3"/>
      <c r="AI1931" s="2"/>
      <c r="AJ1931" s="2"/>
      <c r="AK1931" s="2"/>
      <c r="AL1931" s="3"/>
      <c r="AM1931" s="3"/>
      <c r="AN1931" s="3"/>
      <c r="AO1931" s="3"/>
      <c r="AP1931" s="3"/>
      <c r="AQ1931" s="59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53"/>
      <c r="BC1931" s="3"/>
      <c r="BD1931" s="59"/>
      <c r="BE1931" s="3"/>
      <c r="BF1931" s="53"/>
      <c r="BG1931" s="59"/>
    </row>
    <row r="1932" spans="1:59" customFormat="1" ht="15" x14ac:dyDescent="0.35">
      <c r="A1932" s="19"/>
      <c r="B1932" s="49"/>
      <c r="C1932" s="14"/>
      <c r="D1932" s="1"/>
      <c r="E1932" s="149"/>
      <c r="F1932" s="153"/>
      <c r="G1932" s="10"/>
      <c r="H1932" s="17"/>
      <c r="I1932" s="17"/>
      <c r="J1932" s="17"/>
      <c r="K1932" s="30"/>
      <c r="L1932" s="30"/>
      <c r="M1932" s="30"/>
      <c r="N1932" s="30"/>
      <c r="O1932" s="30"/>
      <c r="P1932" s="30"/>
      <c r="Q1932" s="30"/>
      <c r="R1932" s="30"/>
      <c r="S1932" s="30"/>
      <c r="T1932" s="30"/>
      <c r="U1932" s="30"/>
      <c r="V1932" s="30"/>
      <c r="W1932" s="29"/>
      <c r="X1932" s="15"/>
      <c r="Y1932" s="30"/>
      <c r="Z1932" s="30"/>
      <c r="AA1932" s="30"/>
      <c r="AB1932" s="30"/>
      <c r="AC1932" s="17"/>
      <c r="AD1932" s="17"/>
      <c r="AE1932" s="17"/>
      <c r="AF1932" s="17"/>
      <c r="AG1932" s="20"/>
      <c r="AH1932" s="21"/>
      <c r="AI1932" s="21"/>
      <c r="AJ1932" s="21"/>
      <c r="AK1932" s="21"/>
      <c r="AL1932" s="21"/>
      <c r="AM1932" s="21"/>
      <c r="AN1932" s="21"/>
      <c r="AO1932" s="22"/>
      <c r="AP1932" s="21"/>
      <c r="AQ1932" s="24"/>
      <c r="AR1932" s="21"/>
      <c r="AS1932" s="21"/>
      <c r="AT1932" s="21"/>
      <c r="AU1932" s="21"/>
      <c r="AV1932" s="21"/>
      <c r="AW1932" s="21"/>
      <c r="AX1932" s="22"/>
      <c r="AY1932" s="21"/>
      <c r="AZ1932" s="22"/>
      <c r="BA1932" s="21"/>
      <c r="BB1932" s="20"/>
      <c r="BC1932" s="21"/>
      <c r="BD1932" s="25"/>
      <c r="BE1932" s="26"/>
      <c r="BF1932" s="27"/>
      <c r="BG1932" s="28"/>
    </row>
    <row r="1933" spans="1:59" customFormat="1" ht="15" x14ac:dyDescent="0.35">
      <c r="A1933" s="50"/>
      <c r="B1933" s="63"/>
      <c r="C1933" s="39"/>
      <c r="D1933" s="6"/>
      <c r="E1933" s="149"/>
      <c r="F1933" s="153"/>
      <c r="G1933" s="10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12"/>
      <c r="X1933" s="33"/>
      <c r="Y1933" s="6"/>
      <c r="Z1933" s="6"/>
      <c r="AA1933" s="6"/>
      <c r="AB1933" s="6"/>
      <c r="AC1933" s="9"/>
      <c r="AD1933" s="9"/>
      <c r="AE1933" s="9"/>
      <c r="AF1933" s="9"/>
      <c r="AG1933" s="5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59"/>
      <c r="AR1933" s="21"/>
      <c r="AS1933" s="21"/>
      <c r="AT1933" s="3"/>
      <c r="AU1933" s="3"/>
      <c r="AV1933" s="3"/>
      <c r="AW1933" s="3"/>
      <c r="AX1933" s="3"/>
      <c r="AY1933" s="3"/>
      <c r="AZ1933" s="3"/>
      <c r="BA1933" s="3"/>
      <c r="BB1933" s="53"/>
      <c r="BC1933" s="3"/>
      <c r="BD1933" s="59"/>
      <c r="BE1933" s="3"/>
      <c r="BF1933" s="53"/>
      <c r="BG1933" s="59"/>
    </row>
    <row r="1934" spans="1:59" customFormat="1" ht="15" x14ac:dyDescent="0.35">
      <c r="A1934" s="50"/>
      <c r="B1934" s="63"/>
      <c r="C1934" s="39"/>
      <c r="D1934" s="6"/>
      <c r="E1934" s="149"/>
      <c r="F1934" s="153"/>
      <c r="G1934" s="10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5"/>
      <c r="V1934" s="5"/>
      <c r="W1934" s="13"/>
      <c r="X1934" s="4"/>
      <c r="Y1934" s="4"/>
      <c r="Z1934" s="4"/>
      <c r="AA1934" s="6"/>
      <c r="AB1934" s="5"/>
      <c r="AC1934" s="9"/>
      <c r="AD1934" s="9"/>
      <c r="AE1934" s="9"/>
      <c r="AF1934" s="9"/>
      <c r="AG1934" s="54"/>
      <c r="AH1934" s="3"/>
      <c r="AI1934" s="2"/>
      <c r="AJ1934" s="2"/>
      <c r="AK1934" s="2"/>
      <c r="AL1934" s="3"/>
      <c r="AM1934" s="3"/>
      <c r="AN1934" s="3"/>
      <c r="AO1934" s="3"/>
      <c r="AP1934" s="3"/>
      <c r="AQ1934" s="59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53"/>
      <c r="BC1934" s="3"/>
      <c r="BD1934" s="59"/>
      <c r="BE1934" s="3"/>
      <c r="BF1934" s="53"/>
      <c r="BG1934" s="59"/>
    </row>
    <row r="1935" spans="1:59" customFormat="1" ht="15" x14ac:dyDescent="0.35">
      <c r="A1935" s="50"/>
      <c r="B1935" s="63"/>
      <c r="C1935" s="39"/>
      <c r="D1935" s="6"/>
      <c r="E1935" s="149"/>
      <c r="F1935" s="153"/>
      <c r="G1935" s="10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5"/>
      <c r="V1935" s="5"/>
      <c r="W1935" s="13"/>
      <c r="X1935" s="4"/>
      <c r="Y1935" s="4"/>
      <c r="Z1935" s="4"/>
      <c r="AA1935" s="6"/>
      <c r="AB1935" s="5"/>
      <c r="AC1935" s="9"/>
      <c r="AD1935" s="9"/>
      <c r="AE1935" s="9"/>
      <c r="AF1935" s="9"/>
      <c r="AG1935" s="54"/>
      <c r="AH1935" s="3"/>
      <c r="AI1935" s="2"/>
      <c r="AJ1935" s="2"/>
      <c r="AK1935" s="2"/>
      <c r="AL1935" s="3"/>
      <c r="AM1935" s="3"/>
      <c r="AN1935" s="3"/>
      <c r="AO1935" s="3"/>
      <c r="AP1935" s="3"/>
      <c r="AQ1935" s="59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53"/>
      <c r="BC1935" s="3"/>
      <c r="BD1935" s="59"/>
      <c r="BE1935" s="3"/>
      <c r="BF1935" s="53"/>
      <c r="BG1935" s="59"/>
    </row>
    <row r="1936" spans="1:59" customFormat="1" ht="15" x14ac:dyDescent="0.35">
      <c r="A1936" s="50"/>
      <c r="B1936" s="63"/>
      <c r="C1936" s="39"/>
      <c r="D1936" s="6"/>
      <c r="E1936" s="149"/>
      <c r="F1936" s="153"/>
      <c r="G1936" s="10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5"/>
      <c r="V1936" s="5"/>
      <c r="W1936" s="13"/>
      <c r="X1936" s="4"/>
      <c r="Y1936" s="4"/>
      <c r="Z1936" s="4"/>
      <c r="AA1936" s="6"/>
      <c r="AB1936" s="5"/>
      <c r="AC1936" s="9"/>
      <c r="AD1936" s="9"/>
      <c r="AE1936" s="9"/>
      <c r="AF1936" s="9"/>
      <c r="AG1936" s="54"/>
      <c r="AH1936" s="3"/>
      <c r="AI1936" s="2"/>
      <c r="AJ1936" s="2"/>
      <c r="AK1936" s="2"/>
      <c r="AL1936" s="3"/>
      <c r="AM1936" s="3"/>
      <c r="AN1936" s="3"/>
      <c r="AO1936" s="3"/>
      <c r="AP1936" s="3"/>
      <c r="AQ1936" s="59"/>
      <c r="AR1936" s="21"/>
      <c r="AS1936" s="21"/>
      <c r="AT1936" s="3"/>
      <c r="AU1936" s="3"/>
      <c r="AV1936" s="3"/>
      <c r="AW1936" s="3"/>
      <c r="AX1936" s="3"/>
      <c r="AY1936" s="3"/>
      <c r="AZ1936" s="3"/>
      <c r="BA1936" s="3"/>
      <c r="BB1936" s="53"/>
      <c r="BC1936" s="3"/>
      <c r="BD1936" s="59"/>
      <c r="BE1936" s="3"/>
      <c r="BF1936" s="53"/>
      <c r="BG1936" s="59"/>
    </row>
    <row r="1937" spans="1:59" customFormat="1" ht="15" x14ac:dyDescent="0.35">
      <c r="A1937" s="50"/>
      <c r="B1937" s="63"/>
      <c r="C1937" s="39"/>
      <c r="D1937" s="6"/>
      <c r="E1937" s="149"/>
      <c r="F1937" s="153"/>
      <c r="G1937" s="10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5"/>
      <c r="V1937" s="5"/>
      <c r="W1937" s="13"/>
      <c r="X1937" s="4"/>
      <c r="Y1937" s="4"/>
      <c r="Z1937" s="4"/>
      <c r="AA1937" s="6"/>
      <c r="AB1937" s="5"/>
      <c r="AC1937" s="9"/>
      <c r="AD1937" s="9"/>
      <c r="AE1937" s="9"/>
      <c r="AF1937" s="9"/>
      <c r="AG1937" s="54"/>
      <c r="AH1937" s="3"/>
      <c r="AI1937" s="2"/>
      <c r="AJ1937" s="2"/>
      <c r="AK1937" s="2"/>
      <c r="AL1937" s="3"/>
      <c r="AM1937" s="3"/>
      <c r="AN1937" s="3"/>
      <c r="AO1937" s="3"/>
      <c r="AP1937" s="3"/>
      <c r="AQ1937" s="59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53"/>
      <c r="BC1937" s="3"/>
      <c r="BD1937" s="59"/>
      <c r="BE1937" s="3"/>
      <c r="BF1937" s="53"/>
      <c r="BG1937" s="59"/>
    </row>
    <row r="1938" spans="1:59" customFormat="1" ht="15" x14ac:dyDescent="0.35">
      <c r="A1938" s="19"/>
      <c r="B1938" s="49"/>
      <c r="C1938" s="39"/>
      <c r="D1938" s="1"/>
      <c r="E1938" s="149"/>
      <c r="F1938" s="153"/>
      <c r="G1938" s="10"/>
      <c r="H1938" s="17"/>
      <c r="I1938" s="17"/>
      <c r="J1938" s="17"/>
      <c r="K1938" s="30"/>
      <c r="L1938" s="30"/>
      <c r="M1938" s="30"/>
      <c r="N1938" s="30"/>
      <c r="O1938" s="30"/>
      <c r="P1938" s="30"/>
      <c r="Q1938" s="30"/>
      <c r="R1938" s="30"/>
      <c r="S1938" s="30"/>
      <c r="T1938" s="30"/>
      <c r="U1938" s="30"/>
      <c r="V1938" s="30"/>
      <c r="W1938" s="29"/>
      <c r="X1938" s="15"/>
      <c r="Y1938" s="30"/>
      <c r="Z1938" s="30"/>
      <c r="AA1938" s="30"/>
      <c r="AB1938" s="30"/>
      <c r="AC1938" s="17"/>
      <c r="AD1938" s="17"/>
      <c r="AE1938" s="17"/>
      <c r="AF1938" s="17"/>
      <c r="AG1938" s="20"/>
      <c r="AH1938" s="21"/>
      <c r="AI1938" s="21"/>
      <c r="AJ1938" s="21"/>
      <c r="AK1938" s="21"/>
      <c r="AL1938" s="21"/>
      <c r="AM1938" s="21"/>
      <c r="AN1938" s="21"/>
      <c r="AO1938" s="22"/>
      <c r="AP1938" s="21"/>
      <c r="AQ1938" s="24"/>
      <c r="AR1938" s="21"/>
      <c r="AS1938" s="21"/>
      <c r="AT1938" s="21"/>
      <c r="AU1938" s="21"/>
      <c r="AV1938" s="21"/>
      <c r="AW1938" s="21"/>
      <c r="AX1938" s="22"/>
      <c r="AY1938" s="21"/>
      <c r="AZ1938" s="22"/>
      <c r="BA1938" s="21"/>
      <c r="BB1938" s="20"/>
      <c r="BC1938" s="21"/>
      <c r="BD1938" s="25"/>
      <c r="BE1938" s="26"/>
      <c r="BF1938" s="27"/>
      <c r="BG1938" s="28"/>
    </row>
    <row r="1939" spans="1:59" customFormat="1" ht="15" x14ac:dyDescent="0.35">
      <c r="A1939" s="19"/>
      <c r="B1939" s="49"/>
      <c r="C1939" s="14"/>
      <c r="D1939" s="1"/>
      <c r="E1939" s="149"/>
      <c r="F1939" s="153"/>
      <c r="G1939" s="10"/>
      <c r="H1939" s="17"/>
      <c r="I1939" s="17"/>
      <c r="J1939" s="17"/>
      <c r="K1939" s="30"/>
      <c r="L1939" s="30"/>
      <c r="M1939" s="30"/>
      <c r="N1939" s="30"/>
      <c r="O1939" s="30"/>
      <c r="P1939" s="30"/>
      <c r="Q1939" s="30"/>
      <c r="R1939" s="30"/>
      <c r="S1939" s="30"/>
      <c r="T1939" s="30"/>
      <c r="U1939" s="30"/>
      <c r="V1939" s="30"/>
      <c r="W1939" s="29"/>
      <c r="X1939" s="15"/>
      <c r="Y1939" s="30"/>
      <c r="Z1939" s="30"/>
      <c r="AA1939" s="30"/>
      <c r="AB1939" s="30"/>
      <c r="AC1939" s="17"/>
      <c r="AD1939" s="17"/>
      <c r="AE1939" s="17"/>
      <c r="AF1939" s="17"/>
      <c r="AG1939" s="20"/>
      <c r="AH1939" s="21"/>
      <c r="AI1939" s="21"/>
      <c r="AJ1939" s="21"/>
      <c r="AK1939" s="21"/>
      <c r="AL1939" s="21"/>
      <c r="AM1939" s="21"/>
      <c r="AN1939" s="21"/>
      <c r="AO1939" s="22"/>
      <c r="AP1939" s="21"/>
      <c r="AQ1939" s="24"/>
      <c r="AR1939" s="21"/>
      <c r="AS1939" s="21"/>
      <c r="AT1939" s="21"/>
      <c r="AU1939" s="21"/>
      <c r="AV1939" s="21"/>
      <c r="AW1939" s="21"/>
      <c r="AX1939" s="22"/>
      <c r="AY1939" s="21"/>
      <c r="AZ1939" s="22"/>
      <c r="BA1939" s="21"/>
      <c r="BB1939" s="20"/>
      <c r="BC1939" s="21"/>
      <c r="BD1939" s="25"/>
      <c r="BE1939" s="26"/>
      <c r="BF1939" s="27"/>
      <c r="BG1939" s="28"/>
    </row>
    <row r="1940" spans="1:59" customFormat="1" ht="15" x14ac:dyDescent="0.35">
      <c r="A1940" s="50"/>
      <c r="B1940" s="63"/>
      <c r="C1940" s="39"/>
      <c r="D1940" s="6"/>
      <c r="E1940" s="149"/>
      <c r="F1940" s="153"/>
      <c r="G1940" s="10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5"/>
      <c r="V1940" s="5"/>
      <c r="W1940" s="13"/>
      <c r="X1940" s="4"/>
      <c r="Y1940" s="4"/>
      <c r="Z1940" s="4"/>
      <c r="AA1940" s="6"/>
      <c r="AB1940" s="5"/>
      <c r="AC1940" s="9"/>
      <c r="AD1940" s="9"/>
      <c r="AE1940" s="9"/>
      <c r="AF1940" s="9"/>
      <c r="AG1940" s="54"/>
      <c r="AH1940" s="3"/>
      <c r="AI1940" s="2"/>
      <c r="AJ1940" s="2"/>
      <c r="AK1940" s="2"/>
      <c r="AL1940" s="3"/>
      <c r="AM1940" s="3"/>
      <c r="AN1940" s="3"/>
      <c r="AO1940" s="3"/>
      <c r="AP1940" s="3"/>
      <c r="AQ1940" s="59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53"/>
      <c r="BC1940" s="3"/>
      <c r="BD1940" s="59"/>
      <c r="BE1940" s="3"/>
      <c r="BF1940" s="53"/>
      <c r="BG1940" s="59"/>
    </row>
    <row r="1941" spans="1:59" customFormat="1" ht="15" x14ac:dyDescent="0.35">
      <c r="A1941" s="19"/>
      <c r="B1941" s="49"/>
      <c r="C1941" s="39"/>
      <c r="D1941" s="1"/>
      <c r="E1941" s="149"/>
      <c r="F1941" s="153"/>
      <c r="G1941" s="10"/>
      <c r="H1941" s="17"/>
      <c r="I1941" s="17"/>
      <c r="J1941" s="17"/>
      <c r="K1941" s="30"/>
      <c r="L1941" s="30"/>
      <c r="M1941" s="30"/>
      <c r="N1941" s="30"/>
      <c r="O1941" s="30"/>
      <c r="P1941" s="30"/>
      <c r="Q1941" s="30"/>
      <c r="R1941" s="30"/>
      <c r="S1941" s="30"/>
      <c r="T1941" s="30"/>
      <c r="U1941" s="30"/>
      <c r="V1941" s="30"/>
      <c r="W1941" s="29"/>
      <c r="X1941" s="15"/>
      <c r="Y1941" s="30"/>
      <c r="Z1941" s="30"/>
      <c r="AA1941" s="30"/>
      <c r="AB1941" s="30"/>
      <c r="AC1941" s="17"/>
      <c r="AD1941" s="17"/>
      <c r="AE1941" s="17"/>
      <c r="AF1941" s="17"/>
      <c r="AG1941" s="20"/>
      <c r="AH1941" s="21"/>
      <c r="AI1941" s="21"/>
      <c r="AJ1941" s="21"/>
      <c r="AK1941" s="21"/>
      <c r="AL1941" s="21"/>
      <c r="AM1941" s="21"/>
      <c r="AN1941" s="21"/>
      <c r="AO1941" s="22"/>
      <c r="AP1941" s="21"/>
      <c r="AQ1941" s="24"/>
      <c r="AR1941" s="21"/>
      <c r="AS1941" s="21"/>
      <c r="AT1941" s="21"/>
      <c r="AU1941" s="21"/>
      <c r="AV1941" s="21"/>
      <c r="AW1941" s="21"/>
      <c r="AX1941" s="22"/>
      <c r="AY1941" s="21"/>
      <c r="AZ1941" s="22"/>
      <c r="BA1941" s="21"/>
      <c r="BB1941" s="20"/>
      <c r="BC1941" s="21"/>
      <c r="BD1941" s="25"/>
      <c r="BE1941" s="26"/>
      <c r="BF1941" s="27"/>
      <c r="BG1941" s="28"/>
    </row>
    <row r="1942" spans="1:59" customFormat="1" ht="15" x14ac:dyDescent="0.35">
      <c r="A1942" s="50"/>
      <c r="B1942" s="63"/>
      <c r="C1942" s="39"/>
      <c r="D1942" s="6"/>
      <c r="E1942" s="149"/>
      <c r="F1942" s="153"/>
      <c r="G1942" s="10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12"/>
      <c r="X1942" s="33"/>
      <c r="Y1942" s="6"/>
      <c r="Z1942" s="6"/>
      <c r="AA1942" s="6"/>
      <c r="AB1942" s="6"/>
      <c r="AC1942" s="9"/>
      <c r="AD1942" s="9"/>
      <c r="AE1942" s="9"/>
      <c r="AF1942" s="9"/>
      <c r="AG1942" s="5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59"/>
      <c r="AR1942" s="21"/>
      <c r="AS1942" s="21"/>
      <c r="AT1942" s="3"/>
      <c r="AU1942" s="3"/>
      <c r="AV1942" s="3"/>
      <c r="AW1942" s="3"/>
      <c r="AX1942" s="3"/>
      <c r="AY1942" s="3"/>
      <c r="AZ1942" s="3"/>
      <c r="BA1942" s="3"/>
      <c r="BB1942" s="53"/>
      <c r="BC1942" s="3"/>
      <c r="BD1942" s="59"/>
      <c r="BE1942" s="3"/>
      <c r="BF1942" s="53"/>
      <c r="BG1942" s="59"/>
    </row>
    <row r="1943" spans="1:59" customFormat="1" ht="15" x14ac:dyDescent="0.35">
      <c r="A1943" s="50"/>
      <c r="B1943" s="63"/>
      <c r="C1943" s="39"/>
      <c r="D1943" s="6"/>
      <c r="E1943" s="149"/>
      <c r="F1943" s="153"/>
      <c r="G1943" s="10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12"/>
      <c r="X1943" s="33"/>
      <c r="Y1943" s="6"/>
      <c r="Z1943" s="6"/>
      <c r="AA1943" s="6"/>
      <c r="AB1943" s="6"/>
      <c r="AC1943" s="9"/>
      <c r="AD1943" s="9"/>
      <c r="AE1943" s="9"/>
      <c r="AF1943" s="9"/>
      <c r="AG1943" s="5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59"/>
      <c r="AR1943" s="21"/>
      <c r="AS1943" s="21"/>
      <c r="AT1943" s="3"/>
      <c r="AU1943" s="3"/>
      <c r="AV1943" s="3"/>
      <c r="AW1943" s="3"/>
      <c r="AX1943" s="3"/>
      <c r="AY1943" s="3"/>
      <c r="AZ1943" s="3"/>
      <c r="BA1943" s="3"/>
      <c r="BB1943" s="53"/>
      <c r="BC1943" s="3"/>
      <c r="BD1943" s="59"/>
      <c r="BE1943" s="3"/>
      <c r="BF1943" s="53"/>
      <c r="BG1943" s="59"/>
    </row>
    <row r="1944" spans="1:59" customFormat="1" ht="15" x14ac:dyDescent="0.35">
      <c r="A1944" s="50"/>
      <c r="B1944" s="63"/>
      <c r="C1944" s="39"/>
      <c r="D1944" s="6"/>
      <c r="E1944" s="149"/>
      <c r="F1944" s="153"/>
      <c r="G1944" s="10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5"/>
      <c r="V1944" s="5"/>
      <c r="W1944" s="13"/>
      <c r="X1944" s="4"/>
      <c r="Y1944" s="4"/>
      <c r="Z1944" s="4"/>
      <c r="AA1944" s="6"/>
      <c r="AB1944" s="5"/>
      <c r="AC1944" s="9"/>
      <c r="AD1944" s="9"/>
      <c r="AE1944" s="9"/>
      <c r="AF1944" s="9"/>
      <c r="AG1944" s="54"/>
      <c r="AH1944" s="3"/>
      <c r="AI1944" s="2"/>
      <c r="AJ1944" s="2"/>
      <c r="AK1944" s="2"/>
      <c r="AL1944" s="3"/>
      <c r="AM1944" s="3"/>
      <c r="AN1944" s="3"/>
      <c r="AO1944" s="3"/>
      <c r="AP1944" s="3"/>
      <c r="AQ1944" s="59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53"/>
      <c r="BC1944" s="3"/>
      <c r="BD1944" s="59"/>
      <c r="BE1944" s="3"/>
      <c r="BF1944" s="53"/>
      <c r="BG1944" s="59"/>
    </row>
    <row r="1945" spans="1:59" customFormat="1" ht="15" x14ac:dyDescent="0.35">
      <c r="A1945" s="19"/>
      <c r="B1945" s="49"/>
      <c r="C1945" s="39"/>
      <c r="D1945" s="1"/>
      <c r="E1945" s="149"/>
      <c r="F1945" s="153"/>
      <c r="G1945" s="10"/>
      <c r="H1945" s="17"/>
      <c r="I1945" s="17"/>
      <c r="J1945" s="17"/>
      <c r="K1945" s="30"/>
      <c r="L1945" s="30"/>
      <c r="M1945" s="30"/>
      <c r="N1945" s="30"/>
      <c r="O1945" s="30"/>
      <c r="P1945" s="30"/>
      <c r="Q1945" s="30"/>
      <c r="R1945" s="30"/>
      <c r="S1945" s="30"/>
      <c r="T1945" s="30"/>
      <c r="U1945" s="30"/>
      <c r="V1945" s="30"/>
      <c r="W1945" s="29"/>
      <c r="X1945" s="15"/>
      <c r="Y1945" s="30"/>
      <c r="Z1945" s="30"/>
      <c r="AA1945" s="30"/>
      <c r="AB1945" s="30"/>
      <c r="AC1945" s="17"/>
      <c r="AD1945" s="17"/>
      <c r="AE1945" s="17"/>
      <c r="AF1945" s="17"/>
      <c r="AG1945" s="20"/>
      <c r="AH1945" s="21"/>
      <c r="AI1945" s="21"/>
      <c r="AJ1945" s="21"/>
      <c r="AK1945" s="21"/>
      <c r="AL1945" s="21"/>
      <c r="AM1945" s="21"/>
      <c r="AN1945" s="21"/>
      <c r="AO1945" s="22"/>
      <c r="AP1945" s="21"/>
      <c r="AQ1945" s="24"/>
      <c r="AR1945" s="21"/>
      <c r="AS1945" s="21"/>
      <c r="AT1945" s="21"/>
      <c r="AU1945" s="21"/>
      <c r="AV1945" s="21"/>
      <c r="AW1945" s="21"/>
      <c r="AX1945" s="22"/>
      <c r="AY1945" s="21"/>
      <c r="AZ1945" s="22"/>
      <c r="BA1945" s="21"/>
      <c r="BB1945" s="20"/>
      <c r="BC1945" s="21"/>
      <c r="BD1945" s="25"/>
      <c r="BE1945" s="26"/>
      <c r="BF1945" s="27"/>
      <c r="BG1945" s="28"/>
    </row>
    <row r="1946" spans="1:59" customFormat="1" ht="15" x14ac:dyDescent="0.35">
      <c r="A1946" s="19"/>
      <c r="B1946" s="49"/>
      <c r="C1946" s="14"/>
      <c r="D1946" s="1"/>
      <c r="E1946" s="149"/>
      <c r="F1946" s="153"/>
      <c r="G1946" s="10"/>
      <c r="H1946" s="17"/>
      <c r="I1946" s="17"/>
      <c r="J1946" s="17"/>
      <c r="K1946" s="30"/>
      <c r="L1946" s="30"/>
      <c r="M1946" s="30"/>
      <c r="N1946" s="30"/>
      <c r="O1946" s="30"/>
      <c r="P1946" s="30"/>
      <c r="Q1946" s="30"/>
      <c r="R1946" s="30"/>
      <c r="S1946" s="30"/>
      <c r="T1946" s="30"/>
      <c r="U1946" s="30"/>
      <c r="V1946" s="30"/>
      <c r="W1946" s="29"/>
      <c r="X1946" s="15"/>
      <c r="Y1946" s="30"/>
      <c r="Z1946" s="30"/>
      <c r="AA1946" s="30"/>
      <c r="AB1946" s="30"/>
      <c r="AC1946" s="17"/>
      <c r="AD1946" s="17"/>
      <c r="AE1946" s="17"/>
      <c r="AF1946" s="17"/>
      <c r="AG1946" s="20"/>
      <c r="AH1946" s="21"/>
      <c r="AI1946" s="21"/>
      <c r="AJ1946" s="21"/>
      <c r="AK1946" s="21"/>
      <c r="AL1946" s="21"/>
      <c r="AM1946" s="21"/>
      <c r="AN1946" s="21"/>
      <c r="AO1946" s="22"/>
      <c r="AP1946" s="21"/>
      <c r="AQ1946" s="24"/>
      <c r="AR1946" s="21"/>
      <c r="AS1946" s="21"/>
      <c r="AT1946" s="21"/>
      <c r="AU1946" s="21"/>
      <c r="AV1946" s="21"/>
      <c r="AW1946" s="21"/>
      <c r="AX1946" s="22"/>
      <c r="AY1946" s="21"/>
      <c r="AZ1946" s="22"/>
      <c r="BA1946" s="21"/>
      <c r="BB1946" s="20"/>
      <c r="BC1946" s="21"/>
      <c r="BD1946" s="25"/>
      <c r="BE1946" s="26"/>
      <c r="BF1946" s="27"/>
      <c r="BG1946" s="28"/>
    </row>
    <row r="1947" spans="1:59" customFormat="1" ht="15" x14ac:dyDescent="0.35">
      <c r="A1947" s="50"/>
      <c r="B1947" s="63"/>
      <c r="C1947" s="39"/>
      <c r="D1947" s="6"/>
      <c r="E1947" s="149"/>
      <c r="F1947" s="153"/>
      <c r="G1947" s="10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5"/>
      <c r="V1947" s="5"/>
      <c r="W1947" s="13"/>
      <c r="X1947" s="4"/>
      <c r="Y1947" s="4"/>
      <c r="Z1947" s="4"/>
      <c r="AA1947" s="6"/>
      <c r="AB1947" s="5"/>
      <c r="AC1947" s="9"/>
      <c r="AD1947" s="9"/>
      <c r="AE1947" s="9"/>
      <c r="AF1947" s="9"/>
      <c r="AG1947" s="54"/>
      <c r="AH1947" s="3"/>
      <c r="AI1947" s="2"/>
      <c r="AJ1947" s="2"/>
      <c r="AK1947" s="2"/>
      <c r="AL1947" s="3"/>
      <c r="AM1947" s="3"/>
      <c r="AN1947" s="3"/>
      <c r="AO1947" s="3"/>
      <c r="AP1947" s="3"/>
      <c r="AQ1947" s="59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53"/>
      <c r="BC1947" s="3"/>
      <c r="BD1947" s="59"/>
      <c r="BE1947" s="3"/>
      <c r="BF1947" s="53"/>
      <c r="BG1947" s="59"/>
    </row>
    <row r="1948" spans="1:59" customFormat="1" ht="15" x14ac:dyDescent="0.35">
      <c r="A1948" s="19"/>
      <c r="B1948" s="49"/>
      <c r="C1948" s="14"/>
      <c r="D1948" s="1"/>
      <c r="E1948" s="149"/>
      <c r="F1948" s="153"/>
      <c r="G1948" s="10"/>
      <c r="H1948" s="17"/>
      <c r="I1948" s="17"/>
      <c r="J1948" s="17"/>
      <c r="K1948" s="30"/>
      <c r="L1948" s="30"/>
      <c r="M1948" s="30"/>
      <c r="N1948" s="30"/>
      <c r="O1948" s="30"/>
      <c r="P1948" s="30"/>
      <c r="Q1948" s="30"/>
      <c r="R1948" s="30"/>
      <c r="S1948" s="30"/>
      <c r="T1948" s="30"/>
      <c r="U1948" s="30"/>
      <c r="V1948" s="30"/>
      <c r="W1948" s="29"/>
      <c r="X1948" s="15"/>
      <c r="Y1948" s="30"/>
      <c r="Z1948" s="30"/>
      <c r="AA1948" s="30"/>
      <c r="AB1948" s="30"/>
      <c r="AC1948" s="17"/>
      <c r="AD1948" s="17"/>
      <c r="AE1948" s="17"/>
      <c r="AF1948" s="17"/>
      <c r="AG1948" s="20"/>
      <c r="AH1948" s="21"/>
      <c r="AI1948" s="21"/>
      <c r="AJ1948" s="21"/>
      <c r="AK1948" s="21"/>
      <c r="AL1948" s="21"/>
      <c r="AM1948" s="21"/>
      <c r="AN1948" s="21"/>
      <c r="AO1948" s="22"/>
      <c r="AP1948" s="21"/>
      <c r="AQ1948" s="24"/>
      <c r="AR1948" s="21"/>
      <c r="AS1948" s="21"/>
      <c r="AT1948" s="21"/>
      <c r="AU1948" s="21"/>
      <c r="AV1948" s="21"/>
      <c r="AW1948" s="21"/>
      <c r="AX1948" s="22"/>
      <c r="AY1948" s="21"/>
      <c r="AZ1948" s="22"/>
      <c r="BA1948" s="21"/>
      <c r="BB1948" s="20"/>
      <c r="BC1948" s="21"/>
      <c r="BD1948" s="25"/>
      <c r="BE1948" s="26"/>
      <c r="BF1948" s="27"/>
      <c r="BG1948" s="28"/>
    </row>
    <row r="1949" spans="1:59" customFormat="1" ht="15" x14ac:dyDescent="0.35">
      <c r="A1949" s="50"/>
      <c r="B1949" s="63"/>
      <c r="C1949" s="39"/>
      <c r="D1949" s="6"/>
      <c r="E1949" s="149"/>
      <c r="F1949" s="153"/>
      <c r="G1949" s="10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12"/>
      <c r="X1949" s="33"/>
      <c r="Y1949" s="6"/>
      <c r="Z1949" s="6"/>
      <c r="AA1949" s="6"/>
      <c r="AB1949" s="6"/>
      <c r="AC1949" s="9"/>
      <c r="AD1949" s="9"/>
      <c r="AE1949" s="9"/>
      <c r="AF1949" s="9"/>
      <c r="AG1949" s="5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59"/>
      <c r="AR1949" s="21"/>
      <c r="AS1949" s="21"/>
      <c r="AT1949" s="3"/>
      <c r="AU1949" s="3"/>
      <c r="AV1949" s="3"/>
      <c r="AW1949" s="3"/>
      <c r="AX1949" s="3"/>
      <c r="AY1949" s="3"/>
      <c r="AZ1949" s="3"/>
      <c r="BA1949" s="3"/>
      <c r="BB1949" s="53"/>
      <c r="BC1949" s="3"/>
      <c r="BD1949" s="59"/>
      <c r="BE1949" s="3"/>
      <c r="BF1949" s="53"/>
      <c r="BG1949" s="59"/>
    </row>
    <row r="1950" spans="1:59" customFormat="1" ht="15" x14ac:dyDescent="0.35">
      <c r="A1950" s="50"/>
      <c r="B1950" s="63"/>
      <c r="C1950" s="39"/>
      <c r="D1950" s="6"/>
      <c r="E1950" s="149"/>
      <c r="F1950" s="153"/>
      <c r="G1950" s="10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5"/>
      <c r="V1950" s="5"/>
      <c r="W1950" s="13"/>
      <c r="X1950" s="4"/>
      <c r="Y1950" s="4"/>
      <c r="Z1950" s="4"/>
      <c r="AA1950" s="6"/>
      <c r="AB1950" s="5"/>
      <c r="AC1950" s="9"/>
      <c r="AD1950" s="9"/>
      <c r="AE1950" s="9"/>
      <c r="AF1950" s="9"/>
      <c r="AG1950" s="54"/>
      <c r="AH1950" s="3"/>
      <c r="AI1950" s="2"/>
      <c r="AJ1950" s="2"/>
      <c r="AK1950" s="2"/>
      <c r="AL1950" s="3"/>
      <c r="AM1950" s="3"/>
      <c r="AN1950" s="3"/>
      <c r="AO1950" s="3"/>
      <c r="AP1950" s="3"/>
      <c r="AQ1950" s="59"/>
      <c r="AR1950" s="21"/>
      <c r="AS1950" s="21"/>
      <c r="AT1950" s="3"/>
      <c r="AU1950" s="3"/>
      <c r="AV1950" s="3"/>
      <c r="AW1950" s="3"/>
      <c r="AX1950" s="3"/>
      <c r="AY1950" s="3"/>
      <c r="AZ1950" s="3"/>
      <c r="BA1950" s="3"/>
      <c r="BB1950" s="53"/>
      <c r="BC1950" s="3"/>
      <c r="BD1950" s="59"/>
      <c r="BE1950" s="3"/>
      <c r="BF1950" s="53"/>
      <c r="BG1950" s="59"/>
    </row>
    <row r="1951" spans="1:59" customFormat="1" ht="15" x14ac:dyDescent="0.35">
      <c r="A1951" s="50"/>
      <c r="B1951" s="63"/>
      <c r="C1951" s="39"/>
      <c r="D1951" s="6"/>
      <c r="E1951" s="149"/>
      <c r="F1951" s="153"/>
      <c r="G1951" s="10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5"/>
      <c r="V1951" s="5"/>
      <c r="W1951" s="13"/>
      <c r="X1951" s="4"/>
      <c r="Y1951" s="4"/>
      <c r="Z1951" s="4"/>
      <c r="AA1951" s="6"/>
      <c r="AB1951" s="5"/>
      <c r="AC1951" s="9"/>
      <c r="AD1951" s="9"/>
      <c r="AE1951" s="9"/>
      <c r="AF1951" s="9"/>
      <c r="AG1951" s="54"/>
      <c r="AH1951" s="3"/>
      <c r="AI1951" s="2"/>
      <c r="AJ1951" s="2"/>
      <c r="AK1951" s="2"/>
      <c r="AL1951" s="3"/>
      <c r="AM1951" s="3"/>
      <c r="AN1951" s="3"/>
      <c r="AO1951" s="3"/>
      <c r="AP1951" s="3"/>
      <c r="AQ1951" s="59"/>
      <c r="AR1951" s="21"/>
      <c r="AS1951" s="21"/>
      <c r="AT1951" s="3"/>
      <c r="AU1951" s="3"/>
      <c r="AV1951" s="3"/>
      <c r="AW1951" s="3"/>
      <c r="AX1951" s="3"/>
      <c r="AY1951" s="3"/>
      <c r="AZ1951" s="3"/>
      <c r="BA1951" s="3"/>
      <c r="BB1951" s="53"/>
      <c r="BC1951" s="3"/>
      <c r="BD1951" s="59"/>
      <c r="BE1951" s="3"/>
      <c r="BF1951" s="53"/>
      <c r="BG1951" s="59"/>
    </row>
    <row r="1952" spans="1:59" customFormat="1" ht="15" x14ac:dyDescent="0.35">
      <c r="A1952" s="50"/>
      <c r="B1952" s="63"/>
      <c r="C1952" s="39"/>
      <c r="D1952" s="6"/>
      <c r="E1952" s="149"/>
      <c r="F1952" s="153"/>
      <c r="G1952" s="10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5"/>
      <c r="V1952" s="5"/>
      <c r="W1952" s="13"/>
      <c r="X1952" s="4"/>
      <c r="Y1952" s="4"/>
      <c r="Z1952" s="4"/>
      <c r="AA1952" s="6"/>
      <c r="AB1952" s="11"/>
      <c r="AC1952" s="9"/>
      <c r="AD1952" s="9"/>
      <c r="AE1952" s="9"/>
      <c r="AF1952" s="9"/>
      <c r="AG1952" s="54"/>
      <c r="AH1952" s="3"/>
      <c r="AI1952" s="2"/>
      <c r="AJ1952" s="2"/>
      <c r="AK1952" s="2"/>
      <c r="AL1952" s="3"/>
      <c r="AM1952" s="3"/>
      <c r="AN1952" s="3"/>
      <c r="AO1952" s="3"/>
      <c r="AP1952" s="3"/>
      <c r="AQ1952" s="59"/>
      <c r="AR1952" s="3"/>
      <c r="AS1952" s="3"/>
      <c r="AT1952" s="3"/>
      <c r="AU1952" s="3"/>
      <c r="AV1952" s="3"/>
      <c r="AW1952" s="3"/>
      <c r="AX1952" s="12"/>
      <c r="AY1952" s="3"/>
      <c r="AZ1952" s="3"/>
      <c r="BA1952" s="3"/>
      <c r="BB1952" s="53"/>
      <c r="BC1952" s="3"/>
      <c r="BD1952" s="59"/>
      <c r="BE1952" s="3"/>
      <c r="BF1952" s="53"/>
      <c r="BG1952" s="59"/>
    </row>
    <row r="1953" spans="1:59" customFormat="1" ht="15" x14ac:dyDescent="0.35">
      <c r="A1953" s="50"/>
      <c r="B1953" s="63"/>
      <c r="C1953" s="39"/>
      <c r="D1953" s="6"/>
      <c r="E1953" s="149"/>
      <c r="F1953" s="153"/>
      <c r="G1953" s="10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12"/>
      <c r="X1953" s="33"/>
      <c r="Y1953" s="6"/>
      <c r="Z1953" s="6"/>
      <c r="AA1953" s="6"/>
      <c r="AB1953" s="6"/>
      <c r="AC1953" s="9"/>
      <c r="AD1953" s="9"/>
      <c r="AE1953" s="9"/>
      <c r="AF1953" s="9"/>
      <c r="AG1953" s="5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59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53"/>
      <c r="BC1953" s="3"/>
      <c r="BD1953" s="59"/>
      <c r="BE1953" s="3"/>
      <c r="BF1953" s="53"/>
      <c r="BG1953" s="59"/>
    </row>
    <row r="1954" spans="1:59" customFormat="1" ht="15" x14ac:dyDescent="0.35">
      <c r="A1954" s="50"/>
      <c r="B1954" s="63"/>
      <c r="C1954" s="39"/>
      <c r="D1954" s="6"/>
      <c r="E1954" s="149"/>
      <c r="F1954" s="153"/>
      <c r="G1954" s="10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5"/>
      <c r="V1954" s="5"/>
      <c r="W1954" s="13"/>
      <c r="X1954" s="4"/>
      <c r="Y1954" s="4"/>
      <c r="Z1954" s="4"/>
      <c r="AA1954" s="6"/>
      <c r="AB1954" s="5"/>
      <c r="AC1954" s="9"/>
      <c r="AD1954" s="9"/>
      <c r="AE1954" s="9"/>
      <c r="AF1954" s="9"/>
      <c r="AG1954" s="54"/>
      <c r="AH1954" s="3"/>
      <c r="AI1954" s="2"/>
      <c r="AJ1954" s="2"/>
      <c r="AK1954" s="2"/>
      <c r="AL1954" s="3"/>
      <c r="AM1954" s="3"/>
      <c r="AN1954" s="3"/>
      <c r="AO1954" s="3"/>
      <c r="AP1954" s="3"/>
      <c r="AQ1954" s="59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53"/>
      <c r="BC1954" s="3"/>
      <c r="BD1954" s="59"/>
      <c r="BE1954" s="3"/>
      <c r="BF1954" s="53"/>
      <c r="BG1954" s="59"/>
    </row>
    <row r="1955" spans="1:59" customFormat="1" ht="15" x14ac:dyDescent="0.35">
      <c r="A1955" s="19"/>
      <c r="B1955" s="49"/>
      <c r="C1955" s="39"/>
      <c r="D1955" s="1"/>
      <c r="E1955" s="149"/>
      <c r="F1955" s="153"/>
      <c r="G1955" s="10"/>
      <c r="H1955" s="17"/>
      <c r="I1955" s="17"/>
      <c r="J1955" s="17"/>
      <c r="K1955" s="30"/>
      <c r="L1955" s="30"/>
      <c r="M1955" s="30"/>
      <c r="N1955" s="30"/>
      <c r="O1955" s="30"/>
      <c r="P1955" s="30"/>
      <c r="Q1955" s="30"/>
      <c r="R1955" s="30"/>
      <c r="S1955" s="30"/>
      <c r="T1955" s="30"/>
      <c r="U1955" s="30"/>
      <c r="V1955" s="30"/>
      <c r="W1955" s="29"/>
      <c r="X1955" s="15"/>
      <c r="Y1955" s="30"/>
      <c r="Z1955" s="30"/>
      <c r="AA1955" s="30"/>
      <c r="AB1955" s="30"/>
      <c r="AC1955" s="17"/>
      <c r="AD1955" s="17"/>
      <c r="AE1955" s="17"/>
      <c r="AF1955" s="17"/>
      <c r="AG1955" s="20"/>
      <c r="AH1955" s="21"/>
      <c r="AI1955" s="21"/>
      <c r="AJ1955" s="21"/>
      <c r="AK1955" s="21"/>
      <c r="AL1955" s="21"/>
      <c r="AM1955" s="21"/>
      <c r="AN1955" s="21"/>
      <c r="AO1955" s="22"/>
      <c r="AP1955" s="21"/>
      <c r="AQ1955" s="24"/>
      <c r="AR1955" s="21"/>
      <c r="AS1955" s="21"/>
      <c r="AT1955" s="21"/>
      <c r="AU1955" s="21"/>
      <c r="AV1955" s="21"/>
      <c r="AW1955" s="21"/>
      <c r="AX1955" s="22"/>
      <c r="AY1955" s="21"/>
      <c r="AZ1955" s="22"/>
      <c r="BA1955" s="21"/>
      <c r="BB1955" s="20"/>
      <c r="BC1955" s="21"/>
      <c r="BD1955" s="25"/>
      <c r="BE1955" s="26"/>
      <c r="BF1955" s="27"/>
      <c r="BG1955" s="28"/>
    </row>
    <row r="1956" spans="1:59" customFormat="1" ht="15" x14ac:dyDescent="0.35">
      <c r="A1956" s="50"/>
      <c r="B1956" s="63"/>
      <c r="C1956" s="39"/>
      <c r="D1956" s="6"/>
      <c r="E1956" s="149"/>
      <c r="F1956" s="153"/>
      <c r="G1956" s="10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12"/>
      <c r="X1956" s="33"/>
      <c r="Y1956" s="6"/>
      <c r="Z1956" s="6"/>
      <c r="AA1956" s="6"/>
      <c r="AB1956" s="6"/>
      <c r="AC1956" s="9"/>
      <c r="AD1956" s="9"/>
      <c r="AE1956" s="9"/>
      <c r="AF1956" s="9"/>
      <c r="AG1956" s="5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59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53"/>
      <c r="BC1956" s="3"/>
      <c r="BD1956" s="59"/>
      <c r="BE1956" s="3"/>
      <c r="BF1956" s="53"/>
      <c r="BG1956" s="59"/>
    </row>
    <row r="1957" spans="1:59" customFormat="1" ht="15" x14ac:dyDescent="0.35">
      <c r="A1957" s="19"/>
      <c r="B1957" s="49"/>
      <c r="C1957" s="14"/>
      <c r="D1957" s="1"/>
      <c r="E1957" s="149"/>
      <c r="F1957" s="153"/>
      <c r="G1957" s="10"/>
      <c r="H1957" s="17"/>
      <c r="I1957" s="17"/>
      <c r="J1957" s="17"/>
      <c r="K1957" s="30"/>
      <c r="L1957" s="30"/>
      <c r="M1957" s="30"/>
      <c r="N1957" s="30"/>
      <c r="O1957" s="30"/>
      <c r="P1957" s="30"/>
      <c r="Q1957" s="30"/>
      <c r="R1957" s="30"/>
      <c r="S1957" s="30"/>
      <c r="T1957" s="30"/>
      <c r="U1957" s="30"/>
      <c r="V1957" s="30"/>
      <c r="W1957" s="29"/>
      <c r="X1957" s="15"/>
      <c r="Y1957" s="30"/>
      <c r="Z1957" s="30"/>
      <c r="AA1957" s="30"/>
      <c r="AB1957" s="30"/>
      <c r="AC1957" s="17"/>
      <c r="AD1957" s="17"/>
      <c r="AE1957" s="17"/>
      <c r="AF1957" s="17"/>
      <c r="AG1957" s="20"/>
      <c r="AH1957" s="21"/>
      <c r="AI1957" s="21"/>
      <c r="AJ1957" s="21"/>
      <c r="AK1957" s="21"/>
      <c r="AL1957" s="21"/>
      <c r="AM1957" s="21"/>
      <c r="AN1957" s="21"/>
      <c r="AO1957" s="22"/>
      <c r="AP1957" s="21"/>
      <c r="AQ1957" s="24"/>
      <c r="AR1957" s="21"/>
      <c r="AS1957" s="21"/>
      <c r="AT1957" s="21"/>
      <c r="AU1957" s="21"/>
      <c r="AV1957" s="21"/>
      <c r="AW1957" s="21"/>
      <c r="AX1957" s="22"/>
      <c r="AY1957" s="21"/>
      <c r="AZ1957" s="22"/>
      <c r="BA1957" s="21"/>
      <c r="BB1957" s="20"/>
      <c r="BC1957" s="21"/>
      <c r="BD1957" s="25"/>
      <c r="BE1957" s="26"/>
      <c r="BF1957" s="27"/>
      <c r="BG1957" s="28"/>
    </row>
    <row r="1958" spans="1:59" customFormat="1" ht="15" x14ac:dyDescent="0.35">
      <c r="A1958" s="50"/>
      <c r="B1958" s="63"/>
      <c r="C1958" s="39"/>
      <c r="D1958" s="6"/>
      <c r="E1958" s="149"/>
      <c r="F1958" s="153"/>
      <c r="G1958" s="10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12"/>
      <c r="X1958" s="33"/>
      <c r="Y1958" s="6"/>
      <c r="Z1958" s="6"/>
      <c r="AA1958" s="6"/>
      <c r="AB1958" s="6"/>
      <c r="AC1958" s="9"/>
      <c r="AD1958" s="9"/>
      <c r="AE1958" s="9"/>
      <c r="AF1958" s="9"/>
      <c r="AG1958" s="5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59"/>
      <c r="AR1958" s="21"/>
      <c r="AS1958" s="21"/>
      <c r="AT1958" s="3"/>
      <c r="AU1958" s="3"/>
      <c r="AV1958" s="3"/>
      <c r="AW1958" s="3"/>
      <c r="AX1958" s="3"/>
      <c r="AY1958" s="3"/>
      <c r="AZ1958" s="3"/>
      <c r="BA1958" s="3"/>
      <c r="BB1958" s="53"/>
      <c r="BC1958" s="3"/>
      <c r="BD1958" s="59"/>
      <c r="BE1958" s="3"/>
      <c r="BF1958" s="53"/>
      <c r="BG1958" s="59"/>
    </row>
    <row r="1959" spans="1:59" customFormat="1" ht="15" x14ac:dyDescent="0.35">
      <c r="A1959" s="50"/>
      <c r="B1959" s="63"/>
      <c r="C1959" s="39"/>
      <c r="D1959" s="6"/>
      <c r="E1959" s="149"/>
      <c r="F1959" s="153"/>
      <c r="G1959" s="10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12"/>
      <c r="X1959" s="33"/>
      <c r="Y1959" s="6"/>
      <c r="Z1959" s="6"/>
      <c r="AA1959" s="6"/>
      <c r="AB1959" s="6"/>
      <c r="AC1959" s="9"/>
      <c r="AD1959" s="9"/>
      <c r="AE1959" s="9"/>
      <c r="AF1959" s="9"/>
      <c r="AG1959" s="5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59"/>
      <c r="AR1959" s="21"/>
      <c r="AS1959" s="21"/>
      <c r="AT1959" s="3"/>
      <c r="AU1959" s="3"/>
      <c r="AV1959" s="3"/>
      <c r="AW1959" s="3"/>
      <c r="AX1959" s="3"/>
      <c r="AY1959" s="3"/>
      <c r="AZ1959" s="3"/>
      <c r="BA1959" s="3"/>
      <c r="BB1959" s="53"/>
      <c r="BC1959" s="3"/>
      <c r="BD1959" s="59"/>
      <c r="BE1959" s="3"/>
      <c r="BF1959" s="53"/>
      <c r="BG1959" s="59"/>
    </row>
    <row r="1960" spans="1:59" customFormat="1" ht="15" x14ac:dyDescent="0.35">
      <c r="A1960" s="19"/>
      <c r="B1960" s="49"/>
      <c r="C1960" s="14"/>
      <c r="D1960" s="6"/>
      <c r="E1960" s="149"/>
      <c r="F1960" s="153"/>
      <c r="G1960" s="10"/>
      <c r="H1960" s="17"/>
      <c r="I1960" s="17"/>
      <c r="J1960" s="17"/>
      <c r="K1960" s="30"/>
      <c r="L1960" s="30"/>
      <c r="M1960" s="30"/>
      <c r="N1960" s="30"/>
      <c r="O1960" s="30"/>
      <c r="P1960" s="30"/>
      <c r="Q1960" s="30"/>
      <c r="R1960" s="30"/>
      <c r="S1960" s="30"/>
      <c r="T1960" s="30"/>
      <c r="U1960" s="30"/>
      <c r="V1960" s="30"/>
      <c r="W1960" s="29"/>
      <c r="X1960" s="15"/>
      <c r="Y1960" s="30"/>
      <c r="Z1960" s="30"/>
      <c r="AA1960" s="30"/>
      <c r="AB1960" s="30"/>
      <c r="AC1960" s="17"/>
      <c r="AD1960" s="17"/>
      <c r="AE1960" s="17"/>
      <c r="AF1960" s="17"/>
      <c r="AG1960" s="20"/>
      <c r="AH1960" s="21"/>
      <c r="AI1960" s="21"/>
      <c r="AJ1960" s="21"/>
      <c r="AK1960" s="21"/>
      <c r="AL1960" s="21"/>
      <c r="AM1960" s="21"/>
      <c r="AN1960" s="21"/>
      <c r="AO1960" s="22"/>
      <c r="AP1960" s="21"/>
      <c r="AQ1960" s="24"/>
      <c r="AR1960" s="21"/>
      <c r="AS1960" s="21"/>
      <c r="AT1960" s="21"/>
      <c r="AU1960" s="21"/>
      <c r="AV1960" s="21"/>
      <c r="AW1960" s="21"/>
      <c r="AX1960" s="22"/>
      <c r="AY1960" s="21"/>
      <c r="AZ1960" s="22"/>
      <c r="BA1960" s="21"/>
      <c r="BB1960" s="20"/>
      <c r="BC1960" s="21"/>
      <c r="BD1960" s="25"/>
      <c r="BE1960" s="26"/>
      <c r="BF1960" s="27"/>
      <c r="BG1960" s="28"/>
    </row>
    <row r="1961" spans="1:59" customFormat="1" ht="15" x14ac:dyDescent="0.35">
      <c r="A1961" s="50"/>
      <c r="B1961" s="63"/>
      <c r="C1961" s="39"/>
      <c r="D1961" s="6"/>
      <c r="E1961" s="149"/>
      <c r="F1961" s="153"/>
      <c r="G1961" s="10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12"/>
      <c r="X1961" s="33"/>
      <c r="Y1961" s="6"/>
      <c r="Z1961" s="6"/>
      <c r="AA1961" s="6"/>
      <c r="AB1961" s="6"/>
      <c r="AC1961" s="9"/>
      <c r="AD1961" s="9"/>
      <c r="AE1961" s="9"/>
      <c r="AF1961" s="9"/>
      <c r="AG1961" s="5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59"/>
      <c r="AR1961" s="21"/>
      <c r="AS1961" s="21"/>
      <c r="AT1961" s="3"/>
      <c r="AU1961" s="3"/>
      <c r="AV1961" s="3"/>
      <c r="AW1961" s="3"/>
      <c r="AX1961" s="3"/>
      <c r="AY1961" s="3"/>
      <c r="AZ1961" s="3"/>
      <c r="BA1961" s="3"/>
      <c r="BB1961" s="53"/>
      <c r="BC1961" s="3"/>
      <c r="BD1961" s="59"/>
      <c r="BE1961" s="3"/>
      <c r="BF1961" s="53"/>
      <c r="BG1961" s="59"/>
    </row>
    <row r="1962" spans="1:59" customFormat="1" ht="15" x14ac:dyDescent="0.35">
      <c r="A1962" s="19"/>
      <c r="B1962" s="49"/>
      <c r="C1962" s="14"/>
      <c r="D1962" s="1"/>
      <c r="E1962" s="149"/>
      <c r="F1962" s="153"/>
      <c r="G1962" s="10"/>
      <c r="H1962" s="17"/>
      <c r="I1962" s="17"/>
      <c r="J1962" s="17"/>
      <c r="K1962" s="30"/>
      <c r="L1962" s="30"/>
      <c r="M1962" s="30"/>
      <c r="N1962" s="30"/>
      <c r="O1962" s="30"/>
      <c r="P1962" s="30"/>
      <c r="Q1962" s="30"/>
      <c r="R1962" s="30"/>
      <c r="S1962" s="30"/>
      <c r="T1962" s="30"/>
      <c r="U1962" s="30"/>
      <c r="V1962" s="30"/>
      <c r="W1962" s="29"/>
      <c r="X1962" s="15"/>
      <c r="Y1962" s="30"/>
      <c r="Z1962" s="30"/>
      <c r="AA1962" s="30"/>
      <c r="AB1962" s="30"/>
      <c r="AC1962" s="17"/>
      <c r="AD1962" s="17"/>
      <c r="AE1962" s="17"/>
      <c r="AF1962" s="17"/>
      <c r="AG1962" s="20"/>
      <c r="AH1962" s="21"/>
      <c r="AI1962" s="21"/>
      <c r="AJ1962" s="21"/>
      <c r="AK1962" s="21"/>
      <c r="AL1962" s="21"/>
      <c r="AM1962" s="21"/>
      <c r="AN1962" s="21"/>
      <c r="AO1962" s="22"/>
      <c r="AP1962" s="21"/>
      <c r="AQ1962" s="24"/>
      <c r="AR1962" s="21"/>
      <c r="AS1962" s="21"/>
      <c r="AT1962" s="21"/>
      <c r="AU1962" s="21"/>
      <c r="AV1962" s="21"/>
      <c r="AW1962" s="21"/>
      <c r="AX1962" s="22"/>
      <c r="AY1962" s="21"/>
      <c r="AZ1962" s="22"/>
      <c r="BA1962" s="21"/>
      <c r="BB1962" s="20"/>
      <c r="BC1962" s="21"/>
      <c r="BD1962" s="25"/>
      <c r="BE1962" s="26"/>
      <c r="BF1962" s="27"/>
      <c r="BG1962" s="28"/>
    </row>
    <row r="1963" spans="1:59" customFormat="1" ht="15" x14ac:dyDescent="0.35">
      <c r="A1963" s="50"/>
      <c r="B1963" s="63"/>
      <c r="C1963" s="39"/>
      <c r="D1963" s="6"/>
      <c r="E1963" s="149"/>
      <c r="F1963" s="153"/>
      <c r="G1963" s="10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12"/>
      <c r="X1963" s="33"/>
      <c r="Y1963" s="6"/>
      <c r="Z1963" s="6"/>
      <c r="AA1963" s="6"/>
      <c r="AB1963" s="6"/>
      <c r="AC1963" s="9"/>
      <c r="AD1963" s="9"/>
      <c r="AE1963" s="9"/>
      <c r="AF1963" s="9"/>
      <c r="AG1963" s="5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59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53"/>
      <c r="BC1963" s="3"/>
      <c r="BD1963" s="59"/>
      <c r="BE1963" s="3"/>
      <c r="BF1963" s="53"/>
      <c r="BG1963" s="59"/>
    </row>
    <row r="1964" spans="1:59" customFormat="1" ht="15" x14ac:dyDescent="0.35">
      <c r="A1964" s="50"/>
      <c r="B1964" s="63"/>
      <c r="C1964" s="39"/>
      <c r="D1964" s="6"/>
      <c r="E1964" s="149"/>
      <c r="F1964" s="153"/>
      <c r="G1964" s="10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12"/>
      <c r="X1964" s="33"/>
      <c r="Y1964" s="6"/>
      <c r="Z1964" s="6"/>
      <c r="AA1964" s="6"/>
      <c r="AB1964" s="6"/>
      <c r="AC1964" s="9"/>
      <c r="AD1964" s="9"/>
      <c r="AE1964" s="9"/>
      <c r="AF1964" s="9"/>
      <c r="AG1964" s="5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59"/>
      <c r="AR1964" s="21"/>
      <c r="AS1964" s="21"/>
      <c r="AT1964" s="3"/>
      <c r="AU1964" s="3"/>
      <c r="AV1964" s="3"/>
      <c r="AW1964" s="3"/>
      <c r="AX1964" s="3"/>
      <c r="AY1964" s="3"/>
      <c r="AZ1964" s="3"/>
      <c r="BA1964" s="3"/>
      <c r="BB1964" s="53"/>
      <c r="BC1964" s="3"/>
      <c r="BD1964" s="59"/>
      <c r="BE1964" s="3"/>
      <c r="BF1964" s="53"/>
      <c r="BG1964" s="59"/>
    </row>
    <row r="1965" spans="1:59" customFormat="1" ht="15" x14ac:dyDescent="0.35">
      <c r="A1965" s="50"/>
      <c r="B1965" s="63"/>
      <c r="C1965" s="39"/>
      <c r="D1965" s="6"/>
      <c r="E1965" s="149"/>
      <c r="F1965" s="153"/>
      <c r="G1965" s="10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12"/>
      <c r="X1965" s="33"/>
      <c r="Y1965" s="6"/>
      <c r="Z1965" s="6"/>
      <c r="AA1965" s="6"/>
      <c r="AB1965" s="6"/>
      <c r="AC1965" s="9"/>
      <c r="AD1965" s="9"/>
      <c r="AE1965" s="9"/>
      <c r="AF1965" s="9"/>
      <c r="AG1965" s="5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59"/>
      <c r="AR1965" s="21"/>
      <c r="AS1965" s="21"/>
      <c r="AT1965" s="3"/>
      <c r="AU1965" s="3"/>
      <c r="AV1965" s="3"/>
      <c r="AW1965" s="3"/>
      <c r="AX1965" s="3"/>
      <c r="AY1965" s="3"/>
      <c r="AZ1965" s="3"/>
      <c r="BA1965" s="3"/>
      <c r="BB1965" s="53"/>
      <c r="BC1965" s="3"/>
      <c r="BD1965" s="59"/>
      <c r="BE1965" s="3"/>
      <c r="BF1965" s="53"/>
      <c r="BG1965" s="59"/>
    </row>
    <row r="1966" spans="1:59" customFormat="1" ht="15" x14ac:dyDescent="0.35">
      <c r="A1966" s="19"/>
      <c r="B1966" s="49"/>
      <c r="C1966" s="14"/>
      <c r="D1966" s="1"/>
      <c r="E1966" s="149"/>
      <c r="F1966" s="153"/>
      <c r="G1966" s="10"/>
      <c r="H1966" s="17"/>
      <c r="I1966" s="17"/>
      <c r="J1966" s="17"/>
      <c r="K1966" s="30"/>
      <c r="L1966" s="30"/>
      <c r="M1966" s="30"/>
      <c r="N1966" s="30"/>
      <c r="O1966" s="30"/>
      <c r="P1966" s="30"/>
      <c r="Q1966" s="30"/>
      <c r="R1966" s="30"/>
      <c r="S1966" s="30"/>
      <c r="T1966" s="30"/>
      <c r="U1966" s="30"/>
      <c r="V1966" s="30"/>
      <c r="W1966" s="29"/>
      <c r="X1966" s="15"/>
      <c r="Y1966" s="30"/>
      <c r="Z1966" s="30"/>
      <c r="AA1966" s="30"/>
      <c r="AB1966" s="30"/>
      <c r="AC1966" s="17"/>
      <c r="AD1966" s="17"/>
      <c r="AE1966" s="17"/>
      <c r="AF1966" s="17"/>
      <c r="AG1966" s="20"/>
      <c r="AH1966" s="21"/>
      <c r="AI1966" s="21"/>
      <c r="AJ1966" s="21"/>
      <c r="AK1966" s="21"/>
      <c r="AL1966" s="21"/>
      <c r="AM1966" s="21"/>
      <c r="AN1966" s="21"/>
      <c r="AO1966" s="22"/>
      <c r="AP1966" s="21"/>
      <c r="AQ1966" s="24"/>
      <c r="AR1966" s="21"/>
      <c r="AS1966" s="21"/>
      <c r="AT1966" s="21"/>
      <c r="AU1966" s="21"/>
      <c r="AV1966" s="21"/>
      <c r="AW1966" s="21"/>
      <c r="AX1966" s="22"/>
      <c r="AY1966" s="21"/>
      <c r="AZ1966" s="22"/>
      <c r="BA1966" s="21"/>
      <c r="BB1966" s="20"/>
      <c r="BC1966" s="21"/>
      <c r="BD1966" s="25"/>
      <c r="BE1966" s="26"/>
      <c r="BF1966" s="27"/>
      <c r="BG1966" s="28"/>
    </row>
    <row r="1967" spans="1:59" customFormat="1" ht="15" x14ac:dyDescent="0.35">
      <c r="A1967" s="50"/>
      <c r="B1967" s="63"/>
      <c r="C1967" s="39"/>
      <c r="D1967" s="6"/>
      <c r="E1967" s="149"/>
      <c r="F1967" s="153"/>
      <c r="G1967" s="10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12"/>
      <c r="X1967" s="33"/>
      <c r="Y1967" s="6"/>
      <c r="Z1967" s="6"/>
      <c r="AA1967" s="6"/>
      <c r="AB1967" s="6"/>
      <c r="AC1967" s="9"/>
      <c r="AD1967" s="9"/>
      <c r="AE1967" s="9"/>
      <c r="AF1967" s="9"/>
      <c r="AG1967" s="5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59"/>
      <c r="AR1967" s="21"/>
      <c r="AS1967" s="21"/>
      <c r="AT1967" s="3"/>
      <c r="AU1967" s="3"/>
      <c r="AV1967" s="3"/>
      <c r="AW1967" s="3"/>
      <c r="AX1967" s="3"/>
      <c r="AY1967" s="3"/>
      <c r="AZ1967" s="3"/>
      <c r="BA1967" s="3"/>
      <c r="BB1967" s="53"/>
      <c r="BC1967" s="3"/>
      <c r="BD1967" s="59"/>
      <c r="BE1967" s="3"/>
      <c r="BF1967" s="53"/>
      <c r="BG1967" s="65"/>
    </row>
    <row r="1968" spans="1:59" customFormat="1" ht="15" x14ac:dyDescent="0.35">
      <c r="A1968" s="50"/>
      <c r="B1968" s="63"/>
      <c r="C1968" s="39"/>
      <c r="D1968" s="6"/>
      <c r="E1968" s="149"/>
      <c r="F1968" s="153"/>
      <c r="G1968" s="10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5"/>
      <c r="V1968" s="5"/>
      <c r="W1968" s="13"/>
      <c r="X1968" s="4"/>
      <c r="Y1968" s="4"/>
      <c r="Z1968" s="4"/>
      <c r="AA1968" s="6"/>
      <c r="AB1968" s="5"/>
      <c r="AC1968" s="9"/>
      <c r="AD1968" s="9"/>
      <c r="AE1968" s="9"/>
      <c r="AF1968" s="9"/>
      <c r="AG1968" s="54"/>
      <c r="AH1968" s="3"/>
      <c r="AI1968" s="2"/>
      <c r="AJ1968" s="2"/>
      <c r="AK1968" s="2"/>
      <c r="AL1968" s="3"/>
      <c r="AM1968" s="3"/>
      <c r="AN1968" s="3"/>
      <c r="AO1968" s="3"/>
      <c r="AP1968" s="3"/>
      <c r="AQ1968" s="59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53"/>
      <c r="BC1968" s="3"/>
      <c r="BD1968" s="59"/>
      <c r="BE1968" s="3"/>
      <c r="BF1968" s="53"/>
      <c r="BG1968" s="59"/>
    </row>
    <row r="1969" spans="1:59" customFormat="1" ht="15" x14ac:dyDescent="0.35">
      <c r="A1969" s="50"/>
      <c r="B1969" s="63"/>
      <c r="C1969" s="39"/>
      <c r="D1969" s="6"/>
      <c r="E1969" s="149"/>
      <c r="F1969" s="153"/>
      <c r="G1969" s="10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5"/>
      <c r="V1969" s="5"/>
      <c r="W1969" s="13"/>
      <c r="X1969" s="4"/>
      <c r="Y1969" s="4"/>
      <c r="Z1969" s="4"/>
      <c r="AA1969" s="6"/>
      <c r="AB1969" s="5"/>
      <c r="AC1969" s="9"/>
      <c r="AD1969" s="9"/>
      <c r="AE1969" s="9"/>
      <c r="AF1969" s="9"/>
      <c r="AG1969" s="54"/>
      <c r="AH1969" s="3"/>
      <c r="AI1969" s="2"/>
      <c r="AJ1969" s="2"/>
      <c r="AK1969" s="2"/>
      <c r="AL1969" s="3"/>
      <c r="AM1969" s="3"/>
      <c r="AN1969" s="3"/>
      <c r="AO1969" s="3"/>
      <c r="AP1969" s="3"/>
      <c r="AQ1969" s="59"/>
      <c r="AR1969" s="21"/>
      <c r="AS1969" s="21"/>
      <c r="AT1969" s="3"/>
      <c r="AU1969" s="3"/>
      <c r="AV1969" s="3"/>
      <c r="AW1969" s="3"/>
      <c r="AX1969" s="3"/>
      <c r="AY1969" s="3"/>
      <c r="AZ1969" s="3"/>
      <c r="BA1969" s="3"/>
      <c r="BB1969" s="53"/>
      <c r="BC1969" s="3"/>
      <c r="BD1969" s="59"/>
      <c r="BE1969" s="3"/>
      <c r="BF1969" s="53"/>
      <c r="BG1969" s="59"/>
    </row>
    <row r="1970" spans="1:59" customFormat="1" ht="15" x14ac:dyDescent="0.35">
      <c r="A1970" s="50"/>
      <c r="B1970" s="63"/>
      <c r="C1970" s="39"/>
      <c r="D1970" s="6"/>
      <c r="E1970" s="149"/>
      <c r="F1970" s="153"/>
      <c r="G1970" s="10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12"/>
      <c r="X1970" s="33"/>
      <c r="Y1970" s="6"/>
      <c r="Z1970" s="6"/>
      <c r="AA1970" s="6"/>
      <c r="AB1970" s="6"/>
      <c r="AC1970" s="9"/>
      <c r="AD1970" s="9"/>
      <c r="AE1970" s="9"/>
      <c r="AF1970" s="9"/>
      <c r="AG1970" s="5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59"/>
      <c r="AR1970" s="21"/>
      <c r="AS1970" s="21"/>
      <c r="AT1970" s="3"/>
      <c r="AU1970" s="3"/>
      <c r="AV1970" s="3"/>
      <c r="AW1970" s="3"/>
      <c r="AX1970" s="3"/>
      <c r="AY1970" s="3"/>
      <c r="AZ1970" s="3"/>
      <c r="BA1970" s="3"/>
      <c r="BB1970" s="53"/>
      <c r="BC1970" s="3"/>
      <c r="BD1970" s="59"/>
      <c r="BE1970" s="3"/>
      <c r="BF1970" s="53"/>
      <c r="BG1970" s="59"/>
    </row>
    <row r="1971" spans="1:59" customFormat="1" ht="15" x14ac:dyDescent="0.35">
      <c r="A1971" s="50"/>
      <c r="B1971" s="63"/>
      <c r="C1971" s="39"/>
      <c r="D1971" s="6"/>
      <c r="E1971" s="149"/>
      <c r="F1971" s="153"/>
      <c r="G1971" s="10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5"/>
      <c r="V1971" s="5"/>
      <c r="W1971" s="13"/>
      <c r="X1971" s="4"/>
      <c r="Y1971" s="4"/>
      <c r="Z1971" s="4"/>
      <c r="AA1971" s="6"/>
      <c r="AB1971" s="5"/>
      <c r="AC1971" s="9"/>
      <c r="AD1971" s="9"/>
      <c r="AE1971" s="9"/>
      <c r="AF1971" s="9"/>
      <c r="AG1971" s="54"/>
      <c r="AH1971" s="3"/>
      <c r="AI1971" s="2"/>
      <c r="AJ1971" s="2"/>
      <c r="AK1971" s="2"/>
      <c r="AL1971" s="3"/>
      <c r="AM1971" s="3"/>
      <c r="AN1971" s="3"/>
      <c r="AO1971" s="3"/>
      <c r="AP1971" s="3"/>
      <c r="AQ1971" s="59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53"/>
      <c r="BC1971" s="3"/>
      <c r="BD1971" s="59"/>
      <c r="BE1971" s="3"/>
      <c r="BF1971" s="53"/>
      <c r="BG1971" s="59"/>
    </row>
    <row r="1972" spans="1:59" customFormat="1" ht="15" x14ac:dyDescent="0.35">
      <c r="A1972" s="19"/>
      <c r="B1972" s="49"/>
      <c r="C1972" s="39"/>
      <c r="D1972" s="1"/>
      <c r="E1972" s="149"/>
      <c r="F1972" s="153"/>
      <c r="G1972" s="10"/>
      <c r="H1972" s="17"/>
      <c r="I1972" s="17"/>
      <c r="J1972" s="17"/>
      <c r="K1972" s="30"/>
      <c r="L1972" s="30"/>
      <c r="M1972" s="30"/>
      <c r="N1972" s="30"/>
      <c r="O1972" s="30"/>
      <c r="P1972" s="30"/>
      <c r="Q1972" s="30"/>
      <c r="R1972" s="30"/>
      <c r="S1972" s="30"/>
      <c r="T1972" s="30"/>
      <c r="U1972" s="30"/>
      <c r="V1972" s="30"/>
      <c r="W1972" s="29"/>
      <c r="X1972" s="15"/>
      <c r="Y1972" s="30"/>
      <c r="Z1972" s="30"/>
      <c r="AA1972" s="30"/>
      <c r="AB1972" s="30"/>
      <c r="AC1972" s="17"/>
      <c r="AD1972" s="17"/>
      <c r="AE1972" s="17"/>
      <c r="AF1972" s="17"/>
      <c r="AG1972" s="20"/>
      <c r="AH1972" s="21"/>
      <c r="AI1972" s="21"/>
      <c r="AJ1972" s="21"/>
      <c r="AK1972" s="21"/>
      <c r="AL1972" s="21"/>
      <c r="AM1972" s="21"/>
      <c r="AN1972" s="21"/>
      <c r="AO1972" s="22"/>
      <c r="AP1972" s="21"/>
      <c r="AQ1972" s="24"/>
      <c r="AR1972" s="21"/>
      <c r="AS1972" s="21"/>
      <c r="AT1972" s="21"/>
      <c r="AU1972" s="21"/>
      <c r="AV1972" s="21"/>
      <c r="AW1972" s="21"/>
      <c r="AX1972" s="22"/>
      <c r="AY1972" s="21"/>
      <c r="AZ1972" s="22"/>
      <c r="BA1972" s="21"/>
      <c r="BB1972" s="20"/>
      <c r="BC1972" s="21"/>
      <c r="BD1972" s="25"/>
      <c r="BE1972" s="26"/>
      <c r="BF1972" s="27"/>
      <c r="BG1972" s="28"/>
    </row>
    <row r="1973" spans="1:59" customFormat="1" ht="15" x14ac:dyDescent="0.35">
      <c r="A1973" s="50"/>
      <c r="B1973" s="63"/>
      <c r="C1973" s="39"/>
      <c r="D1973" s="6"/>
      <c r="E1973" s="149"/>
      <c r="F1973" s="153"/>
      <c r="G1973" s="10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5"/>
      <c r="V1973" s="5"/>
      <c r="W1973" s="13"/>
      <c r="X1973" s="4"/>
      <c r="Y1973" s="4"/>
      <c r="Z1973" s="4"/>
      <c r="AA1973" s="6"/>
      <c r="AB1973" s="5"/>
      <c r="AC1973" s="9"/>
      <c r="AD1973" s="9"/>
      <c r="AE1973" s="9"/>
      <c r="AF1973" s="9"/>
      <c r="AG1973" s="54"/>
      <c r="AH1973" s="3"/>
      <c r="AI1973" s="2"/>
      <c r="AJ1973" s="2"/>
      <c r="AK1973" s="2"/>
      <c r="AL1973" s="3"/>
      <c r="AM1973" s="3"/>
      <c r="AN1973" s="3"/>
      <c r="AO1973" s="3"/>
      <c r="AP1973" s="3"/>
      <c r="AQ1973" s="59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53"/>
      <c r="BC1973" s="3"/>
      <c r="BD1973" s="59"/>
      <c r="BE1973" s="3"/>
      <c r="BF1973" s="53"/>
      <c r="BG1973" s="59"/>
    </row>
    <row r="1974" spans="1:59" customFormat="1" ht="15" x14ac:dyDescent="0.35">
      <c r="A1974" s="50"/>
      <c r="B1974" s="63"/>
      <c r="C1974" s="39"/>
      <c r="D1974" s="6"/>
      <c r="E1974" s="149"/>
      <c r="F1974" s="153"/>
      <c r="G1974" s="10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5"/>
      <c r="V1974" s="5"/>
      <c r="W1974" s="13"/>
      <c r="X1974" s="4"/>
      <c r="Y1974" s="4"/>
      <c r="Z1974" s="4"/>
      <c r="AA1974" s="6"/>
      <c r="AB1974" s="5"/>
      <c r="AC1974" s="9"/>
      <c r="AD1974" s="9"/>
      <c r="AE1974" s="9"/>
      <c r="AF1974" s="9"/>
      <c r="AG1974" s="54"/>
      <c r="AH1974" s="3"/>
      <c r="AI1974" s="2"/>
      <c r="AJ1974" s="2"/>
      <c r="AK1974" s="2"/>
      <c r="AL1974" s="3"/>
      <c r="AM1974" s="3"/>
      <c r="AN1974" s="3"/>
      <c r="AO1974" s="3"/>
      <c r="AP1974" s="3"/>
      <c r="AQ1974" s="59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53"/>
      <c r="BC1974" s="3"/>
      <c r="BD1974" s="59"/>
      <c r="BE1974" s="3"/>
      <c r="BF1974" s="53"/>
      <c r="BG1974" s="59"/>
    </row>
    <row r="1975" spans="1:59" customFormat="1" ht="15" x14ac:dyDescent="0.35">
      <c r="A1975" s="50"/>
      <c r="B1975" s="63"/>
      <c r="C1975" s="39"/>
      <c r="D1975" s="6"/>
      <c r="E1975" s="149"/>
      <c r="F1975" s="153"/>
      <c r="G1975" s="10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12"/>
      <c r="X1975" s="33"/>
      <c r="Y1975" s="6"/>
      <c r="Z1975" s="6"/>
      <c r="AA1975" s="6"/>
      <c r="AB1975" s="6"/>
      <c r="AC1975" s="9"/>
      <c r="AD1975" s="9"/>
      <c r="AE1975" s="9"/>
      <c r="AF1975" s="9"/>
      <c r="AG1975" s="5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59"/>
      <c r="AR1975" s="21"/>
      <c r="AS1975" s="21"/>
      <c r="AT1975" s="3"/>
      <c r="AU1975" s="3"/>
      <c r="AV1975" s="3"/>
      <c r="AW1975" s="3"/>
      <c r="AX1975" s="3"/>
      <c r="AY1975" s="3"/>
      <c r="AZ1975" s="3"/>
      <c r="BA1975" s="3"/>
      <c r="BB1975" s="53"/>
      <c r="BC1975" s="3"/>
      <c r="BD1975" s="59"/>
      <c r="BE1975" s="3"/>
      <c r="BF1975" s="53"/>
      <c r="BG1975" s="59"/>
    </row>
    <row r="1976" spans="1:59" customFormat="1" ht="15" x14ac:dyDescent="0.35">
      <c r="A1976" s="50"/>
      <c r="B1976" s="63"/>
      <c r="C1976" s="39"/>
      <c r="D1976" s="6"/>
      <c r="E1976" s="149"/>
      <c r="F1976" s="153"/>
      <c r="G1976" s="10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5"/>
      <c r="V1976" s="5"/>
      <c r="W1976" s="13"/>
      <c r="X1976" s="4"/>
      <c r="Y1976" s="4"/>
      <c r="Z1976" s="4"/>
      <c r="AA1976" s="6"/>
      <c r="AB1976" s="5"/>
      <c r="AC1976" s="9"/>
      <c r="AD1976" s="9"/>
      <c r="AE1976" s="9"/>
      <c r="AF1976" s="9"/>
      <c r="AG1976" s="54"/>
      <c r="AH1976" s="3"/>
      <c r="AI1976" s="2"/>
      <c r="AJ1976" s="2"/>
      <c r="AK1976" s="2"/>
      <c r="AL1976" s="3"/>
      <c r="AM1976" s="3"/>
      <c r="AN1976" s="3"/>
      <c r="AO1976" s="3"/>
      <c r="AP1976" s="3"/>
      <c r="AQ1976" s="59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53"/>
      <c r="BC1976" s="3"/>
      <c r="BD1976" s="59"/>
      <c r="BE1976" s="3"/>
      <c r="BF1976" s="53"/>
      <c r="BG1976" s="59"/>
    </row>
    <row r="1977" spans="1:59" customFormat="1" ht="15" x14ac:dyDescent="0.35">
      <c r="A1977" s="50"/>
      <c r="B1977" s="63"/>
      <c r="C1977" s="39"/>
      <c r="D1977" s="6"/>
      <c r="E1977" s="149"/>
      <c r="F1977" s="153"/>
      <c r="G1977" s="10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12"/>
      <c r="X1977" s="33"/>
      <c r="Y1977" s="6"/>
      <c r="Z1977" s="6"/>
      <c r="AA1977" s="6"/>
      <c r="AB1977" s="6"/>
      <c r="AC1977" s="9"/>
      <c r="AD1977" s="9"/>
      <c r="AE1977" s="9"/>
      <c r="AF1977" s="9"/>
      <c r="AG1977" s="5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59"/>
      <c r="AR1977" s="21"/>
      <c r="AS1977" s="21"/>
      <c r="AT1977" s="3"/>
      <c r="AU1977" s="3"/>
      <c r="AV1977" s="3"/>
      <c r="AW1977" s="3"/>
      <c r="AX1977" s="3"/>
      <c r="AY1977" s="3"/>
      <c r="AZ1977" s="3"/>
      <c r="BA1977" s="3"/>
      <c r="BB1977" s="53"/>
      <c r="BC1977" s="3"/>
      <c r="BD1977" s="59"/>
      <c r="BE1977" s="3"/>
      <c r="BF1977" s="53"/>
      <c r="BG1977" s="59"/>
    </row>
    <row r="1978" spans="1:59" customFormat="1" ht="15" x14ac:dyDescent="0.35">
      <c r="A1978" s="50"/>
      <c r="B1978" s="63"/>
      <c r="C1978" s="39"/>
      <c r="D1978" s="6"/>
      <c r="E1978" s="149"/>
      <c r="F1978" s="153"/>
      <c r="G1978" s="10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12"/>
      <c r="X1978" s="33"/>
      <c r="Y1978" s="6"/>
      <c r="Z1978" s="6"/>
      <c r="AA1978" s="6"/>
      <c r="AB1978" s="6"/>
      <c r="AC1978" s="9"/>
      <c r="AD1978" s="9"/>
      <c r="AE1978" s="9"/>
      <c r="AF1978" s="9"/>
      <c r="AG1978" s="5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59"/>
      <c r="AR1978" s="21"/>
      <c r="AS1978" s="21"/>
      <c r="AT1978" s="3"/>
      <c r="AU1978" s="3"/>
      <c r="AV1978" s="3"/>
      <c r="AW1978" s="3"/>
      <c r="AX1978" s="3"/>
      <c r="AY1978" s="3"/>
      <c r="AZ1978" s="3"/>
      <c r="BA1978" s="3"/>
      <c r="BB1978" s="53"/>
      <c r="BC1978" s="3"/>
      <c r="BD1978" s="59"/>
      <c r="BE1978" s="3"/>
      <c r="BF1978" s="53"/>
      <c r="BG1978" s="59"/>
    </row>
    <row r="1979" spans="1:59" customFormat="1" ht="15" x14ac:dyDescent="0.35">
      <c r="A1979" s="19"/>
      <c r="B1979" s="49"/>
      <c r="C1979" s="14"/>
      <c r="D1979" s="1"/>
      <c r="E1979" s="149"/>
      <c r="F1979" s="153"/>
      <c r="G1979" s="10"/>
      <c r="H1979" s="17"/>
      <c r="I1979" s="17"/>
      <c r="J1979" s="17"/>
      <c r="K1979" s="30"/>
      <c r="L1979" s="30"/>
      <c r="M1979" s="30"/>
      <c r="N1979" s="30"/>
      <c r="O1979" s="30"/>
      <c r="P1979" s="30"/>
      <c r="Q1979" s="30"/>
      <c r="R1979" s="30"/>
      <c r="S1979" s="30"/>
      <c r="T1979" s="30"/>
      <c r="U1979" s="30"/>
      <c r="V1979" s="30"/>
      <c r="W1979" s="29"/>
      <c r="X1979" s="15"/>
      <c r="Y1979" s="30"/>
      <c r="Z1979" s="30"/>
      <c r="AA1979" s="30"/>
      <c r="AB1979" s="30"/>
      <c r="AC1979" s="17"/>
      <c r="AD1979" s="17"/>
      <c r="AE1979" s="17"/>
      <c r="AF1979" s="17"/>
      <c r="AG1979" s="20"/>
      <c r="AH1979" s="21"/>
      <c r="AI1979" s="21"/>
      <c r="AJ1979" s="21"/>
      <c r="AK1979" s="21"/>
      <c r="AL1979" s="21"/>
      <c r="AM1979" s="21"/>
      <c r="AN1979" s="21"/>
      <c r="AO1979" s="22"/>
      <c r="AP1979" s="21"/>
      <c r="AQ1979" s="24"/>
      <c r="AR1979" s="21"/>
      <c r="AS1979" s="21"/>
      <c r="AT1979" s="21"/>
      <c r="AU1979" s="21"/>
      <c r="AV1979" s="21"/>
      <c r="AW1979" s="21"/>
      <c r="AX1979" s="22"/>
      <c r="AY1979" s="21"/>
      <c r="AZ1979" s="22"/>
      <c r="BA1979" s="21"/>
      <c r="BB1979" s="20"/>
      <c r="BC1979" s="21"/>
      <c r="BD1979" s="25"/>
      <c r="BE1979" s="26"/>
      <c r="BF1979" s="27"/>
      <c r="BG1979" s="28"/>
    </row>
    <row r="1980" spans="1:59" customFormat="1" ht="15" x14ac:dyDescent="0.35">
      <c r="A1980" s="19"/>
      <c r="B1980" s="49"/>
      <c r="C1980" s="14"/>
      <c r="D1980" s="1"/>
      <c r="E1980" s="149"/>
      <c r="F1980" s="153"/>
      <c r="G1980" s="10"/>
      <c r="H1980" s="17"/>
      <c r="I1980" s="17"/>
      <c r="J1980" s="17"/>
      <c r="K1980" s="30"/>
      <c r="L1980" s="30"/>
      <c r="M1980" s="30"/>
      <c r="N1980" s="30"/>
      <c r="O1980" s="30"/>
      <c r="P1980" s="30"/>
      <c r="Q1980" s="30"/>
      <c r="R1980" s="30"/>
      <c r="S1980" s="30"/>
      <c r="T1980" s="30"/>
      <c r="U1980" s="30"/>
      <c r="V1980" s="30"/>
      <c r="W1980" s="29"/>
      <c r="X1980" s="15"/>
      <c r="Y1980" s="30"/>
      <c r="Z1980" s="30"/>
      <c r="AA1980" s="30"/>
      <c r="AB1980" s="30"/>
      <c r="AC1980" s="17"/>
      <c r="AD1980" s="17"/>
      <c r="AE1980" s="17"/>
      <c r="AF1980" s="17"/>
      <c r="AG1980" s="20"/>
      <c r="AH1980" s="21"/>
      <c r="AI1980" s="21"/>
      <c r="AJ1980" s="21"/>
      <c r="AK1980" s="21"/>
      <c r="AL1980" s="21"/>
      <c r="AM1980" s="21"/>
      <c r="AN1980" s="21"/>
      <c r="AO1980" s="22"/>
      <c r="AP1980" s="21"/>
      <c r="AQ1980" s="24"/>
      <c r="AR1980" s="21"/>
      <c r="AS1980" s="21"/>
      <c r="AT1980" s="21"/>
      <c r="AU1980" s="21"/>
      <c r="AV1980" s="21"/>
      <c r="AW1980" s="21"/>
      <c r="AX1980" s="22"/>
      <c r="AY1980" s="21"/>
      <c r="AZ1980" s="22"/>
      <c r="BA1980" s="21"/>
      <c r="BB1980" s="20"/>
      <c r="BC1980" s="21"/>
      <c r="BD1980" s="25"/>
      <c r="BE1980" s="26"/>
      <c r="BF1980" s="27"/>
      <c r="BG1980" s="28"/>
    </row>
    <row r="1981" spans="1:59" customFormat="1" ht="15" x14ac:dyDescent="0.35">
      <c r="A1981" s="50"/>
      <c r="B1981" s="63"/>
      <c r="C1981" s="39"/>
      <c r="D1981" s="6"/>
      <c r="E1981" s="149"/>
      <c r="F1981" s="153"/>
      <c r="G1981" s="10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12"/>
      <c r="X1981" s="33"/>
      <c r="Y1981" s="6"/>
      <c r="Z1981" s="6"/>
      <c r="AA1981" s="6"/>
      <c r="AB1981" s="6"/>
      <c r="AC1981" s="9"/>
      <c r="AD1981" s="9"/>
      <c r="AE1981" s="9"/>
      <c r="AF1981" s="9"/>
      <c r="AG1981" s="5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59"/>
      <c r="AR1981" s="21"/>
      <c r="AS1981" s="21"/>
      <c r="AT1981" s="3"/>
      <c r="AU1981" s="3"/>
      <c r="AV1981" s="3"/>
      <c r="AW1981" s="3"/>
      <c r="AX1981" s="3"/>
      <c r="AY1981" s="3"/>
      <c r="AZ1981" s="3"/>
      <c r="BA1981" s="3"/>
      <c r="BB1981" s="53"/>
      <c r="BC1981" s="3"/>
      <c r="BD1981" s="59"/>
      <c r="BE1981" s="3"/>
      <c r="BF1981" s="53"/>
      <c r="BG1981" s="59"/>
    </row>
    <row r="1982" spans="1:59" customFormat="1" ht="15" x14ac:dyDescent="0.35">
      <c r="A1982" s="19"/>
      <c r="B1982" s="49"/>
      <c r="C1982" s="39"/>
      <c r="D1982" s="1"/>
      <c r="E1982" s="149"/>
      <c r="F1982" s="153"/>
      <c r="G1982" s="10"/>
      <c r="H1982" s="17"/>
      <c r="I1982" s="17"/>
      <c r="J1982" s="17"/>
      <c r="K1982" s="30"/>
      <c r="L1982" s="30"/>
      <c r="M1982" s="30"/>
      <c r="N1982" s="30"/>
      <c r="O1982" s="30"/>
      <c r="P1982" s="30"/>
      <c r="Q1982" s="30"/>
      <c r="R1982" s="30"/>
      <c r="S1982" s="30"/>
      <c r="T1982" s="30"/>
      <c r="U1982" s="30"/>
      <c r="V1982" s="30"/>
      <c r="W1982" s="29"/>
      <c r="X1982" s="15"/>
      <c r="Y1982" s="30"/>
      <c r="Z1982" s="30"/>
      <c r="AA1982" s="30"/>
      <c r="AB1982" s="30"/>
      <c r="AC1982" s="17"/>
      <c r="AD1982" s="17"/>
      <c r="AE1982" s="17"/>
      <c r="AF1982" s="17"/>
      <c r="AG1982" s="20"/>
      <c r="AH1982" s="21"/>
      <c r="AI1982" s="21"/>
      <c r="AJ1982" s="21"/>
      <c r="AK1982" s="21"/>
      <c r="AL1982" s="21"/>
      <c r="AM1982" s="21"/>
      <c r="AN1982" s="21"/>
      <c r="AO1982" s="22"/>
      <c r="AP1982" s="21"/>
      <c r="AQ1982" s="24"/>
      <c r="AR1982" s="21"/>
      <c r="AS1982" s="21"/>
      <c r="AT1982" s="21"/>
      <c r="AU1982" s="21"/>
      <c r="AV1982" s="21"/>
      <c r="AW1982" s="21"/>
      <c r="AX1982" s="22"/>
      <c r="AY1982" s="21"/>
      <c r="AZ1982" s="22"/>
      <c r="BA1982" s="21"/>
      <c r="BB1982" s="20"/>
      <c r="BC1982" s="21"/>
      <c r="BD1982" s="25"/>
      <c r="BE1982" s="26"/>
      <c r="BF1982" s="27"/>
      <c r="BG1982" s="28"/>
    </row>
    <row r="1983" spans="1:59" customFormat="1" ht="15" x14ac:dyDescent="0.35">
      <c r="A1983" s="19"/>
      <c r="B1983" s="49"/>
      <c r="C1983" s="14"/>
      <c r="D1983" s="1"/>
      <c r="E1983" s="149"/>
      <c r="F1983" s="153"/>
      <c r="G1983" s="10"/>
      <c r="H1983" s="17"/>
      <c r="I1983" s="17"/>
      <c r="J1983" s="17"/>
      <c r="K1983" s="30"/>
      <c r="L1983" s="30"/>
      <c r="M1983" s="30"/>
      <c r="N1983" s="30"/>
      <c r="O1983" s="30"/>
      <c r="P1983" s="30"/>
      <c r="Q1983" s="30"/>
      <c r="R1983" s="30"/>
      <c r="S1983" s="30"/>
      <c r="T1983" s="30"/>
      <c r="U1983" s="30"/>
      <c r="V1983" s="30"/>
      <c r="W1983" s="29"/>
      <c r="X1983" s="15"/>
      <c r="Y1983" s="30"/>
      <c r="Z1983" s="30"/>
      <c r="AA1983" s="30"/>
      <c r="AB1983" s="30"/>
      <c r="AC1983" s="17"/>
      <c r="AD1983" s="17"/>
      <c r="AE1983" s="17"/>
      <c r="AF1983" s="17"/>
      <c r="AG1983" s="20"/>
      <c r="AH1983" s="21"/>
      <c r="AI1983" s="21"/>
      <c r="AJ1983" s="21"/>
      <c r="AK1983" s="21"/>
      <c r="AL1983" s="21"/>
      <c r="AM1983" s="21"/>
      <c r="AN1983" s="21"/>
      <c r="AO1983" s="22"/>
      <c r="AP1983" s="21"/>
      <c r="AQ1983" s="24"/>
      <c r="AR1983" s="21"/>
      <c r="AS1983" s="21"/>
      <c r="AT1983" s="21"/>
      <c r="AU1983" s="21"/>
      <c r="AV1983" s="21"/>
      <c r="AW1983" s="21"/>
      <c r="AX1983" s="22"/>
      <c r="AY1983" s="21"/>
      <c r="AZ1983" s="22"/>
      <c r="BA1983" s="21"/>
      <c r="BB1983" s="20"/>
      <c r="BC1983" s="21"/>
      <c r="BD1983" s="25"/>
      <c r="BE1983" s="26"/>
      <c r="BF1983" s="27"/>
      <c r="BG1983" s="28"/>
    </row>
    <row r="1984" spans="1:59" customFormat="1" ht="15" x14ac:dyDescent="0.35">
      <c r="A1984" s="50"/>
      <c r="B1984" s="63"/>
      <c r="C1984" s="39"/>
      <c r="D1984" s="6"/>
      <c r="E1984" s="149"/>
      <c r="F1984" s="153"/>
      <c r="G1984" s="10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12"/>
      <c r="X1984" s="33"/>
      <c r="Y1984" s="6"/>
      <c r="Z1984" s="6"/>
      <c r="AA1984" s="6"/>
      <c r="AB1984" s="6"/>
      <c r="AC1984" s="9"/>
      <c r="AD1984" s="9"/>
      <c r="AE1984" s="9"/>
      <c r="AF1984" s="9"/>
      <c r="AG1984" s="5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59"/>
      <c r="AR1984" s="21"/>
      <c r="AS1984" s="21"/>
      <c r="AT1984" s="3"/>
      <c r="AU1984" s="3"/>
      <c r="AV1984" s="3"/>
      <c r="AW1984" s="3"/>
      <c r="AX1984" s="3"/>
      <c r="AY1984" s="3"/>
      <c r="AZ1984" s="3"/>
      <c r="BA1984" s="3"/>
      <c r="BB1984" s="53"/>
      <c r="BC1984" s="3"/>
      <c r="BD1984" s="59"/>
      <c r="BE1984" s="3"/>
      <c r="BF1984" s="53"/>
      <c r="BG1984" s="59"/>
    </row>
    <row r="1985" spans="1:59" customFormat="1" ht="15" x14ac:dyDescent="0.35">
      <c r="A1985" s="19"/>
      <c r="B1985" s="49"/>
      <c r="C1985" s="39"/>
      <c r="D1985" s="1"/>
      <c r="E1985" s="149"/>
      <c r="F1985" s="153"/>
      <c r="G1985" s="10"/>
      <c r="H1985" s="17"/>
      <c r="I1985" s="17"/>
      <c r="J1985" s="17"/>
      <c r="K1985" s="30"/>
      <c r="L1985" s="30"/>
      <c r="M1985" s="30"/>
      <c r="N1985" s="30"/>
      <c r="O1985" s="30"/>
      <c r="P1985" s="30"/>
      <c r="Q1985" s="30"/>
      <c r="R1985" s="30"/>
      <c r="S1985" s="30"/>
      <c r="T1985" s="30"/>
      <c r="U1985" s="30"/>
      <c r="V1985" s="30"/>
      <c r="W1985" s="29"/>
      <c r="X1985" s="15"/>
      <c r="Y1985" s="30"/>
      <c r="Z1985" s="30"/>
      <c r="AA1985" s="30"/>
      <c r="AB1985" s="30"/>
      <c r="AC1985" s="17"/>
      <c r="AD1985" s="17"/>
      <c r="AE1985" s="17"/>
      <c r="AF1985" s="17"/>
      <c r="AG1985" s="20"/>
      <c r="AH1985" s="21"/>
      <c r="AI1985" s="21"/>
      <c r="AJ1985" s="21"/>
      <c r="AK1985" s="21"/>
      <c r="AL1985" s="21"/>
      <c r="AM1985" s="21"/>
      <c r="AN1985" s="21"/>
      <c r="AO1985" s="22"/>
      <c r="AP1985" s="21"/>
      <c r="AQ1985" s="24"/>
      <c r="AR1985" s="21"/>
      <c r="AS1985" s="21"/>
      <c r="AT1985" s="21"/>
      <c r="AU1985" s="21"/>
      <c r="AV1985" s="21"/>
      <c r="AW1985" s="21"/>
      <c r="AX1985" s="22"/>
      <c r="AY1985" s="21"/>
      <c r="AZ1985" s="22"/>
      <c r="BA1985" s="21"/>
      <c r="BB1985" s="20"/>
      <c r="BC1985" s="21"/>
      <c r="BD1985" s="25"/>
      <c r="BE1985" s="26"/>
      <c r="BF1985" s="27"/>
      <c r="BG1985" s="28"/>
    </row>
    <row r="1986" spans="1:59" customFormat="1" ht="15" x14ac:dyDescent="0.35">
      <c r="A1986" s="19"/>
      <c r="B1986" s="49"/>
      <c r="C1986" s="14"/>
      <c r="D1986" s="1"/>
      <c r="E1986" s="149"/>
      <c r="F1986" s="153"/>
      <c r="G1986" s="10"/>
      <c r="H1986" s="17"/>
      <c r="I1986" s="17"/>
      <c r="J1986" s="17"/>
      <c r="K1986" s="30"/>
      <c r="L1986" s="30"/>
      <c r="M1986" s="30"/>
      <c r="N1986" s="30"/>
      <c r="O1986" s="30"/>
      <c r="P1986" s="30"/>
      <c r="Q1986" s="30"/>
      <c r="R1986" s="30"/>
      <c r="S1986" s="30"/>
      <c r="T1986" s="30"/>
      <c r="U1986" s="30"/>
      <c r="V1986" s="30"/>
      <c r="W1986" s="29"/>
      <c r="X1986" s="15"/>
      <c r="Y1986" s="30"/>
      <c r="Z1986" s="30"/>
      <c r="AA1986" s="30"/>
      <c r="AB1986" s="30"/>
      <c r="AC1986" s="17"/>
      <c r="AD1986" s="17"/>
      <c r="AE1986" s="17"/>
      <c r="AF1986" s="17"/>
      <c r="AG1986" s="20"/>
      <c r="AH1986" s="21"/>
      <c r="AI1986" s="21"/>
      <c r="AJ1986" s="21"/>
      <c r="AK1986" s="21"/>
      <c r="AL1986" s="21"/>
      <c r="AM1986" s="21"/>
      <c r="AN1986" s="21"/>
      <c r="AO1986" s="22"/>
      <c r="AP1986" s="21"/>
      <c r="AQ1986" s="24"/>
      <c r="AR1986" s="21"/>
      <c r="AS1986" s="21"/>
      <c r="AT1986" s="21"/>
      <c r="AU1986" s="21"/>
      <c r="AV1986" s="21"/>
      <c r="AW1986" s="21"/>
      <c r="AX1986" s="22"/>
      <c r="AY1986" s="21"/>
      <c r="AZ1986" s="22"/>
      <c r="BA1986" s="21"/>
      <c r="BB1986" s="20"/>
      <c r="BC1986" s="21"/>
      <c r="BD1986" s="25"/>
      <c r="BE1986" s="26"/>
      <c r="BF1986" s="27"/>
      <c r="BG1986" s="28"/>
    </row>
    <row r="1987" spans="1:59" customFormat="1" ht="15" x14ac:dyDescent="0.35">
      <c r="A1987" s="50"/>
      <c r="B1987" s="63"/>
      <c r="C1987" s="39"/>
      <c r="D1987" s="6"/>
      <c r="E1987" s="149"/>
      <c r="F1987" s="153"/>
      <c r="G1987" s="10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12"/>
      <c r="X1987" s="33"/>
      <c r="Y1987" s="6"/>
      <c r="Z1987" s="6"/>
      <c r="AA1987" s="6"/>
      <c r="AB1987" s="6"/>
      <c r="AC1987" s="9"/>
      <c r="AD1987" s="9"/>
      <c r="AE1987" s="9"/>
      <c r="AF1987" s="9"/>
      <c r="AG1987" s="5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59"/>
      <c r="AR1987" s="21"/>
      <c r="AS1987" s="21"/>
      <c r="AT1987" s="3"/>
      <c r="AU1987" s="3"/>
      <c r="AV1987" s="3"/>
      <c r="AW1987" s="3"/>
      <c r="AX1987" s="3"/>
      <c r="AY1987" s="3"/>
      <c r="AZ1987" s="3"/>
      <c r="BA1987" s="3"/>
      <c r="BB1987" s="53"/>
      <c r="BC1987" s="3"/>
      <c r="BD1987" s="59"/>
      <c r="BE1987" s="3"/>
      <c r="BF1987" s="53"/>
      <c r="BG1987" s="59"/>
    </row>
    <row r="1988" spans="1:59" customFormat="1" ht="15" x14ac:dyDescent="0.35">
      <c r="A1988" s="19"/>
      <c r="B1988" s="49"/>
      <c r="C1988" s="14"/>
      <c r="D1988" s="1"/>
      <c r="E1988" s="149"/>
      <c r="F1988" s="153"/>
      <c r="G1988" s="10"/>
      <c r="H1988" s="17"/>
      <c r="I1988" s="17"/>
      <c r="J1988" s="17"/>
      <c r="K1988" s="30"/>
      <c r="L1988" s="30"/>
      <c r="M1988" s="30"/>
      <c r="N1988" s="30"/>
      <c r="O1988" s="30"/>
      <c r="P1988" s="30"/>
      <c r="Q1988" s="30"/>
      <c r="R1988" s="30"/>
      <c r="S1988" s="30"/>
      <c r="T1988" s="30"/>
      <c r="U1988" s="30"/>
      <c r="V1988" s="30"/>
      <c r="W1988" s="29"/>
      <c r="X1988" s="15"/>
      <c r="Y1988" s="30"/>
      <c r="Z1988" s="30"/>
      <c r="AA1988" s="30"/>
      <c r="AB1988" s="30"/>
      <c r="AC1988" s="17"/>
      <c r="AD1988" s="17"/>
      <c r="AE1988" s="17"/>
      <c r="AF1988" s="17"/>
      <c r="AG1988" s="20"/>
      <c r="AH1988" s="21"/>
      <c r="AI1988" s="21"/>
      <c r="AJ1988" s="21"/>
      <c r="AK1988" s="21"/>
      <c r="AL1988" s="21"/>
      <c r="AM1988" s="21"/>
      <c r="AN1988" s="21"/>
      <c r="AO1988" s="22"/>
      <c r="AP1988" s="21"/>
      <c r="AQ1988" s="24"/>
      <c r="AR1988" s="21"/>
      <c r="AS1988" s="21"/>
      <c r="AT1988" s="21"/>
      <c r="AU1988" s="21"/>
      <c r="AV1988" s="21"/>
      <c r="AW1988" s="21"/>
      <c r="AX1988" s="22"/>
      <c r="AY1988" s="21"/>
      <c r="AZ1988" s="22"/>
      <c r="BA1988" s="21"/>
      <c r="BB1988" s="20"/>
      <c r="BC1988" s="21"/>
      <c r="BD1988" s="25"/>
      <c r="BE1988" s="26"/>
      <c r="BF1988" s="27"/>
      <c r="BG1988" s="28"/>
    </row>
    <row r="1989" spans="1:59" customFormat="1" ht="15" x14ac:dyDescent="0.35">
      <c r="A1989" s="50"/>
      <c r="B1989" s="63"/>
      <c r="C1989" s="39"/>
      <c r="D1989" s="6"/>
      <c r="E1989" s="149"/>
      <c r="F1989" s="153"/>
      <c r="G1989" s="10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5"/>
      <c r="V1989" s="5"/>
      <c r="W1989" s="13"/>
      <c r="X1989" s="4"/>
      <c r="Y1989" s="4"/>
      <c r="Z1989" s="4"/>
      <c r="AA1989" s="6"/>
      <c r="AB1989" s="5"/>
      <c r="AC1989" s="9"/>
      <c r="AD1989" s="9"/>
      <c r="AE1989" s="9"/>
      <c r="AF1989" s="9"/>
      <c r="AG1989" s="54"/>
      <c r="AH1989" s="3"/>
      <c r="AI1989" s="2"/>
      <c r="AJ1989" s="2"/>
      <c r="AK1989" s="2"/>
      <c r="AL1989" s="3"/>
      <c r="AM1989" s="3"/>
      <c r="AN1989" s="3"/>
      <c r="AO1989" s="3"/>
      <c r="AP1989" s="3"/>
      <c r="AQ1989" s="59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53"/>
      <c r="BC1989" s="3"/>
      <c r="BD1989" s="59"/>
      <c r="BE1989" s="3"/>
      <c r="BF1989" s="53"/>
      <c r="BG1989" s="59"/>
    </row>
    <row r="1990" spans="1:59" customFormat="1" ht="15" x14ac:dyDescent="0.35">
      <c r="A1990" s="19"/>
      <c r="B1990" s="49"/>
      <c r="C1990" s="14"/>
      <c r="D1990" s="1"/>
      <c r="E1990" s="149"/>
      <c r="F1990" s="153"/>
      <c r="G1990" s="10"/>
      <c r="H1990" s="17"/>
      <c r="I1990" s="17"/>
      <c r="J1990" s="17"/>
      <c r="K1990" s="30"/>
      <c r="L1990" s="30"/>
      <c r="M1990" s="30"/>
      <c r="N1990" s="30"/>
      <c r="O1990" s="30"/>
      <c r="P1990" s="30"/>
      <c r="Q1990" s="30"/>
      <c r="R1990" s="30"/>
      <c r="S1990" s="30"/>
      <c r="T1990" s="30"/>
      <c r="U1990" s="30"/>
      <c r="V1990" s="30"/>
      <c r="W1990" s="29"/>
      <c r="X1990" s="15"/>
      <c r="Y1990" s="30"/>
      <c r="Z1990" s="30"/>
      <c r="AA1990" s="30"/>
      <c r="AB1990" s="30"/>
      <c r="AC1990" s="17"/>
      <c r="AD1990" s="17"/>
      <c r="AE1990" s="17"/>
      <c r="AF1990" s="17"/>
      <c r="AG1990" s="20"/>
      <c r="AH1990" s="21"/>
      <c r="AI1990" s="21"/>
      <c r="AJ1990" s="21"/>
      <c r="AK1990" s="21"/>
      <c r="AL1990" s="21"/>
      <c r="AM1990" s="21"/>
      <c r="AN1990" s="21"/>
      <c r="AO1990" s="22"/>
      <c r="AP1990" s="21"/>
      <c r="AQ1990" s="24"/>
      <c r="AR1990" s="21"/>
      <c r="AS1990" s="21"/>
      <c r="AT1990" s="21"/>
      <c r="AU1990" s="21"/>
      <c r="AV1990" s="21"/>
      <c r="AW1990" s="21"/>
      <c r="AX1990" s="22"/>
      <c r="AY1990" s="21"/>
      <c r="AZ1990" s="22"/>
      <c r="BA1990" s="21"/>
      <c r="BB1990" s="20"/>
      <c r="BC1990" s="21"/>
      <c r="BD1990" s="25"/>
      <c r="BE1990" s="26"/>
      <c r="BF1990" s="27"/>
      <c r="BG1990" s="28"/>
    </row>
    <row r="1991" spans="1:59" customFormat="1" ht="15" x14ac:dyDescent="0.35">
      <c r="A1991" s="50"/>
      <c r="B1991" s="63"/>
      <c r="C1991" s="39"/>
      <c r="D1991" s="6"/>
      <c r="E1991" s="149"/>
      <c r="F1991" s="153"/>
      <c r="G1991" s="10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5"/>
      <c r="V1991" s="5"/>
      <c r="W1991" s="13"/>
      <c r="X1991" s="4"/>
      <c r="Y1991" s="4"/>
      <c r="Z1991" s="4"/>
      <c r="AA1991" s="6"/>
      <c r="AB1991" s="5"/>
      <c r="AC1991" s="9"/>
      <c r="AD1991" s="9"/>
      <c r="AE1991" s="9"/>
      <c r="AF1991" s="9"/>
      <c r="AG1991" s="54"/>
      <c r="AH1991" s="3"/>
      <c r="AI1991" s="2"/>
      <c r="AJ1991" s="2"/>
      <c r="AK1991" s="2"/>
      <c r="AL1991" s="3"/>
      <c r="AM1991" s="3"/>
      <c r="AN1991" s="3"/>
      <c r="AO1991" s="3"/>
      <c r="AP1991" s="3"/>
      <c r="AQ1991" s="59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53"/>
      <c r="BC1991" s="3"/>
      <c r="BD1991" s="59"/>
      <c r="BE1991" s="3"/>
      <c r="BF1991" s="53"/>
      <c r="BG1991" s="59"/>
    </row>
    <row r="1992" spans="1:59" customFormat="1" ht="15" x14ac:dyDescent="0.35">
      <c r="A1992" s="50"/>
      <c r="B1992" s="63"/>
      <c r="C1992" s="39"/>
      <c r="D1992" s="6"/>
      <c r="E1992" s="149"/>
      <c r="F1992" s="153"/>
      <c r="G1992" s="10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5"/>
      <c r="V1992" s="5"/>
      <c r="W1992" s="13"/>
      <c r="X1992" s="4"/>
      <c r="Y1992" s="4"/>
      <c r="Z1992" s="4"/>
      <c r="AA1992" s="6"/>
      <c r="AB1992" s="5"/>
      <c r="AC1992" s="9"/>
      <c r="AD1992" s="9"/>
      <c r="AE1992" s="9"/>
      <c r="AF1992" s="9"/>
      <c r="AG1992" s="54"/>
      <c r="AH1992" s="3"/>
      <c r="AI1992" s="2"/>
      <c r="AJ1992" s="2"/>
      <c r="AK1992" s="2"/>
      <c r="AL1992" s="3"/>
      <c r="AM1992" s="3"/>
      <c r="AN1992" s="3"/>
      <c r="AO1992" s="3"/>
      <c r="AP1992" s="3"/>
      <c r="AQ1992" s="59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53"/>
      <c r="BC1992" s="3"/>
      <c r="BD1992" s="59"/>
      <c r="BE1992" s="3"/>
      <c r="BF1992" s="53"/>
      <c r="BG1992" s="59"/>
    </row>
    <row r="1993" spans="1:59" customFormat="1" ht="15" x14ac:dyDescent="0.35">
      <c r="A1993" s="19"/>
      <c r="B1993" s="49"/>
      <c r="C1993" s="14"/>
      <c r="D1993" s="1"/>
      <c r="E1993" s="149"/>
      <c r="F1993" s="153"/>
      <c r="G1993" s="10"/>
      <c r="H1993" s="17"/>
      <c r="I1993" s="17"/>
      <c r="J1993" s="17"/>
      <c r="K1993" s="30"/>
      <c r="L1993" s="30"/>
      <c r="M1993" s="30"/>
      <c r="N1993" s="30"/>
      <c r="O1993" s="30"/>
      <c r="P1993" s="30"/>
      <c r="Q1993" s="30"/>
      <c r="R1993" s="30"/>
      <c r="S1993" s="30"/>
      <c r="T1993" s="30"/>
      <c r="U1993" s="30"/>
      <c r="V1993" s="30"/>
      <c r="W1993" s="29"/>
      <c r="X1993" s="15"/>
      <c r="Y1993" s="30"/>
      <c r="Z1993" s="30"/>
      <c r="AA1993" s="30"/>
      <c r="AB1993" s="30"/>
      <c r="AC1993" s="17"/>
      <c r="AD1993" s="17"/>
      <c r="AE1993" s="17"/>
      <c r="AF1993" s="17"/>
      <c r="AG1993" s="20"/>
      <c r="AH1993" s="21"/>
      <c r="AI1993" s="21"/>
      <c r="AJ1993" s="21"/>
      <c r="AK1993" s="21"/>
      <c r="AL1993" s="21"/>
      <c r="AM1993" s="21"/>
      <c r="AN1993" s="21"/>
      <c r="AO1993" s="22"/>
      <c r="AP1993" s="21"/>
      <c r="AQ1993" s="24"/>
      <c r="AR1993" s="21"/>
      <c r="AS1993" s="21"/>
      <c r="AT1993" s="21"/>
      <c r="AU1993" s="21"/>
      <c r="AV1993" s="21"/>
      <c r="AW1993" s="21"/>
      <c r="AX1993" s="22"/>
      <c r="AY1993" s="21"/>
      <c r="AZ1993" s="22"/>
      <c r="BA1993" s="21"/>
      <c r="BB1993" s="20"/>
      <c r="BC1993" s="21"/>
      <c r="BD1993" s="25"/>
      <c r="BE1993" s="26"/>
      <c r="BF1993" s="27"/>
      <c r="BG1993" s="28"/>
    </row>
    <row r="1994" spans="1:59" customFormat="1" ht="15" x14ac:dyDescent="0.35">
      <c r="A1994" s="19"/>
      <c r="B1994" s="49"/>
      <c r="C1994" s="14"/>
      <c r="D1994" s="1"/>
      <c r="E1994" s="149"/>
      <c r="F1994" s="153"/>
      <c r="G1994" s="10"/>
      <c r="H1994" s="17"/>
      <c r="I1994" s="17"/>
      <c r="J1994" s="17"/>
      <c r="K1994" s="30"/>
      <c r="L1994" s="30"/>
      <c r="M1994" s="30"/>
      <c r="N1994" s="30"/>
      <c r="O1994" s="30"/>
      <c r="P1994" s="30"/>
      <c r="Q1994" s="30"/>
      <c r="R1994" s="30"/>
      <c r="S1994" s="30"/>
      <c r="T1994" s="30"/>
      <c r="U1994" s="30"/>
      <c r="V1994" s="30"/>
      <c r="W1994" s="29"/>
      <c r="X1994" s="15"/>
      <c r="Y1994" s="30"/>
      <c r="Z1994" s="30"/>
      <c r="AA1994" s="30"/>
      <c r="AB1994" s="30"/>
      <c r="AC1994" s="17"/>
      <c r="AD1994" s="17"/>
      <c r="AE1994" s="17"/>
      <c r="AF1994" s="17"/>
      <c r="AG1994" s="20"/>
      <c r="AH1994" s="21"/>
      <c r="AI1994" s="21"/>
      <c r="AJ1994" s="21"/>
      <c r="AK1994" s="21"/>
      <c r="AL1994" s="21"/>
      <c r="AM1994" s="21"/>
      <c r="AN1994" s="21"/>
      <c r="AO1994" s="22"/>
      <c r="AP1994" s="21"/>
      <c r="AQ1994" s="24"/>
      <c r="AR1994" s="21"/>
      <c r="AS1994" s="21"/>
      <c r="AT1994" s="21"/>
      <c r="AU1994" s="21"/>
      <c r="AV1994" s="21"/>
      <c r="AW1994" s="21"/>
      <c r="AX1994" s="22"/>
      <c r="AY1994" s="21"/>
      <c r="AZ1994" s="22"/>
      <c r="BA1994" s="21"/>
      <c r="BB1994" s="20"/>
      <c r="BC1994" s="21"/>
      <c r="BD1994" s="25"/>
      <c r="BE1994" s="26"/>
      <c r="BF1994" s="27"/>
      <c r="BG1994" s="28"/>
    </row>
    <row r="1995" spans="1:59" customFormat="1" ht="15" x14ac:dyDescent="0.35">
      <c r="A1995" s="19"/>
      <c r="B1995" s="49"/>
      <c r="C1995" s="39"/>
      <c r="D1995" s="1"/>
      <c r="E1995" s="149"/>
      <c r="F1995" s="153"/>
      <c r="G1995" s="10"/>
      <c r="H1995" s="17"/>
      <c r="I1995" s="17"/>
      <c r="J1995" s="17"/>
      <c r="K1995" s="30"/>
      <c r="L1995" s="30"/>
      <c r="M1995" s="30"/>
      <c r="N1995" s="30"/>
      <c r="O1995" s="30"/>
      <c r="P1995" s="30"/>
      <c r="Q1995" s="30"/>
      <c r="R1995" s="30"/>
      <c r="S1995" s="30"/>
      <c r="T1995" s="30"/>
      <c r="U1995" s="30"/>
      <c r="V1995" s="30"/>
      <c r="W1995" s="29"/>
      <c r="X1995" s="15"/>
      <c r="Y1995" s="30"/>
      <c r="Z1995" s="30"/>
      <c r="AA1995" s="30"/>
      <c r="AB1995" s="30"/>
      <c r="AC1995" s="17"/>
      <c r="AD1995" s="17"/>
      <c r="AE1995" s="17"/>
      <c r="AF1995" s="17"/>
      <c r="AG1995" s="20"/>
      <c r="AH1995" s="21"/>
      <c r="AI1995" s="21"/>
      <c r="AJ1995" s="21"/>
      <c r="AK1995" s="21"/>
      <c r="AL1995" s="21"/>
      <c r="AM1995" s="21"/>
      <c r="AN1995" s="21"/>
      <c r="AO1995" s="22"/>
      <c r="AP1995" s="21"/>
      <c r="AQ1995" s="24"/>
      <c r="AR1995" s="21"/>
      <c r="AS1995" s="21"/>
      <c r="AT1995" s="21"/>
      <c r="AU1995" s="21"/>
      <c r="AV1995" s="21"/>
      <c r="AW1995" s="21"/>
      <c r="AX1995" s="22"/>
      <c r="AY1995" s="21"/>
      <c r="AZ1995" s="22"/>
      <c r="BA1995" s="21"/>
      <c r="BB1995" s="20"/>
      <c r="BC1995" s="21"/>
      <c r="BD1995" s="25"/>
      <c r="BE1995" s="26"/>
      <c r="BF1995" s="27"/>
      <c r="BG1995" s="28"/>
    </row>
    <row r="1996" spans="1:59" customFormat="1" ht="15" x14ac:dyDescent="0.35">
      <c r="A1996" s="19"/>
      <c r="B1996" s="49"/>
      <c r="C1996" s="39"/>
      <c r="D1996" s="1"/>
      <c r="E1996" s="149"/>
      <c r="F1996" s="153"/>
      <c r="G1996" s="10"/>
      <c r="H1996" s="17"/>
      <c r="I1996" s="17"/>
      <c r="J1996" s="17"/>
      <c r="K1996" s="30"/>
      <c r="L1996" s="30"/>
      <c r="M1996" s="30"/>
      <c r="N1996" s="30"/>
      <c r="O1996" s="30"/>
      <c r="P1996" s="30"/>
      <c r="Q1996" s="30"/>
      <c r="R1996" s="30"/>
      <c r="S1996" s="30"/>
      <c r="T1996" s="30"/>
      <c r="U1996" s="30"/>
      <c r="V1996" s="30"/>
      <c r="W1996" s="29"/>
      <c r="X1996" s="15"/>
      <c r="Y1996" s="30"/>
      <c r="Z1996" s="30"/>
      <c r="AA1996" s="30"/>
      <c r="AB1996" s="30"/>
      <c r="AC1996" s="17"/>
      <c r="AD1996" s="17"/>
      <c r="AE1996" s="17"/>
      <c r="AF1996" s="17"/>
      <c r="AG1996" s="20"/>
      <c r="AH1996" s="21"/>
      <c r="AI1996" s="21"/>
      <c r="AJ1996" s="21"/>
      <c r="AK1996" s="21"/>
      <c r="AL1996" s="21"/>
      <c r="AM1996" s="21"/>
      <c r="AN1996" s="21"/>
      <c r="AO1996" s="22"/>
      <c r="AP1996" s="21"/>
      <c r="AQ1996" s="24"/>
      <c r="AR1996" s="21"/>
      <c r="AS1996" s="21"/>
      <c r="AT1996" s="21"/>
      <c r="AU1996" s="21"/>
      <c r="AV1996" s="21"/>
      <c r="AW1996" s="21"/>
      <c r="AX1996" s="22"/>
      <c r="AY1996" s="21"/>
      <c r="AZ1996" s="22"/>
      <c r="BA1996" s="21"/>
      <c r="BB1996" s="20"/>
      <c r="BC1996" s="21"/>
      <c r="BD1996" s="25"/>
      <c r="BE1996" s="26"/>
      <c r="BF1996" s="27"/>
      <c r="BG1996" s="28"/>
    </row>
    <row r="1997" spans="1:59" customFormat="1" ht="15" x14ac:dyDescent="0.35">
      <c r="A1997" s="50"/>
      <c r="B1997" s="63"/>
      <c r="C1997" s="39"/>
      <c r="D1997" s="6"/>
      <c r="E1997" s="149"/>
      <c r="F1997" s="153"/>
      <c r="G1997" s="10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12"/>
      <c r="X1997" s="33"/>
      <c r="Y1997" s="6"/>
      <c r="Z1997" s="6"/>
      <c r="AA1997" s="6"/>
      <c r="AB1997" s="6"/>
      <c r="AC1997" s="9"/>
      <c r="AD1997" s="9"/>
      <c r="AE1997" s="9"/>
      <c r="AF1997" s="9"/>
      <c r="AG1997" s="5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59"/>
      <c r="AR1997" s="21"/>
      <c r="AS1997" s="21"/>
      <c r="AT1997" s="3"/>
      <c r="AU1997" s="3"/>
      <c r="AV1997" s="3"/>
      <c r="AW1997" s="3"/>
      <c r="AX1997" s="3"/>
      <c r="AY1997" s="3"/>
      <c r="AZ1997" s="3"/>
      <c r="BA1997" s="3"/>
      <c r="BB1997" s="53"/>
      <c r="BC1997" s="3"/>
      <c r="BD1997" s="59"/>
      <c r="BE1997" s="3"/>
      <c r="BF1997" s="53"/>
      <c r="BG1997" s="59"/>
    </row>
    <row r="1998" spans="1:59" customFormat="1" ht="15" x14ac:dyDescent="0.35">
      <c r="A1998" s="50"/>
      <c r="B1998" s="63"/>
      <c r="C1998" s="39"/>
      <c r="D1998" s="6"/>
      <c r="E1998" s="149"/>
      <c r="F1998" s="153"/>
      <c r="G1998" s="10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12"/>
      <c r="X1998" s="33"/>
      <c r="Y1998" s="6"/>
      <c r="Z1998" s="6"/>
      <c r="AA1998" s="6"/>
      <c r="AB1998" s="6"/>
      <c r="AC1998" s="9"/>
      <c r="AD1998" s="9"/>
      <c r="AE1998" s="9"/>
      <c r="AF1998" s="9"/>
      <c r="AG1998" s="5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59"/>
      <c r="AR1998" s="21"/>
      <c r="AS1998" s="21"/>
      <c r="AT1998" s="3"/>
      <c r="AU1998" s="3"/>
      <c r="AV1998" s="3"/>
      <c r="AW1998" s="3"/>
      <c r="AX1998" s="3"/>
      <c r="AY1998" s="3"/>
      <c r="AZ1998" s="3"/>
      <c r="BA1998" s="3"/>
      <c r="BB1998" s="53"/>
      <c r="BC1998" s="3"/>
      <c r="BD1998" s="59"/>
      <c r="BE1998" s="3"/>
      <c r="BF1998" s="53"/>
      <c r="BG1998" s="59"/>
    </row>
    <row r="1999" spans="1:59" customFormat="1" ht="15" x14ac:dyDescent="0.35">
      <c r="A1999" s="19"/>
      <c r="B1999" s="49"/>
      <c r="C1999" s="39"/>
      <c r="D1999" s="1"/>
      <c r="E1999" s="149"/>
      <c r="F1999" s="153"/>
      <c r="G1999" s="10"/>
      <c r="H1999" s="17"/>
      <c r="I1999" s="17"/>
      <c r="J1999" s="17"/>
      <c r="K1999" s="30"/>
      <c r="L1999" s="30"/>
      <c r="M1999" s="30"/>
      <c r="N1999" s="30"/>
      <c r="O1999" s="30"/>
      <c r="P1999" s="30"/>
      <c r="Q1999" s="30"/>
      <c r="R1999" s="30"/>
      <c r="S1999" s="30"/>
      <c r="T1999" s="30"/>
      <c r="U1999" s="30"/>
      <c r="V1999" s="30"/>
      <c r="W1999" s="29"/>
      <c r="X1999" s="15"/>
      <c r="Y1999" s="30"/>
      <c r="Z1999" s="30"/>
      <c r="AA1999" s="30"/>
      <c r="AB1999" s="30"/>
      <c r="AC1999" s="17"/>
      <c r="AD1999" s="17"/>
      <c r="AE1999" s="17"/>
      <c r="AF1999" s="17"/>
      <c r="AG1999" s="20"/>
      <c r="AH1999" s="21"/>
      <c r="AI1999" s="21"/>
      <c r="AJ1999" s="21"/>
      <c r="AK1999" s="21"/>
      <c r="AL1999" s="21"/>
      <c r="AM1999" s="21"/>
      <c r="AN1999" s="21"/>
      <c r="AO1999" s="22"/>
      <c r="AP1999" s="21"/>
      <c r="AQ1999" s="24"/>
      <c r="AR1999" s="21"/>
      <c r="AS1999" s="21"/>
      <c r="AT1999" s="21"/>
      <c r="AU1999" s="21"/>
      <c r="AV1999" s="21"/>
      <c r="AW1999" s="21"/>
      <c r="AX1999" s="22"/>
      <c r="AY1999" s="21"/>
      <c r="AZ1999" s="22"/>
      <c r="BA1999" s="21"/>
      <c r="BB1999" s="20"/>
      <c r="BC1999" s="21"/>
      <c r="BD1999" s="25"/>
      <c r="BE1999" s="26"/>
      <c r="BF1999" s="27"/>
      <c r="BG1999" s="28"/>
    </row>
    <row r="2000" spans="1:59" customFormat="1" ht="15" x14ac:dyDescent="0.35">
      <c r="A2000" s="19"/>
      <c r="B2000" s="49"/>
      <c r="C2000" s="14"/>
      <c r="D2000" s="1"/>
      <c r="E2000" s="149"/>
      <c r="F2000" s="153"/>
      <c r="G2000" s="10"/>
      <c r="H2000" s="17"/>
      <c r="I2000" s="17"/>
      <c r="J2000" s="17"/>
      <c r="K2000" s="30"/>
      <c r="L2000" s="30"/>
      <c r="M2000" s="30"/>
      <c r="N2000" s="30"/>
      <c r="O2000" s="30"/>
      <c r="P2000" s="30"/>
      <c r="Q2000" s="30"/>
      <c r="R2000" s="30"/>
      <c r="S2000" s="30"/>
      <c r="T2000" s="30"/>
      <c r="U2000" s="30"/>
      <c r="V2000" s="30"/>
      <c r="W2000" s="29"/>
      <c r="X2000" s="15"/>
      <c r="Y2000" s="30"/>
      <c r="Z2000" s="30"/>
      <c r="AA2000" s="30"/>
      <c r="AB2000" s="30"/>
      <c r="AC2000" s="17"/>
      <c r="AD2000" s="17"/>
      <c r="AE2000" s="17"/>
      <c r="AF2000" s="17"/>
      <c r="AG2000" s="20"/>
      <c r="AH2000" s="21"/>
      <c r="AI2000" s="21"/>
      <c r="AJ2000" s="21"/>
      <c r="AK2000" s="21"/>
      <c r="AL2000" s="21"/>
      <c r="AM2000" s="21"/>
      <c r="AN2000" s="21"/>
      <c r="AO2000" s="22"/>
      <c r="AP2000" s="21"/>
      <c r="AQ2000" s="24"/>
      <c r="AR2000" s="21"/>
      <c r="AS2000" s="21"/>
      <c r="AT2000" s="21"/>
      <c r="AU2000" s="21"/>
      <c r="AV2000" s="21"/>
      <c r="AW2000" s="21"/>
      <c r="AX2000" s="22"/>
      <c r="AY2000" s="21"/>
      <c r="AZ2000" s="22"/>
      <c r="BA2000" s="21"/>
      <c r="BB2000" s="20"/>
      <c r="BC2000" s="21"/>
      <c r="BD2000" s="25"/>
      <c r="BE2000" s="26"/>
      <c r="BF2000" s="27"/>
      <c r="BG2000" s="65"/>
    </row>
    <row r="2001" spans="1:59" customFormat="1" ht="15" x14ac:dyDescent="0.35">
      <c r="A2001" s="50"/>
      <c r="B2001" s="63"/>
      <c r="C2001" s="39"/>
      <c r="D2001" s="6"/>
      <c r="E2001" s="149"/>
      <c r="F2001" s="153"/>
      <c r="G2001" s="10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5"/>
      <c r="V2001" s="5"/>
      <c r="W2001" s="13"/>
      <c r="X2001" s="4"/>
      <c r="Y2001" s="4"/>
      <c r="Z2001" s="4"/>
      <c r="AA2001" s="6"/>
      <c r="AB2001" s="5"/>
      <c r="AC2001" s="9"/>
      <c r="AD2001" s="9"/>
      <c r="AE2001" s="9"/>
      <c r="AF2001" s="9"/>
      <c r="AG2001" s="54"/>
      <c r="AH2001" s="3"/>
      <c r="AI2001" s="2"/>
      <c r="AJ2001" s="2"/>
      <c r="AK2001" s="2"/>
      <c r="AL2001" s="3"/>
      <c r="AM2001" s="3"/>
      <c r="AN2001" s="3"/>
      <c r="AO2001" s="3"/>
      <c r="AP2001" s="3"/>
      <c r="AQ2001" s="59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53"/>
      <c r="BC2001" s="3"/>
      <c r="BD2001" s="59"/>
      <c r="BE2001" s="3"/>
      <c r="BF2001" s="53"/>
      <c r="BG2001" s="65"/>
    </row>
    <row r="2002" spans="1:59" customFormat="1" ht="15" x14ac:dyDescent="0.35">
      <c r="A2002" s="50"/>
      <c r="B2002" s="63"/>
      <c r="C2002" s="39"/>
      <c r="D2002" s="6"/>
      <c r="E2002" s="149"/>
      <c r="F2002" s="153"/>
      <c r="G2002" s="10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12"/>
      <c r="X2002" s="33"/>
      <c r="Y2002" s="6"/>
      <c r="Z2002" s="6"/>
      <c r="AA2002" s="6"/>
      <c r="AB2002" s="6"/>
      <c r="AC2002" s="9"/>
      <c r="AD2002" s="9"/>
      <c r="AE2002" s="9"/>
      <c r="AF2002" s="9"/>
      <c r="AG2002" s="5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59"/>
      <c r="AR2002" s="21"/>
      <c r="AS2002" s="21"/>
      <c r="AT2002" s="3"/>
      <c r="AU2002" s="3"/>
      <c r="AV2002" s="3"/>
      <c r="AW2002" s="3"/>
      <c r="AX2002" s="3"/>
      <c r="AY2002" s="3"/>
      <c r="AZ2002" s="3"/>
      <c r="BA2002" s="3"/>
      <c r="BB2002" s="53"/>
      <c r="BC2002" s="3"/>
      <c r="BD2002" s="59"/>
      <c r="BE2002" s="3"/>
      <c r="BF2002" s="53"/>
      <c r="BG2002" s="59"/>
    </row>
    <row r="2003" spans="1:59" customFormat="1" ht="15" x14ac:dyDescent="0.35">
      <c r="A2003" s="19"/>
      <c r="B2003" s="49"/>
      <c r="C2003" s="14"/>
      <c r="D2003" s="1"/>
      <c r="E2003" s="149"/>
      <c r="F2003" s="153"/>
      <c r="G2003" s="10"/>
      <c r="H2003" s="17"/>
      <c r="I2003" s="17"/>
      <c r="J2003" s="17"/>
      <c r="K2003" s="30"/>
      <c r="L2003" s="30"/>
      <c r="M2003" s="30"/>
      <c r="N2003" s="30"/>
      <c r="O2003" s="30"/>
      <c r="P2003" s="30"/>
      <c r="Q2003" s="30"/>
      <c r="R2003" s="30"/>
      <c r="S2003" s="30"/>
      <c r="T2003" s="30"/>
      <c r="U2003" s="30"/>
      <c r="V2003" s="30"/>
      <c r="W2003" s="29"/>
      <c r="X2003" s="15"/>
      <c r="Y2003" s="30"/>
      <c r="Z2003" s="30"/>
      <c r="AA2003" s="30"/>
      <c r="AB2003" s="30"/>
      <c r="AC2003" s="17"/>
      <c r="AD2003" s="17"/>
      <c r="AE2003" s="17"/>
      <c r="AF2003" s="17"/>
      <c r="AG2003" s="20"/>
      <c r="AH2003" s="21"/>
      <c r="AI2003" s="21"/>
      <c r="AJ2003" s="21"/>
      <c r="AK2003" s="21"/>
      <c r="AL2003" s="21"/>
      <c r="AM2003" s="21"/>
      <c r="AN2003" s="21"/>
      <c r="AO2003" s="22"/>
      <c r="AP2003" s="21"/>
      <c r="AQ2003" s="24"/>
      <c r="AR2003" s="21"/>
      <c r="AS2003" s="21"/>
      <c r="AT2003" s="21"/>
      <c r="AU2003" s="21"/>
      <c r="AV2003" s="21"/>
      <c r="AW2003" s="21"/>
      <c r="AX2003" s="22"/>
      <c r="AY2003" s="21"/>
      <c r="AZ2003" s="22"/>
      <c r="BA2003" s="21"/>
      <c r="BB2003" s="20"/>
      <c r="BC2003" s="21"/>
      <c r="BD2003" s="25"/>
      <c r="BE2003" s="26"/>
      <c r="BF2003" s="27"/>
      <c r="BG2003" s="28"/>
    </row>
    <row r="2004" spans="1:59" customFormat="1" ht="15" x14ac:dyDescent="0.35">
      <c r="A2004" s="50"/>
      <c r="B2004" s="63"/>
      <c r="C2004" s="39"/>
      <c r="D2004" s="6"/>
      <c r="E2004" s="149"/>
      <c r="F2004" s="153"/>
      <c r="G2004" s="10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12"/>
      <c r="X2004" s="33"/>
      <c r="Y2004" s="6"/>
      <c r="Z2004" s="6"/>
      <c r="AA2004" s="6"/>
      <c r="AB2004" s="6"/>
      <c r="AC2004" s="9"/>
      <c r="AD2004" s="9"/>
      <c r="AE2004" s="9"/>
      <c r="AF2004" s="9"/>
      <c r="AG2004" s="5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59"/>
      <c r="AR2004" s="21"/>
      <c r="AS2004" s="21"/>
      <c r="AT2004" s="3"/>
      <c r="AU2004" s="3"/>
      <c r="AV2004" s="3"/>
      <c r="AW2004" s="3"/>
      <c r="AX2004" s="3"/>
      <c r="AY2004" s="3"/>
      <c r="AZ2004" s="3"/>
      <c r="BA2004" s="3"/>
      <c r="BB2004" s="53"/>
      <c r="BC2004" s="3"/>
      <c r="BD2004" s="59"/>
      <c r="BE2004" s="3"/>
      <c r="BF2004" s="53"/>
      <c r="BG2004" s="59"/>
    </row>
    <row r="2005" spans="1:59" customFormat="1" ht="15" x14ac:dyDescent="0.35">
      <c r="A2005" s="50"/>
      <c r="B2005" s="63"/>
      <c r="C2005" s="39"/>
      <c r="D2005" s="6"/>
      <c r="E2005" s="149"/>
      <c r="F2005" s="153"/>
      <c r="G2005" s="10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12"/>
      <c r="X2005" s="33"/>
      <c r="Y2005" s="6"/>
      <c r="Z2005" s="6"/>
      <c r="AA2005" s="6"/>
      <c r="AB2005" s="6"/>
      <c r="AC2005" s="9"/>
      <c r="AD2005" s="9"/>
      <c r="AE2005" s="9"/>
      <c r="AF2005" s="9"/>
      <c r="AG2005" s="5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59"/>
      <c r="AR2005" s="21"/>
      <c r="AS2005" s="21"/>
      <c r="AT2005" s="3"/>
      <c r="AU2005" s="3"/>
      <c r="AV2005" s="3"/>
      <c r="AW2005" s="3"/>
      <c r="AX2005" s="3"/>
      <c r="AY2005" s="3"/>
      <c r="AZ2005" s="3"/>
      <c r="BA2005" s="3"/>
      <c r="BB2005" s="53"/>
      <c r="BC2005" s="3"/>
      <c r="BD2005" s="59"/>
      <c r="BE2005" s="3"/>
      <c r="BF2005" s="53"/>
      <c r="BG2005" s="59"/>
    </row>
    <row r="2006" spans="1:59" customFormat="1" ht="15" x14ac:dyDescent="0.35">
      <c r="A2006" s="50"/>
      <c r="B2006" s="63"/>
      <c r="C2006" s="39"/>
      <c r="D2006" s="6"/>
      <c r="E2006" s="149"/>
      <c r="F2006" s="153"/>
      <c r="G2006" s="10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5"/>
      <c r="V2006" s="5"/>
      <c r="W2006" s="13"/>
      <c r="X2006" s="4"/>
      <c r="Y2006" s="4"/>
      <c r="Z2006" s="4"/>
      <c r="AA2006" s="6"/>
      <c r="AB2006" s="5"/>
      <c r="AC2006" s="9"/>
      <c r="AD2006" s="9"/>
      <c r="AE2006" s="9"/>
      <c r="AF2006" s="9"/>
      <c r="AG2006" s="54"/>
      <c r="AH2006" s="3"/>
      <c r="AI2006" s="2"/>
      <c r="AJ2006" s="2"/>
      <c r="AK2006" s="2"/>
      <c r="AL2006" s="3"/>
      <c r="AM2006" s="3"/>
      <c r="AN2006" s="3"/>
      <c r="AO2006" s="3"/>
      <c r="AP2006" s="3"/>
      <c r="AQ2006" s="59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53"/>
      <c r="BC2006" s="3"/>
      <c r="BD2006" s="59"/>
      <c r="BE2006" s="3"/>
      <c r="BF2006" s="53"/>
      <c r="BG2006" s="59"/>
    </row>
    <row r="2007" spans="1:59" customFormat="1" ht="15" x14ac:dyDescent="0.35">
      <c r="A2007" s="50"/>
      <c r="B2007" s="63"/>
      <c r="C2007" s="39"/>
      <c r="D2007" s="6"/>
      <c r="E2007" s="149"/>
      <c r="F2007" s="153"/>
      <c r="G2007" s="10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5"/>
      <c r="V2007" s="5"/>
      <c r="W2007" s="13"/>
      <c r="X2007" s="4"/>
      <c r="Y2007" s="4"/>
      <c r="Z2007" s="4"/>
      <c r="AA2007" s="6"/>
      <c r="AB2007" s="5"/>
      <c r="AC2007" s="9"/>
      <c r="AD2007" s="9"/>
      <c r="AE2007" s="9"/>
      <c r="AF2007" s="9"/>
      <c r="AG2007" s="54"/>
      <c r="AH2007" s="3"/>
      <c r="AI2007" s="2"/>
      <c r="AJ2007" s="2"/>
      <c r="AK2007" s="2"/>
      <c r="AL2007" s="3"/>
      <c r="AM2007" s="3"/>
      <c r="AN2007" s="3"/>
      <c r="AO2007" s="3"/>
      <c r="AP2007" s="3"/>
      <c r="AQ2007" s="59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53"/>
      <c r="BC2007" s="3"/>
      <c r="BD2007" s="59"/>
      <c r="BE2007" s="3"/>
      <c r="BF2007" s="53"/>
      <c r="BG2007" s="65"/>
    </row>
    <row r="2008" spans="1:59" customFormat="1" ht="15" x14ac:dyDescent="0.35">
      <c r="A2008" s="50"/>
      <c r="B2008" s="63"/>
      <c r="C2008" s="39"/>
      <c r="D2008" s="6"/>
      <c r="E2008" s="149"/>
      <c r="F2008" s="153"/>
      <c r="G2008" s="10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12"/>
      <c r="X2008" s="33"/>
      <c r="Y2008" s="6"/>
      <c r="Z2008" s="6"/>
      <c r="AA2008" s="6"/>
      <c r="AB2008" s="6"/>
      <c r="AC2008" s="9"/>
      <c r="AD2008" s="9"/>
      <c r="AE2008" s="9"/>
      <c r="AF2008" s="9"/>
      <c r="AG2008" s="5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59"/>
      <c r="AR2008" s="21"/>
      <c r="AS2008" s="21"/>
      <c r="AT2008" s="3"/>
      <c r="AU2008" s="3"/>
      <c r="AV2008" s="3"/>
      <c r="AW2008" s="3"/>
      <c r="AX2008" s="3"/>
      <c r="AY2008" s="3"/>
      <c r="AZ2008" s="3"/>
      <c r="BA2008" s="3"/>
      <c r="BB2008" s="53"/>
      <c r="BC2008" s="3"/>
      <c r="BD2008" s="59"/>
      <c r="BE2008" s="3"/>
      <c r="BF2008" s="53"/>
      <c r="BG2008" s="65"/>
    </row>
    <row r="2009" spans="1:59" customFormat="1" ht="15" x14ac:dyDescent="0.35">
      <c r="A2009" s="50"/>
      <c r="B2009" s="63"/>
      <c r="C2009" s="39"/>
      <c r="D2009" s="6"/>
      <c r="E2009" s="149"/>
      <c r="F2009" s="153"/>
      <c r="G2009" s="10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12"/>
      <c r="X2009" s="33"/>
      <c r="Y2009" s="6"/>
      <c r="Z2009" s="6"/>
      <c r="AA2009" s="6"/>
      <c r="AB2009" s="6"/>
      <c r="AC2009" s="9"/>
      <c r="AD2009" s="9"/>
      <c r="AE2009" s="9"/>
      <c r="AF2009" s="9"/>
      <c r="AG2009" s="5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59"/>
      <c r="AR2009" s="21"/>
      <c r="AS2009" s="21"/>
      <c r="AT2009" s="3"/>
      <c r="AU2009" s="3"/>
      <c r="AV2009" s="3"/>
      <c r="AW2009" s="3"/>
      <c r="AX2009" s="3"/>
      <c r="AY2009" s="3"/>
      <c r="AZ2009" s="3"/>
      <c r="BA2009" s="3"/>
      <c r="BB2009" s="53"/>
      <c r="BC2009" s="3"/>
      <c r="BD2009" s="59"/>
      <c r="BE2009" s="3"/>
      <c r="BF2009" s="53"/>
      <c r="BG2009" s="59"/>
    </row>
    <row r="2010" spans="1:59" customFormat="1" ht="15" x14ac:dyDescent="0.35">
      <c r="A2010" s="50"/>
      <c r="B2010" s="63"/>
      <c r="C2010" s="39"/>
      <c r="D2010" s="6"/>
      <c r="E2010" s="149"/>
      <c r="F2010" s="153"/>
      <c r="G2010" s="10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5"/>
      <c r="V2010" s="5"/>
      <c r="W2010" s="13"/>
      <c r="X2010" s="4"/>
      <c r="Y2010" s="4"/>
      <c r="Z2010" s="4"/>
      <c r="AA2010" s="6"/>
      <c r="AB2010" s="5"/>
      <c r="AC2010" s="9"/>
      <c r="AD2010" s="9"/>
      <c r="AE2010" s="9"/>
      <c r="AF2010" s="9"/>
      <c r="AG2010" s="54"/>
      <c r="AH2010" s="3"/>
      <c r="AI2010" s="2"/>
      <c r="AJ2010" s="2"/>
      <c r="AK2010" s="2"/>
      <c r="AL2010" s="3"/>
      <c r="AM2010" s="3"/>
      <c r="AN2010" s="3"/>
      <c r="AO2010" s="3"/>
      <c r="AP2010" s="3"/>
      <c r="AQ2010" s="59"/>
      <c r="AR2010" s="21"/>
      <c r="AS2010" s="21"/>
      <c r="AT2010" s="3"/>
      <c r="AU2010" s="3"/>
      <c r="AV2010" s="3"/>
      <c r="AW2010" s="3"/>
      <c r="AX2010" s="3"/>
      <c r="AY2010" s="3"/>
      <c r="AZ2010" s="3"/>
      <c r="BA2010" s="3"/>
      <c r="BB2010" s="53"/>
      <c r="BC2010" s="3"/>
      <c r="BD2010" s="59"/>
      <c r="BE2010" s="3"/>
      <c r="BF2010" s="53"/>
      <c r="BG2010" s="59"/>
    </row>
    <row r="2011" spans="1:59" customFormat="1" ht="15" x14ac:dyDescent="0.35">
      <c r="A2011" s="19"/>
      <c r="B2011" s="49"/>
      <c r="C2011" s="39"/>
      <c r="D2011" s="1"/>
      <c r="E2011" s="149"/>
      <c r="F2011" s="153"/>
      <c r="G2011" s="10"/>
      <c r="H2011" s="17"/>
      <c r="I2011" s="17"/>
      <c r="J2011" s="17"/>
      <c r="K2011" s="30"/>
      <c r="L2011" s="30"/>
      <c r="M2011" s="30"/>
      <c r="N2011" s="30"/>
      <c r="O2011" s="30"/>
      <c r="P2011" s="30"/>
      <c r="Q2011" s="30"/>
      <c r="R2011" s="30"/>
      <c r="S2011" s="30"/>
      <c r="T2011" s="30"/>
      <c r="U2011" s="30"/>
      <c r="V2011" s="30"/>
      <c r="W2011" s="29"/>
      <c r="X2011" s="15"/>
      <c r="Y2011" s="30"/>
      <c r="Z2011" s="30"/>
      <c r="AA2011" s="30"/>
      <c r="AB2011" s="30"/>
      <c r="AC2011" s="17"/>
      <c r="AD2011" s="17"/>
      <c r="AE2011" s="17"/>
      <c r="AF2011" s="17"/>
      <c r="AG2011" s="20"/>
      <c r="AH2011" s="21"/>
      <c r="AI2011" s="21"/>
      <c r="AJ2011" s="21"/>
      <c r="AK2011" s="21"/>
      <c r="AL2011" s="21"/>
      <c r="AM2011" s="21"/>
      <c r="AN2011" s="21"/>
      <c r="AO2011" s="22"/>
      <c r="AP2011" s="21"/>
      <c r="AQ2011" s="24"/>
      <c r="AR2011" s="21"/>
      <c r="AS2011" s="21"/>
      <c r="AT2011" s="21"/>
      <c r="AU2011" s="21"/>
      <c r="AV2011" s="21"/>
      <c r="AW2011" s="21"/>
      <c r="AX2011" s="22"/>
      <c r="AY2011" s="21"/>
      <c r="AZ2011" s="22"/>
      <c r="BA2011" s="21"/>
      <c r="BB2011" s="20"/>
      <c r="BC2011" s="21"/>
      <c r="BD2011" s="25"/>
      <c r="BE2011" s="26"/>
      <c r="BF2011" s="27"/>
      <c r="BG2011" s="28"/>
    </row>
    <row r="2012" spans="1:59" customFormat="1" ht="15" x14ac:dyDescent="0.35">
      <c r="A2012" s="50"/>
      <c r="B2012" s="63"/>
      <c r="C2012" s="39"/>
      <c r="D2012" s="6"/>
      <c r="E2012" s="149"/>
      <c r="F2012" s="153"/>
      <c r="G2012" s="10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5"/>
      <c r="V2012" s="5"/>
      <c r="W2012" s="13"/>
      <c r="X2012" s="4"/>
      <c r="Y2012" s="4"/>
      <c r="Z2012" s="4"/>
      <c r="AA2012" s="6"/>
      <c r="AB2012" s="5"/>
      <c r="AC2012" s="9"/>
      <c r="AD2012" s="9"/>
      <c r="AE2012" s="9"/>
      <c r="AF2012" s="9"/>
      <c r="AG2012" s="54"/>
      <c r="AH2012" s="3"/>
      <c r="AI2012" s="2"/>
      <c r="AJ2012" s="2"/>
      <c r="AK2012" s="2"/>
      <c r="AL2012" s="3"/>
      <c r="AM2012" s="3"/>
      <c r="AN2012" s="3"/>
      <c r="AO2012" s="3"/>
      <c r="AP2012" s="3"/>
      <c r="AQ2012" s="59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53"/>
      <c r="BC2012" s="3"/>
      <c r="BD2012" s="59"/>
      <c r="BE2012" s="3"/>
      <c r="BF2012" s="53"/>
      <c r="BG2012" s="59"/>
    </row>
    <row r="2013" spans="1:59" customFormat="1" ht="15" x14ac:dyDescent="0.35">
      <c r="A2013" s="50"/>
      <c r="B2013" s="63"/>
      <c r="C2013" s="39"/>
      <c r="D2013" s="6"/>
      <c r="E2013" s="149"/>
      <c r="F2013" s="153"/>
      <c r="G2013" s="10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12"/>
      <c r="X2013" s="33"/>
      <c r="Y2013" s="6"/>
      <c r="Z2013" s="6"/>
      <c r="AA2013" s="6"/>
      <c r="AB2013" s="6"/>
      <c r="AC2013" s="9"/>
      <c r="AD2013" s="9"/>
      <c r="AE2013" s="9"/>
      <c r="AF2013" s="9"/>
      <c r="AG2013" s="5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59"/>
      <c r="AR2013" s="21"/>
      <c r="AS2013" s="21"/>
      <c r="AT2013" s="3"/>
      <c r="AU2013" s="3"/>
      <c r="AV2013" s="3"/>
      <c r="AW2013" s="3"/>
      <c r="AX2013" s="3"/>
      <c r="AY2013" s="3"/>
      <c r="AZ2013" s="3"/>
      <c r="BA2013" s="3"/>
      <c r="BB2013" s="53"/>
      <c r="BC2013" s="3"/>
      <c r="BD2013" s="59"/>
      <c r="BE2013" s="3"/>
      <c r="BF2013" s="53"/>
      <c r="BG2013" s="59"/>
    </row>
    <row r="2014" spans="1:59" customFormat="1" ht="15" x14ac:dyDescent="0.35">
      <c r="A2014" s="50"/>
      <c r="B2014" s="63"/>
      <c r="C2014" s="39"/>
      <c r="D2014" s="6"/>
      <c r="E2014" s="149"/>
      <c r="F2014" s="153"/>
      <c r="G2014" s="10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5"/>
      <c r="V2014" s="5"/>
      <c r="W2014" s="13"/>
      <c r="X2014" s="4"/>
      <c r="Y2014" s="4"/>
      <c r="Z2014" s="4"/>
      <c r="AA2014" s="6"/>
      <c r="AB2014" s="5"/>
      <c r="AC2014" s="9"/>
      <c r="AD2014" s="9"/>
      <c r="AE2014" s="9"/>
      <c r="AF2014" s="9"/>
      <c r="AG2014" s="54"/>
      <c r="AH2014" s="3"/>
      <c r="AI2014" s="2"/>
      <c r="AJ2014" s="2"/>
      <c r="AK2014" s="2"/>
      <c r="AL2014" s="3"/>
      <c r="AM2014" s="3"/>
      <c r="AN2014" s="3"/>
      <c r="AO2014" s="3"/>
      <c r="AP2014" s="3"/>
      <c r="AQ2014" s="59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53"/>
      <c r="BC2014" s="3"/>
      <c r="BD2014" s="59"/>
      <c r="BE2014" s="3"/>
      <c r="BF2014" s="53"/>
      <c r="BG2014" s="59"/>
    </row>
    <row r="2015" spans="1:59" customFormat="1" ht="15" x14ac:dyDescent="0.35">
      <c r="A2015" s="50"/>
      <c r="B2015" s="63"/>
      <c r="C2015" s="39"/>
      <c r="D2015" s="6"/>
      <c r="E2015" s="149"/>
      <c r="F2015" s="153"/>
      <c r="G2015" s="10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12"/>
      <c r="X2015" s="33"/>
      <c r="Y2015" s="6"/>
      <c r="Z2015" s="6"/>
      <c r="AA2015" s="6"/>
      <c r="AB2015" s="6"/>
      <c r="AC2015" s="9"/>
      <c r="AD2015" s="9"/>
      <c r="AE2015" s="9"/>
      <c r="AF2015" s="9"/>
      <c r="AG2015" s="5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59"/>
      <c r="AR2015" s="21"/>
      <c r="AS2015" s="21"/>
      <c r="AT2015" s="3"/>
      <c r="AU2015" s="3"/>
      <c r="AV2015" s="3"/>
      <c r="AW2015" s="3"/>
      <c r="AX2015" s="3"/>
      <c r="AY2015" s="3"/>
      <c r="AZ2015" s="3"/>
      <c r="BA2015" s="3"/>
      <c r="BB2015" s="53"/>
      <c r="BC2015" s="3"/>
      <c r="BD2015" s="59"/>
      <c r="BE2015" s="3"/>
      <c r="BF2015" s="53"/>
      <c r="BG2015" s="59"/>
    </row>
    <row r="2016" spans="1:59" customFormat="1" ht="15" x14ac:dyDescent="0.35">
      <c r="A2016" s="50"/>
      <c r="B2016" s="63"/>
      <c r="C2016" s="39"/>
      <c r="D2016" s="6"/>
      <c r="E2016" s="149"/>
      <c r="F2016" s="153"/>
      <c r="G2016" s="10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12"/>
      <c r="X2016" s="33"/>
      <c r="Y2016" s="6"/>
      <c r="Z2016" s="6"/>
      <c r="AA2016" s="6"/>
      <c r="AB2016" s="6"/>
      <c r="AC2016" s="9"/>
      <c r="AD2016" s="9"/>
      <c r="AE2016" s="9"/>
      <c r="AF2016" s="9"/>
      <c r="AG2016" s="5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59"/>
      <c r="AR2016" s="21"/>
      <c r="AS2016" s="21"/>
      <c r="AT2016" s="3"/>
      <c r="AU2016" s="3"/>
      <c r="AV2016" s="3"/>
      <c r="AW2016" s="3"/>
      <c r="AX2016" s="3"/>
      <c r="AY2016" s="3"/>
      <c r="AZ2016" s="3"/>
      <c r="BA2016" s="3"/>
      <c r="BB2016" s="53"/>
      <c r="BC2016" s="3"/>
      <c r="BD2016" s="59"/>
      <c r="BE2016" s="3"/>
      <c r="BF2016" s="53"/>
      <c r="BG2016" s="59"/>
    </row>
    <row r="2017" spans="1:59" customFormat="1" ht="15" x14ac:dyDescent="0.35">
      <c r="A2017" s="19"/>
      <c r="B2017" s="49"/>
      <c r="C2017" s="14"/>
      <c r="D2017" s="1"/>
      <c r="E2017" s="149"/>
      <c r="F2017" s="153"/>
      <c r="G2017" s="10"/>
      <c r="H2017" s="17"/>
      <c r="I2017" s="17"/>
      <c r="J2017" s="17"/>
      <c r="K2017" s="30"/>
      <c r="L2017" s="30"/>
      <c r="M2017" s="30"/>
      <c r="N2017" s="30"/>
      <c r="O2017" s="30"/>
      <c r="P2017" s="30"/>
      <c r="Q2017" s="30"/>
      <c r="R2017" s="30"/>
      <c r="S2017" s="30"/>
      <c r="T2017" s="30"/>
      <c r="U2017" s="30"/>
      <c r="V2017" s="30"/>
      <c r="W2017" s="29"/>
      <c r="X2017" s="15"/>
      <c r="Y2017" s="30"/>
      <c r="Z2017" s="30"/>
      <c r="AA2017" s="30"/>
      <c r="AB2017" s="30"/>
      <c r="AC2017" s="17"/>
      <c r="AD2017" s="17"/>
      <c r="AE2017" s="17"/>
      <c r="AF2017" s="17"/>
      <c r="AG2017" s="20"/>
      <c r="AH2017" s="21"/>
      <c r="AI2017" s="21"/>
      <c r="AJ2017" s="21"/>
      <c r="AK2017" s="21"/>
      <c r="AL2017" s="21"/>
      <c r="AM2017" s="21"/>
      <c r="AN2017" s="21"/>
      <c r="AO2017" s="22"/>
      <c r="AP2017" s="21"/>
      <c r="AQ2017" s="24"/>
      <c r="AR2017" s="21"/>
      <c r="AS2017" s="21"/>
      <c r="AT2017" s="21"/>
      <c r="AU2017" s="21"/>
      <c r="AV2017" s="21"/>
      <c r="AW2017" s="21"/>
      <c r="AX2017" s="22"/>
      <c r="AY2017" s="21"/>
      <c r="AZ2017" s="22"/>
      <c r="BA2017" s="21"/>
      <c r="BB2017" s="20"/>
      <c r="BC2017" s="21"/>
      <c r="BD2017" s="25"/>
      <c r="BE2017" s="26"/>
      <c r="BF2017" s="27"/>
      <c r="BG2017" s="28"/>
    </row>
    <row r="2018" spans="1:59" customFormat="1" ht="15" x14ac:dyDescent="0.35">
      <c r="A2018" s="19"/>
      <c r="B2018" s="49"/>
      <c r="C2018" s="39"/>
      <c r="D2018" s="1"/>
      <c r="E2018" s="149"/>
      <c r="F2018" s="153"/>
      <c r="G2018" s="10"/>
      <c r="H2018" s="17"/>
      <c r="I2018" s="17"/>
      <c r="J2018" s="17"/>
      <c r="K2018" s="30"/>
      <c r="L2018" s="30"/>
      <c r="M2018" s="30"/>
      <c r="N2018" s="30"/>
      <c r="O2018" s="30"/>
      <c r="P2018" s="30"/>
      <c r="Q2018" s="30"/>
      <c r="R2018" s="30"/>
      <c r="S2018" s="30"/>
      <c r="T2018" s="30"/>
      <c r="U2018" s="30"/>
      <c r="V2018" s="30"/>
      <c r="W2018" s="29"/>
      <c r="X2018" s="15"/>
      <c r="Y2018" s="30"/>
      <c r="Z2018" s="30"/>
      <c r="AA2018" s="30"/>
      <c r="AB2018" s="30"/>
      <c r="AC2018" s="17"/>
      <c r="AD2018" s="17"/>
      <c r="AE2018" s="17"/>
      <c r="AF2018" s="17"/>
      <c r="AG2018" s="20"/>
      <c r="AH2018" s="21"/>
      <c r="AI2018" s="21"/>
      <c r="AJ2018" s="21"/>
      <c r="AK2018" s="21"/>
      <c r="AL2018" s="21"/>
      <c r="AM2018" s="21"/>
      <c r="AN2018" s="21"/>
      <c r="AO2018" s="22"/>
      <c r="AP2018" s="21"/>
      <c r="AQ2018" s="24"/>
      <c r="AR2018" s="21"/>
      <c r="AS2018" s="21"/>
      <c r="AT2018" s="21"/>
      <c r="AU2018" s="21"/>
      <c r="AV2018" s="21"/>
      <c r="AW2018" s="21"/>
      <c r="AX2018" s="22"/>
      <c r="AY2018" s="21"/>
      <c r="AZ2018" s="22"/>
      <c r="BA2018" s="21"/>
      <c r="BB2018" s="20"/>
      <c r="BC2018" s="21"/>
      <c r="BD2018" s="25"/>
      <c r="BE2018" s="26"/>
      <c r="BF2018" s="27"/>
      <c r="BG2018" s="28"/>
    </row>
    <row r="2019" spans="1:59" customFormat="1" ht="15" x14ac:dyDescent="0.35">
      <c r="A2019" s="50"/>
      <c r="B2019" s="63"/>
      <c r="C2019" s="39"/>
      <c r="D2019" s="6"/>
      <c r="E2019" s="149"/>
      <c r="F2019" s="153"/>
      <c r="G2019" s="10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12"/>
      <c r="X2019" s="33"/>
      <c r="Y2019" s="6"/>
      <c r="Z2019" s="6"/>
      <c r="AA2019" s="6"/>
      <c r="AB2019" s="6"/>
      <c r="AC2019" s="9"/>
      <c r="AD2019" s="9"/>
      <c r="AE2019" s="9"/>
      <c r="AF2019" s="9"/>
      <c r="AG2019" s="5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59"/>
      <c r="AR2019" s="21"/>
      <c r="AS2019" s="21"/>
      <c r="AT2019" s="3"/>
      <c r="AU2019" s="3"/>
      <c r="AV2019" s="3"/>
      <c r="AW2019" s="3"/>
      <c r="AX2019" s="3"/>
      <c r="AY2019" s="3"/>
      <c r="AZ2019" s="3"/>
      <c r="BA2019" s="3"/>
      <c r="BB2019" s="53"/>
      <c r="BC2019" s="3"/>
      <c r="BD2019" s="59"/>
      <c r="BE2019" s="3"/>
      <c r="BF2019" s="53"/>
      <c r="BG2019" s="59"/>
    </row>
    <row r="2020" spans="1:59" customFormat="1" ht="15" x14ac:dyDescent="0.35">
      <c r="A2020" s="50"/>
      <c r="B2020" s="63"/>
      <c r="C2020" s="39"/>
      <c r="D2020" s="6"/>
      <c r="E2020" s="149"/>
      <c r="F2020" s="153"/>
      <c r="G2020" s="10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5"/>
      <c r="V2020" s="5"/>
      <c r="W2020" s="13"/>
      <c r="X2020" s="4"/>
      <c r="Y2020" s="4"/>
      <c r="Z2020" s="4"/>
      <c r="AA2020" s="6"/>
      <c r="AB2020" s="5"/>
      <c r="AC2020" s="9"/>
      <c r="AD2020" s="9"/>
      <c r="AE2020" s="9"/>
      <c r="AF2020" s="9"/>
      <c r="AG2020" s="54"/>
      <c r="AH2020" s="3"/>
      <c r="AI2020" s="2"/>
      <c r="AJ2020" s="2"/>
      <c r="AK2020" s="2"/>
      <c r="AL2020" s="3"/>
      <c r="AM2020" s="3"/>
      <c r="AN2020" s="3"/>
      <c r="AO2020" s="3"/>
      <c r="AP2020" s="3"/>
      <c r="AQ2020" s="59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53"/>
      <c r="BC2020" s="3"/>
      <c r="BD2020" s="59"/>
      <c r="BE2020" s="3"/>
      <c r="BF2020" s="53"/>
      <c r="BG2020" s="59"/>
    </row>
    <row r="2021" spans="1:59" customFormat="1" ht="15" x14ac:dyDescent="0.35">
      <c r="A2021" s="19"/>
      <c r="B2021" s="49"/>
      <c r="C2021" s="39"/>
      <c r="D2021" s="1"/>
      <c r="E2021" s="149"/>
      <c r="F2021" s="153"/>
      <c r="G2021" s="10"/>
      <c r="H2021" s="17"/>
      <c r="I2021" s="17"/>
      <c r="J2021" s="17"/>
      <c r="K2021" s="30"/>
      <c r="L2021" s="30"/>
      <c r="M2021" s="30"/>
      <c r="N2021" s="30"/>
      <c r="O2021" s="30"/>
      <c r="P2021" s="30"/>
      <c r="Q2021" s="30"/>
      <c r="R2021" s="30"/>
      <c r="S2021" s="30"/>
      <c r="T2021" s="30"/>
      <c r="U2021" s="30"/>
      <c r="V2021" s="30"/>
      <c r="W2021" s="29"/>
      <c r="X2021" s="15"/>
      <c r="Y2021" s="30"/>
      <c r="Z2021" s="30"/>
      <c r="AA2021" s="30"/>
      <c r="AB2021" s="30"/>
      <c r="AC2021" s="17"/>
      <c r="AD2021" s="17"/>
      <c r="AE2021" s="17"/>
      <c r="AF2021" s="17"/>
      <c r="AG2021" s="20"/>
      <c r="AH2021" s="21"/>
      <c r="AI2021" s="21"/>
      <c r="AJ2021" s="21"/>
      <c r="AK2021" s="21"/>
      <c r="AL2021" s="21"/>
      <c r="AM2021" s="21"/>
      <c r="AN2021" s="21"/>
      <c r="AO2021" s="22"/>
      <c r="AP2021" s="21"/>
      <c r="AQ2021" s="24"/>
      <c r="AR2021" s="21"/>
      <c r="AS2021" s="21"/>
      <c r="AT2021" s="21"/>
      <c r="AU2021" s="21"/>
      <c r="AV2021" s="21"/>
      <c r="AW2021" s="21"/>
      <c r="AX2021" s="22"/>
      <c r="AY2021" s="21"/>
      <c r="AZ2021" s="22"/>
      <c r="BA2021" s="21"/>
      <c r="BB2021" s="20"/>
      <c r="BC2021" s="21"/>
      <c r="BD2021" s="25"/>
      <c r="BE2021" s="26"/>
      <c r="BF2021" s="27"/>
      <c r="BG2021" s="28"/>
    </row>
    <row r="2022" spans="1:59" customFormat="1" ht="15" x14ac:dyDescent="0.35">
      <c r="A2022" s="50"/>
      <c r="B2022" s="63"/>
      <c r="C2022" s="39"/>
      <c r="D2022" s="6"/>
      <c r="E2022" s="149"/>
      <c r="F2022" s="153"/>
      <c r="G2022" s="10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5"/>
      <c r="V2022" s="5"/>
      <c r="W2022" s="13"/>
      <c r="X2022" s="4"/>
      <c r="Y2022" s="4"/>
      <c r="Z2022" s="4"/>
      <c r="AA2022" s="6"/>
      <c r="AB2022" s="5"/>
      <c r="AC2022" s="9"/>
      <c r="AD2022" s="9"/>
      <c r="AE2022" s="9"/>
      <c r="AF2022" s="9"/>
      <c r="AG2022" s="54"/>
      <c r="AH2022" s="3"/>
      <c r="AI2022" s="2"/>
      <c r="AJ2022" s="2"/>
      <c r="AK2022" s="2"/>
      <c r="AL2022" s="3"/>
      <c r="AM2022" s="3"/>
      <c r="AN2022" s="3"/>
      <c r="AO2022" s="3"/>
      <c r="AP2022" s="3"/>
      <c r="AQ2022" s="59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53"/>
      <c r="BC2022" s="3"/>
      <c r="BD2022" s="59"/>
      <c r="BE2022" s="3"/>
      <c r="BF2022" s="53"/>
      <c r="BG2022" s="59"/>
    </row>
    <row r="2023" spans="1:59" customFormat="1" ht="15" x14ac:dyDescent="0.35">
      <c r="A2023" s="50"/>
      <c r="B2023" s="63"/>
      <c r="C2023" s="39"/>
      <c r="D2023" s="6"/>
      <c r="E2023" s="149"/>
      <c r="F2023" s="153"/>
      <c r="G2023" s="10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12"/>
      <c r="X2023" s="33"/>
      <c r="Y2023" s="6"/>
      <c r="Z2023" s="6"/>
      <c r="AA2023" s="6"/>
      <c r="AB2023" s="6"/>
      <c r="AC2023" s="9"/>
      <c r="AD2023" s="9"/>
      <c r="AE2023" s="9"/>
      <c r="AF2023" s="9"/>
      <c r="AG2023" s="5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59"/>
      <c r="AR2023" s="21"/>
      <c r="AS2023" s="21"/>
      <c r="AT2023" s="3"/>
      <c r="AU2023" s="3"/>
      <c r="AV2023" s="3"/>
      <c r="AW2023" s="3"/>
      <c r="AX2023" s="3"/>
      <c r="AY2023" s="3"/>
      <c r="AZ2023" s="3"/>
      <c r="BA2023" s="3"/>
      <c r="BB2023" s="53"/>
      <c r="BC2023" s="3"/>
      <c r="BD2023" s="59"/>
      <c r="BE2023" s="3"/>
      <c r="BF2023" s="53"/>
      <c r="BG2023" s="59"/>
    </row>
    <row r="2024" spans="1:59" customFormat="1" ht="15" x14ac:dyDescent="0.35">
      <c r="A2024" s="50"/>
      <c r="B2024" s="63"/>
      <c r="C2024" s="39"/>
      <c r="D2024" s="6"/>
      <c r="E2024" s="149"/>
      <c r="F2024" s="153"/>
      <c r="G2024" s="10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12"/>
      <c r="X2024" s="33"/>
      <c r="Y2024" s="6"/>
      <c r="Z2024" s="6"/>
      <c r="AA2024" s="6"/>
      <c r="AB2024" s="6"/>
      <c r="AC2024" s="9"/>
      <c r="AD2024" s="9"/>
      <c r="AE2024" s="9"/>
      <c r="AF2024" s="9"/>
      <c r="AG2024" s="5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59"/>
      <c r="AR2024" s="21"/>
      <c r="AS2024" s="21"/>
      <c r="AT2024" s="3"/>
      <c r="AU2024" s="3"/>
      <c r="AV2024" s="3"/>
      <c r="AW2024" s="3"/>
      <c r="AX2024" s="3"/>
      <c r="AY2024" s="3"/>
      <c r="AZ2024" s="3"/>
      <c r="BA2024" s="3"/>
      <c r="BB2024" s="53"/>
      <c r="BC2024" s="3"/>
      <c r="BD2024" s="59"/>
      <c r="BE2024" s="3"/>
      <c r="BF2024" s="53"/>
      <c r="BG2024" s="59"/>
    </row>
    <row r="2025" spans="1:59" customFormat="1" ht="15" x14ac:dyDescent="0.35">
      <c r="A2025" s="19"/>
      <c r="B2025" s="49"/>
      <c r="C2025" s="14"/>
      <c r="D2025" s="1"/>
      <c r="E2025" s="149"/>
      <c r="F2025" s="153"/>
      <c r="G2025" s="10"/>
      <c r="H2025" s="17"/>
      <c r="I2025" s="17"/>
      <c r="J2025" s="17"/>
      <c r="K2025" s="30"/>
      <c r="L2025" s="30"/>
      <c r="M2025" s="30"/>
      <c r="N2025" s="30"/>
      <c r="O2025" s="30"/>
      <c r="P2025" s="30"/>
      <c r="Q2025" s="30"/>
      <c r="R2025" s="30"/>
      <c r="S2025" s="30"/>
      <c r="T2025" s="30"/>
      <c r="U2025" s="30"/>
      <c r="V2025" s="30"/>
      <c r="W2025" s="29"/>
      <c r="X2025" s="15"/>
      <c r="Y2025" s="30"/>
      <c r="Z2025" s="30"/>
      <c r="AA2025" s="30"/>
      <c r="AB2025" s="30"/>
      <c r="AC2025" s="17"/>
      <c r="AD2025" s="17"/>
      <c r="AE2025" s="17"/>
      <c r="AF2025" s="17"/>
      <c r="AG2025" s="20"/>
      <c r="AH2025" s="21"/>
      <c r="AI2025" s="21"/>
      <c r="AJ2025" s="21"/>
      <c r="AK2025" s="21"/>
      <c r="AL2025" s="21"/>
      <c r="AM2025" s="21"/>
      <c r="AN2025" s="21"/>
      <c r="AO2025" s="22"/>
      <c r="AP2025" s="21"/>
      <c r="AQ2025" s="24"/>
      <c r="AR2025" s="21"/>
      <c r="AS2025" s="21"/>
      <c r="AT2025" s="21"/>
      <c r="AU2025" s="21"/>
      <c r="AV2025" s="21"/>
      <c r="AW2025" s="21"/>
      <c r="AX2025" s="22"/>
      <c r="AY2025" s="21"/>
      <c r="AZ2025" s="22"/>
      <c r="BA2025" s="21"/>
      <c r="BB2025" s="20"/>
      <c r="BC2025" s="21"/>
      <c r="BD2025" s="25"/>
      <c r="BE2025" s="26"/>
      <c r="BF2025" s="27"/>
      <c r="BG2025" s="28"/>
    </row>
    <row r="2026" spans="1:59" customFormat="1" ht="15" x14ac:dyDescent="0.35">
      <c r="A2026" s="19"/>
      <c r="B2026" s="49"/>
      <c r="C2026" s="14"/>
      <c r="D2026" s="1"/>
      <c r="E2026" s="149"/>
      <c r="F2026" s="153"/>
      <c r="G2026" s="10"/>
      <c r="H2026" s="17"/>
      <c r="I2026" s="17"/>
      <c r="J2026" s="17"/>
      <c r="K2026" s="30"/>
      <c r="L2026" s="30"/>
      <c r="M2026" s="30"/>
      <c r="N2026" s="30"/>
      <c r="O2026" s="30"/>
      <c r="P2026" s="30"/>
      <c r="Q2026" s="30"/>
      <c r="R2026" s="30"/>
      <c r="S2026" s="30"/>
      <c r="T2026" s="30"/>
      <c r="U2026" s="30"/>
      <c r="V2026" s="30"/>
      <c r="W2026" s="29"/>
      <c r="X2026" s="15"/>
      <c r="Y2026" s="30"/>
      <c r="Z2026" s="30"/>
      <c r="AA2026" s="30"/>
      <c r="AB2026" s="30"/>
      <c r="AC2026" s="17"/>
      <c r="AD2026" s="17"/>
      <c r="AE2026" s="17"/>
      <c r="AF2026" s="17"/>
      <c r="AG2026" s="20"/>
      <c r="AH2026" s="21"/>
      <c r="AI2026" s="21"/>
      <c r="AJ2026" s="21"/>
      <c r="AK2026" s="21"/>
      <c r="AL2026" s="21"/>
      <c r="AM2026" s="21"/>
      <c r="AN2026" s="21"/>
      <c r="AO2026" s="22"/>
      <c r="AP2026" s="21"/>
      <c r="AQ2026" s="24"/>
      <c r="AR2026" s="21"/>
      <c r="AS2026" s="21"/>
      <c r="AT2026" s="21"/>
      <c r="AU2026" s="21"/>
      <c r="AV2026" s="21"/>
      <c r="AW2026" s="21"/>
      <c r="AX2026" s="22"/>
      <c r="AY2026" s="21"/>
      <c r="AZ2026" s="22"/>
      <c r="BA2026" s="21"/>
      <c r="BB2026" s="20"/>
      <c r="BC2026" s="21"/>
      <c r="BD2026" s="25"/>
      <c r="BE2026" s="26"/>
      <c r="BF2026" s="27"/>
      <c r="BG2026" s="28"/>
    </row>
    <row r="2027" spans="1:59" customFormat="1" ht="15" x14ac:dyDescent="0.35">
      <c r="A2027" s="19"/>
      <c r="B2027" s="49"/>
      <c r="C2027" s="14"/>
      <c r="D2027" s="1"/>
      <c r="E2027" s="149"/>
      <c r="F2027" s="153"/>
      <c r="G2027" s="10"/>
      <c r="H2027" s="17"/>
      <c r="I2027" s="17"/>
      <c r="J2027" s="17"/>
      <c r="K2027" s="30"/>
      <c r="L2027" s="30"/>
      <c r="M2027" s="30"/>
      <c r="N2027" s="30"/>
      <c r="O2027" s="30"/>
      <c r="P2027" s="30"/>
      <c r="Q2027" s="30"/>
      <c r="R2027" s="30"/>
      <c r="S2027" s="30"/>
      <c r="T2027" s="30"/>
      <c r="U2027" s="30"/>
      <c r="V2027" s="30"/>
      <c r="W2027" s="29"/>
      <c r="X2027" s="15"/>
      <c r="Y2027" s="30"/>
      <c r="Z2027" s="30"/>
      <c r="AA2027" s="30"/>
      <c r="AB2027" s="30"/>
      <c r="AC2027" s="17"/>
      <c r="AD2027" s="17"/>
      <c r="AE2027" s="17"/>
      <c r="AF2027" s="17"/>
      <c r="AG2027" s="20"/>
      <c r="AH2027" s="21"/>
      <c r="AI2027" s="21"/>
      <c r="AJ2027" s="21"/>
      <c r="AK2027" s="21"/>
      <c r="AL2027" s="21"/>
      <c r="AM2027" s="21"/>
      <c r="AN2027" s="21"/>
      <c r="AO2027" s="22"/>
      <c r="AP2027" s="21"/>
      <c r="AQ2027" s="24"/>
      <c r="AR2027" s="21"/>
      <c r="AS2027" s="21"/>
      <c r="AT2027" s="21"/>
      <c r="AU2027" s="21"/>
      <c r="AV2027" s="21"/>
      <c r="AW2027" s="21"/>
      <c r="AX2027" s="22"/>
      <c r="AY2027" s="21"/>
      <c r="AZ2027" s="22"/>
      <c r="BA2027" s="21"/>
      <c r="BB2027" s="20"/>
      <c r="BC2027" s="21"/>
      <c r="BD2027" s="25"/>
      <c r="BE2027" s="26"/>
      <c r="BF2027" s="27"/>
      <c r="BG2027" s="28"/>
    </row>
    <row r="2028" spans="1:59" customFormat="1" ht="15" x14ac:dyDescent="0.35">
      <c r="A2028" s="50"/>
      <c r="B2028" s="63"/>
      <c r="C2028" s="39"/>
      <c r="D2028" s="6"/>
      <c r="E2028" s="149"/>
      <c r="F2028" s="153"/>
      <c r="G2028" s="10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12"/>
      <c r="X2028" s="33"/>
      <c r="Y2028" s="6"/>
      <c r="Z2028" s="6"/>
      <c r="AA2028" s="6"/>
      <c r="AB2028" s="6"/>
      <c r="AC2028" s="9"/>
      <c r="AD2028" s="9"/>
      <c r="AE2028" s="9"/>
      <c r="AF2028" s="9"/>
      <c r="AG2028" s="5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59"/>
      <c r="AR2028" s="21"/>
      <c r="AS2028" s="21"/>
      <c r="AT2028" s="3"/>
      <c r="AU2028" s="3"/>
      <c r="AV2028" s="3"/>
      <c r="AW2028" s="3"/>
      <c r="AX2028" s="3"/>
      <c r="AY2028" s="3"/>
      <c r="AZ2028" s="3"/>
      <c r="BA2028" s="3"/>
      <c r="BB2028" s="53"/>
      <c r="BC2028" s="3"/>
      <c r="BD2028" s="59"/>
      <c r="BE2028" s="3"/>
      <c r="BF2028" s="53"/>
      <c r="BG2028" s="59"/>
    </row>
    <row r="2029" spans="1:59" customFormat="1" ht="15" x14ac:dyDescent="0.35">
      <c r="A2029" s="50"/>
      <c r="B2029" s="63"/>
      <c r="C2029" s="39"/>
      <c r="D2029" s="6"/>
      <c r="E2029" s="149"/>
      <c r="F2029" s="153"/>
      <c r="G2029" s="10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5"/>
      <c r="V2029" s="5"/>
      <c r="W2029" s="13"/>
      <c r="X2029" s="4"/>
      <c r="Y2029" s="4"/>
      <c r="Z2029" s="4"/>
      <c r="AA2029" s="6"/>
      <c r="AB2029" s="5"/>
      <c r="AC2029" s="9"/>
      <c r="AD2029" s="9"/>
      <c r="AE2029" s="9"/>
      <c r="AF2029" s="9"/>
      <c r="AG2029" s="54"/>
      <c r="AH2029" s="3"/>
      <c r="AI2029" s="2"/>
      <c r="AJ2029" s="2"/>
      <c r="AK2029" s="2"/>
      <c r="AL2029" s="3"/>
      <c r="AM2029" s="3"/>
      <c r="AN2029" s="3"/>
      <c r="AO2029" s="3"/>
      <c r="AP2029" s="3"/>
      <c r="AQ2029" s="59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53"/>
      <c r="BC2029" s="3"/>
      <c r="BD2029" s="59"/>
      <c r="BE2029" s="3"/>
      <c r="BF2029" s="53"/>
      <c r="BG2029" s="59"/>
    </row>
    <row r="2030" spans="1:59" customFormat="1" ht="15" x14ac:dyDescent="0.35">
      <c r="A2030" s="19"/>
      <c r="B2030" s="49"/>
      <c r="C2030" s="14"/>
      <c r="D2030" s="1"/>
      <c r="E2030" s="149"/>
      <c r="F2030" s="153"/>
      <c r="G2030" s="10"/>
      <c r="H2030" s="17"/>
      <c r="I2030" s="17"/>
      <c r="J2030" s="17"/>
      <c r="K2030" s="30"/>
      <c r="L2030" s="30"/>
      <c r="M2030" s="30"/>
      <c r="N2030" s="30"/>
      <c r="O2030" s="30"/>
      <c r="P2030" s="30"/>
      <c r="Q2030" s="30"/>
      <c r="R2030" s="30"/>
      <c r="S2030" s="30"/>
      <c r="T2030" s="30"/>
      <c r="U2030" s="30"/>
      <c r="V2030" s="30"/>
      <c r="W2030" s="29"/>
      <c r="X2030" s="15"/>
      <c r="Y2030" s="30"/>
      <c r="Z2030" s="30"/>
      <c r="AA2030" s="30"/>
      <c r="AB2030" s="30"/>
      <c r="AC2030" s="17"/>
      <c r="AD2030" s="17"/>
      <c r="AE2030" s="17"/>
      <c r="AF2030" s="17"/>
      <c r="AG2030" s="20"/>
      <c r="AH2030" s="21"/>
      <c r="AI2030" s="21"/>
      <c r="AJ2030" s="21"/>
      <c r="AK2030" s="21"/>
      <c r="AL2030" s="21"/>
      <c r="AM2030" s="21"/>
      <c r="AN2030" s="21"/>
      <c r="AO2030" s="22"/>
      <c r="AP2030" s="21"/>
      <c r="AQ2030" s="24"/>
      <c r="AR2030" s="21"/>
      <c r="AS2030" s="21"/>
      <c r="AT2030" s="21"/>
      <c r="AU2030" s="21"/>
      <c r="AV2030" s="21"/>
      <c r="AW2030" s="21"/>
      <c r="AX2030" s="22"/>
      <c r="AY2030" s="21"/>
      <c r="AZ2030" s="22"/>
      <c r="BA2030" s="21"/>
      <c r="BB2030" s="20"/>
      <c r="BC2030" s="21"/>
      <c r="BD2030" s="25"/>
      <c r="BE2030" s="26"/>
      <c r="BF2030" s="27"/>
      <c r="BG2030" s="28"/>
    </row>
    <row r="2031" spans="1:59" customFormat="1" ht="15" x14ac:dyDescent="0.35">
      <c r="A2031" s="50"/>
      <c r="B2031" s="63"/>
      <c r="C2031" s="39"/>
      <c r="D2031" s="6"/>
      <c r="E2031" s="149"/>
      <c r="F2031" s="153"/>
      <c r="G2031" s="10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5"/>
      <c r="V2031" s="5"/>
      <c r="W2031" s="13"/>
      <c r="X2031" s="4"/>
      <c r="Y2031" s="4"/>
      <c r="Z2031" s="4"/>
      <c r="AA2031" s="6"/>
      <c r="AB2031" s="5"/>
      <c r="AC2031" s="9"/>
      <c r="AD2031" s="9"/>
      <c r="AE2031" s="9"/>
      <c r="AF2031" s="9"/>
      <c r="AG2031" s="54"/>
      <c r="AH2031" s="3"/>
      <c r="AI2031" s="2"/>
      <c r="AJ2031" s="2"/>
      <c r="AK2031" s="2"/>
      <c r="AL2031" s="3"/>
      <c r="AM2031" s="3"/>
      <c r="AN2031" s="3"/>
      <c r="AO2031" s="3"/>
      <c r="AP2031" s="3"/>
      <c r="AQ2031" s="59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53"/>
      <c r="BC2031" s="3"/>
      <c r="BD2031" s="59"/>
      <c r="BE2031" s="3"/>
      <c r="BF2031" s="53"/>
      <c r="BG2031" s="59"/>
    </row>
    <row r="2032" spans="1:59" customFormat="1" ht="15" x14ac:dyDescent="0.35">
      <c r="A2032" s="50"/>
      <c r="B2032" s="63"/>
      <c r="C2032" s="39"/>
      <c r="D2032" s="6"/>
      <c r="E2032" s="149"/>
      <c r="F2032" s="153"/>
      <c r="G2032" s="10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12"/>
      <c r="X2032" s="33"/>
      <c r="Y2032" s="6"/>
      <c r="Z2032" s="6"/>
      <c r="AA2032" s="6"/>
      <c r="AB2032" s="6"/>
      <c r="AC2032" s="9"/>
      <c r="AD2032" s="9"/>
      <c r="AE2032" s="9"/>
      <c r="AF2032" s="9"/>
      <c r="AG2032" s="5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59"/>
      <c r="AR2032" s="21"/>
      <c r="AS2032" s="21"/>
      <c r="AT2032" s="3"/>
      <c r="AU2032" s="3"/>
      <c r="AV2032" s="3"/>
      <c r="AW2032" s="3"/>
      <c r="AX2032" s="3"/>
      <c r="AY2032" s="3"/>
      <c r="AZ2032" s="3"/>
      <c r="BA2032" s="3"/>
      <c r="BB2032" s="53"/>
      <c r="BC2032" s="3"/>
      <c r="BD2032" s="59"/>
      <c r="BE2032" s="3"/>
      <c r="BF2032" s="53"/>
      <c r="BG2032" s="59"/>
    </row>
    <row r="2033" spans="1:59" customFormat="1" ht="15" x14ac:dyDescent="0.35">
      <c r="A2033" s="50"/>
      <c r="B2033" s="63"/>
      <c r="C2033" s="39"/>
      <c r="D2033" s="6"/>
      <c r="E2033" s="149"/>
      <c r="F2033" s="153"/>
      <c r="G2033" s="10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12"/>
      <c r="X2033" s="33"/>
      <c r="Y2033" s="6"/>
      <c r="Z2033" s="6"/>
      <c r="AA2033" s="6"/>
      <c r="AB2033" s="6"/>
      <c r="AC2033" s="9"/>
      <c r="AD2033" s="9"/>
      <c r="AE2033" s="9"/>
      <c r="AF2033" s="9"/>
      <c r="AG2033" s="5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59"/>
      <c r="AR2033" s="21"/>
      <c r="AS2033" s="21"/>
      <c r="AT2033" s="3"/>
      <c r="AU2033" s="3"/>
      <c r="AV2033" s="3"/>
      <c r="AW2033" s="3"/>
      <c r="AX2033" s="3"/>
      <c r="AY2033" s="3"/>
      <c r="AZ2033" s="3"/>
      <c r="BA2033" s="3"/>
      <c r="BB2033" s="53"/>
      <c r="BC2033" s="3"/>
      <c r="BD2033" s="59"/>
      <c r="BE2033" s="3"/>
      <c r="BF2033" s="53"/>
      <c r="BG2033" s="59"/>
    </row>
    <row r="2034" spans="1:59" customFormat="1" ht="15" x14ac:dyDescent="0.35">
      <c r="A2034" s="50"/>
      <c r="B2034" s="63"/>
      <c r="C2034" s="39"/>
      <c r="D2034" s="6"/>
      <c r="E2034" s="149"/>
      <c r="F2034" s="153"/>
      <c r="G2034" s="10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5"/>
      <c r="V2034" s="5"/>
      <c r="W2034" s="13"/>
      <c r="X2034" s="4"/>
      <c r="Y2034" s="4"/>
      <c r="Z2034" s="4"/>
      <c r="AA2034" s="6"/>
      <c r="AB2034" s="5"/>
      <c r="AC2034" s="9"/>
      <c r="AD2034" s="9"/>
      <c r="AE2034" s="9"/>
      <c r="AF2034" s="9"/>
      <c r="AG2034" s="54"/>
      <c r="AH2034" s="3"/>
      <c r="AI2034" s="2"/>
      <c r="AJ2034" s="2"/>
      <c r="AK2034" s="2"/>
      <c r="AL2034" s="3"/>
      <c r="AM2034" s="3"/>
      <c r="AN2034" s="3"/>
      <c r="AO2034" s="3"/>
      <c r="AP2034" s="3"/>
      <c r="AQ2034" s="59"/>
      <c r="AR2034" s="21"/>
      <c r="AS2034" s="21"/>
      <c r="AT2034" s="3"/>
      <c r="AU2034" s="3"/>
      <c r="AV2034" s="3"/>
      <c r="AW2034" s="3"/>
      <c r="AX2034" s="3"/>
      <c r="AY2034" s="3"/>
      <c r="AZ2034" s="3"/>
      <c r="BA2034" s="3"/>
      <c r="BB2034" s="53"/>
      <c r="BC2034" s="3"/>
      <c r="BD2034" s="59"/>
      <c r="BE2034" s="3"/>
      <c r="BF2034" s="53"/>
      <c r="BG2034" s="65"/>
    </row>
    <row r="2035" spans="1:59" customFormat="1" ht="15" x14ac:dyDescent="0.35">
      <c r="A2035" s="19"/>
      <c r="B2035" s="49"/>
      <c r="C2035" s="39"/>
      <c r="D2035" s="1"/>
      <c r="E2035" s="149"/>
      <c r="F2035" s="153"/>
      <c r="G2035" s="10"/>
      <c r="H2035" s="17"/>
      <c r="I2035" s="17"/>
      <c r="J2035" s="17"/>
      <c r="K2035" s="30"/>
      <c r="L2035" s="30"/>
      <c r="M2035" s="30"/>
      <c r="N2035" s="30"/>
      <c r="O2035" s="30"/>
      <c r="P2035" s="30"/>
      <c r="Q2035" s="30"/>
      <c r="R2035" s="30"/>
      <c r="S2035" s="30"/>
      <c r="T2035" s="30"/>
      <c r="U2035" s="30"/>
      <c r="V2035" s="30"/>
      <c r="W2035" s="29"/>
      <c r="X2035" s="15"/>
      <c r="Y2035" s="30"/>
      <c r="Z2035" s="30"/>
      <c r="AA2035" s="30"/>
      <c r="AB2035" s="30"/>
      <c r="AC2035" s="17"/>
      <c r="AD2035" s="17"/>
      <c r="AE2035" s="17"/>
      <c r="AF2035" s="17"/>
      <c r="AG2035" s="20"/>
      <c r="AH2035" s="21"/>
      <c r="AI2035" s="21"/>
      <c r="AJ2035" s="21"/>
      <c r="AK2035" s="21"/>
      <c r="AL2035" s="21"/>
      <c r="AM2035" s="21"/>
      <c r="AN2035" s="21"/>
      <c r="AO2035" s="22"/>
      <c r="AP2035" s="21"/>
      <c r="AQ2035" s="24"/>
      <c r="AR2035" s="21"/>
      <c r="AS2035" s="21"/>
      <c r="AT2035" s="21"/>
      <c r="AU2035" s="21"/>
      <c r="AV2035" s="21"/>
      <c r="AW2035" s="21"/>
      <c r="AX2035" s="22"/>
      <c r="AY2035" s="21"/>
      <c r="AZ2035" s="22"/>
      <c r="BA2035" s="21"/>
      <c r="BB2035" s="20"/>
      <c r="BC2035" s="21"/>
      <c r="BD2035" s="25"/>
      <c r="BE2035" s="26"/>
      <c r="BF2035" s="27"/>
      <c r="BG2035" s="28"/>
    </row>
    <row r="2036" spans="1:59" customFormat="1" ht="15" x14ac:dyDescent="0.35">
      <c r="A2036" s="19"/>
      <c r="B2036" s="49"/>
      <c r="C2036" s="39"/>
      <c r="D2036" s="1"/>
      <c r="E2036" s="149"/>
      <c r="F2036" s="153"/>
      <c r="G2036" s="10"/>
      <c r="H2036" s="17"/>
      <c r="I2036" s="17"/>
      <c r="J2036" s="17"/>
      <c r="K2036" s="30"/>
      <c r="L2036" s="30"/>
      <c r="M2036" s="30"/>
      <c r="N2036" s="30"/>
      <c r="O2036" s="30"/>
      <c r="P2036" s="30"/>
      <c r="Q2036" s="30"/>
      <c r="R2036" s="30"/>
      <c r="S2036" s="30"/>
      <c r="T2036" s="30"/>
      <c r="U2036" s="30"/>
      <c r="V2036" s="30"/>
      <c r="W2036" s="29"/>
      <c r="X2036" s="15"/>
      <c r="Y2036" s="30"/>
      <c r="Z2036" s="30"/>
      <c r="AA2036" s="30"/>
      <c r="AB2036" s="30"/>
      <c r="AC2036" s="17"/>
      <c r="AD2036" s="17"/>
      <c r="AE2036" s="17"/>
      <c r="AF2036" s="17"/>
      <c r="AG2036" s="20"/>
      <c r="AH2036" s="21"/>
      <c r="AI2036" s="21"/>
      <c r="AJ2036" s="21"/>
      <c r="AK2036" s="21"/>
      <c r="AL2036" s="21"/>
      <c r="AM2036" s="21"/>
      <c r="AN2036" s="21"/>
      <c r="AO2036" s="22"/>
      <c r="AP2036" s="21"/>
      <c r="AQ2036" s="24"/>
      <c r="AR2036" s="21"/>
      <c r="AS2036" s="21"/>
      <c r="AT2036" s="21"/>
      <c r="AU2036" s="21"/>
      <c r="AV2036" s="21"/>
      <c r="AW2036" s="21"/>
      <c r="AX2036" s="22"/>
      <c r="AY2036" s="21"/>
      <c r="AZ2036" s="22"/>
      <c r="BA2036" s="21"/>
      <c r="BB2036" s="20"/>
      <c r="BC2036" s="21"/>
      <c r="BD2036" s="25"/>
      <c r="BE2036" s="26"/>
      <c r="BF2036" s="27"/>
      <c r="BG2036" s="28"/>
    </row>
    <row r="2037" spans="1:59" customFormat="1" ht="15" x14ac:dyDescent="0.35">
      <c r="A2037" s="19"/>
      <c r="B2037" s="49"/>
      <c r="C2037" s="14"/>
      <c r="D2037" s="1"/>
      <c r="E2037" s="149"/>
      <c r="F2037" s="153"/>
      <c r="G2037" s="10"/>
      <c r="H2037" s="17"/>
      <c r="I2037" s="17"/>
      <c r="J2037" s="17"/>
      <c r="K2037" s="30"/>
      <c r="L2037" s="30"/>
      <c r="M2037" s="30"/>
      <c r="N2037" s="30"/>
      <c r="O2037" s="30"/>
      <c r="P2037" s="30"/>
      <c r="Q2037" s="30"/>
      <c r="R2037" s="30"/>
      <c r="S2037" s="30"/>
      <c r="T2037" s="30"/>
      <c r="U2037" s="30"/>
      <c r="V2037" s="30"/>
      <c r="W2037" s="29"/>
      <c r="X2037" s="15"/>
      <c r="Y2037" s="30"/>
      <c r="Z2037" s="30"/>
      <c r="AA2037" s="30"/>
      <c r="AB2037" s="30"/>
      <c r="AC2037" s="17"/>
      <c r="AD2037" s="17"/>
      <c r="AE2037" s="17"/>
      <c r="AF2037" s="17"/>
      <c r="AG2037" s="20"/>
      <c r="AH2037" s="21"/>
      <c r="AI2037" s="21"/>
      <c r="AJ2037" s="21"/>
      <c r="AK2037" s="21"/>
      <c r="AL2037" s="21"/>
      <c r="AM2037" s="21"/>
      <c r="AN2037" s="21"/>
      <c r="AO2037" s="22"/>
      <c r="AP2037" s="21"/>
      <c r="AQ2037" s="24"/>
      <c r="AR2037" s="21"/>
      <c r="AS2037" s="21"/>
      <c r="AT2037" s="21"/>
      <c r="AU2037" s="21"/>
      <c r="AV2037" s="21"/>
      <c r="AW2037" s="21"/>
      <c r="AX2037" s="22"/>
      <c r="AY2037" s="21"/>
      <c r="AZ2037" s="22"/>
      <c r="BA2037" s="21"/>
      <c r="BB2037" s="20"/>
      <c r="BC2037" s="21"/>
      <c r="BD2037" s="25"/>
      <c r="BE2037" s="26"/>
      <c r="BF2037" s="27"/>
      <c r="BG2037" s="65"/>
    </row>
    <row r="2038" spans="1:59" customFormat="1" ht="15" x14ac:dyDescent="0.35">
      <c r="A2038" s="50"/>
      <c r="B2038" s="63"/>
      <c r="C2038" s="39"/>
      <c r="D2038" s="6"/>
      <c r="E2038" s="149"/>
      <c r="F2038" s="153"/>
      <c r="G2038" s="10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12"/>
      <c r="X2038" s="33"/>
      <c r="Y2038" s="6"/>
      <c r="Z2038" s="6"/>
      <c r="AA2038" s="6"/>
      <c r="AB2038" s="6"/>
      <c r="AC2038" s="9"/>
      <c r="AD2038" s="9"/>
      <c r="AE2038" s="9"/>
      <c r="AF2038" s="9"/>
      <c r="AG2038" s="5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59"/>
      <c r="AR2038" s="21"/>
      <c r="AS2038" s="21"/>
      <c r="AT2038" s="3"/>
      <c r="AU2038" s="3"/>
      <c r="AV2038" s="3"/>
      <c r="AW2038" s="3"/>
      <c r="AX2038" s="3"/>
      <c r="AY2038" s="3"/>
      <c r="AZ2038" s="3"/>
      <c r="BA2038" s="3"/>
      <c r="BB2038" s="53"/>
      <c r="BC2038" s="3"/>
      <c r="BD2038" s="59"/>
      <c r="BE2038" s="3"/>
      <c r="BF2038" s="53"/>
      <c r="BG2038" s="59"/>
    </row>
    <row r="2039" spans="1:59" customFormat="1" ht="15" x14ac:dyDescent="0.35">
      <c r="A2039" s="50"/>
      <c r="B2039" s="63"/>
      <c r="C2039" s="39"/>
      <c r="D2039" s="6"/>
      <c r="E2039" s="149"/>
      <c r="F2039" s="153"/>
      <c r="G2039" s="10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12"/>
      <c r="X2039" s="33"/>
      <c r="Y2039" s="6"/>
      <c r="Z2039" s="6"/>
      <c r="AA2039" s="6"/>
      <c r="AB2039" s="6"/>
      <c r="AC2039" s="9"/>
      <c r="AD2039" s="9"/>
      <c r="AE2039" s="9"/>
      <c r="AF2039" s="9"/>
      <c r="AG2039" s="5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59"/>
      <c r="AR2039" s="21"/>
      <c r="AS2039" s="21"/>
      <c r="AT2039" s="3"/>
      <c r="AU2039" s="3"/>
      <c r="AV2039" s="3"/>
      <c r="AW2039" s="3"/>
      <c r="AX2039" s="3"/>
      <c r="AY2039" s="3"/>
      <c r="AZ2039" s="3"/>
      <c r="BA2039" s="3"/>
      <c r="BB2039" s="53"/>
      <c r="BC2039" s="3"/>
      <c r="BD2039" s="59"/>
      <c r="BE2039" s="3"/>
      <c r="BF2039" s="53"/>
      <c r="BG2039" s="59"/>
    </row>
    <row r="2040" spans="1:59" customFormat="1" ht="15" x14ac:dyDescent="0.35">
      <c r="A2040" s="50"/>
      <c r="B2040" s="63"/>
      <c r="C2040" s="39"/>
      <c r="D2040" s="6"/>
      <c r="E2040" s="149"/>
      <c r="F2040" s="153"/>
      <c r="G2040" s="10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5"/>
      <c r="V2040" s="5"/>
      <c r="W2040" s="13"/>
      <c r="X2040" s="4"/>
      <c r="Y2040" s="4"/>
      <c r="Z2040" s="4"/>
      <c r="AA2040" s="6"/>
      <c r="AB2040" s="5"/>
      <c r="AC2040" s="9"/>
      <c r="AD2040" s="9"/>
      <c r="AE2040" s="9"/>
      <c r="AF2040" s="9"/>
      <c r="AG2040" s="54"/>
      <c r="AH2040" s="3"/>
      <c r="AI2040" s="2"/>
      <c r="AJ2040" s="2"/>
      <c r="AK2040" s="2"/>
      <c r="AL2040" s="3"/>
      <c r="AM2040" s="3"/>
      <c r="AN2040" s="3"/>
      <c r="AO2040" s="3"/>
      <c r="AP2040" s="3"/>
      <c r="AQ2040" s="59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53"/>
      <c r="BC2040" s="3"/>
      <c r="BD2040" s="59"/>
      <c r="BE2040" s="3"/>
      <c r="BF2040" s="53"/>
      <c r="BG2040" s="59"/>
    </row>
    <row r="2041" spans="1:59" customFormat="1" ht="15" x14ac:dyDescent="0.35">
      <c r="A2041" s="50"/>
      <c r="B2041" s="63"/>
      <c r="C2041" s="39"/>
      <c r="D2041" s="6"/>
      <c r="E2041" s="149"/>
      <c r="F2041" s="153"/>
      <c r="G2041" s="10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12"/>
      <c r="X2041" s="33"/>
      <c r="Y2041" s="6"/>
      <c r="Z2041" s="6"/>
      <c r="AA2041" s="6"/>
      <c r="AB2041" s="6"/>
      <c r="AC2041" s="9"/>
      <c r="AD2041" s="9"/>
      <c r="AE2041" s="9"/>
      <c r="AF2041" s="9"/>
      <c r="AG2041" s="5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59"/>
      <c r="AR2041" s="21"/>
      <c r="AS2041" s="21"/>
      <c r="AT2041" s="3"/>
      <c r="AU2041" s="3"/>
      <c r="AV2041" s="3"/>
      <c r="AW2041" s="3"/>
      <c r="AX2041" s="3"/>
      <c r="AY2041" s="3"/>
      <c r="AZ2041" s="3"/>
      <c r="BA2041" s="3"/>
      <c r="BB2041" s="53"/>
      <c r="BC2041" s="3"/>
      <c r="BD2041" s="59"/>
      <c r="BE2041" s="3"/>
      <c r="BF2041" s="53"/>
      <c r="BG2041" s="59"/>
    </row>
    <row r="2042" spans="1:59" customFormat="1" ht="15" x14ac:dyDescent="0.35">
      <c r="A2042" s="19"/>
      <c r="B2042" s="49"/>
      <c r="C2042" s="14"/>
      <c r="D2042" s="1"/>
      <c r="E2042" s="149"/>
      <c r="F2042" s="153"/>
      <c r="G2042" s="10"/>
      <c r="H2042" s="17"/>
      <c r="I2042" s="17"/>
      <c r="J2042" s="17"/>
      <c r="K2042" s="30"/>
      <c r="L2042" s="30"/>
      <c r="M2042" s="30"/>
      <c r="N2042" s="30"/>
      <c r="O2042" s="30"/>
      <c r="P2042" s="30"/>
      <c r="Q2042" s="30"/>
      <c r="R2042" s="30"/>
      <c r="S2042" s="30"/>
      <c r="T2042" s="30"/>
      <c r="U2042" s="30"/>
      <c r="V2042" s="30"/>
      <c r="W2042" s="29"/>
      <c r="X2042" s="15"/>
      <c r="Y2042" s="30"/>
      <c r="Z2042" s="30"/>
      <c r="AA2042" s="30"/>
      <c r="AB2042" s="30"/>
      <c r="AC2042" s="17"/>
      <c r="AD2042" s="17"/>
      <c r="AE2042" s="17"/>
      <c r="AF2042" s="17"/>
      <c r="AG2042" s="20"/>
      <c r="AH2042" s="21"/>
      <c r="AI2042" s="21"/>
      <c r="AJ2042" s="21"/>
      <c r="AK2042" s="21"/>
      <c r="AL2042" s="21"/>
      <c r="AM2042" s="21"/>
      <c r="AN2042" s="21"/>
      <c r="AO2042" s="22"/>
      <c r="AP2042" s="21"/>
      <c r="AQ2042" s="24"/>
      <c r="AR2042" s="21"/>
      <c r="AS2042" s="21"/>
      <c r="AT2042" s="21"/>
      <c r="AU2042" s="21"/>
      <c r="AV2042" s="21"/>
      <c r="AW2042" s="21"/>
      <c r="AX2042" s="22"/>
      <c r="AY2042" s="21"/>
      <c r="AZ2042" s="22"/>
      <c r="BA2042" s="21"/>
      <c r="BB2042" s="20"/>
      <c r="BC2042" s="21"/>
      <c r="BD2042" s="25"/>
      <c r="BE2042" s="26"/>
      <c r="BF2042" s="27"/>
      <c r="BG2042" s="28"/>
    </row>
    <row r="2043" spans="1:59" customFormat="1" ht="15" x14ac:dyDescent="0.35">
      <c r="A2043" s="50"/>
      <c r="B2043" s="63"/>
      <c r="C2043" s="39"/>
      <c r="D2043" s="6"/>
      <c r="E2043" s="149"/>
      <c r="F2043" s="153"/>
      <c r="G2043" s="10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12"/>
      <c r="X2043" s="33"/>
      <c r="Y2043" s="6"/>
      <c r="Z2043" s="6"/>
      <c r="AA2043" s="6"/>
      <c r="AB2043" s="6"/>
      <c r="AC2043" s="9"/>
      <c r="AD2043" s="9"/>
      <c r="AE2043" s="9"/>
      <c r="AF2043" s="9"/>
      <c r="AG2043" s="5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59"/>
      <c r="AR2043" s="21"/>
      <c r="AS2043" s="21"/>
      <c r="AT2043" s="3"/>
      <c r="AU2043" s="3"/>
      <c r="AV2043" s="3"/>
      <c r="AW2043" s="3"/>
      <c r="AX2043" s="3"/>
      <c r="AY2043" s="3"/>
      <c r="AZ2043" s="3"/>
      <c r="BA2043" s="3"/>
      <c r="BB2043" s="53"/>
      <c r="BC2043" s="3"/>
      <c r="BD2043" s="59"/>
      <c r="BE2043" s="3"/>
      <c r="BF2043" s="53"/>
      <c r="BG2043" s="59"/>
    </row>
    <row r="2044" spans="1:59" customFormat="1" ht="15" x14ac:dyDescent="0.35">
      <c r="A2044" s="50"/>
      <c r="B2044" s="63"/>
      <c r="C2044" s="39"/>
      <c r="D2044" s="6"/>
      <c r="E2044" s="149"/>
      <c r="F2044" s="153"/>
      <c r="G2044" s="10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12"/>
      <c r="X2044" s="33"/>
      <c r="Y2044" s="6"/>
      <c r="Z2044" s="6"/>
      <c r="AA2044" s="6"/>
      <c r="AB2044" s="6"/>
      <c r="AC2044" s="9"/>
      <c r="AD2044" s="9"/>
      <c r="AE2044" s="9"/>
      <c r="AF2044" s="9"/>
      <c r="AG2044" s="5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59"/>
      <c r="AR2044" s="21"/>
      <c r="AS2044" s="21"/>
      <c r="AT2044" s="3"/>
      <c r="AU2044" s="3"/>
      <c r="AV2044" s="3"/>
      <c r="AW2044" s="3"/>
      <c r="AX2044" s="3"/>
      <c r="AY2044" s="3"/>
      <c r="AZ2044" s="3"/>
      <c r="BA2044" s="3"/>
      <c r="BB2044" s="53"/>
      <c r="BC2044" s="3"/>
      <c r="BD2044" s="59"/>
      <c r="BE2044" s="3"/>
      <c r="BF2044" s="53"/>
      <c r="BG2044" s="59"/>
    </row>
    <row r="2045" spans="1:59" customFormat="1" ht="15" x14ac:dyDescent="0.35">
      <c r="A2045" s="50"/>
      <c r="B2045" s="63"/>
      <c r="C2045" s="39"/>
      <c r="D2045" s="6"/>
      <c r="E2045" s="149"/>
      <c r="F2045" s="153"/>
      <c r="G2045" s="10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5"/>
      <c r="V2045" s="5"/>
      <c r="W2045" s="13"/>
      <c r="X2045" s="4"/>
      <c r="Y2045" s="4"/>
      <c r="Z2045" s="4"/>
      <c r="AA2045" s="6"/>
      <c r="AB2045" s="5"/>
      <c r="AC2045" s="9"/>
      <c r="AD2045" s="9"/>
      <c r="AE2045" s="9"/>
      <c r="AF2045" s="9"/>
      <c r="AG2045" s="54"/>
      <c r="AH2045" s="3"/>
      <c r="AI2045" s="2"/>
      <c r="AJ2045" s="2"/>
      <c r="AK2045" s="2"/>
      <c r="AL2045" s="3"/>
      <c r="AM2045" s="3"/>
      <c r="AN2045" s="3"/>
      <c r="AO2045" s="3"/>
      <c r="AP2045" s="3"/>
      <c r="AQ2045" s="59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53"/>
      <c r="BC2045" s="3"/>
      <c r="BD2045" s="59"/>
      <c r="BE2045" s="3"/>
      <c r="BF2045" s="53"/>
      <c r="BG2045" s="59"/>
    </row>
    <row r="2046" spans="1:59" customFormat="1" ht="15" x14ac:dyDescent="0.35">
      <c r="A2046" s="50"/>
      <c r="B2046" s="63"/>
      <c r="C2046" s="39"/>
      <c r="D2046" s="6"/>
      <c r="E2046" s="149"/>
      <c r="F2046" s="153"/>
      <c r="G2046" s="10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12"/>
      <c r="X2046" s="33"/>
      <c r="Y2046" s="6"/>
      <c r="Z2046" s="6"/>
      <c r="AA2046" s="6"/>
      <c r="AB2046" s="6"/>
      <c r="AC2046" s="9"/>
      <c r="AD2046" s="9"/>
      <c r="AE2046" s="9"/>
      <c r="AF2046" s="9"/>
      <c r="AG2046" s="5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59"/>
      <c r="AR2046" s="21"/>
      <c r="AS2046" s="21"/>
      <c r="AT2046" s="3"/>
      <c r="AU2046" s="3"/>
      <c r="AV2046" s="3"/>
      <c r="AW2046" s="3"/>
      <c r="AX2046" s="3"/>
      <c r="AY2046" s="3"/>
      <c r="AZ2046" s="3"/>
      <c r="BA2046" s="3"/>
      <c r="BB2046" s="53"/>
      <c r="BC2046" s="3"/>
      <c r="BD2046" s="59"/>
      <c r="BE2046" s="3"/>
      <c r="BF2046" s="53"/>
      <c r="BG2046" s="59"/>
    </row>
    <row r="2047" spans="1:59" customFormat="1" ht="15" x14ac:dyDescent="0.35">
      <c r="A2047" s="19"/>
      <c r="B2047" s="49"/>
      <c r="C2047" s="14"/>
      <c r="D2047" s="1"/>
      <c r="E2047" s="149"/>
      <c r="F2047" s="153"/>
      <c r="G2047" s="10"/>
      <c r="H2047" s="17"/>
      <c r="I2047" s="17"/>
      <c r="J2047" s="17"/>
      <c r="K2047" s="30"/>
      <c r="L2047" s="30"/>
      <c r="M2047" s="30"/>
      <c r="N2047" s="30"/>
      <c r="O2047" s="30"/>
      <c r="P2047" s="30"/>
      <c r="Q2047" s="30"/>
      <c r="R2047" s="30"/>
      <c r="S2047" s="30"/>
      <c r="T2047" s="30"/>
      <c r="U2047" s="30"/>
      <c r="V2047" s="30"/>
      <c r="W2047" s="29"/>
      <c r="X2047" s="15"/>
      <c r="Y2047" s="30"/>
      <c r="Z2047" s="30"/>
      <c r="AA2047" s="30"/>
      <c r="AB2047" s="30"/>
      <c r="AC2047" s="17"/>
      <c r="AD2047" s="17"/>
      <c r="AE2047" s="17"/>
      <c r="AF2047" s="17"/>
      <c r="AG2047" s="20"/>
      <c r="AH2047" s="21"/>
      <c r="AI2047" s="21"/>
      <c r="AJ2047" s="21"/>
      <c r="AK2047" s="21"/>
      <c r="AL2047" s="21"/>
      <c r="AM2047" s="21"/>
      <c r="AN2047" s="21"/>
      <c r="AO2047" s="22"/>
      <c r="AP2047" s="21"/>
      <c r="AQ2047" s="24"/>
      <c r="AR2047" s="21"/>
      <c r="AS2047" s="21"/>
      <c r="AT2047" s="21"/>
      <c r="AU2047" s="21"/>
      <c r="AV2047" s="21"/>
      <c r="AW2047" s="21"/>
      <c r="AX2047" s="22"/>
      <c r="AY2047" s="21"/>
      <c r="AZ2047" s="22"/>
      <c r="BA2047" s="21"/>
      <c r="BB2047" s="20"/>
      <c r="BC2047" s="21"/>
      <c r="BD2047" s="25"/>
      <c r="BE2047" s="26"/>
      <c r="BF2047" s="27"/>
      <c r="BG2047" s="28"/>
    </row>
    <row r="2048" spans="1:59" customFormat="1" ht="15" x14ac:dyDescent="0.35">
      <c r="A2048" s="50"/>
      <c r="B2048" s="63"/>
      <c r="C2048" s="39"/>
      <c r="D2048" s="6"/>
      <c r="E2048" s="149"/>
      <c r="F2048" s="153"/>
      <c r="G2048" s="10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12"/>
      <c r="X2048" s="33"/>
      <c r="Y2048" s="6"/>
      <c r="Z2048" s="6"/>
      <c r="AA2048" s="6"/>
      <c r="AB2048" s="6"/>
      <c r="AC2048" s="9"/>
      <c r="AD2048" s="9"/>
      <c r="AE2048" s="9"/>
      <c r="AF2048" s="9"/>
      <c r="AG2048" s="5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59"/>
      <c r="AR2048" s="21"/>
      <c r="AS2048" s="21"/>
      <c r="AT2048" s="3"/>
      <c r="AU2048" s="3"/>
      <c r="AV2048" s="3"/>
      <c r="AW2048" s="3"/>
      <c r="AX2048" s="3"/>
      <c r="AY2048" s="3"/>
      <c r="AZ2048" s="3"/>
      <c r="BA2048" s="3"/>
      <c r="BB2048" s="53"/>
      <c r="BC2048" s="3"/>
      <c r="BD2048" s="59"/>
      <c r="BE2048" s="3"/>
      <c r="BF2048" s="53"/>
      <c r="BG2048" s="59"/>
    </row>
    <row r="2049" spans="1:59" customFormat="1" ht="15" x14ac:dyDescent="0.35">
      <c r="A2049" s="50"/>
      <c r="B2049" s="63"/>
      <c r="C2049" s="39"/>
      <c r="D2049" s="6"/>
      <c r="E2049" s="149"/>
      <c r="F2049" s="153"/>
      <c r="G2049" s="10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5"/>
      <c r="V2049" s="5"/>
      <c r="W2049" s="13"/>
      <c r="X2049" s="4"/>
      <c r="Y2049" s="4"/>
      <c r="Z2049" s="4"/>
      <c r="AA2049" s="6"/>
      <c r="AB2049" s="5"/>
      <c r="AC2049" s="9"/>
      <c r="AD2049" s="9"/>
      <c r="AE2049" s="9"/>
      <c r="AF2049" s="9"/>
      <c r="AG2049" s="54"/>
      <c r="AH2049" s="3"/>
      <c r="AI2049" s="2"/>
      <c r="AJ2049" s="2"/>
      <c r="AK2049" s="2"/>
      <c r="AL2049" s="3"/>
      <c r="AM2049" s="3"/>
      <c r="AN2049" s="3"/>
      <c r="AO2049" s="3"/>
      <c r="AP2049" s="3"/>
      <c r="AQ2049" s="59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53"/>
      <c r="BC2049" s="3"/>
      <c r="BD2049" s="59"/>
      <c r="BE2049" s="3"/>
      <c r="BF2049" s="53"/>
      <c r="BG2049" s="65"/>
    </row>
    <row r="2050" spans="1:59" customFormat="1" ht="15" x14ac:dyDescent="0.35">
      <c r="A2050" s="50"/>
      <c r="B2050" s="63"/>
      <c r="C2050" s="39"/>
      <c r="D2050" s="6"/>
      <c r="E2050" s="149"/>
      <c r="F2050" s="153"/>
      <c r="G2050" s="10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5"/>
      <c r="V2050" s="5"/>
      <c r="W2050" s="13"/>
      <c r="X2050" s="4"/>
      <c r="Y2050" s="4"/>
      <c r="Z2050" s="4"/>
      <c r="AA2050" s="6"/>
      <c r="AB2050" s="5"/>
      <c r="AC2050" s="9"/>
      <c r="AD2050" s="9"/>
      <c r="AE2050" s="9"/>
      <c r="AF2050" s="9"/>
      <c r="AG2050" s="54"/>
      <c r="AH2050" s="3"/>
      <c r="AI2050" s="2"/>
      <c r="AJ2050" s="2"/>
      <c r="AK2050" s="2"/>
      <c r="AL2050" s="3"/>
      <c r="AM2050" s="3"/>
      <c r="AN2050" s="3"/>
      <c r="AO2050" s="3"/>
      <c r="AP2050" s="3"/>
      <c r="AQ2050" s="59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53"/>
      <c r="BC2050" s="3"/>
      <c r="BD2050" s="59"/>
      <c r="BE2050" s="3"/>
      <c r="BF2050" s="53"/>
      <c r="BG2050" s="59"/>
    </row>
    <row r="2051" spans="1:59" customFormat="1" ht="15" x14ac:dyDescent="0.35">
      <c r="A2051" s="19"/>
      <c r="B2051" s="49"/>
      <c r="C2051" s="14"/>
      <c r="D2051" s="1"/>
      <c r="E2051" s="149"/>
      <c r="F2051" s="153"/>
      <c r="G2051" s="10"/>
      <c r="H2051" s="17"/>
      <c r="I2051" s="17"/>
      <c r="J2051" s="17"/>
      <c r="K2051" s="30"/>
      <c r="L2051" s="30"/>
      <c r="M2051" s="30"/>
      <c r="N2051" s="30"/>
      <c r="O2051" s="30"/>
      <c r="P2051" s="30"/>
      <c r="Q2051" s="30"/>
      <c r="R2051" s="30"/>
      <c r="S2051" s="30"/>
      <c r="T2051" s="30"/>
      <c r="U2051" s="30"/>
      <c r="V2051" s="30"/>
      <c r="W2051" s="29"/>
      <c r="X2051" s="15"/>
      <c r="Y2051" s="30"/>
      <c r="Z2051" s="30"/>
      <c r="AA2051" s="30"/>
      <c r="AB2051" s="30"/>
      <c r="AC2051" s="17"/>
      <c r="AD2051" s="17"/>
      <c r="AE2051" s="17"/>
      <c r="AF2051" s="17"/>
      <c r="AG2051" s="20"/>
      <c r="AH2051" s="21"/>
      <c r="AI2051" s="21"/>
      <c r="AJ2051" s="21"/>
      <c r="AK2051" s="21"/>
      <c r="AL2051" s="21"/>
      <c r="AM2051" s="21"/>
      <c r="AN2051" s="21"/>
      <c r="AO2051" s="22"/>
      <c r="AP2051" s="21"/>
      <c r="AQ2051" s="24"/>
      <c r="AR2051" s="21"/>
      <c r="AS2051" s="21"/>
      <c r="AT2051" s="21"/>
      <c r="AU2051" s="21"/>
      <c r="AV2051" s="21"/>
      <c r="AW2051" s="21"/>
      <c r="AX2051" s="22"/>
      <c r="AY2051" s="21"/>
      <c r="AZ2051" s="22"/>
      <c r="BA2051" s="21"/>
      <c r="BB2051" s="20"/>
      <c r="BC2051" s="21"/>
      <c r="BD2051" s="25"/>
      <c r="BE2051" s="26"/>
      <c r="BF2051" s="27"/>
      <c r="BG2051" s="28"/>
    </row>
    <row r="2052" spans="1:59" customFormat="1" ht="15" x14ac:dyDescent="0.35">
      <c r="A2052" s="19"/>
      <c r="B2052" s="49"/>
      <c r="C2052" s="14"/>
      <c r="D2052" s="1"/>
      <c r="E2052" s="149"/>
      <c r="F2052" s="153"/>
      <c r="G2052" s="10"/>
      <c r="H2052" s="17"/>
      <c r="I2052" s="17"/>
      <c r="J2052" s="17"/>
      <c r="K2052" s="30"/>
      <c r="L2052" s="30"/>
      <c r="M2052" s="30"/>
      <c r="N2052" s="30"/>
      <c r="O2052" s="30"/>
      <c r="P2052" s="30"/>
      <c r="Q2052" s="30"/>
      <c r="R2052" s="30"/>
      <c r="S2052" s="30"/>
      <c r="T2052" s="30"/>
      <c r="U2052" s="30"/>
      <c r="V2052" s="30"/>
      <c r="W2052" s="29"/>
      <c r="X2052" s="15"/>
      <c r="Y2052" s="30"/>
      <c r="Z2052" s="30"/>
      <c r="AA2052" s="30"/>
      <c r="AB2052" s="30"/>
      <c r="AC2052" s="17"/>
      <c r="AD2052" s="17"/>
      <c r="AE2052" s="17"/>
      <c r="AF2052" s="17"/>
      <c r="AG2052" s="20"/>
      <c r="AH2052" s="21"/>
      <c r="AI2052" s="21"/>
      <c r="AJ2052" s="21"/>
      <c r="AK2052" s="21"/>
      <c r="AL2052" s="21"/>
      <c r="AM2052" s="21"/>
      <c r="AN2052" s="21"/>
      <c r="AO2052" s="22"/>
      <c r="AP2052" s="21"/>
      <c r="AQ2052" s="24"/>
      <c r="AR2052" s="21"/>
      <c r="AS2052" s="21"/>
      <c r="AT2052" s="21"/>
      <c r="AU2052" s="21"/>
      <c r="AV2052" s="21"/>
      <c r="AW2052" s="21"/>
      <c r="AX2052" s="22"/>
      <c r="AY2052" s="21"/>
      <c r="AZ2052" s="22"/>
      <c r="BA2052" s="21"/>
      <c r="BB2052" s="20"/>
      <c r="BC2052" s="21"/>
      <c r="BD2052" s="25"/>
      <c r="BE2052" s="26"/>
      <c r="BF2052" s="27"/>
      <c r="BG2052" s="28"/>
    </row>
    <row r="2053" spans="1:59" customFormat="1" ht="15" x14ac:dyDescent="0.35">
      <c r="A2053" s="50"/>
      <c r="B2053" s="63"/>
      <c r="C2053" s="39"/>
      <c r="D2053" s="6"/>
      <c r="E2053" s="149"/>
      <c r="F2053" s="153"/>
      <c r="G2053" s="10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5"/>
      <c r="V2053" s="5"/>
      <c r="W2053" s="13"/>
      <c r="X2053" s="4"/>
      <c r="Y2053" s="4"/>
      <c r="Z2053" s="4"/>
      <c r="AA2053" s="6"/>
      <c r="AB2053" s="5"/>
      <c r="AC2053" s="9"/>
      <c r="AD2053" s="9"/>
      <c r="AE2053" s="9"/>
      <c r="AF2053" s="9"/>
      <c r="AG2053" s="54"/>
      <c r="AH2053" s="3"/>
      <c r="AI2053" s="2"/>
      <c r="AJ2053" s="2"/>
      <c r="AK2053" s="2"/>
      <c r="AL2053" s="3"/>
      <c r="AM2053" s="3"/>
      <c r="AN2053" s="3"/>
      <c r="AO2053" s="3"/>
      <c r="AP2053" s="3"/>
      <c r="AQ2053" s="59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53"/>
      <c r="BC2053" s="3"/>
      <c r="BD2053" s="59"/>
      <c r="BE2053" s="3"/>
      <c r="BF2053" s="53"/>
      <c r="BG2053" s="59"/>
    </row>
    <row r="2054" spans="1:59" customFormat="1" ht="15" x14ac:dyDescent="0.35">
      <c r="A2054" s="50"/>
      <c r="B2054" s="63"/>
      <c r="C2054" s="39"/>
      <c r="D2054" s="6"/>
      <c r="E2054" s="149"/>
      <c r="F2054" s="153"/>
      <c r="G2054" s="10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12"/>
      <c r="X2054" s="33"/>
      <c r="Y2054" s="6"/>
      <c r="Z2054" s="6"/>
      <c r="AA2054" s="6"/>
      <c r="AB2054" s="6"/>
      <c r="AC2054" s="9"/>
      <c r="AD2054" s="9"/>
      <c r="AE2054" s="9"/>
      <c r="AF2054" s="9"/>
      <c r="AG2054" s="5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59"/>
      <c r="AR2054" s="21"/>
      <c r="AS2054" s="21"/>
      <c r="AT2054" s="3"/>
      <c r="AU2054" s="3"/>
      <c r="AV2054" s="3"/>
      <c r="AW2054" s="3"/>
      <c r="AX2054" s="3"/>
      <c r="AY2054" s="3"/>
      <c r="AZ2054" s="3"/>
      <c r="BA2054" s="3"/>
      <c r="BB2054" s="53"/>
      <c r="BC2054" s="3"/>
      <c r="BD2054" s="59"/>
      <c r="BE2054" s="3"/>
      <c r="BF2054" s="53"/>
      <c r="BG2054" s="59"/>
    </row>
    <row r="2055" spans="1:59" customFormat="1" ht="15" x14ac:dyDescent="0.35">
      <c r="A2055" s="50"/>
      <c r="B2055" s="63"/>
      <c r="C2055" s="39"/>
      <c r="D2055" s="6"/>
      <c r="E2055" s="149"/>
      <c r="F2055" s="153"/>
      <c r="G2055" s="10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5"/>
      <c r="V2055" s="5"/>
      <c r="W2055" s="13"/>
      <c r="X2055" s="4"/>
      <c r="Y2055" s="4"/>
      <c r="Z2055" s="4"/>
      <c r="AA2055" s="6"/>
      <c r="AB2055" s="5"/>
      <c r="AC2055" s="9"/>
      <c r="AD2055" s="9"/>
      <c r="AE2055" s="9"/>
      <c r="AF2055" s="9"/>
      <c r="AG2055" s="54"/>
      <c r="AH2055" s="3"/>
      <c r="AI2055" s="2"/>
      <c r="AJ2055" s="2"/>
      <c r="AK2055" s="2"/>
      <c r="AL2055" s="3"/>
      <c r="AM2055" s="3"/>
      <c r="AN2055" s="3"/>
      <c r="AO2055" s="3"/>
      <c r="AP2055" s="3"/>
      <c r="AQ2055" s="59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53"/>
      <c r="BC2055" s="3"/>
      <c r="BD2055" s="59"/>
      <c r="BE2055" s="3"/>
      <c r="BF2055" s="53"/>
      <c r="BG2055" s="59"/>
    </row>
    <row r="2056" spans="1:59" customFormat="1" ht="15" x14ac:dyDescent="0.35">
      <c r="A2056" s="19"/>
      <c r="B2056" s="49"/>
      <c r="C2056" s="14"/>
      <c r="D2056" s="1"/>
      <c r="E2056" s="149"/>
      <c r="F2056" s="153"/>
      <c r="G2056" s="10"/>
      <c r="H2056" s="17"/>
      <c r="I2056" s="17"/>
      <c r="J2056" s="17"/>
      <c r="K2056" s="30"/>
      <c r="L2056" s="30"/>
      <c r="M2056" s="30"/>
      <c r="N2056" s="30"/>
      <c r="O2056" s="30"/>
      <c r="P2056" s="30"/>
      <c r="Q2056" s="30"/>
      <c r="R2056" s="30"/>
      <c r="S2056" s="30"/>
      <c r="T2056" s="30"/>
      <c r="U2056" s="30"/>
      <c r="V2056" s="30"/>
      <c r="W2056" s="29"/>
      <c r="X2056" s="15"/>
      <c r="Y2056" s="30"/>
      <c r="Z2056" s="30"/>
      <c r="AA2056" s="30"/>
      <c r="AB2056" s="30"/>
      <c r="AC2056" s="17"/>
      <c r="AD2056" s="17"/>
      <c r="AE2056" s="17"/>
      <c r="AF2056" s="17"/>
      <c r="AG2056" s="20"/>
      <c r="AH2056" s="21"/>
      <c r="AI2056" s="21"/>
      <c r="AJ2056" s="21"/>
      <c r="AK2056" s="21"/>
      <c r="AL2056" s="21"/>
      <c r="AM2056" s="21"/>
      <c r="AN2056" s="21"/>
      <c r="AO2056" s="22"/>
      <c r="AP2056" s="21"/>
      <c r="AQ2056" s="24"/>
      <c r="AR2056" s="21"/>
      <c r="AS2056" s="21"/>
      <c r="AT2056" s="21"/>
      <c r="AU2056" s="21"/>
      <c r="AV2056" s="21"/>
      <c r="AW2056" s="21"/>
      <c r="AX2056" s="22"/>
      <c r="AY2056" s="21"/>
      <c r="AZ2056" s="22"/>
      <c r="BA2056" s="21"/>
      <c r="BB2056" s="20"/>
      <c r="BC2056" s="21"/>
      <c r="BD2056" s="25"/>
      <c r="BE2056" s="26"/>
      <c r="BF2056" s="27"/>
      <c r="BG2056" s="28"/>
    </row>
    <row r="2057" spans="1:59" customFormat="1" ht="15" x14ac:dyDescent="0.35">
      <c r="A2057" s="50"/>
      <c r="B2057" s="63"/>
      <c r="C2057" s="39"/>
      <c r="D2057" s="6"/>
      <c r="E2057" s="149"/>
      <c r="F2057" s="153"/>
      <c r="G2057" s="10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12"/>
      <c r="X2057" s="33"/>
      <c r="Y2057" s="6"/>
      <c r="Z2057" s="6"/>
      <c r="AA2057" s="6"/>
      <c r="AB2057" s="6"/>
      <c r="AC2057" s="9"/>
      <c r="AD2057" s="9"/>
      <c r="AE2057" s="9"/>
      <c r="AF2057" s="9"/>
      <c r="AG2057" s="5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59"/>
      <c r="AR2057" s="21"/>
      <c r="AS2057" s="21"/>
      <c r="AT2057" s="3"/>
      <c r="AU2057" s="3"/>
      <c r="AV2057" s="3"/>
      <c r="AW2057" s="3"/>
      <c r="AX2057" s="3"/>
      <c r="AY2057" s="3"/>
      <c r="AZ2057" s="3"/>
      <c r="BA2057" s="3"/>
      <c r="BB2057" s="53"/>
      <c r="BC2057" s="3"/>
      <c r="BD2057" s="59"/>
      <c r="BE2057" s="3"/>
      <c r="BF2057" s="53"/>
      <c r="BG2057" s="59"/>
    </row>
    <row r="2058" spans="1:59" customFormat="1" ht="15" x14ac:dyDescent="0.35">
      <c r="A2058" s="19"/>
      <c r="B2058" s="49"/>
      <c r="C2058" s="14"/>
      <c r="D2058" s="1"/>
      <c r="E2058" s="149"/>
      <c r="F2058" s="153"/>
      <c r="G2058" s="10"/>
      <c r="H2058" s="17"/>
      <c r="I2058" s="17"/>
      <c r="J2058" s="17"/>
      <c r="K2058" s="30"/>
      <c r="L2058" s="30"/>
      <c r="M2058" s="30"/>
      <c r="N2058" s="30"/>
      <c r="O2058" s="30"/>
      <c r="P2058" s="30"/>
      <c r="Q2058" s="30"/>
      <c r="R2058" s="30"/>
      <c r="S2058" s="30"/>
      <c r="T2058" s="30"/>
      <c r="U2058" s="30"/>
      <c r="V2058" s="30"/>
      <c r="W2058" s="29"/>
      <c r="X2058" s="15"/>
      <c r="Y2058" s="30"/>
      <c r="Z2058" s="30"/>
      <c r="AA2058" s="30"/>
      <c r="AB2058" s="30"/>
      <c r="AC2058" s="17"/>
      <c r="AD2058" s="17"/>
      <c r="AE2058" s="17"/>
      <c r="AF2058" s="17"/>
      <c r="AG2058" s="20"/>
      <c r="AH2058" s="21"/>
      <c r="AI2058" s="21"/>
      <c r="AJ2058" s="21"/>
      <c r="AK2058" s="21"/>
      <c r="AL2058" s="21"/>
      <c r="AM2058" s="21"/>
      <c r="AN2058" s="21"/>
      <c r="AO2058" s="22"/>
      <c r="AP2058" s="21"/>
      <c r="AQ2058" s="24"/>
      <c r="AR2058" s="21"/>
      <c r="AS2058" s="21"/>
      <c r="AT2058" s="21"/>
      <c r="AU2058" s="21"/>
      <c r="AV2058" s="21"/>
      <c r="AW2058" s="21"/>
      <c r="AX2058" s="22"/>
      <c r="AY2058" s="21"/>
      <c r="AZ2058" s="22"/>
      <c r="BA2058" s="21"/>
      <c r="BB2058" s="20"/>
      <c r="BC2058" s="21"/>
      <c r="BD2058" s="25"/>
      <c r="BE2058" s="26"/>
      <c r="BF2058" s="27"/>
      <c r="BG2058" s="28"/>
    </row>
    <row r="2059" spans="1:59" customFormat="1" ht="15" x14ac:dyDescent="0.35">
      <c r="A2059" s="50"/>
      <c r="B2059" s="63"/>
      <c r="C2059" s="39"/>
      <c r="D2059" s="6"/>
      <c r="E2059" s="149"/>
      <c r="F2059" s="153"/>
      <c r="G2059" s="10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5"/>
      <c r="V2059" s="5"/>
      <c r="W2059" s="13"/>
      <c r="X2059" s="4"/>
      <c r="Y2059" s="4"/>
      <c r="Z2059" s="4"/>
      <c r="AA2059" s="6"/>
      <c r="AB2059" s="5"/>
      <c r="AC2059" s="9"/>
      <c r="AD2059" s="9"/>
      <c r="AE2059" s="9"/>
      <c r="AF2059" s="9"/>
      <c r="AG2059" s="54"/>
      <c r="AH2059" s="3"/>
      <c r="AI2059" s="2"/>
      <c r="AJ2059" s="2"/>
      <c r="AK2059" s="2"/>
      <c r="AL2059" s="3"/>
      <c r="AM2059" s="3"/>
      <c r="AN2059" s="3"/>
      <c r="AO2059" s="3"/>
      <c r="AP2059" s="3"/>
      <c r="AQ2059" s="59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53"/>
      <c r="BC2059" s="3"/>
      <c r="BD2059" s="59"/>
      <c r="BE2059" s="3"/>
      <c r="BF2059" s="53"/>
      <c r="BG2059" s="59"/>
    </row>
    <row r="2060" spans="1:59" customFormat="1" ht="15" x14ac:dyDescent="0.35">
      <c r="A2060" s="19"/>
      <c r="B2060" s="49"/>
      <c r="C2060" s="39"/>
      <c r="D2060" s="1"/>
      <c r="E2060" s="149"/>
      <c r="F2060" s="153"/>
      <c r="G2060" s="10"/>
      <c r="H2060" s="17"/>
      <c r="I2060" s="17"/>
      <c r="J2060" s="17"/>
      <c r="K2060" s="30"/>
      <c r="L2060" s="30"/>
      <c r="M2060" s="30"/>
      <c r="N2060" s="30"/>
      <c r="O2060" s="30"/>
      <c r="P2060" s="30"/>
      <c r="Q2060" s="30"/>
      <c r="R2060" s="30"/>
      <c r="S2060" s="30"/>
      <c r="T2060" s="30"/>
      <c r="U2060" s="30"/>
      <c r="V2060" s="30"/>
      <c r="W2060" s="29"/>
      <c r="X2060" s="15"/>
      <c r="Y2060" s="30"/>
      <c r="Z2060" s="30"/>
      <c r="AA2060" s="30"/>
      <c r="AB2060" s="30"/>
      <c r="AC2060" s="17"/>
      <c r="AD2060" s="17"/>
      <c r="AE2060" s="17"/>
      <c r="AF2060" s="17"/>
      <c r="AG2060" s="20"/>
      <c r="AH2060" s="21"/>
      <c r="AI2060" s="21"/>
      <c r="AJ2060" s="21"/>
      <c r="AK2060" s="21"/>
      <c r="AL2060" s="21"/>
      <c r="AM2060" s="21"/>
      <c r="AN2060" s="21"/>
      <c r="AO2060" s="22"/>
      <c r="AP2060" s="21"/>
      <c r="AQ2060" s="24"/>
      <c r="AR2060" s="21"/>
      <c r="AS2060" s="21"/>
      <c r="AT2060" s="21"/>
      <c r="AU2060" s="21"/>
      <c r="AV2060" s="21"/>
      <c r="AW2060" s="21"/>
      <c r="AX2060" s="22"/>
      <c r="AY2060" s="21"/>
      <c r="AZ2060" s="22"/>
      <c r="BA2060" s="21"/>
      <c r="BB2060" s="20"/>
      <c r="BC2060" s="21"/>
      <c r="BD2060" s="25"/>
      <c r="BE2060" s="26"/>
      <c r="BF2060" s="27"/>
      <c r="BG2060" s="65"/>
    </row>
    <row r="2061" spans="1:59" customFormat="1" ht="15" x14ac:dyDescent="0.35">
      <c r="A2061" s="19"/>
      <c r="B2061" s="49"/>
      <c r="C2061" s="14"/>
      <c r="D2061" s="1"/>
      <c r="E2061" s="149"/>
      <c r="F2061" s="153"/>
      <c r="G2061" s="10"/>
      <c r="H2061" s="17"/>
      <c r="I2061" s="17"/>
      <c r="J2061" s="17"/>
      <c r="K2061" s="30"/>
      <c r="L2061" s="30"/>
      <c r="M2061" s="30"/>
      <c r="N2061" s="30"/>
      <c r="O2061" s="30"/>
      <c r="P2061" s="30"/>
      <c r="Q2061" s="30"/>
      <c r="R2061" s="30"/>
      <c r="S2061" s="30"/>
      <c r="T2061" s="30"/>
      <c r="U2061" s="30"/>
      <c r="V2061" s="30"/>
      <c r="W2061" s="29"/>
      <c r="X2061" s="15"/>
      <c r="Y2061" s="30"/>
      <c r="Z2061" s="30"/>
      <c r="AA2061" s="30"/>
      <c r="AB2061" s="30"/>
      <c r="AC2061" s="17"/>
      <c r="AD2061" s="17"/>
      <c r="AE2061" s="17"/>
      <c r="AF2061" s="17"/>
      <c r="AG2061" s="20"/>
      <c r="AH2061" s="21"/>
      <c r="AI2061" s="21"/>
      <c r="AJ2061" s="21"/>
      <c r="AK2061" s="21"/>
      <c r="AL2061" s="21"/>
      <c r="AM2061" s="21"/>
      <c r="AN2061" s="21"/>
      <c r="AO2061" s="22"/>
      <c r="AP2061" s="21"/>
      <c r="AQ2061" s="24"/>
      <c r="AR2061" s="21"/>
      <c r="AS2061" s="21"/>
      <c r="AT2061" s="21"/>
      <c r="AU2061" s="21"/>
      <c r="AV2061" s="21"/>
      <c r="AW2061" s="21"/>
      <c r="AX2061" s="22"/>
      <c r="AY2061" s="21"/>
      <c r="AZ2061" s="22"/>
      <c r="BA2061" s="21"/>
      <c r="BB2061" s="20"/>
      <c r="BC2061" s="21"/>
      <c r="BD2061" s="25"/>
      <c r="BE2061" s="26"/>
      <c r="BF2061" s="27"/>
      <c r="BG2061" s="65"/>
    </row>
    <row r="2062" spans="1:59" customFormat="1" ht="15" x14ac:dyDescent="0.35">
      <c r="A2062" s="19"/>
      <c r="B2062" s="49"/>
      <c r="C2062" s="14"/>
      <c r="D2062" s="1"/>
      <c r="E2062" s="149"/>
      <c r="F2062" s="153"/>
      <c r="G2062" s="10"/>
      <c r="H2062" s="17"/>
      <c r="I2062" s="17"/>
      <c r="J2062" s="17"/>
      <c r="K2062" s="30"/>
      <c r="L2062" s="30"/>
      <c r="M2062" s="30"/>
      <c r="N2062" s="30"/>
      <c r="O2062" s="30"/>
      <c r="P2062" s="30"/>
      <c r="Q2062" s="30"/>
      <c r="R2062" s="30"/>
      <c r="S2062" s="30"/>
      <c r="T2062" s="30"/>
      <c r="U2062" s="30"/>
      <c r="V2062" s="30"/>
      <c r="W2062" s="29"/>
      <c r="X2062" s="15"/>
      <c r="Y2062" s="30"/>
      <c r="Z2062" s="30"/>
      <c r="AA2062" s="30"/>
      <c r="AB2062" s="30"/>
      <c r="AC2062" s="17"/>
      <c r="AD2062" s="17"/>
      <c r="AE2062" s="17"/>
      <c r="AF2062" s="17"/>
      <c r="AG2062" s="20"/>
      <c r="AH2062" s="21"/>
      <c r="AI2062" s="21"/>
      <c r="AJ2062" s="21"/>
      <c r="AK2062" s="21"/>
      <c r="AL2062" s="21"/>
      <c r="AM2062" s="21"/>
      <c r="AN2062" s="21"/>
      <c r="AO2062" s="22"/>
      <c r="AP2062" s="21"/>
      <c r="AQ2062" s="24"/>
      <c r="AR2062" s="21"/>
      <c r="AS2062" s="21"/>
      <c r="AT2062" s="21"/>
      <c r="AU2062" s="21"/>
      <c r="AV2062" s="21"/>
      <c r="AW2062" s="21"/>
      <c r="AX2062" s="22"/>
      <c r="AY2062" s="21"/>
      <c r="AZ2062" s="22"/>
      <c r="BA2062" s="21"/>
      <c r="BB2062" s="20"/>
      <c r="BC2062" s="21"/>
      <c r="BD2062" s="25"/>
      <c r="BE2062" s="26"/>
      <c r="BF2062" s="27"/>
      <c r="BG2062" s="28"/>
    </row>
    <row r="2063" spans="1:59" customFormat="1" ht="15" x14ac:dyDescent="0.35">
      <c r="A2063" s="19"/>
      <c r="B2063" s="49"/>
      <c r="C2063" s="14"/>
      <c r="D2063" s="6"/>
      <c r="E2063" s="149"/>
      <c r="F2063" s="153"/>
      <c r="G2063" s="10"/>
      <c r="H2063" s="17"/>
      <c r="I2063" s="17"/>
      <c r="J2063" s="17"/>
      <c r="K2063" s="30"/>
      <c r="L2063" s="30"/>
      <c r="M2063" s="30"/>
      <c r="N2063" s="30"/>
      <c r="O2063" s="30"/>
      <c r="P2063" s="30"/>
      <c r="Q2063" s="30"/>
      <c r="R2063" s="30"/>
      <c r="S2063" s="30"/>
      <c r="T2063" s="30"/>
      <c r="U2063" s="30"/>
      <c r="V2063" s="30"/>
      <c r="W2063" s="29"/>
      <c r="X2063" s="15"/>
      <c r="Y2063" s="30"/>
      <c r="Z2063" s="30"/>
      <c r="AA2063" s="30"/>
      <c r="AB2063" s="30"/>
      <c r="AC2063" s="17"/>
      <c r="AD2063" s="17"/>
      <c r="AE2063" s="17"/>
      <c r="AF2063" s="17"/>
      <c r="AG2063" s="20"/>
      <c r="AH2063" s="21"/>
      <c r="AI2063" s="21"/>
      <c r="AJ2063" s="21"/>
      <c r="AK2063" s="21"/>
      <c r="AL2063" s="21"/>
      <c r="AM2063" s="21"/>
      <c r="AN2063" s="21"/>
      <c r="AO2063" s="22"/>
      <c r="AP2063" s="21"/>
      <c r="AQ2063" s="24"/>
      <c r="AR2063" s="21"/>
      <c r="AS2063" s="21"/>
      <c r="AT2063" s="21"/>
      <c r="AU2063" s="21"/>
      <c r="AV2063" s="21"/>
      <c r="AW2063" s="21"/>
      <c r="AX2063" s="22"/>
      <c r="AY2063" s="21"/>
      <c r="AZ2063" s="22"/>
      <c r="BA2063" s="21"/>
      <c r="BB2063" s="20"/>
      <c r="BC2063" s="21"/>
      <c r="BD2063" s="25"/>
      <c r="BE2063" s="26"/>
      <c r="BF2063" s="27"/>
      <c r="BG2063" s="28"/>
    </row>
    <row r="2064" spans="1:59" customFormat="1" ht="15" x14ac:dyDescent="0.35">
      <c r="A2064" s="50"/>
      <c r="B2064" s="63"/>
      <c r="C2064" s="39"/>
      <c r="D2064" s="6"/>
      <c r="E2064" s="149"/>
      <c r="F2064" s="153"/>
      <c r="G2064" s="10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5"/>
      <c r="V2064" s="5"/>
      <c r="W2064" s="13"/>
      <c r="X2064" s="4"/>
      <c r="Y2064" s="4"/>
      <c r="Z2064" s="4"/>
      <c r="AA2064" s="6"/>
      <c r="AB2064" s="5"/>
      <c r="AC2064" s="9"/>
      <c r="AD2064" s="9"/>
      <c r="AE2064" s="9"/>
      <c r="AF2064" s="9"/>
      <c r="AG2064" s="54"/>
      <c r="AH2064" s="3"/>
      <c r="AI2064" s="2"/>
      <c r="AJ2064" s="2"/>
      <c r="AK2064" s="2"/>
      <c r="AL2064" s="3"/>
      <c r="AM2064" s="3"/>
      <c r="AN2064" s="3"/>
      <c r="AO2064" s="3"/>
      <c r="AP2064" s="3"/>
      <c r="AQ2064" s="59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53"/>
      <c r="BC2064" s="3"/>
      <c r="BD2064" s="59"/>
      <c r="BE2064" s="3"/>
      <c r="BF2064" s="53"/>
      <c r="BG2064" s="59"/>
    </row>
    <row r="2065" spans="1:59" customFormat="1" ht="15" x14ac:dyDescent="0.35">
      <c r="A2065" s="19"/>
      <c r="B2065" s="49"/>
      <c r="C2065" s="14"/>
      <c r="D2065" s="1"/>
      <c r="E2065" s="149"/>
      <c r="F2065" s="153"/>
      <c r="G2065" s="10"/>
      <c r="H2065" s="17"/>
      <c r="I2065" s="17"/>
      <c r="J2065" s="17"/>
      <c r="K2065" s="30"/>
      <c r="L2065" s="30"/>
      <c r="M2065" s="30"/>
      <c r="N2065" s="30"/>
      <c r="O2065" s="30"/>
      <c r="P2065" s="30"/>
      <c r="Q2065" s="30"/>
      <c r="R2065" s="30"/>
      <c r="S2065" s="30"/>
      <c r="T2065" s="30"/>
      <c r="U2065" s="30"/>
      <c r="V2065" s="30"/>
      <c r="W2065" s="29"/>
      <c r="X2065" s="15"/>
      <c r="Y2065" s="30"/>
      <c r="Z2065" s="30"/>
      <c r="AA2065" s="30"/>
      <c r="AB2065" s="30"/>
      <c r="AC2065" s="17"/>
      <c r="AD2065" s="17"/>
      <c r="AE2065" s="17"/>
      <c r="AF2065" s="17"/>
      <c r="AG2065" s="20"/>
      <c r="AH2065" s="21"/>
      <c r="AI2065" s="21"/>
      <c r="AJ2065" s="21"/>
      <c r="AK2065" s="21"/>
      <c r="AL2065" s="21"/>
      <c r="AM2065" s="21"/>
      <c r="AN2065" s="21"/>
      <c r="AO2065" s="22"/>
      <c r="AP2065" s="21"/>
      <c r="AQ2065" s="24"/>
      <c r="AR2065" s="21"/>
      <c r="AS2065" s="21"/>
      <c r="AT2065" s="21"/>
      <c r="AU2065" s="21"/>
      <c r="AV2065" s="21"/>
      <c r="AW2065" s="21"/>
      <c r="AX2065" s="22"/>
      <c r="AY2065" s="21"/>
      <c r="AZ2065" s="22"/>
      <c r="BA2065" s="21"/>
      <c r="BB2065" s="20"/>
      <c r="BC2065" s="21"/>
      <c r="BD2065" s="25"/>
      <c r="BE2065" s="26"/>
      <c r="BF2065" s="27"/>
      <c r="BG2065" s="28"/>
    </row>
    <row r="2066" spans="1:59" customFormat="1" ht="15" x14ac:dyDescent="0.35">
      <c r="A2066" s="50"/>
      <c r="B2066" s="63"/>
      <c r="C2066" s="39"/>
      <c r="D2066" s="6"/>
      <c r="E2066" s="149"/>
      <c r="F2066" s="153"/>
      <c r="G2066" s="10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5"/>
      <c r="V2066" s="5"/>
      <c r="W2066" s="13"/>
      <c r="X2066" s="4"/>
      <c r="Y2066" s="4"/>
      <c r="Z2066" s="4"/>
      <c r="AA2066" s="6"/>
      <c r="AB2066" s="5"/>
      <c r="AC2066" s="9"/>
      <c r="AD2066" s="9"/>
      <c r="AE2066" s="9"/>
      <c r="AF2066" s="9"/>
      <c r="AG2066" s="54"/>
      <c r="AH2066" s="3"/>
      <c r="AI2066" s="2"/>
      <c r="AJ2066" s="2"/>
      <c r="AK2066" s="2"/>
      <c r="AL2066" s="3"/>
      <c r="AM2066" s="3"/>
      <c r="AN2066" s="3"/>
      <c r="AO2066" s="3"/>
      <c r="AP2066" s="3"/>
      <c r="AQ2066" s="59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53"/>
      <c r="BC2066" s="3"/>
      <c r="BD2066" s="59"/>
      <c r="BE2066" s="3"/>
      <c r="BF2066" s="53"/>
      <c r="BG2066" s="59"/>
    </row>
    <row r="2067" spans="1:59" customFormat="1" ht="15" x14ac:dyDescent="0.35">
      <c r="A2067" s="19"/>
      <c r="B2067" s="49"/>
      <c r="C2067" s="14"/>
      <c r="D2067" s="1"/>
      <c r="E2067" s="149"/>
      <c r="F2067" s="153"/>
      <c r="G2067" s="10"/>
      <c r="H2067" s="17"/>
      <c r="I2067" s="17"/>
      <c r="J2067" s="17"/>
      <c r="K2067" s="30"/>
      <c r="L2067" s="30"/>
      <c r="M2067" s="30"/>
      <c r="N2067" s="30"/>
      <c r="O2067" s="30"/>
      <c r="P2067" s="30"/>
      <c r="Q2067" s="30"/>
      <c r="R2067" s="30"/>
      <c r="S2067" s="30"/>
      <c r="T2067" s="30"/>
      <c r="U2067" s="30"/>
      <c r="V2067" s="30"/>
      <c r="W2067" s="29"/>
      <c r="X2067" s="15"/>
      <c r="Y2067" s="30"/>
      <c r="Z2067" s="30"/>
      <c r="AA2067" s="30"/>
      <c r="AB2067" s="30"/>
      <c r="AC2067" s="17"/>
      <c r="AD2067" s="17"/>
      <c r="AE2067" s="17"/>
      <c r="AF2067" s="17"/>
      <c r="AG2067" s="20"/>
      <c r="AH2067" s="21"/>
      <c r="AI2067" s="21"/>
      <c r="AJ2067" s="21"/>
      <c r="AK2067" s="21"/>
      <c r="AL2067" s="21"/>
      <c r="AM2067" s="21"/>
      <c r="AN2067" s="21"/>
      <c r="AO2067" s="22"/>
      <c r="AP2067" s="21"/>
      <c r="AQ2067" s="24"/>
      <c r="AR2067" s="21"/>
      <c r="AS2067" s="21"/>
      <c r="AT2067" s="21"/>
      <c r="AU2067" s="21"/>
      <c r="AV2067" s="21"/>
      <c r="AW2067" s="21"/>
      <c r="AX2067" s="22"/>
      <c r="AY2067" s="21"/>
      <c r="AZ2067" s="22"/>
      <c r="BA2067" s="21"/>
      <c r="BB2067" s="20"/>
      <c r="BC2067" s="21"/>
      <c r="BD2067" s="25"/>
      <c r="BE2067" s="26"/>
      <c r="BF2067" s="27"/>
      <c r="BG2067" s="28"/>
    </row>
    <row r="2068" spans="1:59" customFormat="1" ht="15" x14ac:dyDescent="0.35">
      <c r="A2068" s="50"/>
      <c r="B2068" s="63"/>
      <c r="C2068" s="39"/>
      <c r="D2068" s="6"/>
      <c r="E2068" s="149"/>
      <c r="F2068" s="153"/>
      <c r="G2068" s="10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12"/>
      <c r="X2068" s="33"/>
      <c r="Y2068" s="6"/>
      <c r="Z2068" s="6"/>
      <c r="AA2068" s="6"/>
      <c r="AB2068" s="6"/>
      <c r="AC2068" s="9"/>
      <c r="AD2068" s="9"/>
      <c r="AE2068" s="9"/>
      <c r="AF2068" s="9"/>
      <c r="AG2068" s="5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59"/>
      <c r="AR2068" s="21"/>
      <c r="AS2068" s="21"/>
      <c r="AT2068" s="3"/>
      <c r="AU2068" s="3"/>
      <c r="AV2068" s="3"/>
      <c r="AW2068" s="3"/>
      <c r="AX2068" s="3"/>
      <c r="AY2068" s="3"/>
      <c r="AZ2068" s="3"/>
      <c r="BA2068" s="3"/>
      <c r="BB2068" s="53"/>
      <c r="BC2068" s="3"/>
      <c r="BD2068" s="59"/>
      <c r="BE2068" s="3"/>
      <c r="BF2068" s="53"/>
      <c r="BG2068" s="59"/>
    </row>
    <row r="2069" spans="1:59" customFormat="1" ht="15" x14ac:dyDescent="0.35">
      <c r="A2069" s="50"/>
      <c r="B2069" s="63"/>
      <c r="C2069" s="39"/>
      <c r="D2069" s="6"/>
      <c r="E2069" s="149"/>
      <c r="F2069" s="153"/>
      <c r="G2069" s="10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5"/>
      <c r="V2069" s="5"/>
      <c r="W2069" s="13"/>
      <c r="X2069" s="4"/>
      <c r="Y2069" s="4"/>
      <c r="Z2069" s="4"/>
      <c r="AA2069" s="6"/>
      <c r="AB2069" s="5"/>
      <c r="AC2069" s="9"/>
      <c r="AD2069" s="9"/>
      <c r="AE2069" s="9"/>
      <c r="AF2069" s="9"/>
      <c r="AG2069" s="54"/>
      <c r="AH2069" s="3"/>
      <c r="AI2069" s="2"/>
      <c r="AJ2069" s="2"/>
      <c r="AK2069" s="2"/>
      <c r="AL2069" s="3"/>
      <c r="AM2069" s="3"/>
      <c r="AN2069" s="3"/>
      <c r="AO2069" s="3"/>
      <c r="AP2069" s="3"/>
      <c r="AQ2069" s="59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53"/>
      <c r="BC2069" s="3"/>
      <c r="BD2069" s="59"/>
      <c r="BE2069" s="3"/>
      <c r="BF2069" s="53"/>
      <c r="BG2069" s="59"/>
    </row>
    <row r="2070" spans="1:59" customFormat="1" ht="15" x14ac:dyDescent="0.35">
      <c r="A2070" s="50"/>
      <c r="B2070" s="63"/>
      <c r="C2070" s="39"/>
      <c r="D2070" s="6"/>
      <c r="E2070" s="149"/>
      <c r="F2070" s="153"/>
      <c r="G2070" s="10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12"/>
      <c r="X2070" s="33"/>
      <c r="Y2070" s="6"/>
      <c r="Z2070" s="6"/>
      <c r="AA2070" s="6"/>
      <c r="AB2070" s="6"/>
      <c r="AC2070" s="9"/>
      <c r="AD2070" s="9"/>
      <c r="AE2070" s="9"/>
      <c r="AF2070" s="9"/>
      <c r="AG2070" s="5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59"/>
      <c r="AR2070" s="21"/>
      <c r="AS2070" s="21"/>
      <c r="AT2070" s="3"/>
      <c r="AU2070" s="3"/>
      <c r="AV2070" s="3"/>
      <c r="AW2070" s="3"/>
      <c r="AX2070" s="3"/>
      <c r="AY2070" s="3"/>
      <c r="AZ2070" s="3"/>
      <c r="BA2070" s="3"/>
      <c r="BB2070" s="53"/>
      <c r="BC2070" s="3"/>
      <c r="BD2070" s="59"/>
      <c r="BE2070" s="3"/>
      <c r="BF2070" s="53"/>
      <c r="BG2070" s="59"/>
    </row>
    <row r="2071" spans="1:59" customFormat="1" ht="15" x14ac:dyDescent="0.35">
      <c r="A2071" s="50"/>
      <c r="B2071" s="63"/>
      <c r="C2071" s="39"/>
      <c r="D2071" s="6"/>
      <c r="E2071" s="149"/>
      <c r="F2071" s="153"/>
      <c r="G2071" s="10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12"/>
      <c r="X2071" s="33"/>
      <c r="Y2071" s="6"/>
      <c r="Z2071" s="6"/>
      <c r="AA2071" s="6"/>
      <c r="AB2071" s="6"/>
      <c r="AC2071" s="9"/>
      <c r="AD2071" s="9"/>
      <c r="AE2071" s="9"/>
      <c r="AF2071" s="9"/>
      <c r="AG2071" s="5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59"/>
      <c r="AR2071" s="21"/>
      <c r="AS2071" s="21"/>
      <c r="AT2071" s="3"/>
      <c r="AU2071" s="3"/>
      <c r="AV2071" s="3"/>
      <c r="AW2071" s="3"/>
      <c r="AX2071" s="3"/>
      <c r="AY2071" s="3"/>
      <c r="AZ2071" s="3"/>
      <c r="BA2071" s="3"/>
      <c r="BB2071" s="53"/>
      <c r="BC2071" s="3"/>
      <c r="BD2071" s="59"/>
      <c r="BE2071" s="3"/>
      <c r="BF2071" s="53"/>
      <c r="BG2071" s="59"/>
    </row>
    <row r="2072" spans="1:59" customFormat="1" ht="15" x14ac:dyDescent="0.35">
      <c r="A2072" s="50"/>
      <c r="B2072" s="63"/>
      <c r="C2072" s="39"/>
      <c r="D2072" s="6"/>
      <c r="E2072" s="149"/>
      <c r="F2072" s="153"/>
      <c r="G2072" s="10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12"/>
      <c r="X2072" s="33"/>
      <c r="Y2072" s="6"/>
      <c r="Z2072" s="6"/>
      <c r="AA2072" s="6"/>
      <c r="AB2072" s="6"/>
      <c r="AC2072" s="9"/>
      <c r="AD2072" s="9"/>
      <c r="AE2072" s="9"/>
      <c r="AF2072" s="9"/>
      <c r="AG2072" s="5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59"/>
      <c r="AR2072" s="21"/>
      <c r="AS2072" s="21"/>
      <c r="AT2072" s="3"/>
      <c r="AU2072" s="3"/>
      <c r="AV2072" s="3"/>
      <c r="AW2072" s="3"/>
      <c r="AX2072" s="3"/>
      <c r="AY2072" s="3"/>
      <c r="AZ2072" s="3"/>
      <c r="BA2072" s="3"/>
      <c r="BB2072" s="53"/>
      <c r="BC2072" s="3"/>
      <c r="BD2072" s="59"/>
      <c r="BE2072" s="3"/>
      <c r="BF2072" s="53"/>
      <c r="BG2072" s="59"/>
    </row>
    <row r="2073" spans="1:59" customFormat="1" ht="15" x14ac:dyDescent="0.35">
      <c r="A2073" s="50"/>
      <c r="B2073" s="63"/>
      <c r="C2073" s="39"/>
      <c r="D2073" s="6"/>
      <c r="E2073" s="149"/>
      <c r="F2073" s="153"/>
      <c r="G2073" s="10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12"/>
      <c r="X2073" s="33"/>
      <c r="Y2073" s="6"/>
      <c r="Z2073" s="6"/>
      <c r="AA2073" s="6"/>
      <c r="AB2073" s="6"/>
      <c r="AC2073" s="9"/>
      <c r="AD2073" s="9"/>
      <c r="AE2073" s="9"/>
      <c r="AF2073" s="9"/>
      <c r="AG2073" s="5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59"/>
      <c r="AR2073" s="21"/>
      <c r="AS2073" s="21"/>
      <c r="AT2073" s="3"/>
      <c r="AU2073" s="3"/>
      <c r="AV2073" s="3"/>
      <c r="AW2073" s="3"/>
      <c r="AX2073" s="3"/>
      <c r="AY2073" s="3"/>
      <c r="AZ2073" s="3"/>
      <c r="BA2073" s="3"/>
      <c r="BB2073" s="53"/>
      <c r="BC2073" s="3"/>
      <c r="BD2073" s="59"/>
      <c r="BE2073" s="3"/>
      <c r="BF2073" s="53"/>
      <c r="BG2073" s="59"/>
    </row>
    <row r="2074" spans="1:59" customFormat="1" ht="15" x14ac:dyDescent="0.35">
      <c r="A2074" s="19"/>
      <c r="B2074" s="49"/>
      <c r="C2074" s="14"/>
      <c r="D2074" s="1"/>
      <c r="E2074" s="149"/>
      <c r="F2074" s="153"/>
      <c r="G2074" s="10"/>
      <c r="H2074" s="17"/>
      <c r="I2074" s="17"/>
      <c r="J2074" s="17"/>
      <c r="K2074" s="30"/>
      <c r="L2074" s="30"/>
      <c r="M2074" s="30"/>
      <c r="N2074" s="30"/>
      <c r="O2074" s="30"/>
      <c r="P2074" s="30"/>
      <c r="Q2074" s="30"/>
      <c r="R2074" s="30"/>
      <c r="S2074" s="30"/>
      <c r="T2074" s="30"/>
      <c r="U2074" s="30"/>
      <c r="V2074" s="30"/>
      <c r="W2074" s="29"/>
      <c r="X2074" s="15"/>
      <c r="Y2074" s="30"/>
      <c r="Z2074" s="30"/>
      <c r="AA2074" s="30"/>
      <c r="AB2074" s="30"/>
      <c r="AC2074" s="17"/>
      <c r="AD2074" s="17"/>
      <c r="AE2074" s="17"/>
      <c r="AF2074" s="17"/>
      <c r="AG2074" s="20"/>
      <c r="AH2074" s="21"/>
      <c r="AI2074" s="21"/>
      <c r="AJ2074" s="21"/>
      <c r="AK2074" s="21"/>
      <c r="AL2074" s="21"/>
      <c r="AM2074" s="21"/>
      <c r="AN2074" s="21"/>
      <c r="AO2074" s="22"/>
      <c r="AP2074" s="21"/>
      <c r="AQ2074" s="24"/>
      <c r="AR2074" s="21"/>
      <c r="AS2074" s="21"/>
      <c r="AT2074" s="21"/>
      <c r="AU2074" s="21"/>
      <c r="AV2074" s="21"/>
      <c r="AW2074" s="21"/>
      <c r="AX2074" s="22"/>
      <c r="AY2074" s="21"/>
      <c r="AZ2074" s="22"/>
      <c r="BA2074" s="21"/>
      <c r="BB2074" s="20"/>
      <c r="BC2074" s="21"/>
      <c r="BD2074" s="25"/>
      <c r="BE2074" s="26"/>
      <c r="BF2074" s="27"/>
      <c r="BG2074" s="28"/>
    </row>
    <row r="2075" spans="1:59" customFormat="1" ht="15" x14ac:dyDescent="0.35">
      <c r="A2075" s="50"/>
      <c r="B2075" s="63"/>
      <c r="C2075" s="39"/>
      <c r="D2075" s="6"/>
      <c r="E2075" s="149"/>
      <c r="F2075" s="153"/>
      <c r="G2075" s="10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12"/>
      <c r="X2075" s="33"/>
      <c r="Y2075" s="6"/>
      <c r="Z2075" s="6"/>
      <c r="AA2075" s="6"/>
      <c r="AB2075" s="6"/>
      <c r="AC2075" s="9"/>
      <c r="AD2075" s="9"/>
      <c r="AE2075" s="9"/>
      <c r="AF2075" s="9"/>
      <c r="AG2075" s="5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59"/>
      <c r="AR2075" s="21"/>
      <c r="AS2075" s="21"/>
      <c r="AT2075" s="3"/>
      <c r="AU2075" s="3"/>
      <c r="AV2075" s="3"/>
      <c r="AW2075" s="3"/>
      <c r="AX2075" s="3"/>
      <c r="AY2075" s="3"/>
      <c r="AZ2075" s="3"/>
      <c r="BA2075" s="3"/>
      <c r="BB2075" s="53"/>
      <c r="BC2075" s="3"/>
      <c r="BD2075" s="59"/>
      <c r="BE2075" s="3"/>
      <c r="BF2075" s="53"/>
      <c r="BG2075" s="59"/>
    </row>
    <row r="2076" spans="1:59" customFormat="1" ht="15" x14ac:dyDescent="0.35">
      <c r="A2076" s="50"/>
      <c r="B2076" s="63"/>
      <c r="C2076" s="39"/>
      <c r="D2076" s="6"/>
      <c r="E2076" s="149"/>
      <c r="F2076" s="153"/>
      <c r="G2076" s="10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12"/>
      <c r="X2076" s="33"/>
      <c r="Y2076" s="6"/>
      <c r="Z2076" s="6"/>
      <c r="AA2076" s="6"/>
      <c r="AB2076" s="6"/>
      <c r="AC2076" s="9"/>
      <c r="AD2076" s="9"/>
      <c r="AE2076" s="9"/>
      <c r="AF2076" s="9"/>
      <c r="AG2076" s="5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59"/>
      <c r="AR2076" s="21"/>
      <c r="AS2076" s="21"/>
      <c r="AT2076" s="3"/>
      <c r="AU2076" s="3"/>
      <c r="AV2076" s="3"/>
      <c r="AW2076" s="3"/>
      <c r="AX2076" s="3"/>
      <c r="AY2076" s="3"/>
      <c r="AZ2076" s="3"/>
      <c r="BA2076" s="3"/>
      <c r="BB2076" s="53"/>
      <c r="BC2076" s="3"/>
      <c r="BD2076" s="59"/>
      <c r="BE2076" s="3"/>
      <c r="BF2076" s="53"/>
      <c r="BG2076" s="65"/>
    </row>
    <row r="2077" spans="1:59" customFormat="1" ht="15" x14ac:dyDescent="0.35">
      <c r="A2077" s="50"/>
      <c r="B2077" s="63"/>
      <c r="C2077" s="39"/>
      <c r="D2077" s="6"/>
      <c r="E2077" s="149"/>
      <c r="F2077" s="153"/>
      <c r="G2077" s="10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12"/>
      <c r="X2077" s="33"/>
      <c r="Y2077" s="6"/>
      <c r="Z2077" s="6"/>
      <c r="AA2077" s="6"/>
      <c r="AB2077" s="6"/>
      <c r="AC2077" s="9"/>
      <c r="AD2077" s="9"/>
      <c r="AE2077" s="9"/>
      <c r="AF2077" s="9"/>
      <c r="AG2077" s="5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59"/>
      <c r="AR2077" s="21"/>
      <c r="AS2077" s="21"/>
      <c r="AT2077" s="3"/>
      <c r="AU2077" s="3"/>
      <c r="AV2077" s="3"/>
      <c r="AW2077" s="3"/>
      <c r="AX2077" s="3"/>
      <c r="AY2077" s="3"/>
      <c r="AZ2077" s="3"/>
      <c r="BA2077" s="3"/>
      <c r="BB2077" s="53"/>
      <c r="BC2077" s="3"/>
      <c r="BD2077" s="59"/>
      <c r="BE2077" s="3"/>
      <c r="BF2077" s="53"/>
      <c r="BG2077" s="59"/>
    </row>
    <row r="2078" spans="1:59" customFormat="1" ht="15" x14ac:dyDescent="0.35">
      <c r="A2078" s="50"/>
      <c r="B2078" s="63"/>
      <c r="C2078" s="39"/>
      <c r="D2078" s="6"/>
      <c r="E2078" s="149"/>
      <c r="F2078" s="153"/>
      <c r="G2078" s="10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5"/>
      <c r="V2078" s="5"/>
      <c r="W2078" s="13"/>
      <c r="X2078" s="4"/>
      <c r="Y2078" s="4"/>
      <c r="Z2078" s="4"/>
      <c r="AA2078" s="6"/>
      <c r="AB2078" s="5"/>
      <c r="AC2078" s="9"/>
      <c r="AD2078" s="9"/>
      <c r="AE2078" s="9"/>
      <c r="AF2078" s="9"/>
      <c r="AG2078" s="54"/>
      <c r="AH2078" s="3"/>
      <c r="AI2078" s="2"/>
      <c r="AJ2078" s="2"/>
      <c r="AK2078" s="2"/>
      <c r="AL2078" s="3"/>
      <c r="AM2078" s="3"/>
      <c r="AN2078" s="3"/>
      <c r="AO2078" s="3"/>
      <c r="AP2078" s="3"/>
      <c r="AQ2078" s="59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53"/>
      <c r="BC2078" s="3"/>
      <c r="BD2078" s="59"/>
      <c r="BE2078" s="3"/>
      <c r="BF2078" s="53"/>
      <c r="BG2078" s="59"/>
    </row>
    <row r="2079" spans="1:59" customFormat="1" ht="15" x14ac:dyDescent="0.35">
      <c r="A2079" s="50"/>
      <c r="B2079" s="63"/>
      <c r="C2079" s="39"/>
      <c r="D2079" s="6"/>
      <c r="E2079" s="149"/>
      <c r="F2079" s="153"/>
      <c r="G2079" s="10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5"/>
      <c r="V2079" s="5"/>
      <c r="W2079" s="13"/>
      <c r="X2079" s="4"/>
      <c r="Y2079" s="4"/>
      <c r="Z2079" s="4"/>
      <c r="AA2079" s="6"/>
      <c r="AB2079" s="5"/>
      <c r="AC2079" s="9"/>
      <c r="AD2079" s="9"/>
      <c r="AE2079" s="9"/>
      <c r="AF2079" s="9"/>
      <c r="AG2079" s="54"/>
      <c r="AH2079" s="3"/>
      <c r="AI2079" s="2"/>
      <c r="AJ2079" s="2"/>
      <c r="AK2079" s="2"/>
      <c r="AL2079" s="3"/>
      <c r="AM2079" s="3"/>
      <c r="AN2079" s="3"/>
      <c r="AO2079" s="3"/>
      <c r="AP2079" s="3"/>
      <c r="AQ2079" s="59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53"/>
      <c r="BC2079" s="3"/>
      <c r="BD2079" s="59"/>
      <c r="BE2079" s="3"/>
      <c r="BF2079" s="53"/>
      <c r="BG2079" s="59"/>
    </row>
    <row r="2080" spans="1:59" customFormat="1" ht="15" x14ac:dyDescent="0.35">
      <c r="A2080" s="19"/>
      <c r="B2080" s="49"/>
      <c r="C2080" s="14"/>
      <c r="D2080" s="1"/>
      <c r="E2080" s="149"/>
      <c r="F2080" s="153"/>
      <c r="G2080" s="10"/>
      <c r="H2080" s="17"/>
      <c r="I2080" s="17"/>
      <c r="J2080" s="17"/>
      <c r="K2080" s="30"/>
      <c r="L2080" s="30"/>
      <c r="M2080" s="30"/>
      <c r="N2080" s="30"/>
      <c r="O2080" s="30"/>
      <c r="P2080" s="30"/>
      <c r="Q2080" s="30"/>
      <c r="R2080" s="30"/>
      <c r="S2080" s="30"/>
      <c r="T2080" s="30"/>
      <c r="U2080" s="30"/>
      <c r="V2080" s="30"/>
      <c r="W2080" s="29"/>
      <c r="X2080" s="15"/>
      <c r="Y2080" s="30"/>
      <c r="Z2080" s="30"/>
      <c r="AA2080" s="30"/>
      <c r="AB2080" s="30"/>
      <c r="AC2080" s="17"/>
      <c r="AD2080" s="17"/>
      <c r="AE2080" s="17"/>
      <c r="AF2080" s="17"/>
      <c r="AG2080" s="20"/>
      <c r="AH2080" s="21"/>
      <c r="AI2080" s="21"/>
      <c r="AJ2080" s="21"/>
      <c r="AK2080" s="21"/>
      <c r="AL2080" s="21"/>
      <c r="AM2080" s="21"/>
      <c r="AN2080" s="21"/>
      <c r="AO2080" s="22"/>
      <c r="AP2080" s="21"/>
      <c r="AQ2080" s="24"/>
      <c r="AR2080" s="21"/>
      <c r="AS2080" s="21"/>
      <c r="AT2080" s="21"/>
      <c r="AU2080" s="21"/>
      <c r="AV2080" s="21"/>
      <c r="AW2080" s="21"/>
      <c r="AX2080" s="22"/>
      <c r="AY2080" s="21"/>
      <c r="AZ2080" s="22"/>
      <c r="BA2080" s="21"/>
      <c r="BB2080" s="20"/>
      <c r="BC2080" s="21"/>
      <c r="BD2080" s="25"/>
      <c r="BE2080" s="26"/>
      <c r="BF2080" s="27"/>
      <c r="BG2080" s="28"/>
    </row>
    <row r="2081" spans="1:59" customFormat="1" ht="15" x14ac:dyDescent="0.35">
      <c r="A2081" s="50"/>
      <c r="B2081" s="63"/>
      <c r="C2081" s="39"/>
      <c r="D2081" s="6"/>
      <c r="E2081" s="149"/>
      <c r="F2081" s="153"/>
      <c r="G2081" s="10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12"/>
      <c r="X2081" s="33"/>
      <c r="Y2081" s="6"/>
      <c r="Z2081" s="6"/>
      <c r="AA2081" s="6"/>
      <c r="AB2081" s="6"/>
      <c r="AC2081" s="9"/>
      <c r="AD2081" s="9"/>
      <c r="AE2081" s="9"/>
      <c r="AF2081" s="9"/>
      <c r="AG2081" s="5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59"/>
      <c r="AR2081" s="21"/>
      <c r="AS2081" s="21"/>
      <c r="AT2081" s="3"/>
      <c r="AU2081" s="3"/>
      <c r="AV2081" s="3"/>
      <c r="AW2081" s="3"/>
      <c r="AX2081" s="3"/>
      <c r="AY2081" s="3"/>
      <c r="AZ2081" s="3"/>
      <c r="BA2081" s="3"/>
      <c r="BB2081" s="53"/>
      <c r="BC2081" s="3"/>
      <c r="BD2081" s="59"/>
      <c r="BE2081" s="3"/>
      <c r="BF2081" s="53"/>
      <c r="BG2081" s="59"/>
    </row>
    <row r="2082" spans="1:59" customFormat="1" ht="15" x14ac:dyDescent="0.35">
      <c r="A2082" s="50"/>
      <c r="B2082" s="63"/>
      <c r="C2082" s="39"/>
      <c r="D2082" s="6"/>
      <c r="E2082" s="149"/>
      <c r="F2082" s="153"/>
      <c r="G2082" s="10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12"/>
      <c r="X2082" s="33"/>
      <c r="Y2082" s="6"/>
      <c r="Z2082" s="6"/>
      <c r="AA2082" s="6"/>
      <c r="AB2082" s="6"/>
      <c r="AC2082" s="9"/>
      <c r="AD2082" s="9"/>
      <c r="AE2082" s="9"/>
      <c r="AF2082" s="9"/>
      <c r="AG2082" s="5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59"/>
      <c r="AR2082" s="21"/>
      <c r="AS2082" s="21"/>
      <c r="AT2082" s="3"/>
      <c r="AU2082" s="3"/>
      <c r="AV2082" s="3"/>
      <c r="AW2082" s="3"/>
      <c r="AX2082" s="3"/>
      <c r="AY2082" s="3"/>
      <c r="AZ2082" s="3"/>
      <c r="BA2082" s="3"/>
      <c r="BB2082" s="53"/>
      <c r="BC2082" s="3"/>
      <c r="BD2082" s="59"/>
      <c r="BE2082" s="3"/>
      <c r="BF2082" s="53"/>
      <c r="BG2082" s="59"/>
    </row>
    <row r="2083" spans="1:59" customFormat="1" ht="15" x14ac:dyDescent="0.35">
      <c r="A2083" s="50"/>
      <c r="B2083" s="63"/>
      <c r="C2083" s="39"/>
      <c r="D2083" s="6"/>
      <c r="E2083" s="149"/>
      <c r="F2083" s="153"/>
      <c r="G2083" s="10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12"/>
      <c r="X2083" s="33"/>
      <c r="Y2083" s="6"/>
      <c r="Z2083" s="6"/>
      <c r="AA2083" s="6"/>
      <c r="AB2083" s="6"/>
      <c r="AC2083" s="9"/>
      <c r="AD2083" s="9"/>
      <c r="AE2083" s="9"/>
      <c r="AF2083" s="9"/>
      <c r="AG2083" s="5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59"/>
      <c r="AR2083" s="21"/>
      <c r="AS2083" s="21"/>
      <c r="AT2083" s="3"/>
      <c r="AU2083" s="3"/>
      <c r="AV2083" s="3"/>
      <c r="AW2083" s="3"/>
      <c r="AX2083" s="3"/>
      <c r="AY2083" s="3"/>
      <c r="AZ2083" s="3"/>
      <c r="BA2083" s="3"/>
      <c r="BB2083" s="53"/>
      <c r="BC2083" s="3"/>
      <c r="BD2083" s="59"/>
      <c r="BE2083" s="3"/>
      <c r="BF2083" s="53"/>
      <c r="BG2083" s="59"/>
    </row>
    <row r="2084" spans="1:59" customFormat="1" ht="15" x14ac:dyDescent="0.35">
      <c r="A2084" s="19"/>
      <c r="B2084" s="49"/>
      <c r="C2084" s="14"/>
      <c r="D2084" s="1"/>
      <c r="E2084" s="149"/>
      <c r="F2084" s="153"/>
      <c r="G2084" s="10"/>
      <c r="H2084" s="17"/>
      <c r="I2084" s="17"/>
      <c r="J2084" s="17"/>
      <c r="K2084" s="30"/>
      <c r="L2084" s="30"/>
      <c r="M2084" s="30"/>
      <c r="N2084" s="30"/>
      <c r="O2084" s="30"/>
      <c r="P2084" s="30"/>
      <c r="Q2084" s="30"/>
      <c r="R2084" s="30"/>
      <c r="S2084" s="30"/>
      <c r="T2084" s="30"/>
      <c r="U2084" s="30"/>
      <c r="V2084" s="30"/>
      <c r="W2084" s="29"/>
      <c r="X2084" s="15"/>
      <c r="Y2084" s="30"/>
      <c r="Z2084" s="30"/>
      <c r="AA2084" s="30"/>
      <c r="AB2084" s="30"/>
      <c r="AC2084" s="17"/>
      <c r="AD2084" s="17"/>
      <c r="AE2084" s="17"/>
      <c r="AF2084" s="17"/>
      <c r="AG2084" s="20"/>
      <c r="AH2084" s="21"/>
      <c r="AI2084" s="21"/>
      <c r="AJ2084" s="21"/>
      <c r="AK2084" s="21"/>
      <c r="AL2084" s="21"/>
      <c r="AM2084" s="21"/>
      <c r="AN2084" s="21"/>
      <c r="AO2084" s="22"/>
      <c r="AP2084" s="21"/>
      <c r="AQ2084" s="24"/>
      <c r="AR2084" s="21"/>
      <c r="AS2084" s="21"/>
      <c r="AT2084" s="21"/>
      <c r="AU2084" s="21"/>
      <c r="AV2084" s="21"/>
      <c r="AW2084" s="21"/>
      <c r="AX2084" s="22"/>
      <c r="AY2084" s="21"/>
      <c r="AZ2084" s="22"/>
      <c r="BA2084" s="21"/>
      <c r="BB2084" s="20"/>
      <c r="BC2084" s="21"/>
      <c r="BD2084" s="25"/>
      <c r="BE2084" s="26"/>
      <c r="BF2084" s="27"/>
      <c r="BG2084" s="28"/>
    </row>
    <row r="2085" spans="1:59" customFormat="1" ht="15" x14ac:dyDescent="0.35">
      <c r="A2085" s="50"/>
      <c r="B2085" s="63"/>
      <c r="C2085" s="39"/>
      <c r="D2085" s="6"/>
      <c r="E2085" s="149"/>
      <c r="F2085" s="153"/>
      <c r="G2085" s="10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12"/>
      <c r="X2085" s="33"/>
      <c r="Y2085" s="6"/>
      <c r="Z2085" s="6"/>
      <c r="AA2085" s="6"/>
      <c r="AB2085" s="6"/>
      <c r="AC2085" s="9"/>
      <c r="AD2085" s="9"/>
      <c r="AE2085" s="9"/>
      <c r="AF2085" s="9"/>
      <c r="AG2085" s="5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59"/>
      <c r="AR2085" s="21"/>
      <c r="AS2085" s="21"/>
      <c r="AT2085" s="3"/>
      <c r="AU2085" s="3"/>
      <c r="AV2085" s="3"/>
      <c r="AW2085" s="3"/>
      <c r="AX2085" s="3"/>
      <c r="AY2085" s="3"/>
      <c r="AZ2085" s="3"/>
      <c r="BA2085" s="3"/>
      <c r="BB2085" s="53"/>
      <c r="BC2085" s="3"/>
      <c r="BD2085" s="59"/>
      <c r="BE2085" s="3"/>
      <c r="BF2085" s="53"/>
      <c r="BG2085" s="59"/>
    </row>
    <row r="2086" spans="1:59" customFormat="1" ht="15" x14ac:dyDescent="0.35">
      <c r="A2086" s="19"/>
      <c r="B2086" s="49"/>
      <c r="C2086" s="14"/>
      <c r="D2086" s="1"/>
      <c r="E2086" s="149"/>
      <c r="F2086" s="153"/>
      <c r="G2086" s="10"/>
      <c r="H2086" s="17"/>
      <c r="I2086" s="17"/>
      <c r="J2086" s="17"/>
      <c r="K2086" s="30"/>
      <c r="L2086" s="30"/>
      <c r="M2086" s="30"/>
      <c r="N2086" s="30"/>
      <c r="O2086" s="30"/>
      <c r="P2086" s="30"/>
      <c r="Q2086" s="30"/>
      <c r="R2086" s="30"/>
      <c r="S2086" s="30"/>
      <c r="T2086" s="30"/>
      <c r="U2086" s="30"/>
      <c r="V2086" s="30"/>
      <c r="W2086" s="29"/>
      <c r="X2086" s="15"/>
      <c r="Y2086" s="30"/>
      <c r="Z2086" s="30"/>
      <c r="AA2086" s="30"/>
      <c r="AB2086" s="30"/>
      <c r="AC2086" s="17"/>
      <c r="AD2086" s="17"/>
      <c r="AE2086" s="17"/>
      <c r="AF2086" s="17"/>
      <c r="AG2086" s="20"/>
      <c r="AH2086" s="21"/>
      <c r="AI2086" s="21"/>
      <c r="AJ2086" s="21"/>
      <c r="AK2086" s="21"/>
      <c r="AL2086" s="21"/>
      <c r="AM2086" s="21"/>
      <c r="AN2086" s="21"/>
      <c r="AO2086" s="22"/>
      <c r="AP2086" s="21"/>
      <c r="AQ2086" s="24"/>
      <c r="AR2086" s="21"/>
      <c r="AS2086" s="21"/>
      <c r="AT2086" s="21"/>
      <c r="AU2086" s="21"/>
      <c r="AV2086" s="21"/>
      <c r="AW2086" s="21"/>
      <c r="AX2086" s="22"/>
      <c r="AY2086" s="21"/>
      <c r="AZ2086" s="22"/>
      <c r="BA2086" s="21"/>
      <c r="BB2086" s="20"/>
      <c r="BC2086" s="21"/>
      <c r="BD2086" s="25"/>
      <c r="BE2086" s="26"/>
      <c r="BF2086" s="27"/>
      <c r="BG2086" s="28"/>
    </row>
    <row r="2087" spans="1:59" customFormat="1" ht="15" x14ac:dyDescent="0.35">
      <c r="A2087" s="50"/>
      <c r="B2087" s="63"/>
      <c r="C2087" s="39"/>
      <c r="D2087" s="6"/>
      <c r="E2087" s="149"/>
      <c r="F2087" s="153"/>
      <c r="G2087" s="10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5"/>
      <c r="V2087" s="5"/>
      <c r="W2087" s="13"/>
      <c r="X2087" s="4"/>
      <c r="Y2087" s="4"/>
      <c r="Z2087" s="4"/>
      <c r="AA2087" s="6"/>
      <c r="AB2087" s="5"/>
      <c r="AC2087" s="9"/>
      <c r="AD2087" s="9"/>
      <c r="AE2087" s="9"/>
      <c r="AF2087" s="9"/>
      <c r="AG2087" s="54"/>
      <c r="AH2087" s="3"/>
      <c r="AI2087" s="2"/>
      <c r="AJ2087" s="2"/>
      <c r="AK2087" s="2"/>
      <c r="AL2087" s="3"/>
      <c r="AM2087" s="3"/>
      <c r="AN2087" s="3"/>
      <c r="AO2087" s="3"/>
      <c r="AP2087" s="3"/>
      <c r="AQ2087" s="59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53"/>
      <c r="BC2087" s="3"/>
      <c r="BD2087" s="59"/>
      <c r="BE2087" s="3"/>
      <c r="BF2087" s="53"/>
      <c r="BG2087" s="59"/>
    </row>
    <row r="2088" spans="1:59" customFormat="1" ht="15" x14ac:dyDescent="0.35">
      <c r="A2088" s="50"/>
      <c r="B2088" s="63"/>
      <c r="C2088" s="39"/>
      <c r="D2088" s="6"/>
      <c r="E2088" s="149"/>
      <c r="F2088" s="153"/>
      <c r="G2088" s="10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5"/>
      <c r="V2088" s="5"/>
      <c r="W2088" s="13"/>
      <c r="X2088" s="4"/>
      <c r="Y2088" s="4"/>
      <c r="Z2088" s="4"/>
      <c r="AA2088" s="6"/>
      <c r="AB2088" s="5"/>
      <c r="AC2088" s="9"/>
      <c r="AD2088" s="9"/>
      <c r="AE2088" s="9"/>
      <c r="AF2088" s="9"/>
      <c r="AG2088" s="54"/>
      <c r="AH2088" s="3"/>
      <c r="AI2088" s="2"/>
      <c r="AJ2088" s="2"/>
      <c r="AK2088" s="2"/>
      <c r="AL2088" s="3"/>
      <c r="AM2088" s="3"/>
      <c r="AN2088" s="3"/>
      <c r="AO2088" s="3"/>
      <c r="AP2088" s="3"/>
      <c r="AQ2088" s="59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53"/>
      <c r="BC2088" s="3"/>
      <c r="BD2088" s="59"/>
      <c r="BE2088" s="3"/>
      <c r="BF2088" s="53"/>
      <c r="BG2088" s="59"/>
    </row>
    <row r="2089" spans="1:59" customFormat="1" ht="15" x14ac:dyDescent="0.35">
      <c r="A2089" s="50"/>
      <c r="B2089" s="63"/>
      <c r="C2089" s="39"/>
      <c r="D2089" s="6"/>
      <c r="E2089" s="149"/>
      <c r="F2089" s="153"/>
      <c r="G2089" s="10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5"/>
      <c r="V2089" s="5"/>
      <c r="W2089" s="13"/>
      <c r="X2089" s="4"/>
      <c r="Y2089" s="4"/>
      <c r="Z2089" s="4"/>
      <c r="AA2089" s="6"/>
      <c r="AB2089" s="5"/>
      <c r="AC2089" s="9"/>
      <c r="AD2089" s="9"/>
      <c r="AE2089" s="9"/>
      <c r="AF2089" s="9"/>
      <c r="AG2089" s="54"/>
      <c r="AH2089" s="3"/>
      <c r="AI2089" s="2"/>
      <c r="AJ2089" s="2"/>
      <c r="AK2089" s="2"/>
      <c r="AL2089" s="3"/>
      <c r="AM2089" s="3"/>
      <c r="AN2089" s="3"/>
      <c r="AO2089" s="3"/>
      <c r="AP2089" s="3"/>
      <c r="AQ2089" s="59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53"/>
      <c r="BC2089" s="3"/>
      <c r="BD2089" s="59"/>
      <c r="BE2089" s="3"/>
      <c r="BF2089" s="53"/>
      <c r="BG2089" s="59"/>
    </row>
    <row r="2090" spans="1:59" customFormat="1" ht="15" x14ac:dyDescent="0.35">
      <c r="A2090" s="50"/>
      <c r="B2090" s="63"/>
      <c r="C2090" s="39"/>
      <c r="D2090" s="6"/>
      <c r="E2090" s="149"/>
      <c r="F2090" s="153"/>
      <c r="G2090" s="10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12"/>
      <c r="X2090" s="33"/>
      <c r="Y2090" s="6"/>
      <c r="Z2090" s="6"/>
      <c r="AA2090" s="6"/>
      <c r="AB2090" s="6"/>
      <c r="AC2090" s="9"/>
      <c r="AD2090" s="9"/>
      <c r="AE2090" s="9"/>
      <c r="AF2090" s="9"/>
      <c r="AG2090" s="5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59"/>
      <c r="AR2090" s="21"/>
      <c r="AS2090" s="21"/>
      <c r="AT2090" s="3"/>
      <c r="AU2090" s="3"/>
      <c r="AV2090" s="3"/>
      <c r="AW2090" s="3"/>
      <c r="AX2090" s="3"/>
      <c r="AY2090" s="3"/>
      <c r="AZ2090" s="3"/>
      <c r="BA2090" s="3"/>
      <c r="BB2090" s="53"/>
      <c r="BC2090" s="3"/>
      <c r="BD2090" s="59"/>
      <c r="BE2090" s="3"/>
      <c r="BF2090" s="53"/>
      <c r="BG2090" s="59"/>
    </row>
    <row r="2091" spans="1:59" customFormat="1" ht="15" x14ac:dyDescent="0.35">
      <c r="A2091" s="19"/>
      <c r="B2091" s="49"/>
      <c r="C2091" s="14"/>
      <c r="D2091" s="1"/>
      <c r="E2091" s="149"/>
      <c r="F2091" s="153"/>
      <c r="G2091" s="10"/>
      <c r="H2091" s="17"/>
      <c r="I2091" s="17"/>
      <c r="J2091" s="17"/>
      <c r="K2091" s="30"/>
      <c r="L2091" s="30"/>
      <c r="M2091" s="30"/>
      <c r="N2091" s="30"/>
      <c r="O2091" s="30"/>
      <c r="P2091" s="30"/>
      <c r="Q2091" s="30"/>
      <c r="R2091" s="30"/>
      <c r="S2091" s="30"/>
      <c r="T2091" s="30"/>
      <c r="U2091" s="30"/>
      <c r="V2091" s="30"/>
      <c r="W2091" s="29"/>
      <c r="X2091" s="15"/>
      <c r="Y2091" s="30"/>
      <c r="Z2091" s="30"/>
      <c r="AA2091" s="30"/>
      <c r="AB2091" s="30"/>
      <c r="AC2091" s="17"/>
      <c r="AD2091" s="17"/>
      <c r="AE2091" s="17"/>
      <c r="AF2091" s="17"/>
      <c r="AG2091" s="20"/>
      <c r="AH2091" s="21"/>
      <c r="AI2091" s="21"/>
      <c r="AJ2091" s="21"/>
      <c r="AK2091" s="21"/>
      <c r="AL2091" s="21"/>
      <c r="AM2091" s="21"/>
      <c r="AN2091" s="21"/>
      <c r="AO2091" s="22"/>
      <c r="AP2091" s="21"/>
      <c r="AQ2091" s="24"/>
      <c r="AR2091" s="21"/>
      <c r="AS2091" s="21"/>
      <c r="AT2091" s="21"/>
      <c r="AU2091" s="21"/>
      <c r="AV2091" s="21"/>
      <c r="AW2091" s="21"/>
      <c r="AX2091" s="22"/>
      <c r="AY2091" s="21"/>
      <c r="AZ2091" s="22"/>
      <c r="BA2091" s="21"/>
      <c r="BB2091" s="20"/>
      <c r="BC2091" s="21"/>
      <c r="BD2091" s="25"/>
      <c r="BE2091" s="26"/>
      <c r="BF2091" s="27"/>
      <c r="BG2091" s="28"/>
    </row>
    <row r="2092" spans="1:59" customFormat="1" ht="15" x14ac:dyDescent="0.35">
      <c r="A2092" s="19"/>
      <c r="B2092" s="49"/>
      <c r="C2092" s="39"/>
      <c r="D2092" s="1"/>
      <c r="E2092" s="149"/>
      <c r="F2092" s="153"/>
      <c r="G2092" s="10"/>
      <c r="H2092" s="17"/>
      <c r="I2092" s="17"/>
      <c r="J2092" s="17"/>
      <c r="K2092" s="30"/>
      <c r="L2092" s="30"/>
      <c r="M2092" s="30"/>
      <c r="N2092" s="30"/>
      <c r="O2092" s="30"/>
      <c r="P2092" s="30"/>
      <c r="Q2092" s="30"/>
      <c r="R2092" s="30"/>
      <c r="S2092" s="30"/>
      <c r="T2092" s="30"/>
      <c r="U2092" s="30"/>
      <c r="V2092" s="30"/>
      <c r="W2092" s="29"/>
      <c r="X2092" s="15"/>
      <c r="Y2092" s="30"/>
      <c r="Z2092" s="30"/>
      <c r="AA2092" s="30"/>
      <c r="AB2092" s="30"/>
      <c r="AC2092" s="17"/>
      <c r="AD2092" s="17"/>
      <c r="AE2092" s="17"/>
      <c r="AF2092" s="17"/>
      <c r="AG2092" s="20"/>
      <c r="AH2092" s="21"/>
      <c r="AI2092" s="21"/>
      <c r="AJ2092" s="21"/>
      <c r="AK2092" s="21"/>
      <c r="AL2092" s="21"/>
      <c r="AM2092" s="21"/>
      <c r="AN2092" s="21"/>
      <c r="AO2092" s="22"/>
      <c r="AP2092" s="21"/>
      <c r="AQ2092" s="24"/>
      <c r="AR2092" s="21"/>
      <c r="AS2092" s="21"/>
      <c r="AT2092" s="21"/>
      <c r="AU2092" s="21"/>
      <c r="AV2092" s="21"/>
      <c r="AW2092" s="21"/>
      <c r="AX2092" s="22"/>
      <c r="AY2092" s="21"/>
      <c r="AZ2092" s="22"/>
      <c r="BA2092" s="21"/>
      <c r="BB2092" s="20"/>
      <c r="BC2092" s="21"/>
      <c r="BD2092" s="25"/>
      <c r="BE2092" s="26"/>
      <c r="BF2092" s="27"/>
      <c r="BG2092" s="28"/>
    </row>
    <row r="2093" spans="1:59" customFormat="1" ht="15" x14ac:dyDescent="0.35">
      <c r="A2093" s="50"/>
      <c r="B2093" s="63"/>
      <c r="C2093" s="39"/>
      <c r="D2093" s="6"/>
      <c r="E2093" s="149"/>
      <c r="F2093" s="153"/>
      <c r="G2093" s="10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5"/>
      <c r="V2093" s="5"/>
      <c r="W2093" s="13"/>
      <c r="X2093" s="4"/>
      <c r="Y2093" s="4"/>
      <c r="Z2093" s="4"/>
      <c r="AA2093" s="6"/>
      <c r="AB2093" s="5"/>
      <c r="AC2093" s="9"/>
      <c r="AD2093" s="9"/>
      <c r="AE2093" s="9"/>
      <c r="AF2093" s="9"/>
      <c r="AG2093" s="54"/>
      <c r="AH2093" s="3"/>
      <c r="AI2093" s="2"/>
      <c r="AJ2093" s="2"/>
      <c r="AK2093" s="2"/>
      <c r="AL2093" s="3"/>
      <c r="AM2093" s="3"/>
      <c r="AN2093" s="3"/>
      <c r="AO2093" s="3"/>
      <c r="AP2093" s="3"/>
      <c r="AQ2093" s="59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53"/>
      <c r="BC2093" s="3"/>
      <c r="BD2093" s="59"/>
      <c r="BE2093" s="3"/>
      <c r="BF2093" s="53"/>
      <c r="BG2093" s="59"/>
    </row>
    <row r="2094" spans="1:59" customFormat="1" ht="15" x14ac:dyDescent="0.35">
      <c r="A2094" s="50"/>
      <c r="B2094" s="63"/>
      <c r="C2094" s="39"/>
      <c r="D2094" s="6"/>
      <c r="E2094" s="149"/>
      <c r="F2094" s="153"/>
      <c r="G2094" s="10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5"/>
      <c r="V2094" s="5"/>
      <c r="W2094" s="13"/>
      <c r="X2094" s="4"/>
      <c r="Y2094" s="4"/>
      <c r="Z2094" s="4"/>
      <c r="AA2094" s="6"/>
      <c r="AB2094" s="5"/>
      <c r="AC2094" s="9"/>
      <c r="AD2094" s="9"/>
      <c r="AE2094" s="9"/>
      <c r="AF2094" s="9"/>
      <c r="AG2094" s="54"/>
      <c r="AH2094" s="3"/>
      <c r="AI2094" s="2"/>
      <c r="AJ2094" s="2"/>
      <c r="AK2094" s="2"/>
      <c r="AL2094" s="3"/>
      <c r="AM2094" s="3"/>
      <c r="AN2094" s="3"/>
      <c r="AO2094" s="3"/>
      <c r="AP2094" s="3"/>
      <c r="AQ2094" s="59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53"/>
      <c r="BC2094" s="3"/>
      <c r="BD2094" s="59"/>
      <c r="BE2094" s="3"/>
      <c r="BF2094" s="53"/>
      <c r="BG2094" s="59"/>
    </row>
    <row r="2095" spans="1:59" customFormat="1" ht="15" x14ac:dyDescent="0.35">
      <c r="A2095" s="50"/>
      <c r="B2095" s="63"/>
      <c r="C2095" s="39"/>
      <c r="D2095" s="6"/>
      <c r="E2095" s="149"/>
      <c r="F2095" s="153"/>
      <c r="G2095" s="10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12"/>
      <c r="X2095" s="33"/>
      <c r="Y2095" s="6"/>
      <c r="Z2095" s="6"/>
      <c r="AA2095" s="6"/>
      <c r="AB2095" s="6"/>
      <c r="AC2095" s="9"/>
      <c r="AD2095" s="9"/>
      <c r="AE2095" s="9"/>
      <c r="AF2095" s="9"/>
      <c r="AG2095" s="5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59"/>
      <c r="AR2095" s="21"/>
      <c r="AS2095" s="21"/>
      <c r="AT2095" s="3"/>
      <c r="AU2095" s="3"/>
      <c r="AV2095" s="3"/>
      <c r="AW2095" s="3"/>
      <c r="AX2095" s="3"/>
      <c r="AY2095" s="3"/>
      <c r="AZ2095" s="3"/>
      <c r="BA2095" s="3"/>
      <c r="BB2095" s="53"/>
      <c r="BC2095" s="3"/>
      <c r="BD2095" s="59"/>
      <c r="BE2095" s="3"/>
      <c r="BF2095" s="53"/>
      <c r="BG2095" s="59"/>
    </row>
    <row r="2096" spans="1:59" customFormat="1" ht="15" x14ac:dyDescent="0.35">
      <c r="A2096" s="19"/>
      <c r="B2096" s="49"/>
      <c r="C2096" s="39"/>
      <c r="D2096" s="1"/>
      <c r="E2096" s="149"/>
      <c r="F2096" s="153"/>
      <c r="G2096" s="10"/>
      <c r="H2096" s="17"/>
      <c r="I2096" s="17"/>
      <c r="J2096" s="17"/>
      <c r="K2096" s="30"/>
      <c r="L2096" s="30"/>
      <c r="M2096" s="30"/>
      <c r="N2096" s="30"/>
      <c r="O2096" s="30"/>
      <c r="P2096" s="30"/>
      <c r="Q2096" s="30"/>
      <c r="R2096" s="30"/>
      <c r="S2096" s="30"/>
      <c r="T2096" s="30"/>
      <c r="U2096" s="30"/>
      <c r="V2096" s="30"/>
      <c r="W2096" s="29"/>
      <c r="X2096" s="15"/>
      <c r="Y2096" s="30"/>
      <c r="Z2096" s="30"/>
      <c r="AA2096" s="30"/>
      <c r="AB2096" s="30"/>
      <c r="AC2096" s="17"/>
      <c r="AD2096" s="17"/>
      <c r="AE2096" s="17"/>
      <c r="AF2096" s="17"/>
      <c r="AG2096" s="20"/>
      <c r="AH2096" s="21"/>
      <c r="AI2096" s="21"/>
      <c r="AJ2096" s="21"/>
      <c r="AK2096" s="21"/>
      <c r="AL2096" s="21"/>
      <c r="AM2096" s="21"/>
      <c r="AN2096" s="21"/>
      <c r="AO2096" s="22"/>
      <c r="AP2096" s="21"/>
      <c r="AQ2096" s="24"/>
      <c r="AR2096" s="21"/>
      <c r="AS2096" s="21"/>
      <c r="AT2096" s="21"/>
      <c r="AU2096" s="21"/>
      <c r="AV2096" s="21"/>
      <c r="AW2096" s="21"/>
      <c r="AX2096" s="22"/>
      <c r="AY2096" s="21"/>
      <c r="AZ2096" s="22"/>
      <c r="BA2096" s="21"/>
      <c r="BB2096" s="20"/>
      <c r="BC2096" s="21"/>
      <c r="BD2096" s="25"/>
      <c r="BE2096" s="26"/>
      <c r="BF2096" s="27"/>
      <c r="BG2096" s="28"/>
    </row>
    <row r="2097" spans="1:59" customFormat="1" ht="15" x14ac:dyDescent="0.35">
      <c r="A2097" s="19"/>
      <c r="B2097" s="49"/>
      <c r="C2097" s="39"/>
      <c r="D2097" s="1"/>
      <c r="E2097" s="149"/>
      <c r="F2097" s="153"/>
      <c r="G2097" s="10"/>
      <c r="H2097" s="17"/>
      <c r="I2097" s="17"/>
      <c r="J2097" s="17"/>
      <c r="K2097" s="30"/>
      <c r="L2097" s="30"/>
      <c r="M2097" s="30"/>
      <c r="N2097" s="30"/>
      <c r="O2097" s="30"/>
      <c r="P2097" s="30"/>
      <c r="Q2097" s="30"/>
      <c r="R2097" s="30"/>
      <c r="S2097" s="30"/>
      <c r="T2097" s="30"/>
      <c r="U2097" s="30"/>
      <c r="V2097" s="30"/>
      <c r="W2097" s="29"/>
      <c r="X2097" s="15"/>
      <c r="Y2097" s="30"/>
      <c r="Z2097" s="30"/>
      <c r="AA2097" s="30"/>
      <c r="AB2097" s="30"/>
      <c r="AC2097" s="17"/>
      <c r="AD2097" s="17"/>
      <c r="AE2097" s="17"/>
      <c r="AF2097" s="17"/>
      <c r="AG2097" s="20"/>
      <c r="AH2097" s="21"/>
      <c r="AI2097" s="21"/>
      <c r="AJ2097" s="21"/>
      <c r="AK2097" s="21"/>
      <c r="AL2097" s="21"/>
      <c r="AM2097" s="21"/>
      <c r="AN2097" s="21"/>
      <c r="AO2097" s="22"/>
      <c r="AP2097" s="21"/>
      <c r="AQ2097" s="24"/>
      <c r="AR2097" s="21"/>
      <c r="AS2097" s="21"/>
      <c r="AT2097" s="21"/>
      <c r="AU2097" s="21"/>
      <c r="AV2097" s="21"/>
      <c r="AW2097" s="21"/>
      <c r="AX2097" s="22"/>
      <c r="AY2097" s="21"/>
      <c r="AZ2097" s="22"/>
      <c r="BA2097" s="21"/>
      <c r="BB2097" s="20"/>
      <c r="BC2097" s="21"/>
      <c r="BD2097" s="25"/>
      <c r="BE2097" s="26"/>
      <c r="BF2097" s="27"/>
      <c r="BG2097" s="28"/>
    </row>
    <row r="2098" spans="1:59" customFormat="1" ht="15" x14ac:dyDescent="0.35">
      <c r="A2098" s="19"/>
      <c r="B2098" s="49"/>
      <c r="C2098" s="14"/>
      <c r="D2098" s="1"/>
      <c r="E2098" s="149"/>
      <c r="F2098" s="153"/>
      <c r="G2098" s="10"/>
      <c r="H2098" s="17"/>
      <c r="I2098" s="17"/>
      <c r="J2098" s="17"/>
      <c r="K2098" s="30"/>
      <c r="L2098" s="30"/>
      <c r="M2098" s="30"/>
      <c r="N2098" s="30"/>
      <c r="O2098" s="30"/>
      <c r="P2098" s="30"/>
      <c r="Q2098" s="30"/>
      <c r="R2098" s="30"/>
      <c r="S2098" s="30"/>
      <c r="T2098" s="30"/>
      <c r="U2098" s="30"/>
      <c r="V2098" s="30"/>
      <c r="W2098" s="29"/>
      <c r="X2098" s="15"/>
      <c r="Y2098" s="30"/>
      <c r="Z2098" s="30"/>
      <c r="AA2098" s="30"/>
      <c r="AB2098" s="30"/>
      <c r="AC2098" s="17"/>
      <c r="AD2098" s="17"/>
      <c r="AE2098" s="17"/>
      <c r="AF2098" s="17"/>
      <c r="AG2098" s="20"/>
      <c r="AH2098" s="21"/>
      <c r="AI2098" s="21"/>
      <c r="AJ2098" s="21"/>
      <c r="AK2098" s="21"/>
      <c r="AL2098" s="21"/>
      <c r="AM2098" s="21"/>
      <c r="AN2098" s="21"/>
      <c r="AO2098" s="22"/>
      <c r="AP2098" s="21"/>
      <c r="AQ2098" s="24"/>
      <c r="AR2098" s="21"/>
      <c r="AS2098" s="21"/>
      <c r="AT2098" s="21"/>
      <c r="AU2098" s="21"/>
      <c r="AV2098" s="21"/>
      <c r="AW2098" s="21"/>
      <c r="AX2098" s="22"/>
      <c r="AY2098" s="21"/>
      <c r="AZ2098" s="22"/>
      <c r="BA2098" s="21"/>
      <c r="BB2098" s="20"/>
      <c r="BC2098" s="21"/>
      <c r="BD2098" s="25"/>
      <c r="BE2098" s="26"/>
      <c r="BF2098" s="27"/>
      <c r="BG2098" s="28"/>
    </row>
    <row r="2099" spans="1:59" customFormat="1" ht="15" x14ac:dyDescent="0.35">
      <c r="A2099" s="50"/>
      <c r="B2099" s="63"/>
      <c r="C2099" s="39"/>
      <c r="D2099" s="6"/>
      <c r="E2099" s="149"/>
      <c r="F2099" s="153"/>
      <c r="G2099" s="10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5"/>
      <c r="V2099" s="5"/>
      <c r="W2099" s="13"/>
      <c r="X2099" s="4"/>
      <c r="Y2099" s="4"/>
      <c r="Z2099" s="4"/>
      <c r="AA2099" s="6"/>
      <c r="AB2099" s="5"/>
      <c r="AC2099" s="9"/>
      <c r="AD2099" s="9"/>
      <c r="AE2099" s="9"/>
      <c r="AF2099" s="9"/>
      <c r="AG2099" s="54"/>
      <c r="AH2099" s="3"/>
      <c r="AI2099" s="2"/>
      <c r="AJ2099" s="2"/>
      <c r="AK2099" s="2"/>
      <c r="AL2099" s="3"/>
      <c r="AM2099" s="3"/>
      <c r="AN2099" s="3"/>
      <c r="AO2099" s="3"/>
      <c r="AP2099" s="3"/>
      <c r="AQ2099" s="59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53"/>
      <c r="BC2099" s="3"/>
      <c r="BD2099" s="59"/>
      <c r="BE2099" s="3"/>
      <c r="BF2099" s="53"/>
      <c r="BG2099" s="59"/>
    </row>
    <row r="2100" spans="1:59" customFormat="1" ht="15" x14ac:dyDescent="0.35">
      <c r="A2100" s="19"/>
      <c r="B2100" s="49"/>
      <c r="C2100" s="14"/>
      <c r="D2100" s="1"/>
      <c r="E2100" s="149"/>
      <c r="F2100" s="153"/>
      <c r="G2100" s="10"/>
      <c r="H2100" s="17"/>
      <c r="I2100" s="17"/>
      <c r="J2100" s="17"/>
      <c r="K2100" s="30"/>
      <c r="L2100" s="30"/>
      <c r="M2100" s="30"/>
      <c r="N2100" s="30"/>
      <c r="O2100" s="30"/>
      <c r="P2100" s="30"/>
      <c r="Q2100" s="30"/>
      <c r="R2100" s="30"/>
      <c r="S2100" s="30"/>
      <c r="T2100" s="30"/>
      <c r="U2100" s="30"/>
      <c r="V2100" s="30"/>
      <c r="W2100" s="29"/>
      <c r="X2100" s="15"/>
      <c r="Y2100" s="30"/>
      <c r="Z2100" s="30"/>
      <c r="AA2100" s="30"/>
      <c r="AB2100" s="30"/>
      <c r="AC2100" s="17"/>
      <c r="AD2100" s="17"/>
      <c r="AE2100" s="17"/>
      <c r="AF2100" s="17"/>
      <c r="AG2100" s="20"/>
      <c r="AH2100" s="21"/>
      <c r="AI2100" s="21"/>
      <c r="AJ2100" s="21"/>
      <c r="AK2100" s="21"/>
      <c r="AL2100" s="21"/>
      <c r="AM2100" s="21"/>
      <c r="AN2100" s="21"/>
      <c r="AO2100" s="22"/>
      <c r="AP2100" s="21"/>
      <c r="AQ2100" s="24"/>
      <c r="AR2100" s="21"/>
      <c r="AS2100" s="21"/>
      <c r="AT2100" s="21"/>
      <c r="AU2100" s="21"/>
      <c r="AV2100" s="21"/>
      <c r="AW2100" s="21"/>
      <c r="AX2100" s="22"/>
      <c r="AY2100" s="21"/>
      <c r="AZ2100" s="22"/>
      <c r="BA2100" s="21"/>
      <c r="BB2100" s="20"/>
      <c r="BC2100" s="21"/>
      <c r="BD2100" s="25"/>
      <c r="BE2100" s="26"/>
      <c r="BF2100" s="27"/>
      <c r="BG2100" s="28"/>
    </row>
    <row r="2101" spans="1:59" customFormat="1" ht="15" x14ac:dyDescent="0.35">
      <c r="A2101" s="19"/>
      <c r="B2101" s="49"/>
      <c r="C2101" s="14"/>
      <c r="D2101" s="1"/>
      <c r="E2101" s="149"/>
      <c r="F2101" s="153"/>
      <c r="G2101" s="10"/>
      <c r="H2101" s="17"/>
      <c r="I2101" s="17"/>
      <c r="J2101" s="17"/>
      <c r="K2101" s="30"/>
      <c r="L2101" s="30"/>
      <c r="M2101" s="30"/>
      <c r="N2101" s="30"/>
      <c r="O2101" s="30"/>
      <c r="P2101" s="30"/>
      <c r="Q2101" s="30"/>
      <c r="R2101" s="30"/>
      <c r="S2101" s="30"/>
      <c r="T2101" s="30"/>
      <c r="U2101" s="30"/>
      <c r="V2101" s="30"/>
      <c r="W2101" s="29"/>
      <c r="X2101" s="15"/>
      <c r="Y2101" s="30"/>
      <c r="Z2101" s="30"/>
      <c r="AA2101" s="30"/>
      <c r="AB2101" s="30"/>
      <c r="AC2101" s="17"/>
      <c r="AD2101" s="17"/>
      <c r="AE2101" s="17"/>
      <c r="AF2101" s="17"/>
      <c r="AG2101" s="20"/>
      <c r="AH2101" s="21"/>
      <c r="AI2101" s="21"/>
      <c r="AJ2101" s="21"/>
      <c r="AK2101" s="21"/>
      <c r="AL2101" s="21"/>
      <c r="AM2101" s="21"/>
      <c r="AN2101" s="21"/>
      <c r="AO2101" s="22"/>
      <c r="AP2101" s="21"/>
      <c r="AQ2101" s="24"/>
      <c r="AR2101" s="21"/>
      <c r="AS2101" s="21"/>
      <c r="AT2101" s="21"/>
      <c r="AU2101" s="21"/>
      <c r="AV2101" s="21"/>
      <c r="AW2101" s="21"/>
      <c r="AX2101" s="22"/>
      <c r="AY2101" s="21"/>
      <c r="AZ2101" s="22"/>
      <c r="BA2101" s="21"/>
      <c r="BB2101" s="20"/>
      <c r="BC2101" s="21"/>
      <c r="BD2101" s="25"/>
      <c r="BE2101" s="26"/>
      <c r="BF2101" s="27"/>
      <c r="BG2101" s="28"/>
    </row>
    <row r="2102" spans="1:59" customFormat="1" ht="15" x14ac:dyDescent="0.35">
      <c r="A2102" s="19"/>
      <c r="B2102" s="49"/>
      <c r="C2102" s="14"/>
      <c r="D2102" s="1"/>
      <c r="E2102" s="149"/>
      <c r="F2102" s="153"/>
      <c r="G2102" s="10"/>
      <c r="H2102" s="17"/>
      <c r="I2102" s="17"/>
      <c r="J2102" s="17"/>
      <c r="K2102" s="30"/>
      <c r="L2102" s="30"/>
      <c r="M2102" s="30"/>
      <c r="N2102" s="30"/>
      <c r="O2102" s="30"/>
      <c r="P2102" s="30"/>
      <c r="Q2102" s="30"/>
      <c r="R2102" s="30"/>
      <c r="S2102" s="30"/>
      <c r="T2102" s="30"/>
      <c r="U2102" s="30"/>
      <c r="V2102" s="30"/>
      <c r="W2102" s="29"/>
      <c r="X2102" s="15"/>
      <c r="Y2102" s="30"/>
      <c r="Z2102" s="30"/>
      <c r="AA2102" s="30"/>
      <c r="AB2102" s="30"/>
      <c r="AC2102" s="17"/>
      <c r="AD2102" s="17"/>
      <c r="AE2102" s="17"/>
      <c r="AF2102" s="17"/>
      <c r="AG2102" s="20"/>
      <c r="AH2102" s="21"/>
      <c r="AI2102" s="21"/>
      <c r="AJ2102" s="21"/>
      <c r="AK2102" s="21"/>
      <c r="AL2102" s="21"/>
      <c r="AM2102" s="21"/>
      <c r="AN2102" s="21"/>
      <c r="AO2102" s="22"/>
      <c r="AP2102" s="21"/>
      <c r="AQ2102" s="24"/>
      <c r="AR2102" s="21"/>
      <c r="AS2102" s="21"/>
      <c r="AT2102" s="21"/>
      <c r="AU2102" s="21"/>
      <c r="AV2102" s="21"/>
      <c r="AW2102" s="21"/>
      <c r="AX2102" s="22"/>
      <c r="AY2102" s="21"/>
      <c r="AZ2102" s="22"/>
      <c r="BA2102" s="21"/>
      <c r="BB2102" s="20"/>
      <c r="BC2102" s="21"/>
      <c r="BD2102" s="25"/>
      <c r="BE2102" s="26"/>
      <c r="BF2102" s="27"/>
      <c r="BG2102" s="28"/>
    </row>
    <row r="2103" spans="1:59" customFormat="1" ht="15" x14ac:dyDescent="0.35">
      <c r="A2103" s="19"/>
      <c r="B2103" s="49"/>
      <c r="C2103" s="39"/>
      <c r="D2103" s="1"/>
      <c r="E2103" s="149"/>
      <c r="F2103" s="153"/>
      <c r="G2103" s="10"/>
      <c r="H2103" s="17"/>
      <c r="I2103" s="17"/>
      <c r="J2103" s="17"/>
      <c r="K2103" s="30"/>
      <c r="L2103" s="30"/>
      <c r="M2103" s="30"/>
      <c r="N2103" s="30"/>
      <c r="O2103" s="30"/>
      <c r="P2103" s="30"/>
      <c r="Q2103" s="30"/>
      <c r="R2103" s="30"/>
      <c r="S2103" s="30"/>
      <c r="T2103" s="30"/>
      <c r="U2103" s="30"/>
      <c r="V2103" s="30"/>
      <c r="W2103" s="29"/>
      <c r="X2103" s="15"/>
      <c r="Y2103" s="30"/>
      <c r="Z2103" s="30"/>
      <c r="AA2103" s="30"/>
      <c r="AB2103" s="30"/>
      <c r="AC2103" s="17"/>
      <c r="AD2103" s="17"/>
      <c r="AE2103" s="17"/>
      <c r="AF2103" s="17"/>
      <c r="AG2103" s="20"/>
      <c r="AH2103" s="21"/>
      <c r="AI2103" s="21"/>
      <c r="AJ2103" s="21"/>
      <c r="AK2103" s="21"/>
      <c r="AL2103" s="21"/>
      <c r="AM2103" s="21"/>
      <c r="AN2103" s="21"/>
      <c r="AO2103" s="22"/>
      <c r="AP2103" s="21"/>
      <c r="AQ2103" s="24"/>
      <c r="AR2103" s="21"/>
      <c r="AS2103" s="21"/>
      <c r="AT2103" s="21"/>
      <c r="AU2103" s="21"/>
      <c r="AV2103" s="21"/>
      <c r="AW2103" s="21"/>
      <c r="AX2103" s="22"/>
      <c r="AY2103" s="21"/>
      <c r="AZ2103" s="22"/>
      <c r="BA2103" s="21"/>
      <c r="BB2103" s="20"/>
      <c r="BC2103" s="21"/>
      <c r="BD2103" s="25"/>
      <c r="BE2103" s="26"/>
      <c r="BF2103" s="27"/>
      <c r="BG2103" s="28"/>
    </row>
    <row r="2104" spans="1:59" customFormat="1" ht="15" x14ac:dyDescent="0.35">
      <c r="A2104" s="51"/>
      <c r="B2104" s="63"/>
      <c r="C2104" s="39"/>
      <c r="D2104" s="6"/>
      <c r="E2104" s="149"/>
      <c r="F2104" s="153"/>
      <c r="G2104" s="10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12"/>
      <c r="X2104" s="33"/>
      <c r="Y2104" s="6"/>
      <c r="Z2104" s="6"/>
      <c r="AA2104" s="6"/>
      <c r="AB2104" s="6"/>
      <c r="AC2104" s="9"/>
      <c r="AD2104" s="9"/>
      <c r="AE2104" s="9"/>
      <c r="AF2104" s="9"/>
      <c r="AG2104" s="55"/>
      <c r="AH2104" s="57"/>
      <c r="AI2104" s="57"/>
      <c r="AJ2104" s="57"/>
      <c r="AK2104" s="57"/>
      <c r="AL2104" s="57"/>
      <c r="AM2104" s="57"/>
      <c r="AN2104" s="57"/>
      <c r="AO2104" s="57"/>
      <c r="AP2104" s="57"/>
      <c r="AQ2104" s="60"/>
      <c r="AR2104" s="21"/>
      <c r="AS2104" s="21"/>
      <c r="AT2104" s="57"/>
      <c r="AU2104" s="57"/>
      <c r="AV2104" s="57"/>
      <c r="AW2104" s="57"/>
      <c r="AX2104" s="57"/>
      <c r="AY2104" s="57"/>
      <c r="AZ2104" s="57"/>
      <c r="BA2104" s="57"/>
      <c r="BB2104" s="55"/>
      <c r="BC2104" s="57"/>
      <c r="BD2104" s="60"/>
      <c r="BE2104" s="57"/>
      <c r="BF2104" s="55"/>
      <c r="BG2104" s="60"/>
    </row>
    <row r="2105" spans="1:59" ht="13.5" customHeight="1" x14ac:dyDescent="0.35">
      <c r="A2105" s="49"/>
      <c r="B2105" s="49"/>
      <c r="C2105" s="39"/>
      <c r="D2105" s="1"/>
      <c r="E2105" s="149"/>
      <c r="F2105" s="153"/>
      <c r="G2105" s="10"/>
      <c r="H2105" s="17"/>
      <c r="I2105" s="17"/>
      <c r="J2105" s="17"/>
      <c r="K2105" s="30"/>
      <c r="L2105" s="30"/>
      <c r="M2105" s="30"/>
      <c r="N2105" s="30"/>
      <c r="O2105" s="30"/>
      <c r="P2105" s="30"/>
      <c r="Q2105" s="30"/>
      <c r="R2105" s="30"/>
      <c r="S2105" s="30"/>
      <c r="T2105" s="30"/>
      <c r="U2105" s="30"/>
      <c r="V2105" s="30"/>
      <c r="W2105" s="29"/>
      <c r="X2105" s="15"/>
      <c r="Y2105" s="30"/>
      <c r="Z2105" s="30"/>
      <c r="AA2105" s="30"/>
      <c r="AB2105" s="30"/>
      <c r="AC2105" s="17"/>
      <c r="AD2105" s="17"/>
      <c r="AE2105" s="17"/>
      <c r="AF2105" s="17"/>
      <c r="AG2105" s="21"/>
      <c r="AH2105" s="21"/>
      <c r="AI2105" s="21"/>
      <c r="AJ2105" s="21"/>
      <c r="AK2105" s="21"/>
      <c r="AL2105" s="21"/>
      <c r="AM2105" s="21"/>
      <c r="AN2105" s="21"/>
      <c r="AO2105" s="22"/>
      <c r="AP2105" s="21"/>
      <c r="AQ2105" s="22"/>
      <c r="AR2105" s="21"/>
      <c r="AS2105" s="21"/>
      <c r="AT2105" s="21"/>
      <c r="AU2105" s="21"/>
      <c r="AV2105" s="21"/>
      <c r="AW2105" s="21"/>
      <c r="AX2105" s="22"/>
      <c r="AY2105" s="21"/>
      <c r="AZ2105" s="22"/>
      <c r="BA2105" s="21"/>
      <c r="BB2105" s="21"/>
      <c r="BC2105" s="21"/>
      <c r="BD2105" s="21"/>
      <c r="BE2105" s="26"/>
      <c r="BF2105" s="26"/>
      <c r="BG2105" s="62"/>
    </row>
    <row r="2106" spans="1:59" x14ac:dyDescent="0.3">
      <c r="A2106" s="63"/>
      <c r="B2106" s="63"/>
      <c r="C2106" s="39"/>
      <c r="D2106" s="6"/>
      <c r="E2106" s="149"/>
      <c r="F2106" s="153"/>
      <c r="G2106" s="10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5"/>
      <c r="V2106" s="5"/>
      <c r="W2106" s="13"/>
      <c r="X2106" s="4"/>
      <c r="Y2106" s="4"/>
      <c r="Z2106" s="4"/>
      <c r="AA2106" s="6"/>
      <c r="AB2106" s="5"/>
      <c r="AC2106" s="9"/>
      <c r="AD2106" s="9"/>
      <c r="AE2106" s="9"/>
      <c r="AF2106" s="9"/>
      <c r="AG2106" s="64"/>
      <c r="AH2106" s="3"/>
      <c r="AI2106" s="2"/>
      <c r="AJ2106" s="2"/>
      <c r="AK2106" s="2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</row>
    <row r="2107" spans="1:59" ht="13.5" customHeight="1" x14ac:dyDescent="0.35">
      <c r="A2107" s="49"/>
      <c r="B2107" s="49"/>
      <c r="C2107" s="39"/>
      <c r="D2107" s="1"/>
      <c r="E2107" s="149"/>
      <c r="F2107" s="153"/>
      <c r="G2107" s="10"/>
      <c r="H2107" s="17"/>
      <c r="I2107" s="17"/>
      <c r="J2107" s="17"/>
      <c r="K2107" s="30"/>
      <c r="L2107" s="30"/>
      <c r="M2107" s="30"/>
      <c r="N2107" s="30"/>
      <c r="O2107" s="30"/>
      <c r="P2107" s="30"/>
      <c r="Q2107" s="30"/>
      <c r="R2107" s="30"/>
      <c r="S2107" s="30"/>
      <c r="T2107" s="30"/>
      <c r="U2107" s="30"/>
      <c r="V2107" s="30"/>
      <c r="W2107" s="29"/>
      <c r="X2107" s="15"/>
      <c r="Y2107" s="30"/>
      <c r="Z2107" s="30"/>
      <c r="AA2107" s="30"/>
      <c r="AB2107" s="30"/>
      <c r="AC2107" s="17"/>
      <c r="AD2107" s="17"/>
      <c r="AE2107" s="17"/>
      <c r="AF2107" s="17"/>
      <c r="AG2107" s="21"/>
      <c r="AH2107" s="21"/>
      <c r="AI2107" s="21"/>
      <c r="AJ2107" s="21"/>
      <c r="AK2107" s="21"/>
      <c r="AL2107" s="21"/>
      <c r="AM2107" s="21"/>
      <c r="AN2107" s="21"/>
      <c r="AO2107" s="22"/>
      <c r="AP2107" s="21"/>
      <c r="AQ2107" s="22"/>
      <c r="AR2107" s="21"/>
      <c r="AS2107" s="21"/>
      <c r="AT2107" s="21"/>
      <c r="AU2107" s="21"/>
      <c r="AV2107" s="21"/>
      <c r="AW2107" s="21"/>
      <c r="AX2107" s="22"/>
      <c r="AY2107" s="21"/>
      <c r="AZ2107" s="22"/>
      <c r="BA2107" s="21"/>
      <c r="BB2107" s="21"/>
      <c r="BC2107" s="21"/>
      <c r="BD2107" s="21"/>
      <c r="BE2107" s="26"/>
      <c r="BF2107" s="26"/>
      <c r="BG2107" s="62"/>
    </row>
    <row r="2108" spans="1:59" ht="13.5" customHeight="1" x14ac:dyDescent="0.35">
      <c r="A2108" s="49"/>
      <c r="B2108" s="49"/>
      <c r="C2108" s="14"/>
      <c r="D2108" s="1"/>
      <c r="E2108" s="149"/>
      <c r="F2108" s="153"/>
      <c r="G2108" s="10"/>
      <c r="H2108" s="17"/>
      <c r="I2108" s="17"/>
      <c r="J2108" s="17"/>
      <c r="K2108" s="30"/>
      <c r="L2108" s="30"/>
      <c r="M2108" s="30"/>
      <c r="N2108" s="30"/>
      <c r="O2108" s="30"/>
      <c r="P2108" s="30"/>
      <c r="Q2108" s="30"/>
      <c r="R2108" s="30"/>
      <c r="S2108" s="30"/>
      <c r="T2108" s="30"/>
      <c r="U2108" s="30"/>
      <c r="V2108" s="30"/>
      <c r="W2108" s="29"/>
      <c r="X2108" s="15"/>
      <c r="Y2108" s="30"/>
      <c r="Z2108" s="30"/>
      <c r="AA2108" s="30"/>
      <c r="AB2108" s="30"/>
      <c r="AC2108" s="17"/>
      <c r="AD2108" s="17"/>
      <c r="AE2108" s="17"/>
      <c r="AF2108" s="17"/>
      <c r="AG2108" s="21"/>
      <c r="AH2108" s="21"/>
      <c r="AI2108" s="21"/>
      <c r="AJ2108" s="21"/>
      <c r="AK2108" s="21"/>
      <c r="AL2108" s="21"/>
      <c r="AM2108" s="21"/>
      <c r="AN2108" s="21"/>
      <c r="AO2108" s="22"/>
      <c r="AP2108" s="21"/>
      <c r="AQ2108" s="22"/>
      <c r="AR2108" s="21"/>
      <c r="AS2108" s="21"/>
      <c r="AT2108" s="21"/>
      <c r="AU2108" s="21"/>
      <c r="AV2108" s="21"/>
      <c r="AW2108" s="21"/>
      <c r="AX2108" s="22"/>
      <c r="AY2108" s="21"/>
      <c r="AZ2108" s="22"/>
      <c r="BA2108" s="21"/>
      <c r="BB2108" s="21"/>
      <c r="BC2108" s="21"/>
      <c r="BD2108" s="21"/>
      <c r="BE2108" s="26"/>
      <c r="BF2108" s="26"/>
      <c r="BG2108" s="65"/>
    </row>
    <row r="2109" spans="1:59" x14ac:dyDescent="0.3">
      <c r="A2109" s="63"/>
      <c r="B2109" s="63"/>
      <c r="C2109" s="39"/>
      <c r="D2109" s="6"/>
      <c r="E2109" s="149"/>
      <c r="F2109" s="153"/>
      <c r="G2109" s="10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5"/>
      <c r="V2109" s="5"/>
      <c r="W2109" s="13"/>
      <c r="X2109" s="4"/>
      <c r="Y2109" s="4"/>
      <c r="Z2109" s="4"/>
      <c r="AA2109" s="6"/>
      <c r="AB2109" s="5"/>
      <c r="AC2109" s="9"/>
      <c r="AD2109" s="9"/>
      <c r="AE2109" s="9"/>
      <c r="AF2109" s="9"/>
      <c r="AG2109" s="64"/>
      <c r="AH2109" s="3"/>
      <c r="AI2109" s="2"/>
      <c r="AJ2109" s="2"/>
      <c r="AK2109" s="2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</row>
    <row r="2110" spans="1:59" x14ac:dyDescent="0.3">
      <c r="A2110" s="6"/>
      <c r="B2110" s="6"/>
      <c r="C2110" s="39"/>
      <c r="D2110" s="6"/>
      <c r="E2110" s="149"/>
      <c r="F2110" s="153"/>
      <c r="G2110" s="10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12"/>
      <c r="Y2110" s="6"/>
      <c r="Z2110" s="6"/>
      <c r="AA2110" s="6"/>
      <c r="AB2110" s="6"/>
      <c r="AC2110" s="9"/>
      <c r="AD2110" s="9"/>
      <c r="AE2110" s="9"/>
      <c r="AF2110" s="9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21"/>
      <c r="AS2110" s="21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</row>
    <row r="2111" spans="1:59" ht="13.5" customHeight="1" x14ac:dyDescent="0.35">
      <c r="A2111" s="49"/>
      <c r="B2111" s="49"/>
      <c r="C2111" s="14"/>
      <c r="D2111" s="1"/>
      <c r="E2111" s="149"/>
      <c r="F2111" s="153"/>
      <c r="G2111" s="10"/>
      <c r="H2111" s="17"/>
      <c r="I2111" s="17"/>
      <c r="J2111" s="17"/>
      <c r="K2111" s="30"/>
      <c r="L2111" s="30"/>
      <c r="M2111" s="30"/>
      <c r="N2111" s="30"/>
      <c r="O2111" s="30"/>
      <c r="P2111" s="30"/>
      <c r="Q2111" s="30"/>
      <c r="R2111" s="30"/>
      <c r="S2111" s="30"/>
      <c r="T2111" s="30"/>
      <c r="U2111" s="30"/>
      <c r="V2111" s="30"/>
      <c r="W2111" s="29"/>
      <c r="X2111" s="15"/>
      <c r="Y2111" s="30"/>
      <c r="Z2111" s="30"/>
      <c r="AA2111" s="30"/>
      <c r="AB2111" s="30"/>
      <c r="AC2111" s="17"/>
      <c r="AD2111" s="17"/>
      <c r="AE2111" s="17"/>
      <c r="AF2111" s="17"/>
      <c r="AG2111" s="21"/>
      <c r="AH2111" s="21"/>
      <c r="AI2111" s="21"/>
      <c r="AJ2111" s="21"/>
      <c r="AK2111" s="21"/>
      <c r="AL2111" s="21"/>
      <c r="AM2111" s="21"/>
      <c r="AN2111" s="21"/>
      <c r="AO2111" s="22"/>
      <c r="AP2111" s="21"/>
      <c r="AQ2111" s="22"/>
      <c r="AR2111" s="21"/>
      <c r="AS2111" s="21"/>
      <c r="AT2111" s="21"/>
      <c r="AU2111" s="21"/>
      <c r="AV2111" s="21"/>
      <c r="AW2111" s="21"/>
      <c r="AX2111" s="22"/>
      <c r="AY2111" s="21"/>
      <c r="AZ2111" s="22"/>
      <c r="BA2111" s="21"/>
      <c r="BB2111" s="21"/>
      <c r="BC2111" s="21"/>
      <c r="BD2111" s="21"/>
      <c r="BE2111" s="26"/>
      <c r="BF2111" s="26"/>
      <c r="BG2111" s="62"/>
    </row>
    <row r="2112" spans="1:59" x14ac:dyDescent="0.3">
      <c r="A2112" s="6"/>
      <c r="B2112" s="6"/>
      <c r="C2112" s="39"/>
      <c r="D2112" s="6"/>
      <c r="E2112" s="149"/>
      <c r="F2112" s="153"/>
      <c r="G2112" s="10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12"/>
      <c r="Y2112" s="6"/>
      <c r="Z2112" s="6"/>
      <c r="AA2112" s="6"/>
      <c r="AB2112" s="6"/>
      <c r="AC2112" s="9"/>
      <c r="AD2112" s="9"/>
      <c r="AE2112" s="9"/>
      <c r="AF2112" s="9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21"/>
      <c r="AS2112" s="21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</row>
    <row r="2113" spans="1:59" x14ac:dyDescent="0.3">
      <c r="A2113" s="63"/>
      <c r="B2113" s="63"/>
      <c r="C2113" s="39"/>
      <c r="D2113" s="6"/>
      <c r="E2113" s="149"/>
      <c r="F2113" s="153"/>
      <c r="G2113" s="10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5"/>
      <c r="V2113" s="5"/>
      <c r="W2113" s="13"/>
      <c r="X2113" s="4"/>
      <c r="Y2113" s="4"/>
      <c r="Z2113" s="4"/>
      <c r="AA2113" s="6"/>
      <c r="AB2113" s="5"/>
      <c r="AC2113" s="9"/>
      <c r="AD2113" s="9"/>
      <c r="AE2113" s="9"/>
      <c r="AF2113" s="9"/>
      <c r="AG2113" s="64"/>
      <c r="AH2113" s="3"/>
      <c r="AI2113" s="2"/>
      <c r="AJ2113" s="2"/>
      <c r="AK2113" s="2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</row>
    <row r="2114" spans="1:59" x14ac:dyDescent="0.3">
      <c r="A2114" s="63"/>
      <c r="B2114" s="63"/>
      <c r="C2114" s="39"/>
      <c r="D2114" s="6"/>
      <c r="E2114" s="149"/>
      <c r="F2114" s="153"/>
      <c r="G2114" s="10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5"/>
      <c r="V2114" s="5"/>
      <c r="W2114" s="13"/>
      <c r="X2114" s="4"/>
      <c r="Y2114" s="4"/>
      <c r="Z2114" s="4"/>
      <c r="AA2114" s="6"/>
      <c r="AB2114" s="5"/>
      <c r="AC2114" s="9"/>
      <c r="AD2114" s="9"/>
      <c r="AE2114" s="9"/>
      <c r="AF2114" s="9"/>
      <c r="AG2114" s="64"/>
      <c r="AH2114" s="3"/>
      <c r="AI2114" s="2"/>
      <c r="AJ2114" s="2"/>
      <c r="AK2114" s="2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</row>
    <row r="2115" spans="1:59" x14ac:dyDescent="0.3">
      <c r="A2115" s="6"/>
      <c r="B2115" s="6"/>
      <c r="C2115" s="39"/>
      <c r="D2115" s="6"/>
      <c r="E2115" s="149"/>
      <c r="F2115" s="153"/>
      <c r="G2115" s="10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12"/>
      <c r="Y2115" s="6"/>
      <c r="Z2115" s="6"/>
      <c r="AA2115" s="6"/>
      <c r="AB2115" s="6"/>
      <c r="AC2115" s="9"/>
      <c r="AD2115" s="9"/>
      <c r="AE2115" s="9"/>
      <c r="AF2115" s="9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21"/>
      <c r="AS2115" s="21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</row>
    <row r="2116" spans="1:59" ht="13.5" customHeight="1" x14ac:dyDescent="0.35">
      <c r="A2116" s="49"/>
      <c r="B2116" s="49"/>
      <c r="C2116" s="14"/>
      <c r="D2116" s="1"/>
      <c r="E2116" s="149"/>
      <c r="F2116" s="153"/>
      <c r="G2116" s="10"/>
      <c r="H2116" s="17"/>
      <c r="I2116" s="17"/>
      <c r="J2116" s="17"/>
      <c r="K2116" s="30"/>
      <c r="L2116" s="30"/>
      <c r="M2116" s="30"/>
      <c r="N2116" s="30"/>
      <c r="O2116" s="30"/>
      <c r="P2116" s="30"/>
      <c r="Q2116" s="30"/>
      <c r="R2116" s="30"/>
      <c r="S2116" s="30"/>
      <c r="T2116" s="30"/>
      <c r="U2116" s="30"/>
      <c r="V2116" s="30"/>
      <c r="W2116" s="29"/>
      <c r="X2116" s="15"/>
      <c r="Y2116" s="30"/>
      <c r="Z2116" s="30"/>
      <c r="AA2116" s="30"/>
      <c r="AB2116" s="30"/>
      <c r="AC2116" s="17"/>
      <c r="AD2116" s="17"/>
      <c r="AE2116" s="17"/>
      <c r="AF2116" s="17"/>
      <c r="AG2116" s="21"/>
      <c r="AH2116" s="21"/>
      <c r="AI2116" s="21"/>
      <c r="AJ2116" s="21"/>
      <c r="AK2116" s="21"/>
      <c r="AL2116" s="21"/>
      <c r="AM2116" s="21"/>
      <c r="AN2116" s="21"/>
      <c r="AO2116" s="22"/>
      <c r="AP2116" s="21"/>
      <c r="AQ2116" s="22"/>
      <c r="AR2116" s="21"/>
      <c r="AS2116" s="21"/>
      <c r="AT2116" s="21"/>
      <c r="AU2116" s="21"/>
      <c r="AV2116" s="21"/>
      <c r="AW2116" s="21"/>
      <c r="AX2116" s="22"/>
      <c r="AY2116" s="21"/>
      <c r="AZ2116" s="22"/>
      <c r="BA2116" s="21"/>
      <c r="BB2116" s="21"/>
      <c r="BC2116" s="21"/>
      <c r="BD2116" s="21"/>
      <c r="BE2116" s="26"/>
      <c r="BF2116" s="26"/>
      <c r="BG2116" s="62"/>
    </row>
    <row r="2117" spans="1:59" x14ac:dyDescent="0.3">
      <c r="A2117" s="63"/>
      <c r="B2117" s="63"/>
      <c r="C2117" s="39"/>
      <c r="D2117" s="6"/>
      <c r="E2117" s="149"/>
      <c r="F2117" s="153"/>
      <c r="G2117" s="10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5"/>
      <c r="V2117" s="5"/>
      <c r="W2117" s="13"/>
      <c r="X2117" s="4"/>
      <c r="Y2117" s="4"/>
      <c r="Z2117" s="4"/>
      <c r="AA2117" s="6"/>
      <c r="AB2117" s="5"/>
      <c r="AC2117" s="9"/>
      <c r="AD2117" s="9"/>
      <c r="AE2117" s="9"/>
      <c r="AF2117" s="9"/>
      <c r="AG2117" s="64"/>
      <c r="AH2117" s="3"/>
      <c r="AI2117" s="2"/>
      <c r="AJ2117" s="2"/>
      <c r="AK2117" s="2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</row>
    <row r="2118" spans="1:59" ht="13.5" customHeight="1" x14ac:dyDescent="0.3">
      <c r="A2118" s="49"/>
      <c r="B2118" s="49"/>
      <c r="C2118" s="14"/>
      <c r="D2118" s="6"/>
      <c r="E2118" s="149"/>
      <c r="F2118" s="153"/>
      <c r="G2118" s="10"/>
      <c r="H2118" s="17"/>
      <c r="I2118" s="17"/>
      <c r="J2118" s="17"/>
      <c r="K2118" s="30"/>
      <c r="L2118" s="30"/>
      <c r="M2118" s="30"/>
      <c r="N2118" s="30"/>
      <c r="O2118" s="30"/>
      <c r="P2118" s="30"/>
      <c r="Q2118" s="30"/>
      <c r="R2118" s="30"/>
      <c r="S2118" s="30"/>
      <c r="T2118" s="30"/>
      <c r="U2118" s="30"/>
      <c r="V2118" s="30"/>
      <c r="W2118" s="29"/>
      <c r="X2118" s="15"/>
      <c r="Y2118" s="30"/>
      <c r="Z2118" s="30"/>
      <c r="AA2118" s="30"/>
      <c r="AB2118" s="30"/>
      <c r="AC2118" s="17"/>
      <c r="AD2118" s="17"/>
      <c r="AE2118" s="17"/>
      <c r="AF2118" s="17"/>
      <c r="AG2118" s="21"/>
      <c r="AH2118" s="21"/>
      <c r="AI2118" s="21"/>
      <c r="AJ2118" s="21"/>
      <c r="AK2118" s="21"/>
      <c r="AL2118" s="21"/>
      <c r="AM2118" s="21"/>
      <c r="AN2118" s="21"/>
      <c r="AO2118" s="22"/>
      <c r="AP2118" s="21"/>
      <c r="AQ2118" s="22"/>
      <c r="AR2118" s="21"/>
      <c r="AS2118" s="21"/>
      <c r="AT2118" s="21"/>
      <c r="AU2118" s="21"/>
      <c r="AV2118" s="21"/>
      <c r="AW2118" s="21"/>
      <c r="AX2118" s="22"/>
      <c r="AY2118" s="21"/>
      <c r="AZ2118" s="22"/>
      <c r="BA2118" s="21"/>
      <c r="BB2118" s="21"/>
      <c r="BC2118" s="21"/>
      <c r="BD2118" s="21"/>
      <c r="BE2118" s="26"/>
      <c r="BF2118" s="26"/>
      <c r="BG2118" s="62"/>
    </row>
    <row r="2119" spans="1:59" x14ac:dyDescent="0.3">
      <c r="A2119" s="6"/>
      <c r="B2119" s="6"/>
      <c r="C2119" s="39"/>
      <c r="D2119" s="6"/>
      <c r="E2119" s="149"/>
      <c r="F2119" s="153"/>
      <c r="G2119" s="10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12"/>
      <c r="Y2119" s="6"/>
      <c r="Z2119" s="6"/>
      <c r="AA2119" s="6"/>
      <c r="AB2119" s="6"/>
      <c r="AC2119" s="9"/>
      <c r="AD2119" s="9"/>
      <c r="AE2119" s="9"/>
      <c r="AF2119" s="9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21"/>
      <c r="AS2119" s="21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</row>
    <row r="2120" spans="1:59" ht="13.5" customHeight="1" x14ac:dyDescent="0.35">
      <c r="A2120" s="49"/>
      <c r="B2120" s="49"/>
      <c r="C2120" s="14"/>
      <c r="D2120" s="1"/>
      <c r="E2120" s="149"/>
      <c r="F2120" s="153"/>
      <c r="G2120" s="10"/>
      <c r="H2120" s="17"/>
      <c r="I2120" s="17"/>
      <c r="J2120" s="17"/>
      <c r="K2120" s="30"/>
      <c r="L2120" s="30"/>
      <c r="M2120" s="30"/>
      <c r="N2120" s="30"/>
      <c r="O2120" s="30"/>
      <c r="P2120" s="30"/>
      <c r="Q2120" s="30"/>
      <c r="R2120" s="30"/>
      <c r="S2120" s="30"/>
      <c r="T2120" s="30"/>
      <c r="U2120" s="30"/>
      <c r="V2120" s="30"/>
      <c r="W2120" s="29"/>
      <c r="X2120" s="15"/>
      <c r="Y2120" s="30"/>
      <c r="Z2120" s="30"/>
      <c r="AA2120" s="30"/>
      <c r="AB2120" s="30"/>
      <c r="AC2120" s="17"/>
      <c r="AD2120" s="17"/>
      <c r="AE2120" s="17"/>
      <c r="AF2120" s="17"/>
      <c r="AG2120" s="21"/>
      <c r="AH2120" s="21"/>
      <c r="AI2120" s="21"/>
      <c r="AJ2120" s="21"/>
      <c r="AK2120" s="21"/>
      <c r="AL2120" s="21"/>
      <c r="AM2120" s="21"/>
      <c r="AN2120" s="21"/>
      <c r="AO2120" s="22"/>
      <c r="AP2120" s="21"/>
      <c r="AQ2120" s="22"/>
      <c r="AR2120" s="21"/>
      <c r="AS2120" s="21"/>
      <c r="AT2120" s="21"/>
      <c r="AU2120" s="21"/>
      <c r="AV2120" s="21"/>
      <c r="AW2120" s="21"/>
      <c r="AX2120" s="22"/>
      <c r="AY2120" s="21"/>
      <c r="AZ2120" s="22"/>
      <c r="BA2120" s="21"/>
      <c r="BB2120" s="21"/>
      <c r="BC2120" s="21"/>
      <c r="BD2120" s="21"/>
      <c r="BE2120" s="26"/>
      <c r="BF2120" s="26"/>
      <c r="BG2120" s="62"/>
    </row>
    <row r="2121" spans="1:59" x14ac:dyDescent="0.3">
      <c r="A2121" s="6"/>
      <c r="B2121" s="6"/>
      <c r="C2121" s="39"/>
      <c r="D2121" s="6"/>
      <c r="E2121" s="149"/>
      <c r="F2121" s="153"/>
      <c r="G2121" s="10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12"/>
      <c r="Y2121" s="6"/>
      <c r="Z2121" s="6"/>
      <c r="AA2121" s="6"/>
      <c r="AB2121" s="6"/>
      <c r="AC2121" s="9"/>
      <c r="AD2121" s="9"/>
      <c r="AE2121" s="9"/>
      <c r="AF2121" s="9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21"/>
      <c r="AS2121" s="21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</row>
    <row r="2122" spans="1:59" x14ac:dyDescent="0.3">
      <c r="A2122" s="6"/>
      <c r="B2122" s="6"/>
      <c r="C2122" s="39"/>
      <c r="D2122" s="6"/>
      <c r="E2122" s="149"/>
      <c r="F2122" s="153"/>
      <c r="G2122" s="10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5"/>
      <c r="V2122" s="5"/>
      <c r="W2122" s="13"/>
      <c r="X2122" s="4"/>
      <c r="Y2122" s="4"/>
      <c r="Z2122" s="4"/>
      <c r="AA2122" s="6"/>
      <c r="AB2122" s="5"/>
      <c r="AC2122" s="9"/>
      <c r="AD2122" s="9"/>
      <c r="AE2122" s="9"/>
      <c r="AF2122" s="9"/>
      <c r="AG2122" s="2"/>
      <c r="AH2122" s="3"/>
      <c r="AI2122" s="2"/>
      <c r="AJ2122" s="2"/>
      <c r="AK2122" s="2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</row>
    <row r="2123" spans="1:59" x14ac:dyDescent="0.3">
      <c r="A2123" s="6"/>
      <c r="B2123" s="6"/>
      <c r="C2123" s="39"/>
      <c r="D2123" s="6"/>
      <c r="E2123" s="149"/>
      <c r="F2123" s="153"/>
      <c r="G2123" s="10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12"/>
      <c r="Y2123" s="6"/>
      <c r="Z2123" s="6"/>
      <c r="AA2123" s="6"/>
      <c r="AB2123" s="6"/>
      <c r="AC2123" s="9"/>
      <c r="AD2123" s="9"/>
      <c r="AE2123" s="9"/>
      <c r="AF2123" s="9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21"/>
      <c r="AS2123" s="21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</row>
    <row r="2124" spans="1:59" x14ac:dyDescent="0.3">
      <c r="A2124" s="6"/>
      <c r="B2124" s="6"/>
      <c r="C2124" s="39"/>
      <c r="D2124" s="6"/>
      <c r="E2124" s="149"/>
      <c r="F2124" s="153"/>
      <c r="G2124" s="10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12"/>
      <c r="Y2124" s="6"/>
      <c r="Z2124" s="6"/>
      <c r="AA2124" s="6"/>
      <c r="AB2124" s="6"/>
      <c r="AC2124" s="9"/>
      <c r="AD2124" s="9"/>
      <c r="AE2124" s="9"/>
      <c r="AF2124" s="9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21"/>
      <c r="AS2124" s="21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</row>
    <row r="2125" spans="1:59" ht="13.5" customHeight="1" x14ac:dyDescent="0.35">
      <c r="A2125" s="49"/>
      <c r="B2125" s="49"/>
      <c r="C2125" s="39"/>
      <c r="D2125" s="1"/>
      <c r="E2125" s="149"/>
      <c r="F2125" s="153"/>
      <c r="G2125" s="10"/>
      <c r="H2125" s="17"/>
      <c r="I2125" s="17"/>
      <c r="J2125" s="17"/>
      <c r="K2125" s="30"/>
      <c r="L2125" s="30"/>
      <c r="M2125" s="30"/>
      <c r="N2125" s="30"/>
      <c r="O2125" s="30"/>
      <c r="P2125" s="30"/>
      <c r="Q2125" s="30"/>
      <c r="R2125" s="30"/>
      <c r="S2125" s="30"/>
      <c r="T2125" s="30"/>
      <c r="U2125" s="30"/>
      <c r="V2125" s="30"/>
      <c r="W2125" s="29"/>
      <c r="X2125" s="15"/>
      <c r="Y2125" s="30"/>
      <c r="Z2125" s="30"/>
      <c r="AA2125" s="30"/>
      <c r="AB2125" s="30"/>
      <c r="AC2125" s="17"/>
      <c r="AD2125" s="17"/>
      <c r="AE2125" s="17"/>
      <c r="AF2125" s="17"/>
      <c r="AG2125" s="21"/>
      <c r="AH2125" s="21"/>
      <c r="AI2125" s="21"/>
      <c r="AJ2125" s="21"/>
      <c r="AK2125" s="21"/>
      <c r="AL2125" s="21"/>
      <c r="AM2125" s="21"/>
      <c r="AN2125" s="21"/>
      <c r="AO2125" s="22"/>
      <c r="AP2125" s="21"/>
      <c r="AQ2125" s="22"/>
      <c r="AR2125" s="21"/>
      <c r="AS2125" s="21"/>
      <c r="AT2125" s="21"/>
      <c r="AU2125" s="21"/>
      <c r="AV2125" s="21"/>
      <c r="AW2125" s="21"/>
      <c r="AX2125" s="22"/>
      <c r="AY2125" s="21"/>
      <c r="AZ2125" s="22"/>
      <c r="BA2125" s="21"/>
      <c r="BB2125" s="21"/>
      <c r="BC2125" s="21"/>
      <c r="BD2125" s="21"/>
      <c r="BE2125" s="26"/>
      <c r="BF2125" s="26"/>
      <c r="BG2125" s="62"/>
    </row>
    <row r="2126" spans="1:59" x14ac:dyDescent="0.3">
      <c r="A2126" s="6"/>
      <c r="B2126" s="6"/>
      <c r="C2126" s="39"/>
      <c r="D2126" s="6"/>
      <c r="E2126" s="149"/>
      <c r="F2126" s="153"/>
      <c r="G2126" s="10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12"/>
      <c r="Y2126" s="6"/>
      <c r="Z2126" s="6"/>
      <c r="AA2126" s="6"/>
      <c r="AB2126" s="6"/>
      <c r="AC2126" s="9"/>
      <c r="AD2126" s="9"/>
      <c r="AE2126" s="9"/>
      <c r="AF2126" s="9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21"/>
      <c r="AS2126" s="21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</row>
    <row r="2127" spans="1:59" x14ac:dyDescent="0.3">
      <c r="A2127" s="6"/>
      <c r="B2127" s="6"/>
      <c r="C2127" s="39"/>
      <c r="D2127" s="6"/>
      <c r="E2127" s="149"/>
      <c r="F2127" s="153"/>
      <c r="G2127" s="10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12"/>
      <c r="Y2127" s="6"/>
      <c r="Z2127" s="6"/>
      <c r="AA2127" s="6"/>
      <c r="AB2127" s="6"/>
      <c r="AC2127" s="9"/>
      <c r="AD2127" s="9"/>
      <c r="AE2127" s="9"/>
      <c r="AF2127" s="9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21"/>
      <c r="AS2127" s="21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</row>
    <row r="2128" spans="1:59" x14ac:dyDescent="0.3">
      <c r="A2128" s="6"/>
      <c r="B2128" s="6"/>
      <c r="C2128" s="39"/>
      <c r="D2128" s="6"/>
      <c r="E2128" s="149"/>
      <c r="F2128" s="153"/>
      <c r="G2128" s="10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5"/>
      <c r="V2128" s="5"/>
      <c r="W2128" s="13"/>
      <c r="X2128" s="4"/>
      <c r="Y2128" s="4"/>
      <c r="Z2128" s="4"/>
      <c r="AA2128" s="6"/>
      <c r="AB2128" s="5"/>
      <c r="AC2128" s="9"/>
      <c r="AD2128" s="9"/>
      <c r="AE2128" s="9"/>
      <c r="AF2128" s="9"/>
      <c r="AG2128" s="2"/>
      <c r="AH2128" s="3"/>
      <c r="AI2128" s="2"/>
      <c r="AJ2128" s="2"/>
      <c r="AK2128" s="2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</row>
    <row r="2129" spans="1:59" x14ac:dyDescent="0.3">
      <c r="A2129" s="6"/>
      <c r="B2129" s="6"/>
      <c r="C2129" s="39"/>
      <c r="D2129" s="6"/>
      <c r="E2129" s="149"/>
      <c r="F2129" s="153"/>
      <c r="G2129" s="10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5"/>
      <c r="V2129" s="5"/>
      <c r="W2129" s="13"/>
      <c r="X2129" s="4"/>
      <c r="Y2129" s="4"/>
      <c r="Z2129" s="4"/>
      <c r="AA2129" s="6"/>
      <c r="AB2129" s="5"/>
      <c r="AC2129" s="9"/>
      <c r="AD2129" s="9"/>
      <c r="AE2129" s="9"/>
      <c r="AF2129" s="9"/>
      <c r="AG2129" s="2"/>
      <c r="AH2129" s="3"/>
      <c r="AI2129" s="2"/>
      <c r="AJ2129" s="2"/>
      <c r="AK2129" s="2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</row>
    <row r="2130" spans="1:59" x14ac:dyDescent="0.3">
      <c r="A2130" s="6"/>
      <c r="B2130" s="6"/>
      <c r="C2130" s="39"/>
      <c r="D2130" s="6"/>
      <c r="E2130" s="149"/>
      <c r="F2130" s="153"/>
      <c r="G2130" s="10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12"/>
      <c r="Y2130" s="6"/>
      <c r="Z2130" s="6"/>
      <c r="AA2130" s="6"/>
      <c r="AB2130" s="6"/>
      <c r="AC2130" s="9"/>
      <c r="AD2130" s="9"/>
      <c r="AE2130" s="9"/>
      <c r="AF2130" s="9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21"/>
      <c r="AS2130" s="21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</row>
    <row r="2131" spans="1:59" x14ac:dyDescent="0.3">
      <c r="A2131" s="6"/>
      <c r="B2131" s="6"/>
      <c r="C2131" s="39"/>
      <c r="D2131" s="6"/>
      <c r="E2131" s="149"/>
      <c r="F2131" s="153"/>
      <c r="G2131" s="10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12"/>
      <c r="Y2131" s="6"/>
      <c r="Z2131" s="6"/>
      <c r="AA2131" s="6"/>
      <c r="AB2131" s="6"/>
      <c r="AC2131" s="9"/>
      <c r="AD2131" s="9"/>
      <c r="AE2131" s="9"/>
      <c r="AF2131" s="9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</row>
    <row r="2132" spans="1:59" x14ac:dyDescent="0.3">
      <c r="A2132" s="6"/>
      <c r="B2132" s="6"/>
      <c r="C2132" s="39"/>
      <c r="D2132" s="6"/>
      <c r="E2132" s="149"/>
      <c r="F2132" s="153"/>
      <c r="G2132" s="10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12"/>
      <c r="Y2132" s="6"/>
      <c r="Z2132" s="6"/>
      <c r="AA2132" s="6"/>
      <c r="AB2132" s="6"/>
      <c r="AC2132" s="9"/>
      <c r="AD2132" s="9"/>
      <c r="AE2132" s="9"/>
      <c r="AF2132" s="9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21"/>
      <c r="AS2132" s="21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</row>
    <row r="2133" spans="1:59" x14ac:dyDescent="0.3">
      <c r="A2133" s="6"/>
      <c r="B2133" s="6"/>
      <c r="C2133" s="39"/>
      <c r="D2133" s="6"/>
      <c r="E2133" s="149"/>
      <c r="F2133" s="153"/>
      <c r="G2133" s="10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5"/>
      <c r="V2133" s="5"/>
      <c r="W2133" s="13"/>
      <c r="X2133" s="4"/>
      <c r="Y2133" s="4"/>
      <c r="Z2133" s="4"/>
      <c r="AA2133" s="6"/>
      <c r="AB2133" s="5"/>
      <c r="AC2133" s="9"/>
      <c r="AD2133" s="9"/>
      <c r="AE2133" s="9"/>
      <c r="AF2133" s="9"/>
      <c r="AG2133" s="2"/>
      <c r="AH2133" s="3"/>
      <c r="AI2133" s="2"/>
      <c r="AJ2133" s="2"/>
      <c r="AK2133" s="2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</row>
    <row r="2134" spans="1:59" x14ac:dyDescent="0.3">
      <c r="A2134" s="6"/>
      <c r="B2134" s="6"/>
      <c r="C2134" s="39"/>
      <c r="D2134" s="6"/>
      <c r="E2134" s="149"/>
      <c r="F2134" s="153"/>
      <c r="G2134" s="10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5"/>
      <c r="V2134" s="5"/>
      <c r="W2134" s="13"/>
      <c r="X2134" s="4"/>
      <c r="Y2134" s="4"/>
      <c r="Z2134" s="4"/>
      <c r="AA2134" s="6"/>
      <c r="AB2134" s="5"/>
      <c r="AC2134" s="9"/>
      <c r="AD2134" s="9"/>
      <c r="AE2134" s="9"/>
      <c r="AF2134" s="9"/>
      <c r="AG2134" s="2"/>
      <c r="AH2134" s="3"/>
      <c r="AI2134" s="2"/>
      <c r="AJ2134" s="2"/>
      <c r="AK2134" s="2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</row>
    <row r="2135" spans="1:59" x14ac:dyDescent="0.3">
      <c r="A2135" s="63"/>
      <c r="B2135" s="63"/>
      <c r="C2135" s="39"/>
      <c r="D2135" s="6"/>
      <c r="E2135" s="149"/>
      <c r="F2135" s="153"/>
      <c r="G2135" s="10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5"/>
      <c r="V2135" s="5"/>
      <c r="W2135" s="13"/>
      <c r="X2135" s="4"/>
      <c r="Y2135" s="4"/>
      <c r="Z2135" s="4"/>
      <c r="AA2135" s="6"/>
      <c r="AB2135" s="5"/>
      <c r="AC2135" s="9"/>
      <c r="AD2135" s="9"/>
      <c r="AE2135" s="9"/>
      <c r="AF2135" s="9"/>
      <c r="AG2135" s="64"/>
      <c r="AH2135" s="3"/>
      <c r="AI2135" s="2"/>
      <c r="AJ2135" s="2"/>
      <c r="AK2135" s="2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</row>
    <row r="2136" spans="1:59" x14ac:dyDescent="0.3">
      <c r="A2136" s="63"/>
      <c r="B2136" s="63"/>
      <c r="C2136" s="39"/>
      <c r="D2136" s="6"/>
      <c r="E2136" s="149"/>
      <c r="F2136" s="153"/>
      <c r="G2136" s="10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5"/>
      <c r="V2136" s="5"/>
      <c r="W2136" s="13"/>
      <c r="X2136" s="4"/>
      <c r="Y2136" s="4"/>
      <c r="Z2136" s="4"/>
      <c r="AA2136" s="6"/>
      <c r="AB2136" s="5"/>
      <c r="AC2136" s="9"/>
      <c r="AD2136" s="9"/>
      <c r="AE2136" s="9"/>
      <c r="AF2136" s="9"/>
      <c r="AG2136" s="64"/>
      <c r="AH2136" s="3"/>
      <c r="AI2136" s="2"/>
      <c r="AJ2136" s="2"/>
      <c r="AK2136" s="2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</row>
    <row r="2137" spans="1:59" x14ac:dyDescent="0.3">
      <c r="A2137" s="6"/>
      <c r="B2137" s="6"/>
      <c r="C2137" s="39"/>
      <c r="D2137" s="6"/>
      <c r="E2137" s="149"/>
      <c r="F2137" s="153"/>
      <c r="G2137" s="10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12"/>
      <c r="Y2137" s="6"/>
      <c r="Z2137" s="6"/>
      <c r="AA2137" s="6"/>
      <c r="AB2137" s="6"/>
      <c r="AC2137" s="9"/>
      <c r="AD2137" s="9"/>
      <c r="AE2137" s="9"/>
      <c r="AF2137" s="9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21"/>
      <c r="AS2137" s="21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</row>
    <row r="2138" spans="1:59" x14ac:dyDescent="0.3">
      <c r="A2138" s="63"/>
      <c r="B2138" s="63"/>
      <c r="C2138" s="39"/>
      <c r="D2138" s="6"/>
      <c r="E2138" s="149"/>
      <c r="F2138" s="153"/>
      <c r="G2138" s="10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5"/>
      <c r="V2138" s="5"/>
      <c r="W2138" s="13"/>
      <c r="X2138" s="4"/>
      <c r="Y2138" s="4"/>
      <c r="Z2138" s="4"/>
      <c r="AA2138" s="6"/>
      <c r="AB2138" s="5"/>
      <c r="AC2138" s="9"/>
      <c r="AD2138" s="9"/>
      <c r="AE2138" s="9"/>
      <c r="AF2138" s="9"/>
      <c r="AG2138" s="64"/>
      <c r="AH2138" s="3"/>
      <c r="AI2138" s="2"/>
      <c r="AJ2138" s="2"/>
      <c r="AK2138" s="2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</row>
    <row r="2139" spans="1:59" ht="13.5" customHeight="1" x14ac:dyDescent="0.35">
      <c r="A2139" s="49"/>
      <c r="B2139" s="49"/>
      <c r="C2139" s="14"/>
      <c r="D2139" s="1"/>
      <c r="E2139" s="149"/>
      <c r="F2139" s="153"/>
      <c r="G2139" s="10"/>
      <c r="H2139" s="17"/>
      <c r="I2139" s="17"/>
      <c r="J2139" s="17"/>
      <c r="K2139" s="30"/>
      <c r="L2139" s="30"/>
      <c r="M2139" s="30"/>
      <c r="N2139" s="30"/>
      <c r="O2139" s="30"/>
      <c r="P2139" s="30"/>
      <c r="Q2139" s="30"/>
      <c r="R2139" s="30"/>
      <c r="S2139" s="30"/>
      <c r="T2139" s="30"/>
      <c r="U2139" s="30"/>
      <c r="V2139" s="30"/>
      <c r="W2139" s="29"/>
      <c r="X2139" s="15"/>
      <c r="Y2139" s="30"/>
      <c r="Z2139" s="30"/>
      <c r="AA2139" s="30"/>
      <c r="AB2139" s="30"/>
      <c r="AC2139" s="17"/>
      <c r="AD2139" s="17"/>
      <c r="AE2139" s="17"/>
      <c r="AF2139" s="17"/>
      <c r="AG2139" s="21"/>
      <c r="AH2139" s="21"/>
      <c r="AI2139" s="21"/>
      <c r="AJ2139" s="21"/>
      <c r="AK2139" s="21"/>
      <c r="AL2139" s="21"/>
      <c r="AM2139" s="21"/>
      <c r="AN2139" s="21"/>
      <c r="AO2139" s="22"/>
      <c r="AP2139" s="21"/>
      <c r="AQ2139" s="22"/>
      <c r="AR2139" s="21"/>
      <c r="AS2139" s="21"/>
      <c r="AT2139" s="21"/>
      <c r="AU2139" s="21"/>
      <c r="AV2139" s="21"/>
      <c r="AW2139" s="21"/>
      <c r="AX2139" s="22"/>
      <c r="AY2139" s="21"/>
      <c r="AZ2139" s="22"/>
      <c r="BA2139" s="21"/>
      <c r="BB2139" s="21"/>
      <c r="BC2139" s="21"/>
      <c r="BD2139" s="21"/>
      <c r="BE2139" s="26"/>
      <c r="BF2139" s="26"/>
      <c r="BG2139" s="62"/>
    </row>
    <row r="2140" spans="1:59" ht="13.5" customHeight="1" x14ac:dyDescent="0.35">
      <c r="A2140" s="49"/>
      <c r="B2140" s="49"/>
      <c r="C2140" s="14"/>
      <c r="D2140" s="1"/>
      <c r="E2140" s="149"/>
      <c r="F2140" s="153"/>
      <c r="G2140" s="10"/>
      <c r="H2140" s="17"/>
      <c r="I2140" s="17"/>
      <c r="J2140" s="17"/>
      <c r="K2140" s="30"/>
      <c r="L2140" s="30"/>
      <c r="M2140" s="30"/>
      <c r="N2140" s="30"/>
      <c r="O2140" s="30"/>
      <c r="P2140" s="30"/>
      <c r="Q2140" s="30"/>
      <c r="R2140" s="30"/>
      <c r="S2140" s="30"/>
      <c r="T2140" s="30"/>
      <c r="U2140" s="30"/>
      <c r="V2140" s="30"/>
      <c r="W2140" s="29"/>
      <c r="X2140" s="15"/>
      <c r="Y2140" s="30"/>
      <c r="Z2140" s="30"/>
      <c r="AA2140" s="30"/>
      <c r="AB2140" s="30"/>
      <c r="AC2140" s="17"/>
      <c r="AD2140" s="17"/>
      <c r="AE2140" s="17"/>
      <c r="AF2140" s="17"/>
      <c r="AG2140" s="21"/>
      <c r="AH2140" s="21"/>
      <c r="AI2140" s="21"/>
      <c r="AJ2140" s="21"/>
      <c r="AK2140" s="21"/>
      <c r="AL2140" s="21"/>
      <c r="AM2140" s="21"/>
      <c r="AN2140" s="21"/>
      <c r="AO2140" s="22"/>
      <c r="AP2140" s="21"/>
      <c r="AQ2140" s="22"/>
      <c r="AR2140" s="21"/>
      <c r="AS2140" s="21"/>
      <c r="AT2140" s="21"/>
      <c r="AU2140" s="21"/>
      <c r="AV2140" s="21"/>
      <c r="AW2140" s="21"/>
      <c r="AX2140" s="22"/>
      <c r="AY2140" s="21"/>
      <c r="AZ2140" s="22"/>
      <c r="BA2140" s="21"/>
      <c r="BB2140" s="21"/>
      <c r="BC2140" s="21"/>
      <c r="BD2140" s="21"/>
      <c r="BE2140" s="26"/>
      <c r="BF2140" s="26"/>
      <c r="BG2140" s="62"/>
    </row>
    <row r="2141" spans="1:59" x14ac:dyDescent="0.3">
      <c r="A2141" s="6"/>
      <c r="B2141" s="6"/>
      <c r="C2141" s="39"/>
      <c r="D2141" s="6"/>
      <c r="E2141" s="149"/>
      <c r="F2141" s="153"/>
      <c r="G2141" s="10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12"/>
      <c r="Y2141" s="6"/>
      <c r="Z2141" s="6"/>
      <c r="AA2141" s="6"/>
      <c r="AB2141" s="6"/>
      <c r="AC2141" s="9"/>
      <c r="AD2141" s="9"/>
      <c r="AE2141" s="9"/>
      <c r="AF2141" s="9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21"/>
      <c r="AS2141" s="21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</row>
    <row r="2142" spans="1:59" x14ac:dyDescent="0.3">
      <c r="A2142" s="6"/>
      <c r="B2142" s="6"/>
      <c r="C2142" s="39"/>
      <c r="D2142" s="6"/>
      <c r="E2142" s="149"/>
      <c r="F2142" s="153"/>
      <c r="G2142" s="10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12"/>
      <c r="Y2142" s="6"/>
      <c r="Z2142" s="6"/>
      <c r="AA2142" s="6"/>
      <c r="AB2142" s="6"/>
      <c r="AC2142" s="9"/>
      <c r="AD2142" s="9"/>
      <c r="AE2142" s="9"/>
      <c r="AF2142" s="9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21"/>
      <c r="AS2142" s="21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</row>
    <row r="2143" spans="1:59" ht="13.5" customHeight="1" x14ac:dyDescent="0.35">
      <c r="A2143" s="49"/>
      <c r="B2143" s="49"/>
      <c r="C2143" s="14"/>
      <c r="D2143" s="1"/>
      <c r="E2143" s="149"/>
      <c r="F2143" s="153"/>
      <c r="G2143" s="10"/>
      <c r="H2143" s="17"/>
      <c r="I2143" s="17"/>
      <c r="J2143" s="17"/>
      <c r="K2143" s="30"/>
      <c r="L2143" s="30"/>
      <c r="M2143" s="30"/>
      <c r="N2143" s="30"/>
      <c r="O2143" s="30"/>
      <c r="P2143" s="30"/>
      <c r="Q2143" s="30"/>
      <c r="R2143" s="30"/>
      <c r="S2143" s="30"/>
      <c r="T2143" s="30"/>
      <c r="U2143" s="30"/>
      <c r="V2143" s="30"/>
      <c r="W2143" s="29"/>
      <c r="X2143" s="15"/>
      <c r="Y2143" s="30"/>
      <c r="Z2143" s="30"/>
      <c r="AA2143" s="30"/>
      <c r="AB2143" s="30"/>
      <c r="AC2143" s="17"/>
      <c r="AD2143" s="17"/>
      <c r="AE2143" s="17"/>
      <c r="AF2143" s="17"/>
      <c r="AG2143" s="21"/>
      <c r="AH2143" s="21"/>
      <c r="AI2143" s="21"/>
      <c r="AJ2143" s="21"/>
      <c r="AK2143" s="21"/>
      <c r="AL2143" s="21"/>
      <c r="AM2143" s="21"/>
      <c r="AN2143" s="21"/>
      <c r="AO2143" s="22"/>
      <c r="AP2143" s="21"/>
      <c r="AQ2143" s="22"/>
      <c r="AR2143" s="21"/>
      <c r="AS2143" s="21"/>
      <c r="AT2143" s="21"/>
      <c r="AU2143" s="21"/>
      <c r="AV2143" s="21"/>
      <c r="AW2143" s="21"/>
      <c r="AX2143" s="22"/>
      <c r="AY2143" s="21"/>
      <c r="AZ2143" s="22"/>
      <c r="BA2143" s="21"/>
      <c r="BB2143" s="21"/>
      <c r="BC2143" s="21"/>
      <c r="BD2143" s="21"/>
      <c r="BE2143" s="26"/>
      <c r="BF2143" s="26"/>
      <c r="BG2143" s="62"/>
    </row>
    <row r="2144" spans="1:59" x14ac:dyDescent="0.3">
      <c r="A2144" s="6"/>
      <c r="B2144" s="6"/>
      <c r="C2144" s="39"/>
      <c r="D2144" s="6"/>
      <c r="E2144" s="149"/>
      <c r="F2144" s="153"/>
      <c r="G2144" s="10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5"/>
      <c r="V2144" s="5"/>
      <c r="W2144" s="13"/>
      <c r="X2144" s="4"/>
      <c r="Y2144" s="4"/>
      <c r="Z2144" s="4"/>
      <c r="AA2144" s="6"/>
      <c r="AB2144" s="5"/>
      <c r="AC2144" s="9"/>
      <c r="AD2144" s="9"/>
      <c r="AE2144" s="9"/>
      <c r="AF2144" s="9"/>
      <c r="AG2144" s="2"/>
      <c r="AH2144" s="3"/>
      <c r="AI2144" s="2"/>
      <c r="AJ2144" s="2"/>
      <c r="AK2144" s="2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</row>
    <row r="2145" spans="1:59" x14ac:dyDescent="0.3">
      <c r="A2145" s="6"/>
      <c r="B2145" s="6"/>
      <c r="C2145" s="39"/>
      <c r="D2145" s="6"/>
      <c r="E2145" s="149"/>
      <c r="F2145" s="153"/>
      <c r="G2145" s="10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12"/>
      <c r="Y2145" s="6"/>
      <c r="Z2145" s="6"/>
      <c r="AA2145" s="6"/>
      <c r="AB2145" s="6"/>
      <c r="AC2145" s="9"/>
      <c r="AD2145" s="9"/>
      <c r="AE2145" s="9"/>
      <c r="AF2145" s="9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21"/>
      <c r="AS2145" s="21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</row>
    <row r="2146" spans="1:59" x14ac:dyDescent="0.3">
      <c r="A2146" s="63"/>
      <c r="B2146" s="63"/>
      <c r="C2146" s="39"/>
      <c r="D2146" s="6"/>
      <c r="E2146" s="149"/>
      <c r="F2146" s="153"/>
      <c r="G2146" s="10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5"/>
      <c r="V2146" s="5"/>
      <c r="W2146" s="13"/>
      <c r="X2146" s="4"/>
      <c r="Y2146" s="4"/>
      <c r="Z2146" s="4"/>
      <c r="AA2146" s="6"/>
      <c r="AB2146" s="5"/>
      <c r="AC2146" s="9"/>
      <c r="AD2146" s="9"/>
      <c r="AE2146" s="9"/>
      <c r="AF2146" s="9"/>
      <c r="AG2146" s="64"/>
      <c r="AH2146" s="3"/>
      <c r="AI2146" s="2"/>
      <c r="AJ2146" s="2"/>
      <c r="AK2146" s="2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</row>
    <row r="2147" spans="1:59" x14ac:dyDescent="0.3">
      <c r="A2147" s="6"/>
      <c r="B2147" s="6"/>
      <c r="C2147" s="39"/>
      <c r="D2147" s="6"/>
      <c r="E2147" s="149"/>
      <c r="F2147" s="153"/>
      <c r="G2147" s="10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12"/>
      <c r="Y2147" s="6"/>
      <c r="Z2147" s="6"/>
      <c r="AA2147" s="6"/>
      <c r="AB2147" s="6"/>
      <c r="AC2147" s="9"/>
      <c r="AD2147" s="9"/>
      <c r="AE2147" s="9"/>
      <c r="AF2147" s="9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</row>
    <row r="2148" spans="1:59" x14ac:dyDescent="0.3">
      <c r="A2148" s="6"/>
      <c r="B2148" s="6"/>
      <c r="C2148" s="39"/>
      <c r="D2148" s="6"/>
      <c r="E2148" s="149"/>
      <c r="F2148" s="153"/>
      <c r="G2148" s="10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5"/>
      <c r="V2148" s="5"/>
      <c r="W2148" s="13"/>
      <c r="X2148" s="4"/>
      <c r="Y2148" s="4"/>
      <c r="Z2148" s="4"/>
      <c r="AA2148" s="6"/>
      <c r="AB2148" s="5"/>
      <c r="AC2148" s="9"/>
      <c r="AD2148" s="9"/>
      <c r="AE2148" s="9"/>
      <c r="AF2148" s="9"/>
      <c r="AG2148" s="2"/>
      <c r="AH2148" s="3"/>
      <c r="AI2148" s="2"/>
      <c r="AJ2148" s="2"/>
      <c r="AK2148" s="2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</row>
    <row r="2149" spans="1:59" ht="13.5" customHeight="1" x14ac:dyDescent="0.35">
      <c r="A2149" s="49"/>
      <c r="B2149" s="49"/>
      <c r="C2149" s="14"/>
      <c r="D2149" s="1"/>
      <c r="E2149" s="149"/>
      <c r="F2149" s="153"/>
      <c r="G2149" s="10"/>
      <c r="H2149" s="17"/>
      <c r="I2149" s="17"/>
      <c r="J2149" s="17"/>
      <c r="K2149" s="30"/>
      <c r="L2149" s="30"/>
      <c r="M2149" s="30"/>
      <c r="N2149" s="30"/>
      <c r="O2149" s="30"/>
      <c r="P2149" s="30"/>
      <c r="Q2149" s="30"/>
      <c r="R2149" s="30"/>
      <c r="S2149" s="30"/>
      <c r="T2149" s="30"/>
      <c r="U2149" s="30"/>
      <c r="V2149" s="30"/>
      <c r="W2149" s="29"/>
      <c r="X2149" s="15"/>
      <c r="Y2149" s="30"/>
      <c r="Z2149" s="30"/>
      <c r="AA2149" s="30"/>
      <c r="AB2149" s="30"/>
      <c r="AC2149" s="17"/>
      <c r="AD2149" s="17"/>
      <c r="AE2149" s="17"/>
      <c r="AF2149" s="17"/>
      <c r="AG2149" s="21"/>
      <c r="AH2149" s="21"/>
      <c r="AI2149" s="21"/>
      <c r="AJ2149" s="21"/>
      <c r="AK2149" s="21"/>
      <c r="AL2149" s="21"/>
      <c r="AM2149" s="21"/>
      <c r="AN2149" s="21"/>
      <c r="AO2149" s="22"/>
      <c r="AP2149" s="21"/>
      <c r="AQ2149" s="22"/>
      <c r="AR2149" s="21"/>
      <c r="AS2149" s="21"/>
      <c r="AT2149" s="21"/>
      <c r="AU2149" s="21"/>
      <c r="AV2149" s="21"/>
      <c r="AW2149" s="21"/>
      <c r="AX2149" s="22"/>
      <c r="AY2149" s="21"/>
      <c r="AZ2149" s="22"/>
      <c r="BA2149" s="21"/>
      <c r="BB2149" s="21"/>
      <c r="BC2149" s="21"/>
      <c r="BD2149" s="21"/>
      <c r="BE2149" s="26"/>
      <c r="BF2149" s="26"/>
      <c r="BG2149" s="62"/>
    </row>
    <row r="2150" spans="1:59" x14ac:dyDescent="0.3">
      <c r="A2150" s="63"/>
      <c r="B2150" s="63"/>
      <c r="C2150" s="39"/>
      <c r="D2150" s="6"/>
      <c r="E2150" s="149"/>
      <c r="F2150" s="153"/>
      <c r="G2150" s="10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5"/>
      <c r="V2150" s="5"/>
      <c r="W2150" s="13"/>
      <c r="X2150" s="4"/>
      <c r="Y2150" s="4"/>
      <c r="Z2150" s="4"/>
      <c r="AA2150" s="6"/>
      <c r="AB2150" s="5"/>
      <c r="AC2150" s="9"/>
      <c r="AD2150" s="9"/>
      <c r="AE2150" s="9"/>
      <c r="AF2150" s="9"/>
      <c r="AG2150" s="64"/>
      <c r="AH2150" s="3"/>
      <c r="AI2150" s="2"/>
      <c r="AJ2150" s="2"/>
      <c r="AK2150" s="2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</row>
    <row r="2151" spans="1:59" x14ac:dyDescent="0.3">
      <c r="A2151" s="6"/>
      <c r="B2151" s="6"/>
      <c r="C2151" s="39"/>
      <c r="D2151" s="6"/>
      <c r="E2151" s="149"/>
      <c r="F2151" s="153"/>
      <c r="G2151" s="10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5"/>
      <c r="V2151" s="5"/>
      <c r="W2151" s="13"/>
      <c r="X2151" s="4"/>
      <c r="Y2151" s="4"/>
      <c r="Z2151" s="4"/>
      <c r="AA2151" s="6"/>
      <c r="AB2151" s="5"/>
      <c r="AC2151" s="9"/>
      <c r="AD2151" s="9"/>
      <c r="AE2151" s="9"/>
      <c r="AF2151" s="9"/>
      <c r="AG2151" s="2"/>
      <c r="AH2151" s="3"/>
      <c r="AI2151" s="2"/>
      <c r="AJ2151" s="2"/>
      <c r="AK2151" s="2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</row>
    <row r="2152" spans="1:59" x14ac:dyDescent="0.3">
      <c r="A2152" s="6"/>
      <c r="B2152" s="6"/>
      <c r="C2152" s="39"/>
      <c r="D2152" s="6"/>
      <c r="E2152" s="149"/>
      <c r="F2152" s="153"/>
      <c r="G2152" s="10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5"/>
      <c r="V2152" s="5"/>
      <c r="W2152" s="13"/>
      <c r="X2152" s="4"/>
      <c r="Y2152" s="4"/>
      <c r="Z2152" s="4"/>
      <c r="AA2152" s="6"/>
      <c r="AB2152" s="5"/>
      <c r="AC2152" s="9"/>
      <c r="AD2152" s="9"/>
      <c r="AE2152" s="9"/>
      <c r="AF2152" s="9"/>
      <c r="AG2152" s="2"/>
      <c r="AH2152" s="3"/>
      <c r="AI2152" s="2"/>
      <c r="AJ2152" s="2"/>
      <c r="AK2152" s="2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</row>
    <row r="2153" spans="1:59" ht="13.5" customHeight="1" x14ac:dyDescent="0.35">
      <c r="A2153" s="49"/>
      <c r="B2153" s="49"/>
      <c r="C2153" s="39"/>
      <c r="D2153" s="1"/>
      <c r="E2153" s="149"/>
      <c r="F2153" s="153"/>
      <c r="G2153" s="10"/>
      <c r="H2153" s="17"/>
      <c r="I2153" s="17"/>
      <c r="J2153" s="17"/>
      <c r="K2153" s="30"/>
      <c r="L2153" s="30"/>
      <c r="M2153" s="30"/>
      <c r="N2153" s="30"/>
      <c r="O2153" s="30"/>
      <c r="P2153" s="30"/>
      <c r="Q2153" s="30"/>
      <c r="R2153" s="30"/>
      <c r="S2153" s="30"/>
      <c r="T2153" s="30"/>
      <c r="U2153" s="30"/>
      <c r="V2153" s="30"/>
      <c r="W2153" s="29"/>
      <c r="X2153" s="15"/>
      <c r="Y2153" s="30"/>
      <c r="Z2153" s="30"/>
      <c r="AA2153" s="30"/>
      <c r="AB2153" s="30"/>
      <c r="AC2153" s="17"/>
      <c r="AD2153" s="17"/>
      <c r="AE2153" s="17"/>
      <c r="AF2153" s="17"/>
      <c r="AG2153" s="21"/>
      <c r="AH2153" s="21"/>
      <c r="AI2153" s="21"/>
      <c r="AJ2153" s="21"/>
      <c r="AK2153" s="21"/>
      <c r="AL2153" s="21"/>
      <c r="AM2153" s="21"/>
      <c r="AN2153" s="21"/>
      <c r="AO2153" s="22"/>
      <c r="AP2153" s="21"/>
      <c r="AQ2153" s="22"/>
      <c r="AR2153" s="21"/>
      <c r="AS2153" s="21"/>
      <c r="AT2153" s="21"/>
      <c r="AU2153" s="21"/>
      <c r="AV2153" s="21"/>
      <c r="AW2153" s="21"/>
      <c r="AX2153" s="22"/>
      <c r="AY2153" s="21"/>
      <c r="AZ2153" s="22"/>
      <c r="BA2153" s="21"/>
      <c r="BB2153" s="21"/>
      <c r="BC2153" s="21"/>
      <c r="BD2153" s="21"/>
      <c r="BE2153" s="26"/>
      <c r="BF2153" s="26"/>
      <c r="BG2153" s="62"/>
    </row>
    <row r="2154" spans="1:59" x14ac:dyDescent="0.3">
      <c r="A2154" s="6"/>
      <c r="B2154" s="6"/>
      <c r="C2154" s="39"/>
      <c r="D2154" s="6"/>
      <c r="E2154" s="149"/>
      <c r="F2154" s="153"/>
      <c r="G2154" s="10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5"/>
      <c r="V2154" s="5"/>
      <c r="W2154" s="13"/>
      <c r="X2154" s="4"/>
      <c r="Y2154" s="4"/>
      <c r="Z2154" s="4"/>
      <c r="AA2154" s="6"/>
      <c r="AB2154" s="5"/>
      <c r="AC2154" s="9"/>
      <c r="AD2154" s="9"/>
      <c r="AE2154" s="9"/>
      <c r="AF2154" s="9"/>
      <c r="AG2154" s="2"/>
      <c r="AH2154" s="3"/>
      <c r="AI2154" s="2"/>
      <c r="AJ2154" s="2"/>
      <c r="AK2154" s="2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</row>
    <row r="2155" spans="1:59" x14ac:dyDescent="0.3">
      <c r="A2155" s="6"/>
      <c r="B2155" s="6"/>
      <c r="C2155" s="39"/>
      <c r="D2155" s="6"/>
      <c r="E2155" s="149"/>
      <c r="F2155" s="153"/>
      <c r="G2155" s="10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5"/>
      <c r="V2155" s="5"/>
      <c r="W2155" s="13"/>
      <c r="X2155" s="4"/>
      <c r="Y2155" s="4"/>
      <c r="Z2155" s="4"/>
      <c r="AA2155" s="6"/>
      <c r="AB2155" s="5"/>
      <c r="AC2155" s="9"/>
      <c r="AD2155" s="9"/>
      <c r="AE2155" s="9"/>
      <c r="AF2155" s="9"/>
      <c r="AG2155" s="2"/>
      <c r="AH2155" s="3"/>
      <c r="AI2155" s="2"/>
      <c r="AJ2155" s="2"/>
      <c r="AK2155" s="2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</row>
    <row r="2156" spans="1:59" x14ac:dyDescent="0.3">
      <c r="A2156" s="6"/>
      <c r="B2156" s="6"/>
      <c r="C2156" s="39"/>
      <c r="D2156" s="6"/>
      <c r="E2156" s="149"/>
      <c r="F2156" s="153"/>
      <c r="G2156" s="10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5"/>
      <c r="V2156" s="5"/>
      <c r="W2156" s="13"/>
      <c r="X2156" s="4"/>
      <c r="Y2156" s="4"/>
      <c r="Z2156" s="4"/>
      <c r="AA2156" s="6"/>
      <c r="AB2156" s="5"/>
      <c r="AC2156" s="9"/>
      <c r="AD2156" s="9"/>
      <c r="AE2156" s="9"/>
      <c r="AF2156" s="9"/>
      <c r="AG2156" s="2"/>
      <c r="AH2156" s="3"/>
      <c r="AI2156" s="2"/>
      <c r="AJ2156" s="2"/>
      <c r="AK2156" s="2"/>
      <c r="AL2156" s="3"/>
      <c r="AM2156" s="3"/>
      <c r="AN2156" s="3"/>
      <c r="AO2156" s="3"/>
      <c r="AP2156" s="3"/>
      <c r="AQ2156" s="3"/>
      <c r="AR2156" s="21"/>
      <c r="AS2156" s="21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</row>
    <row r="2157" spans="1:59" ht="13.5" customHeight="1" x14ac:dyDescent="0.35">
      <c r="A2157" s="49"/>
      <c r="B2157" s="49"/>
      <c r="C2157" s="39"/>
      <c r="D2157" s="1"/>
      <c r="E2157" s="149"/>
      <c r="F2157" s="153"/>
      <c r="G2157" s="10"/>
      <c r="H2157" s="17"/>
      <c r="I2157" s="17"/>
      <c r="J2157" s="17"/>
      <c r="K2157" s="30"/>
      <c r="L2157" s="30"/>
      <c r="M2157" s="30"/>
      <c r="N2157" s="30"/>
      <c r="O2157" s="30"/>
      <c r="P2157" s="30"/>
      <c r="Q2157" s="30"/>
      <c r="R2157" s="30"/>
      <c r="S2157" s="30"/>
      <c r="T2157" s="30"/>
      <c r="U2157" s="30"/>
      <c r="V2157" s="30"/>
      <c r="W2157" s="29"/>
      <c r="X2157" s="15"/>
      <c r="Y2157" s="30"/>
      <c r="Z2157" s="30"/>
      <c r="AA2157" s="30"/>
      <c r="AB2157" s="30"/>
      <c r="AC2157" s="17"/>
      <c r="AD2157" s="17"/>
      <c r="AE2157" s="17"/>
      <c r="AF2157" s="17"/>
      <c r="AG2157" s="21"/>
      <c r="AH2157" s="21"/>
      <c r="AI2157" s="21"/>
      <c r="AJ2157" s="21"/>
      <c r="AK2157" s="21"/>
      <c r="AL2157" s="21"/>
      <c r="AM2157" s="21"/>
      <c r="AN2157" s="21"/>
      <c r="AO2157" s="22"/>
      <c r="AP2157" s="21"/>
      <c r="AQ2157" s="22"/>
      <c r="AR2157" s="21"/>
      <c r="AS2157" s="21"/>
      <c r="AT2157" s="21"/>
      <c r="AU2157" s="21"/>
      <c r="AV2157" s="21"/>
      <c r="AW2157" s="21"/>
      <c r="AX2157" s="22"/>
      <c r="AY2157" s="21"/>
      <c r="AZ2157" s="22"/>
      <c r="BA2157" s="21"/>
      <c r="BB2157" s="21"/>
      <c r="BC2157" s="21"/>
      <c r="BD2157" s="21"/>
      <c r="BE2157" s="26"/>
      <c r="BF2157" s="26"/>
      <c r="BG2157" s="62"/>
    </row>
    <row r="2158" spans="1:59" x14ac:dyDescent="0.3">
      <c r="A2158" s="6"/>
      <c r="B2158" s="6"/>
      <c r="C2158" s="39"/>
      <c r="D2158" s="6"/>
      <c r="E2158" s="149"/>
      <c r="F2158" s="153"/>
      <c r="G2158" s="10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12"/>
      <c r="Y2158" s="6"/>
      <c r="Z2158" s="6"/>
      <c r="AA2158" s="6"/>
      <c r="AB2158" s="6"/>
      <c r="AC2158" s="9"/>
      <c r="AD2158" s="9"/>
      <c r="AE2158" s="9"/>
      <c r="AF2158" s="9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21"/>
      <c r="AS2158" s="21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</row>
    <row r="2159" spans="1:59" ht="13.5" customHeight="1" x14ac:dyDescent="0.35">
      <c r="A2159" s="49"/>
      <c r="B2159" s="49"/>
      <c r="C2159" s="14"/>
      <c r="D2159" s="1"/>
      <c r="E2159" s="149"/>
      <c r="F2159" s="153"/>
      <c r="G2159" s="10"/>
      <c r="H2159" s="17"/>
      <c r="I2159" s="17"/>
      <c r="J2159" s="17"/>
      <c r="K2159" s="30"/>
      <c r="L2159" s="30"/>
      <c r="M2159" s="30"/>
      <c r="N2159" s="30"/>
      <c r="O2159" s="30"/>
      <c r="P2159" s="30"/>
      <c r="Q2159" s="30"/>
      <c r="R2159" s="30"/>
      <c r="S2159" s="30"/>
      <c r="T2159" s="30"/>
      <c r="U2159" s="30"/>
      <c r="V2159" s="30"/>
      <c r="W2159" s="29"/>
      <c r="X2159" s="15"/>
      <c r="Y2159" s="30"/>
      <c r="Z2159" s="30"/>
      <c r="AA2159" s="30"/>
      <c r="AB2159" s="30"/>
      <c r="AC2159" s="17"/>
      <c r="AD2159" s="17"/>
      <c r="AE2159" s="17"/>
      <c r="AF2159" s="17"/>
      <c r="AG2159" s="21"/>
      <c r="AH2159" s="21"/>
      <c r="AI2159" s="21"/>
      <c r="AJ2159" s="21"/>
      <c r="AK2159" s="21"/>
      <c r="AL2159" s="21"/>
      <c r="AM2159" s="21"/>
      <c r="AN2159" s="21"/>
      <c r="AO2159" s="22"/>
      <c r="AP2159" s="21"/>
      <c r="AQ2159" s="22"/>
      <c r="AR2159" s="21"/>
      <c r="AS2159" s="21"/>
      <c r="AT2159" s="21"/>
      <c r="AU2159" s="21"/>
      <c r="AV2159" s="21"/>
      <c r="AW2159" s="21"/>
      <c r="AX2159" s="22"/>
      <c r="AY2159" s="21"/>
      <c r="AZ2159" s="22"/>
      <c r="BA2159" s="21"/>
      <c r="BB2159" s="21"/>
      <c r="BC2159" s="21"/>
      <c r="BD2159" s="21"/>
      <c r="BE2159" s="26"/>
      <c r="BF2159" s="26"/>
      <c r="BG2159" s="62"/>
    </row>
    <row r="2160" spans="1:59" x14ac:dyDescent="0.3">
      <c r="A2160" s="6"/>
      <c r="B2160" s="6"/>
      <c r="C2160" s="39"/>
      <c r="D2160" s="6"/>
      <c r="E2160" s="149"/>
      <c r="F2160" s="153"/>
      <c r="G2160" s="10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12"/>
      <c r="Y2160" s="6"/>
      <c r="Z2160" s="6"/>
      <c r="AA2160" s="6"/>
      <c r="AB2160" s="6"/>
      <c r="AC2160" s="9"/>
      <c r="AD2160" s="9"/>
      <c r="AE2160" s="9"/>
      <c r="AF2160" s="9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21"/>
      <c r="AS2160" s="21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</row>
    <row r="2161" spans="1:59" x14ac:dyDescent="0.3">
      <c r="A2161" s="6"/>
      <c r="B2161" s="6"/>
      <c r="C2161" s="39"/>
      <c r="D2161" s="6"/>
      <c r="E2161" s="149"/>
      <c r="F2161" s="153"/>
      <c r="G2161" s="10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5"/>
      <c r="V2161" s="5"/>
      <c r="W2161" s="13"/>
      <c r="X2161" s="4"/>
      <c r="Y2161" s="4"/>
      <c r="Z2161" s="4"/>
      <c r="AA2161" s="6"/>
      <c r="AB2161" s="5"/>
      <c r="AC2161" s="9"/>
      <c r="AD2161" s="9"/>
      <c r="AE2161" s="9"/>
      <c r="AF2161" s="9"/>
      <c r="AG2161" s="2"/>
      <c r="AH2161" s="3"/>
      <c r="AI2161" s="2"/>
      <c r="AJ2161" s="2"/>
      <c r="AK2161" s="2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</row>
    <row r="2162" spans="1:59" x14ac:dyDescent="0.3">
      <c r="A2162" s="6"/>
      <c r="B2162" s="6"/>
      <c r="C2162" s="39"/>
      <c r="D2162" s="6"/>
      <c r="E2162" s="149"/>
      <c r="F2162" s="153"/>
      <c r="G2162" s="10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5"/>
      <c r="V2162" s="5"/>
      <c r="W2162" s="13"/>
      <c r="X2162" s="4"/>
      <c r="Y2162" s="4"/>
      <c r="Z2162" s="4"/>
      <c r="AA2162" s="6"/>
      <c r="AB2162" s="5"/>
      <c r="AC2162" s="9"/>
      <c r="AD2162" s="9"/>
      <c r="AE2162" s="9"/>
      <c r="AF2162" s="9"/>
      <c r="AG2162" s="2"/>
      <c r="AH2162" s="3"/>
      <c r="AI2162" s="2"/>
      <c r="AJ2162" s="2"/>
      <c r="AK2162" s="2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</row>
    <row r="2163" spans="1:59" x14ac:dyDescent="0.3">
      <c r="A2163" s="6"/>
      <c r="B2163" s="6"/>
      <c r="C2163" s="39"/>
      <c r="D2163" s="6"/>
      <c r="E2163" s="149"/>
      <c r="F2163" s="153"/>
      <c r="G2163" s="10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12"/>
      <c r="Y2163" s="6"/>
      <c r="Z2163" s="6"/>
      <c r="AA2163" s="6"/>
      <c r="AB2163" s="6"/>
      <c r="AC2163" s="9"/>
      <c r="AD2163" s="9"/>
      <c r="AE2163" s="9"/>
      <c r="AF2163" s="9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21"/>
      <c r="AS2163" s="21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</row>
    <row r="2164" spans="1:59" x14ac:dyDescent="0.3">
      <c r="A2164" s="63"/>
      <c r="B2164" s="63"/>
      <c r="C2164" s="39"/>
      <c r="D2164" s="6"/>
      <c r="E2164" s="149"/>
      <c r="F2164" s="153"/>
      <c r="G2164" s="10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5"/>
      <c r="V2164" s="5"/>
      <c r="W2164" s="13"/>
      <c r="X2164" s="4"/>
      <c r="Y2164" s="4"/>
      <c r="Z2164" s="4"/>
      <c r="AA2164" s="6"/>
      <c r="AB2164" s="5"/>
      <c r="AC2164" s="9"/>
      <c r="AD2164" s="9"/>
      <c r="AE2164" s="9"/>
      <c r="AF2164" s="9"/>
      <c r="AG2164" s="64"/>
      <c r="AH2164" s="3"/>
      <c r="AI2164" s="2"/>
      <c r="AJ2164" s="2"/>
      <c r="AK2164" s="2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</row>
    <row r="2165" spans="1:59" x14ac:dyDescent="0.3">
      <c r="A2165" s="6"/>
      <c r="B2165" s="6"/>
      <c r="C2165" s="39"/>
      <c r="D2165" s="6"/>
      <c r="E2165" s="149"/>
      <c r="F2165" s="153"/>
      <c r="G2165" s="10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5"/>
      <c r="V2165" s="5"/>
      <c r="W2165" s="13"/>
      <c r="X2165" s="4"/>
      <c r="Y2165" s="4"/>
      <c r="Z2165" s="4"/>
      <c r="AA2165" s="6"/>
      <c r="AB2165" s="5"/>
      <c r="AC2165" s="9"/>
      <c r="AD2165" s="9"/>
      <c r="AE2165" s="9"/>
      <c r="AF2165" s="9"/>
      <c r="AG2165" s="2"/>
      <c r="AH2165" s="3"/>
      <c r="AI2165" s="2"/>
      <c r="AJ2165" s="2"/>
      <c r="AK2165" s="2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</row>
    <row r="2166" spans="1:59" x14ac:dyDescent="0.3">
      <c r="A2166" s="63"/>
      <c r="B2166" s="63"/>
      <c r="C2166" s="39"/>
      <c r="D2166" s="6"/>
      <c r="E2166" s="149"/>
      <c r="F2166" s="153"/>
      <c r="G2166" s="10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5"/>
      <c r="V2166" s="5"/>
      <c r="W2166" s="13"/>
      <c r="X2166" s="4"/>
      <c r="Y2166" s="4"/>
      <c r="Z2166" s="4"/>
      <c r="AA2166" s="6"/>
      <c r="AB2166" s="5"/>
      <c r="AC2166" s="9"/>
      <c r="AD2166" s="9"/>
      <c r="AE2166" s="9"/>
      <c r="AF2166" s="9"/>
      <c r="AG2166" s="64"/>
      <c r="AH2166" s="3"/>
      <c r="AI2166" s="2"/>
      <c r="AJ2166" s="2"/>
      <c r="AK2166" s="2"/>
      <c r="AL2166" s="3"/>
      <c r="AM2166" s="3"/>
      <c r="AN2166" s="3"/>
      <c r="AO2166" s="3"/>
      <c r="AP2166" s="3"/>
      <c r="AQ2166" s="3"/>
      <c r="AR2166" s="21"/>
      <c r="AS2166" s="21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</row>
    <row r="2167" spans="1:59" ht="13.5" customHeight="1" x14ac:dyDescent="0.35">
      <c r="A2167" s="49"/>
      <c r="B2167" s="49"/>
      <c r="C2167" s="14"/>
      <c r="D2167" s="1"/>
      <c r="E2167" s="149"/>
      <c r="F2167" s="153"/>
      <c r="G2167" s="10"/>
      <c r="H2167" s="17"/>
      <c r="I2167" s="17"/>
      <c r="J2167" s="17"/>
      <c r="K2167" s="30"/>
      <c r="L2167" s="30"/>
      <c r="M2167" s="30"/>
      <c r="N2167" s="30"/>
      <c r="O2167" s="30"/>
      <c r="P2167" s="30"/>
      <c r="Q2167" s="30"/>
      <c r="R2167" s="30"/>
      <c r="S2167" s="30"/>
      <c r="T2167" s="30"/>
      <c r="U2167" s="30"/>
      <c r="V2167" s="30"/>
      <c r="W2167" s="29"/>
      <c r="X2167" s="15"/>
      <c r="Y2167" s="30"/>
      <c r="Z2167" s="30"/>
      <c r="AA2167" s="30"/>
      <c r="AB2167" s="30"/>
      <c r="AC2167" s="17"/>
      <c r="AD2167" s="17"/>
      <c r="AE2167" s="17"/>
      <c r="AF2167" s="17"/>
      <c r="AG2167" s="21"/>
      <c r="AH2167" s="21"/>
      <c r="AI2167" s="21"/>
      <c r="AJ2167" s="21"/>
      <c r="AK2167" s="21"/>
      <c r="AL2167" s="21"/>
      <c r="AM2167" s="21"/>
      <c r="AN2167" s="21"/>
      <c r="AO2167" s="22"/>
      <c r="AP2167" s="21"/>
      <c r="AQ2167" s="22"/>
      <c r="AR2167" s="21"/>
      <c r="AS2167" s="21"/>
      <c r="AT2167" s="21"/>
      <c r="AU2167" s="21"/>
      <c r="AV2167" s="21"/>
      <c r="AW2167" s="21"/>
      <c r="AX2167" s="22"/>
      <c r="AY2167" s="21"/>
      <c r="AZ2167" s="22"/>
      <c r="BA2167" s="21"/>
      <c r="BB2167" s="21"/>
      <c r="BC2167" s="21"/>
      <c r="BD2167" s="21"/>
      <c r="BE2167" s="26"/>
      <c r="BF2167" s="26"/>
      <c r="BG2167" s="62"/>
    </row>
    <row r="2168" spans="1:59" x14ac:dyDescent="0.3">
      <c r="A2168" s="6"/>
      <c r="B2168" s="6"/>
      <c r="C2168" s="39"/>
      <c r="D2168" s="6"/>
      <c r="E2168" s="149"/>
      <c r="F2168" s="153"/>
      <c r="G2168" s="10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12"/>
      <c r="Y2168" s="6"/>
      <c r="Z2168" s="6"/>
      <c r="AA2168" s="6"/>
      <c r="AB2168" s="6"/>
      <c r="AC2168" s="9"/>
      <c r="AD2168" s="9"/>
      <c r="AE2168" s="9"/>
      <c r="AF2168" s="9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21"/>
      <c r="AS2168" s="21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</row>
    <row r="2169" spans="1:59" x14ac:dyDescent="0.3">
      <c r="A2169" s="6"/>
      <c r="B2169" s="6"/>
      <c r="C2169" s="39"/>
      <c r="D2169" s="6"/>
      <c r="E2169" s="149"/>
      <c r="F2169" s="153"/>
      <c r="G2169" s="10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12"/>
      <c r="Y2169" s="6"/>
      <c r="Z2169" s="6"/>
      <c r="AA2169" s="6"/>
      <c r="AB2169" s="6"/>
      <c r="AC2169" s="9"/>
      <c r="AD2169" s="9"/>
      <c r="AE2169" s="9"/>
      <c r="AF2169" s="9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21"/>
      <c r="AS2169" s="21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</row>
    <row r="2170" spans="1:59" ht="13.5" customHeight="1" x14ac:dyDescent="0.35">
      <c r="A2170" s="49"/>
      <c r="B2170" s="49"/>
      <c r="C2170" s="39"/>
      <c r="D2170" s="1"/>
      <c r="E2170" s="149"/>
      <c r="F2170" s="153"/>
      <c r="G2170" s="10"/>
      <c r="H2170" s="17"/>
      <c r="I2170" s="17"/>
      <c r="J2170" s="17"/>
      <c r="K2170" s="30"/>
      <c r="L2170" s="30"/>
      <c r="M2170" s="30"/>
      <c r="N2170" s="30"/>
      <c r="O2170" s="30"/>
      <c r="P2170" s="30"/>
      <c r="Q2170" s="30"/>
      <c r="R2170" s="30"/>
      <c r="S2170" s="30"/>
      <c r="T2170" s="30"/>
      <c r="U2170" s="30"/>
      <c r="V2170" s="30"/>
      <c r="W2170" s="29"/>
      <c r="X2170" s="15"/>
      <c r="Y2170" s="30"/>
      <c r="Z2170" s="30"/>
      <c r="AA2170" s="30"/>
      <c r="AB2170" s="30"/>
      <c r="AC2170" s="17"/>
      <c r="AD2170" s="17"/>
      <c r="AE2170" s="17"/>
      <c r="AF2170" s="17"/>
      <c r="AG2170" s="21"/>
      <c r="AH2170" s="21"/>
      <c r="AI2170" s="21"/>
      <c r="AJ2170" s="21"/>
      <c r="AK2170" s="21"/>
      <c r="AL2170" s="21"/>
      <c r="AM2170" s="21"/>
      <c r="AN2170" s="21"/>
      <c r="AO2170" s="22"/>
      <c r="AP2170" s="21"/>
      <c r="AQ2170" s="22"/>
      <c r="AR2170" s="21"/>
      <c r="AS2170" s="21"/>
      <c r="AT2170" s="21"/>
      <c r="AU2170" s="21"/>
      <c r="AV2170" s="21"/>
      <c r="AW2170" s="21"/>
      <c r="AX2170" s="22"/>
      <c r="AY2170" s="21"/>
      <c r="AZ2170" s="22"/>
      <c r="BA2170" s="21"/>
      <c r="BB2170" s="21"/>
      <c r="BC2170" s="21"/>
      <c r="BD2170" s="21"/>
      <c r="BE2170" s="26"/>
      <c r="BF2170" s="26"/>
      <c r="BG2170" s="62"/>
    </row>
    <row r="2171" spans="1:59" x14ac:dyDescent="0.3">
      <c r="A2171" s="63"/>
      <c r="B2171" s="63"/>
      <c r="C2171" s="39"/>
      <c r="D2171" s="6"/>
      <c r="E2171" s="149"/>
      <c r="F2171" s="153"/>
      <c r="G2171" s="10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5"/>
      <c r="V2171" s="5"/>
      <c r="W2171" s="13"/>
      <c r="X2171" s="4"/>
      <c r="Y2171" s="4"/>
      <c r="Z2171" s="4"/>
      <c r="AA2171" s="6"/>
      <c r="AB2171" s="5"/>
      <c r="AC2171" s="9"/>
      <c r="AD2171" s="9"/>
      <c r="AE2171" s="9"/>
      <c r="AF2171" s="9"/>
      <c r="AG2171" s="64"/>
      <c r="AH2171" s="3"/>
      <c r="AI2171" s="2"/>
      <c r="AJ2171" s="2"/>
      <c r="AK2171" s="2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</row>
    <row r="2172" spans="1:59" ht="13.5" customHeight="1" x14ac:dyDescent="0.35">
      <c r="A2172" s="49"/>
      <c r="B2172" s="49"/>
      <c r="C2172" s="39"/>
      <c r="D2172" s="1"/>
      <c r="E2172" s="149"/>
      <c r="F2172" s="153"/>
      <c r="G2172" s="10"/>
      <c r="H2172" s="17"/>
      <c r="I2172" s="17"/>
      <c r="J2172" s="17"/>
      <c r="K2172" s="30"/>
      <c r="L2172" s="30"/>
      <c r="M2172" s="30"/>
      <c r="N2172" s="30"/>
      <c r="O2172" s="30"/>
      <c r="P2172" s="30"/>
      <c r="Q2172" s="30"/>
      <c r="R2172" s="30"/>
      <c r="S2172" s="30"/>
      <c r="T2172" s="30"/>
      <c r="U2172" s="30"/>
      <c r="V2172" s="30"/>
      <c r="W2172" s="29"/>
      <c r="X2172" s="15"/>
      <c r="Y2172" s="30"/>
      <c r="Z2172" s="30"/>
      <c r="AA2172" s="30"/>
      <c r="AB2172" s="30"/>
      <c r="AC2172" s="17"/>
      <c r="AD2172" s="17"/>
      <c r="AE2172" s="17"/>
      <c r="AF2172" s="17"/>
      <c r="AG2172" s="21"/>
      <c r="AH2172" s="21"/>
      <c r="AI2172" s="21"/>
      <c r="AJ2172" s="21"/>
      <c r="AK2172" s="21"/>
      <c r="AL2172" s="21"/>
      <c r="AM2172" s="21"/>
      <c r="AN2172" s="21"/>
      <c r="AO2172" s="22"/>
      <c r="AP2172" s="21"/>
      <c r="AQ2172" s="22"/>
      <c r="AR2172" s="21"/>
      <c r="AS2172" s="21"/>
      <c r="AT2172" s="21"/>
      <c r="AU2172" s="21"/>
      <c r="AV2172" s="21"/>
      <c r="AW2172" s="21"/>
      <c r="AX2172" s="22"/>
      <c r="AY2172" s="21"/>
      <c r="AZ2172" s="22"/>
      <c r="BA2172" s="21"/>
      <c r="BB2172" s="21"/>
      <c r="BC2172" s="21"/>
      <c r="BD2172" s="21"/>
      <c r="BE2172" s="26"/>
      <c r="BF2172" s="26"/>
      <c r="BG2172" s="62"/>
    </row>
    <row r="2173" spans="1:59" x14ac:dyDescent="0.3">
      <c r="A2173" s="6"/>
      <c r="B2173" s="6"/>
      <c r="C2173" s="39"/>
      <c r="D2173" s="6"/>
      <c r="E2173" s="149"/>
      <c r="F2173" s="153"/>
      <c r="G2173" s="10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12"/>
      <c r="Y2173" s="6"/>
      <c r="Z2173" s="6"/>
      <c r="AA2173" s="6"/>
      <c r="AB2173" s="6"/>
      <c r="AC2173" s="9"/>
      <c r="AD2173" s="9"/>
      <c r="AE2173" s="9"/>
      <c r="AF2173" s="9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21"/>
      <c r="AS2173" s="21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</row>
    <row r="2174" spans="1:59" x14ac:dyDescent="0.3">
      <c r="A2174" s="63"/>
      <c r="B2174" s="63"/>
      <c r="C2174" s="39"/>
      <c r="D2174" s="6"/>
      <c r="E2174" s="149"/>
      <c r="F2174" s="153"/>
      <c r="G2174" s="10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5"/>
      <c r="V2174" s="5"/>
      <c r="W2174" s="13"/>
      <c r="X2174" s="4"/>
      <c r="Y2174" s="4"/>
      <c r="Z2174" s="4"/>
      <c r="AA2174" s="6"/>
      <c r="AB2174" s="5"/>
      <c r="AC2174" s="9"/>
      <c r="AD2174" s="9"/>
      <c r="AE2174" s="9"/>
      <c r="AF2174" s="9"/>
      <c r="AG2174" s="64"/>
      <c r="AH2174" s="3"/>
      <c r="AI2174" s="2"/>
      <c r="AJ2174" s="2"/>
      <c r="AK2174" s="2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</row>
    <row r="2175" spans="1:59" ht="13.5" customHeight="1" x14ac:dyDescent="0.35">
      <c r="A2175" s="49"/>
      <c r="B2175" s="49"/>
      <c r="C2175" s="14"/>
      <c r="D2175" s="1"/>
      <c r="E2175" s="149"/>
      <c r="F2175" s="153"/>
      <c r="G2175" s="10"/>
      <c r="H2175" s="17"/>
      <c r="I2175" s="17"/>
      <c r="J2175" s="17"/>
      <c r="K2175" s="30"/>
      <c r="L2175" s="30"/>
      <c r="M2175" s="30"/>
      <c r="N2175" s="30"/>
      <c r="O2175" s="30"/>
      <c r="P2175" s="30"/>
      <c r="Q2175" s="30"/>
      <c r="R2175" s="30"/>
      <c r="S2175" s="30"/>
      <c r="T2175" s="30"/>
      <c r="U2175" s="30"/>
      <c r="V2175" s="30"/>
      <c r="W2175" s="29"/>
      <c r="X2175" s="15"/>
      <c r="Y2175" s="30"/>
      <c r="Z2175" s="30"/>
      <c r="AA2175" s="30"/>
      <c r="AB2175" s="30"/>
      <c r="AC2175" s="17"/>
      <c r="AD2175" s="17"/>
      <c r="AE2175" s="17"/>
      <c r="AF2175" s="17"/>
      <c r="AG2175" s="21"/>
      <c r="AH2175" s="21"/>
      <c r="AI2175" s="21"/>
      <c r="AJ2175" s="21"/>
      <c r="AK2175" s="21"/>
      <c r="AL2175" s="21"/>
      <c r="AM2175" s="21"/>
      <c r="AN2175" s="21"/>
      <c r="AO2175" s="22"/>
      <c r="AP2175" s="21"/>
      <c r="AQ2175" s="22"/>
      <c r="AR2175" s="21"/>
      <c r="AS2175" s="21"/>
      <c r="AT2175" s="21"/>
      <c r="AU2175" s="21"/>
      <c r="AV2175" s="21"/>
      <c r="AW2175" s="21"/>
      <c r="AX2175" s="22"/>
      <c r="AY2175" s="21"/>
      <c r="AZ2175" s="22"/>
      <c r="BA2175" s="21"/>
      <c r="BB2175" s="21"/>
      <c r="BC2175" s="21"/>
      <c r="BD2175" s="21"/>
      <c r="BE2175" s="26"/>
      <c r="BF2175" s="26"/>
      <c r="BG2175" s="62"/>
    </row>
    <row r="2176" spans="1:59" ht="13.5" customHeight="1" x14ac:dyDescent="0.35">
      <c r="A2176" s="49"/>
      <c r="B2176" s="49"/>
      <c r="C2176" s="14"/>
      <c r="D2176" s="1"/>
      <c r="E2176" s="149"/>
      <c r="F2176" s="153"/>
      <c r="G2176" s="10"/>
      <c r="H2176" s="17"/>
      <c r="I2176" s="17"/>
      <c r="J2176" s="17"/>
      <c r="K2176" s="30"/>
      <c r="L2176" s="30"/>
      <c r="M2176" s="30"/>
      <c r="N2176" s="30"/>
      <c r="O2176" s="30"/>
      <c r="P2176" s="30"/>
      <c r="Q2176" s="30"/>
      <c r="R2176" s="30"/>
      <c r="S2176" s="30"/>
      <c r="T2176" s="30"/>
      <c r="U2176" s="30"/>
      <c r="V2176" s="30"/>
      <c r="W2176" s="29"/>
      <c r="X2176" s="15"/>
      <c r="Y2176" s="30"/>
      <c r="Z2176" s="30"/>
      <c r="AA2176" s="30"/>
      <c r="AB2176" s="30"/>
      <c r="AC2176" s="17"/>
      <c r="AD2176" s="17"/>
      <c r="AE2176" s="17"/>
      <c r="AF2176" s="17"/>
      <c r="AG2176" s="21"/>
      <c r="AH2176" s="21"/>
      <c r="AI2176" s="21"/>
      <c r="AJ2176" s="21"/>
      <c r="AK2176" s="21"/>
      <c r="AL2176" s="21"/>
      <c r="AM2176" s="21"/>
      <c r="AN2176" s="21"/>
      <c r="AO2176" s="22"/>
      <c r="AP2176" s="21"/>
      <c r="AQ2176" s="22"/>
      <c r="AR2176" s="21"/>
      <c r="AS2176" s="21"/>
      <c r="AT2176" s="21"/>
      <c r="AU2176" s="21"/>
      <c r="AV2176" s="21"/>
      <c r="AW2176" s="21"/>
      <c r="AX2176" s="22"/>
      <c r="AY2176" s="21"/>
      <c r="AZ2176" s="22"/>
      <c r="BA2176" s="21"/>
      <c r="BB2176" s="21"/>
      <c r="BC2176" s="21"/>
      <c r="BD2176" s="21"/>
      <c r="BE2176" s="26"/>
      <c r="BF2176" s="26"/>
      <c r="BG2176" s="62"/>
    </row>
    <row r="2177" spans="1:59" x14ac:dyDescent="0.3">
      <c r="A2177" s="63"/>
      <c r="B2177" s="63"/>
      <c r="C2177" s="39"/>
      <c r="D2177" s="6"/>
      <c r="E2177" s="149"/>
      <c r="F2177" s="153"/>
      <c r="G2177" s="10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5"/>
      <c r="V2177" s="5"/>
      <c r="W2177" s="13"/>
      <c r="X2177" s="4"/>
      <c r="Y2177" s="4"/>
      <c r="Z2177" s="4"/>
      <c r="AA2177" s="6"/>
      <c r="AB2177" s="5"/>
      <c r="AC2177" s="9"/>
      <c r="AD2177" s="9"/>
      <c r="AE2177" s="9"/>
      <c r="AF2177" s="9"/>
      <c r="AG2177" s="64"/>
      <c r="AH2177" s="3"/>
      <c r="AI2177" s="2"/>
      <c r="AJ2177" s="2"/>
      <c r="AK2177" s="2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</row>
    <row r="2178" spans="1:59" x14ac:dyDescent="0.3">
      <c r="A2178" s="63"/>
      <c r="B2178" s="63"/>
      <c r="C2178" s="39"/>
      <c r="D2178" s="6"/>
      <c r="E2178" s="149"/>
      <c r="F2178" s="153"/>
      <c r="G2178" s="10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5"/>
      <c r="V2178" s="5"/>
      <c r="W2178" s="13"/>
      <c r="X2178" s="4"/>
      <c r="Y2178" s="4"/>
      <c r="Z2178" s="4"/>
      <c r="AA2178" s="6"/>
      <c r="AB2178" s="5"/>
      <c r="AC2178" s="9"/>
      <c r="AD2178" s="9"/>
      <c r="AE2178" s="9"/>
      <c r="AF2178" s="9"/>
      <c r="AG2178" s="64"/>
      <c r="AH2178" s="3"/>
      <c r="AI2178" s="2"/>
      <c r="AJ2178" s="2"/>
      <c r="AK2178" s="2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</row>
    <row r="2179" spans="1:59" x14ac:dyDescent="0.3">
      <c r="A2179" s="6"/>
      <c r="B2179" s="6"/>
      <c r="C2179" s="39"/>
      <c r="D2179" s="6"/>
      <c r="E2179" s="149"/>
      <c r="F2179" s="153"/>
      <c r="G2179" s="10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12"/>
      <c r="Y2179" s="6"/>
      <c r="Z2179" s="6"/>
      <c r="AA2179" s="6"/>
      <c r="AB2179" s="6"/>
      <c r="AC2179" s="9"/>
      <c r="AD2179" s="9"/>
      <c r="AE2179" s="9"/>
      <c r="AF2179" s="9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21"/>
      <c r="AS2179" s="21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</row>
    <row r="2180" spans="1:59" x14ac:dyDescent="0.3">
      <c r="A2180" s="63"/>
      <c r="B2180" s="63"/>
      <c r="C2180" s="39"/>
      <c r="D2180" s="6"/>
      <c r="E2180" s="149"/>
      <c r="F2180" s="153"/>
      <c r="G2180" s="10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5"/>
      <c r="V2180" s="5"/>
      <c r="W2180" s="13"/>
      <c r="X2180" s="4"/>
      <c r="Y2180" s="4"/>
      <c r="Z2180" s="4"/>
      <c r="AA2180" s="6"/>
      <c r="AB2180" s="5"/>
      <c r="AC2180" s="9"/>
      <c r="AD2180" s="9"/>
      <c r="AE2180" s="9"/>
      <c r="AF2180" s="9"/>
      <c r="AG2180" s="64"/>
      <c r="AH2180" s="3"/>
      <c r="AI2180" s="2"/>
      <c r="AJ2180" s="2"/>
      <c r="AK2180" s="2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</row>
    <row r="2181" spans="1:59" ht="13.5" customHeight="1" x14ac:dyDescent="0.35">
      <c r="A2181" s="49"/>
      <c r="B2181" s="49"/>
      <c r="C2181" s="14"/>
      <c r="D2181" s="1"/>
      <c r="E2181" s="149"/>
      <c r="F2181" s="153"/>
      <c r="G2181" s="10"/>
      <c r="H2181" s="17"/>
      <c r="I2181" s="17"/>
      <c r="J2181" s="17"/>
      <c r="K2181" s="30"/>
      <c r="L2181" s="30"/>
      <c r="M2181" s="30"/>
      <c r="N2181" s="30"/>
      <c r="O2181" s="30"/>
      <c r="P2181" s="30"/>
      <c r="Q2181" s="30"/>
      <c r="R2181" s="30"/>
      <c r="S2181" s="30"/>
      <c r="T2181" s="30"/>
      <c r="U2181" s="30"/>
      <c r="V2181" s="30"/>
      <c r="W2181" s="29"/>
      <c r="X2181" s="15"/>
      <c r="Y2181" s="30"/>
      <c r="Z2181" s="30"/>
      <c r="AA2181" s="30"/>
      <c r="AB2181" s="30"/>
      <c r="AC2181" s="17"/>
      <c r="AD2181" s="17"/>
      <c r="AE2181" s="17"/>
      <c r="AF2181" s="17"/>
      <c r="AG2181" s="21"/>
      <c r="AH2181" s="21"/>
      <c r="AI2181" s="21"/>
      <c r="AJ2181" s="21"/>
      <c r="AK2181" s="21"/>
      <c r="AL2181" s="21"/>
      <c r="AM2181" s="21"/>
      <c r="AN2181" s="21"/>
      <c r="AO2181" s="22"/>
      <c r="AP2181" s="21"/>
      <c r="AQ2181" s="22"/>
      <c r="AR2181" s="21"/>
      <c r="AS2181" s="21"/>
      <c r="AT2181" s="21"/>
      <c r="AU2181" s="21"/>
      <c r="AV2181" s="21"/>
      <c r="AW2181" s="21"/>
      <c r="AX2181" s="22"/>
      <c r="AY2181" s="21"/>
      <c r="AZ2181" s="22"/>
      <c r="BA2181" s="21"/>
      <c r="BB2181" s="21"/>
      <c r="BC2181" s="21"/>
      <c r="BD2181" s="21"/>
      <c r="BE2181" s="26"/>
      <c r="BF2181" s="26"/>
      <c r="BG2181" s="62"/>
    </row>
    <row r="2182" spans="1:59" x14ac:dyDescent="0.3">
      <c r="A2182" s="6"/>
      <c r="B2182" s="6"/>
      <c r="C2182" s="39"/>
      <c r="D2182" s="6"/>
      <c r="E2182" s="149"/>
      <c r="F2182" s="153"/>
      <c r="G2182" s="10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5"/>
      <c r="V2182" s="5"/>
      <c r="W2182" s="13"/>
      <c r="X2182" s="4"/>
      <c r="Y2182" s="4"/>
      <c r="Z2182" s="4"/>
      <c r="AA2182" s="6"/>
      <c r="AB2182" s="5"/>
      <c r="AC2182" s="9"/>
      <c r="AD2182" s="9"/>
      <c r="AE2182" s="9"/>
      <c r="AF2182" s="9"/>
      <c r="AG2182" s="2"/>
      <c r="AH2182" s="3"/>
      <c r="AI2182" s="2"/>
      <c r="AJ2182" s="2"/>
      <c r="AK2182" s="2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</row>
    <row r="2183" spans="1:59" x14ac:dyDescent="0.3">
      <c r="A2183" s="6"/>
      <c r="B2183" s="6"/>
      <c r="C2183" s="39"/>
      <c r="D2183" s="6"/>
      <c r="E2183" s="149"/>
      <c r="F2183" s="153"/>
      <c r="G2183" s="10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12"/>
      <c r="Y2183" s="6"/>
      <c r="Z2183" s="6"/>
      <c r="AA2183" s="6"/>
      <c r="AB2183" s="6"/>
      <c r="AC2183" s="9"/>
      <c r="AD2183" s="9"/>
      <c r="AE2183" s="9"/>
      <c r="AF2183" s="9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21"/>
      <c r="AS2183" s="21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</row>
    <row r="2184" spans="1:59" ht="13.5" customHeight="1" x14ac:dyDescent="0.35">
      <c r="A2184" s="49"/>
      <c r="B2184" s="49"/>
      <c r="C2184" s="14"/>
      <c r="D2184" s="1"/>
      <c r="E2184" s="149"/>
      <c r="F2184" s="153"/>
      <c r="G2184" s="10"/>
      <c r="H2184" s="17"/>
      <c r="I2184" s="17"/>
      <c r="J2184" s="17"/>
      <c r="K2184" s="30"/>
      <c r="L2184" s="30"/>
      <c r="M2184" s="30"/>
      <c r="N2184" s="30"/>
      <c r="O2184" s="30"/>
      <c r="P2184" s="30"/>
      <c r="Q2184" s="30"/>
      <c r="R2184" s="30"/>
      <c r="S2184" s="30"/>
      <c r="T2184" s="30"/>
      <c r="U2184" s="30"/>
      <c r="V2184" s="30"/>
      <c r="W2184" s="29"/>
      <c r="X2184" s="15"/>
      <c r="Y2184" s="30"/>
      <c r="Z2184" s="30"/>
      <c r="AA2184" s="30"/>
      <c r="AB2184" s="30"/>
      <c r="AC2184" s="17"/>
      <c r="AD2184" s="17"/>
      <c r="AE2184" s="17"/>
      <c r="AF2184" s="17"/>
      <c r="AG2184" s="21"/>
      <c r="AH2184" s="21"/>
      <c r="AI2184" s="21"/>
      <c r="AJ2184" s="21"/>
      <c r="AK2184" s="21"/>
      <c r="AL2184" s="21"/>
      <c r="AM2184" s="21"/>
      <c r="AN2184" s="21"/>
      <c r="AO2184" s="22"/>
      <c r="AP2184" s="21"/>
      <c r="AQ2184" s="22"/>
      <c r="AR2184" s="21"/>
      <c r="AS2184" s="21"/>
      <c r="AT2184" s="21"/>
      <c r="AU2184" s="21"/>
      <c r="AV2184" s="21"/>
      <c r="AW2184" s="21"/>
      <c r="AX2184" s="22"/>
      <c r="AY2184" s="21"/>
      <c r="AZ2184" s="22"/>
      <c r="BA2184" s="21"/>
      <c r="BB2184" s="21"/>
      <c r="BC2184" s="21"/>
      <c r="BD2184" s="21"/>
      <c r="BE2184" s="26"/>
      <c r="BF2184" s="26"/>
      <c r="BG2184" s="62"/>
    </row>
    <row r="2185" spans="1:59" x14ac:dyDescent="0.3">
      <c r="A2185" s="63"/>
      <c r="B2185" s="63"/>
      <c r="C2185" s="39"/>
      <c r="D2185" s="6"/>
      <c r="E2185" s="149"/>
      <c r="F2185" s="153"/>
      <c r="G2185" s="10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5"/>
      <c r="V2185" s="5"/>
      <c r="W2185" s="13"/>
      <c r="X2185" s="4"/>
      <c r="Y2185" s="4"/>
      <c r="Z2185" s="4"/>
      <c r="AA2185" s="6"/>
      <c r="AB2185" s="5"/>
      <c r="AC2185" s="9"/>
      <c r="AD2185" s="9"/>
      <c r="AE2185" s="9"/>
      <c r="AF2185" s="9"/>
      <c r="AG2185" s="64"/>
      <c r="AH2185" s="3"/>
      <c r="AI2185" s="2"/>
      <c r="AJ2185" s="2"/>
      <c r="AK2185" s="2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</row>
    <row r="2186" spans="1:59" ht="13.5" customHeight="1" x14ac:dyDescent="0.35">
      <c r="A2186" s="49"/>
      <c r="B2186" s="49"/>
      <c r="C2186" s="39"/>
      <c r="D2186" s="1"/>
      <c r="E2186" s="149"/>
      <c r="F2186" s="153"/>
      <c r="G2186" s="10"/>
      <c r="H2186" s="17"/>
      <c r="I2186" s="17"/>
      <c r="J2186" s="17"/>
      <c r="K2186" s="30"/>
      <c r="L2186" s="30"/>
      <c r="M2186" s="30"/>
      <c r="N2186" s="30"/>
      <c r="O2186" s="30"/>
      <c r="P2186" s="30"/>
      <c r="Q2186" s="30"/>
      <c r="R2186" s="30"/>
      <c r="S2186" s="30"/>
      <c r="T2186" s="30"/>
      <c r="U2186" s="30"/>
      <c r="V2186" s="30"/>
      <c r="W2186" s="29"/>
      <c r="X2186" s="15"/>
      <c r="Y2186" s="30"/>
      <c r="Z2186" s="30"/>
      <c r="AA2186" s="30"/>
      <c r="AB2186" s="30"/>
      <c r="AC2186" s="17"/>
      <c r="AD2186" s="17"/>
      <c r="AE2186" s="17"/>
      <c r="AF2186" s="17"/>
      <c r="AG2186" s="21"/>
      <c r="AH2186" s="21"/>
      <c r="AI2186" s="21"/>
      <c r="AJ2186" s="21"/>
      <c r="AK2186" s="21"/>
      <c r="AL2186" s="21"/>
      <c r="AM2186" s="21"/>
      <c r="AN2186" s="21"/>
      <c r="AO2186" s="22"/>
      <c r="AP2186" s="21"/>
      <c r="AQ2186" s="22"/>
      <c r="AR2186" s="21"/>
      <c r="AS2186" s="21"/>
      <c r="AT2186" s="21"/>
      <c r="AU2186" s="21"/>
      <c r="AV2186" s="21"/>
      <c r="AW2186" s="21"/>
      <c r="AX2186" s="22"/>
      <c r="AY2186" s="21"/>
      <c r="AZ2186" s="22"/>
      <c r="BA2186" s="21"/>
      <c r="BB2186" s="21"/>
      <c r="BC2186" s="21"/>
      <c r="BD2186" s="21"/>
      <c r="BE2186" s="26"/>
      <c r="BF2186" s="26"/>
      <c r="BG2186" s="62"/>
    </row>
    <row r="2187" spans="1:59" x14ac:dyDescent="0.3">
      <c r="A2187" s="6"/>
      <c r="B2187" s="6"/>
      <c r="C2187" s="39"/>
      <c r="D2187" s="6"/>
      <c r="E2187" s="149"/>
      <c r="F2187" s="153"/>
      <c r="G2187" s="10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12"/>
      <c r="Y2187" s="6"/>
      <c r="Z2187" s="6"/>
      <c r="AA2187" s="6"/>
      <c r="AB2187" s="6"/>
      <c r="AC2187" s="9"/>
      <c r="AD2187" s="9"/>
      <c r="AE2187" s="9"/>
      <c r="AF2187" s="9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21"/>
      <c r="AS2187" s="21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</row>
    <row r="2188" spans="1:59" x14ac:dyDescent="0.3">
      <c r="A2188" s="6"/>
      <c r="B2188" s="6"/>
      <c r="C2188" s="39"/>
      <c r="D2188" s="6"/>
      <c r="E2188" s="149"/>
      <c r="F2188" s="153"/>
      <c r="G2188" s="10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12"/>
      <c r="Y2188" s="6"/>
      <c r="Z2188" s="6"/>
      <c r="AA2188" s="6"/>
      <c r="AB2188" s="6"/>
      <c r="AC2188" s="9"/>
      <c r="AD2188" s="9"/>
      <c r="AE2188" s="9"/>
      <c r="AF2188" s="9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21"/>
      <c r="AS2188" s="21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</row>
    <row r="2189" spans="1:59" x14ac:dyDescent="0.3">
      <c r="A2189" s="6"/>
      <c r="B2189" s="6"/>
      <c r="C2189" s="39"/>
      <c r="D2189" s="6"/>
      <c r="E2189" s="149"/>
      <c r="F2189" s="153"/>
      <c r="G2189" s="10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12"/>
      <c r="Y2189" s="6"/>
      <c r="Z2189" s="6"/>
      <c r="AA2189" s="6"/>
      <c r="AB2189" s="6"/>
      <c r="AC2189" s="9"/>
      <c r="AD2189" s="9"/>
      <c r="AE2189" s="9"/>
      <c r="AF2189" s="9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21"/>
      <c r="AS2189" s="21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</row>
    <row r="2190" spans="1:59" x14ac:dyDescent="0.3">
      <c r="A2190" s="6"/>
      <c r="B2190" s="6"/>
      <c r="C2190" s="39"/>
      <c r="D2190" s="6"/>
      <c r="E2190" s="149"/>
      <c r="F2190" s="153"/>
      <c r="G2190" s="10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12"/>
      <c r="Y2190" s="6"/>
      <c r="Z2190" s="6"/>
      <c r="AA2190" s="6"/>
      <c r="AB2190" s="6"/>
      <c r="AC2190" s="9"/>
      <c r="AD2190" s="9"/>
      <c r="AE2190" s="9"/>
      <c r="AF2190" s="9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21"/>
      <c r="AS2190" s="21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</row>
    <row r="2191" spans="1:59" x14ac:dyDescent="0.3">
      <c r="A2191" s="6"/>
      <c r="B2191" s="6"/>
      <c r="C2191" s="39"/>
      <c r="D2191" s="6"/>
      <c r="E2191" s="149"/>
      <c r="F2191" s="153"/>
      <c r="G2191" s="10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5"/>
      <c r="V2191" s="5"/>
      <c r="W2191" s="13"/>
      <c r="X2191" s="4"/>
      <c r="Y2191" s="4"/>
      <c r="Z2191" s="4"/>
      <c r="AA2191" s="6"/>
      <c r="AB2191" s="5"/>
      <c r="AC2191" s="9"/>
      <c r="AD2191" s="9"/>
      <c r="AE2191" s="9"/>
      <c r="AF2191" s="9"/>
      <c r="AG2191" s="2"/>
      <c r="AH2191" s="3"/>
      <c r="AI2191" s="2"/>
      <c r="AJ2191" s="2"/>
      <c r="AK2191" s="2"/>
      <c r="AL2191" s="3"/>
      <c r="AM2191" s="3"/>
      <c r="AN2191" s="3"/>
      <c r="AO2191" s="3"/>
      <c r="AP2191" s="3"/>
      <c r="AQ2191" s="3"/>
      <c r="AR2191" s="21"/>
      <c r="AS2191" s="21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</row>
    <row r="2192" spans="1:59" x14ac:dyDescent="0.3">
      <c r="A2192" s="6"/>
      <c r="B2192" s="6"/>
      <c r="C2192" s="39"/>
      <c r="D2192" s="6"/>
      <c r="E2192" s="149"/>
      <c r="F2192" s="153"/>
      <c r="G2192" s="10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5"/>
      <c r="V2192" s="5"/>
      <c r="W2192" s="13"/>
      <c r="X2192" s="4"/>
      <c r="Y2192" s="4"/>
      <c r="Z2192" s="4"/>
      <c r="AA2192" s="6"/>
      <c r="AB2192" s="5"/>
      <c r="AC2192" s="9"/>
      <c r="AD2192" s="9"/>
      <c r="AE2192" s="9"/>
      <c r="AF2192" s="9"/>
      <c r="AG2192" s="2"/>
      <c r="AH2192" s="3"/>
      <c r="AI2192" s="2"/>
      <c r="AJ2192" s="2"/>
      <c r="AK2192" s="2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</row>
    <row r="2193" spans="1:59" ht="13.5" customHeight="1" x14ac:dyDescent="0.35">
      <c r="A2193" s="49"/>
      <c r="B2193" s="49"/>
      <c r="C2193" s="14"/>
      <c r="D2193" s="1"/>
      <c r="E2193" s="149"/>
      <c r="F2193" s="153"/>
      <c r="G2193" s="10"/>
      <c r="H2193" s="17"/>
      <c r="I2193" s="17"/>
      <c r="J2193" s="17"/>
      <c r="K2193" s="30"/>
      <c r="L2193" s="30"/>
      <c r="M2193" s="30"/>
      <c r="N2193" s="30"/>
      <c r="O2193" s="30"/>
      <c r="P2193" s="30"/>
      <c r="Q2193" s="30"/>
      <c r="R2193" s="30"/>
      <c r="S2193" s="30"/>
      <c r="T2193" s="30"/>
      <c r="U2193" s="30"/>
      <c r="V2193" s="30"/>
      <c r="W2193" s="29"/>
      <c r="X2193" s="15"/>
      <c r="Y2193" s="30"/>
      <c r="Z2193" s="30"/>
      <c r="AA2193" s="30"/>
      <c r="AB2193" s="30"/>
      <c r="AC2193" s="17"/>
      <c r="AD2193" s="17"/>
      <c r="AE2193" s="17"/>
      <c r="AF2193" s="17"/>
      <c r="AG2193" s="21"/>
      <c r="AH2193" s="21"/>
      <c r="AI2193" s="21"/>
      <c r="AJ2193" s="21"/>
      <c r="AK2193" s="21"/>
      <c r="AL2193" s="21"/>
      <c r="AM2193" s="21"/>
      <c r="AN2193" s="21"/>
      <c r="AO2193" s="22"/>
      <c r="AP2193" s="21"/>
      <c r="AQ2193" s="22"/>
      <c r="AR2193" s="21"/>
      <c r="AS2193" s="21"/>
      <c r="AT2193" s="21"/>
      <c r="AU2193" s="21"/>
      <c r="AV2193" s="21"/>
      <c r="AW2193" s="21"/>
      <c r="AX2193" s="22"/>
      <c r="AY2193" s="21"/>
      <c r="AZ2193" s="22"/>
      <c r="BA2193" s="21"/>
      <c r="BB2193" s="21"/>
      <c r="BC2193" s="21"/>
      <c r="BD2193" s="21"/>
      <c r="BE2193" s="26"/>
      <c r="BF2193" s="26"/>
      <c r="BG2193" s="62"/>
    </row>
    <row r="2194" spans="1:59" x14ac:dyDescent="0.3">
      <c r="A2194" s="6"/>
      <c r="B2194" s="6"/>
      <c r="C2194" s="39"/>
      <c r="D2194" s="6"/>
      <c r="E2194" s="149"/>
      <c r="F2194" s="153"/>
      <c r="G2194" s="10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12"/>
      <c r="Y2194" s="6"/>
      <c r="Z2194" s="6"/>
      <c r="AA2194" s="6"/>
      <c r="AB2194" s="6"/>
      <c r="AC2194" s="9"/>
      <c r="AD2194" s="9"/>
      <c r="AE2194" s="9"/>
      <c r="AF2194" s="9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21"/>
      <c r="AS2194" s="21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</row>
    <row r="2195" spans="1:59" x14ac:dyDescent="0.3">
      <c r="A2195" s="6"/>
      <c r="B2195" s="6"/>
      <c r="C2195" s="39"/>
      <c r="D2195" s="6"/>
      <c r="E2195" s="149"/>
      <c r="F2195" s="153"/>
      <c r="G2195" s="10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5"/>
      <c r="V2195" s="5"/>
      <c r="W2195" s="13"/>
      <c r="X2195" s="4"/>
      <c r="Y2195" s="4"/>
      <c r="Z2195" s="4"/>
      <c r="AA2195" s="6"/>
      <c r="AB2195" s="5"/>
      <c r="AC2195" s="9"/>
      <c r="AD2195" s="9"/>
      <c r="AE2195" s="9"/>
      <c r="AF2195" s="9"/>
      <c r="AG2195" s="2"/>
      <c r="AH2195" s="3"/>
      <c r="AI2195" s="2"/>
      <c r="AJ2195" s="2"/>
      <c r="AK2195" s="2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</row>
    <row r="2196" spans="1:59" x14ac:dyDescent="0.3">
      <c r="A2196" s="6"/>
      <c r="B2196" s="6"/>
      <c r="C2196" s="39"/>
      <c r="D2196" s="6"/>
      <c r="E2196" s="149"/>
      <c r="F2196" s="153"/>
      <c r="G2196" s="10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5"/>
      <c r="V2196" s="5"/>
      <c r="W2196" s="13"/>
      <c r="X2196" s="4"/>
      <c r="Y2196" s="4"/>
      <c r="Z2196" s="4"/>
      <c r="AA2196" s="6"/>
      <c r="AB2196" s="5"/>
      <c r="AC2196" s="9"/>
      <c r="AD2196" s="9"/>
      <c r="AE2196" s="9"/>
      <c r="AF2196" s="9"/>
      <c r="AG2196" s="2"/>
      <c r="AH2196" s="3"/>
      <c r="AI2196" s="2"/>
      <c r="AJ2196" s="2"/>
      <c r="AK2196" s="2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</row>
    <row r="2197" spans="1:59" x14ac:dyDescent="0.3">
      <c r="A2197" s="63"/>
      <c r="B2197" s="63"/>
      <c r="C2197" s="39"/>
      <c r="D2197" s="6"/>
      <c r="E2197" s="149"/>
      <c r="F2197" s="153"/>
      <c r="G2197" s="10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5"/>
      <c r="V2197" s="5"/>
      <c r="W2197" s="13"/>
      <c r="X2197" s="4"/>
      <c r="Y2197" s="4"/>
      <c r="Z2197" s="4"/>
      <c r="AA2197" s="6"/>
      <c r="AB2197" s="5"/>
      <c r="AC2197" s="9"/>
      <c r="AD2197" s="9"/>
      <c r="AE2197" s="9"/>
      <c r="AF2197" s="9"/>
      <c r="AG2197" s="64"/>
      <c r="AH2197" s="3"/>
      <c r="AI2197" s="2"/>
      <c r="AJ2197" s="2"/>
      <c r="AK2197" s="2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</row>
    <row r="2198" spans="1:59" x14ac:dyDescent="0.3">
      <c r="A2198" s="6"/>
      <c r="B2198" s="6"/>
      <c r="C2198" s="39"/>
      <c r="D2198" s="6"/>
      <c r="E2198" s="149"/>
      <c r="F2198" s="153"/>
      <c r="G2198" s="10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5"/>
      <c r="V2198" s="5"/>
      <c r="W2198" s="13"/>
      <c r="X2198" s="4"/>
      <c r="Y2198" s="4"/>
      <c r="Z2198" s="4"/>
      <c r="AA2198" s="6"/>
      <c r="AB2198" s="5"/>
      <c r="AC2198" s="9"/>
      <c r="AD2198" s="9"/>
      <c r="AE2198" s="9"/>
      <c r="AF2198" s="9"/>
      <c r="AG2198" s="2"/>
      <c r="AH2198" s="3"/>
      <c r="AI2198" s="2"/>
      <c r="AJ2198" s="2"/>
      <c r="AK2198" s="2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</row>
    <row r="2199" spans="1:59" x14ac:dyDescent="0.3">
      <c r="A2199" s="63"/>
      <c r="B2199" s="63"/>
      <c r="C2199" s="39"/>
      <c r="D2199" s="6"/>
      <c r="E2199" s="149"/>
      <c r="F2199" s="153"/>
      <c r="G2199" s="10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5"/>
      <c r="V2199" s="5"/>
      <c r="W2199" s="13"/>
      <c r="X2199" s="4"/>
      <c r="Y2199" s="4"/>
      <c r="Z2199" s="4"/>
      <c r="AA2199" s="6"/>
      <c r="AB2199" s="5"/>
      <c r="AC2199" s="9"/>
      <c r="AD2199" s="9"/>
      <c r="AE2199" s="9"/>
      <c r="AF2199" s="9"/>
      <c r="AG2199" s="64"/>
      <c r="AH2199" s="3"/>
      <c r="AI2199" s="2"/>
      <c r="AJ2199" s="2"/>
      <c r="AK2199" s="2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</row>
    <row r="2200" spans="1:59" x14ac:dyDescent="0.3">
      <c r="A2200" s="6"/>
      <c r="B2200" s="6"/>
      <c r="C2200" s="39"/>
      <c r="D2200" s="6"/>
      <c r="E2200" s="149"/>
      <c r="F2200" s="153"/>
      <c r="G2200" s="10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12"/>
      <c r="Y2200" s="6"/>
      <c r="Z2200" s="6"/>
      <c r="AA2200" s="6"/>
      <c r="AB2200" s="6"/>
      <c r="AC2200" s="9"/>
      <c r="AD2200" s="9"/>
      <c r="AE2200" s="9"/>
      <c r="AF2200" s="9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</row>
    <row r="2201" spans="1:59" ht="13.5" customHeight="1" x14ac:dyDescent="0.3">
      <c r="A2201" s="49"/>
      <c r="B2201" s="49"/>
      <c r="C2201" s="14"/>
      <c r="D2201" s="6"/>
      <c r="E2201" s="149"/>
      <c r="F2201" s="153"/>
      <c r="G2201" s="10"/>
      <c r="H2201" s="17"/>
      <c r="I2201" s="17"/>
      <c r="J2201" s="17"/>
      <c r="K2201" s="30"/>
      <c r="L2201" s="30"/>
      <c r="M2201" s="30"/>
      <c r="N2201" s="30"/>
      <c r="O2201" s="30"/>
      <c r="P2201" s="30"/>
      <c r="Q2201" s="30"/>
      <c r="R2201" s="30"/>
      <c r="S2201" s="30"/>
      <c r="T2201" s="30"/>
      <c r="U2201" s="30"/>
      <c r="V2201" s="30"/>
      <c r="W2201" s="29"/>
      <c r="X2201" s="15"/>
      <c r="Y2201" s="30"/>
      <c r="Z2201" s="30"/>
      <c r="AA2201" s="30"/>
      <c r="AB2201" s="30"/>
      <c r="AC2201" s="17"/>
      <c r="AD2201" s="17"/>
      <c r="AE2201" s="17"/>
      <c r="AF2201" s="17"/>
      <c r="AG2201" s="21"/>
      <c r="AH2201" s="21"/>
      <c r="AI2201" s="21"/>
      <c r="AJ2201" s="21"/>
      <c r="AK2201" s="21"/>
      <c r="AL2201" s="21"/>
      <c r="AM2201" s="21"/>
      <c r="AN2201" s="21"/>
      <c r="AO2201" s="22"/>
      <c r="AP2201" s="21"/>
      <c r="AQ2201" s="22"/>
      <c r="AR2201" s="21"/>
      <c r="AS2201" s="21"/>
      <c r="AT2201" s="21"/>
      <c r="AU2201" s="21"/>
      <c r="AV2201" s="21"/>
      <c r="AW2201" s="21"/>
      <c r="AX2201" s="22"/>
      <c r="AY2201" s="21"/>
      <c r="AZ2201" s="22"/>
      <c r="BA2201" s="21"/>
      <c r="BB2201" s="21"/>
      <c r="BC2201" s="21"/>
      <c r="BD2201" s="21"/>
      <c r="BE2201" s="26"/>
      <c r="BF2201" s="26"/>
      <c r="BG2201" s="62"/>
    </row>
    <row r="2202" spans="1:59" x14ac:dyDescent="0.3">
      <c r="A2202" s="6"/>
      <c r="B2202" s="6"/>
      <c r="C2202" s="39"/>
      <c r="D2202" s="6"/>
      <c r="E2202" s="149"/>
      <c r="F2202" s="153"/>
      <c r="G2202" s="10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5"/>
      <c r="V2202" s="5"/>
      <c r="W2202" s="13"/>
      <c r="X2202" s="4"/>
      <c r="Y2202" s="4"/>
      <c r="Z2202" s="4"/>
      <c r="AA2202" s="6"/>
      <c r="AB2202" s="5"/>
      <c r="AC2202" s="9"/>
      <c r="AD2202" s="9"/>
      <c r="AE2202" s="9"/>
      <c r="AF2202" s="9"/>
      <c r="AG2202" s="2"/>
      <c r="AH2202" s="3"/>
      <c r="AI2202" s="2"/>
      <c r="AJ2202" s="2"/>
      <c r="AK2202" s="2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</row>
    <row r="2203" spans="1:59" x14ac:dyDescent="0.3">
      <c r="A2203" s="6"/>
      <c r="B2203" s="6"/>
      <c r="C2203" s="39"/>
      <c r="D2203" s="6"/>
      <c r="E2203" s="149"/>
      <c r="F2203" s="153"/>
      <c r="G2203" s="10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12"/>
      <c r="Y2203" s="6"/>
      <c r="Z2203" s="6"/>
      <c r="AA2203" s="6"/>
      <c r="AB2203" s="6"/>
      <c r="AC2203" s="9"/>
      <c r="AD2203" s="9"/>
      <c r="AE2203" s="9"/>
      <c r="AF2203" s="9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21"/>
      <c r="AS2203" s="21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</row>
    <row r="2204" spans="1:59" ht="13.5" customHeight="1" x14ac:dyDescent="0.35">
      <c r="A2204" s="49"/>
      <c r="B2204" s="49"/>
      <c r="C2204" s="39"/>
      <c r="D2204" s="1"/>
      <c r="E2204" s="149"/>
      <c r="F2204" s="153"/>
      <c r="G2204" s="10"/>
      <c r="H2204" s="17"/>
      <c r="I2204" s="17"/>
      <c r="J2204" s="17"/>
      <c r="K2204" s="30"/>
      <c r="L2204" s="30"/>
      <c r="M2204" s="30"/>
      <c r="N2204" s="30"/>
      <c r="O2204" s="30"/>
      <c r="P2204" s="30"/>
      <c r="Q2204" s="30"/>
      <c r="R2204" s="30"/>
      <c r="S2204" s="30"/>
      <c r="T2204" s="30"/>
      <c r="U2204" s="30"/>
      <c r="V2204" s="30"/>
      <c r="W2204" s="29"/>
      <c r="X2204" s="15"/>
      <c r="Y2204" s="30"/>
      <c r="Z2204" s="30"/>
      <c r="AA2204" s="30"/>
      <c r="AB2204" s="30"/>
      <c r="AC2204" s="17"/>
      <c r="AD2204" s="17"/>
      <c r="AE2204" s="17"/>
      <c r="AF2204" s="17"/>
      <c r="AG2204" s="21"/>
      <c r="AH2204" s="21"/>
      <c r="AI2204" s="21"/>
      <c r="AJ2204" s="21"/>
      <c r="AK2204" s="21"/>
      <c r="AL2204" s="21"/>
      <c r="AM2204" s="21"/>
      <c r="AN2204" s="21"/>
      <c r="AO2204" s="22"/>
      <c r="AP2204" s="21"/>
      <c r="AQ2204" s="22"/>
      <c r="AR2204" s="21"/>
      <c r="AS2204" s="21"/>
      <c r="AT2204" s="21"/>
      <c r="AU2204" s="21"/>
      <c r="AV2204" s="21"/>
      <c r="AW2204" s="21"/>
      <c r="AX2204" s="22"/>
      <c r="AY2204" s="21"/>
      <c r="AZ2204" s="22"/>
      <c r="BA2204" s="21"/>
      <c r="BB2204" s="21"/>
      <c r="BC2204" s="21"/>
      <c r="BD2204" s="21"/>
      <c r="BE2204" s="26"/>
      <c r="BF2204" s="26"/>
      <c r="BG2204" s="62"/>
    </row>
    <row r="2205" spans="1:59" x14ac:dyDescent="0.3">
      <c r="A2205" s="63"/>
      <c r="B2205" s="63"/>
      <c r="C2205" s="39"/>
      <c r="D2205" s="6"/>
      <c r="E2205" s="149"/>
      <c r="F2205" s="153"/>
      <c r="G2205" s="10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5"/>
      <c r="V2205" s="5"/>
      <c r="W2205" s="13"/>
      <c r="X2205" s="4"/>
      <c r="Y2205" s="4"/>
      <c r="Z2205" s="4"/>
      <c r="AA2205" s="6"/>
      <c r="AB2205" s="5"/>
      <c r="AC2205" s="9"/>
      <c r="AD2205" s="9"/>
      <c r="AE2205" s="9"/>
      <c r="AF2205" s="9"/>
      <c r="AG2205" s="64"/>
      <c r="AH2205" s="3"/>
      <c r="AI2205" s="2"/>
      <c r="AJ2205" s="2"/>
      <c r="AK2205" s="2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</row>
    <row r="2206" spans="1:59" ht="13.5" customHeight="1" x14ac:dyDescent="0.35">
      <c r="A2206" s="49"/>
      <c r="B2206" s="49"/>
      <c r="C2206" s="14"/>
      <c r="D2206" s="1"/>
      <c r="E2206" s="149"/>
      <c r="F2206" s="153"/>
      <c r="G2206" s="10"/>
      <c r="H2206" s="17"/>
      <c r="I2206" s="17"/>
      <c r="J2206" s="17"/>
      <c r="K2206" s="30"/>
      <c r="L2206" s="30"/>
      <c r="M2206" s="30"/>
      <c r="N2206" s="30"/>
      <c r="O2206" s="30"/>
      <c r="P2206" s="30"/>
      <c r="Q2206" s="30"/>
      <c r="R2206" s="30"/>
      <c r="S2206" s="30"/>
      <c r="T2206" s="30"/>
      <c r="U2206" s="30"/>
      <c r="V2206" s="30"/>
      <c r="W2206" s="29"/>
      <c r="X2206" s="15"/>
      <c r="Y2206" s="30"/>
      <c r="Z2206" s="30"/>
      <c r="AA2206" s="30"/>
      <c r="AB2206" s="30"/>
      <c r="AC2206" s="17"/>
      <c r="AD2206" s="17"/>
      <c r="AE2206" s="17"/>
      <c r="AF2206" s="17"/>
      <c r="AG2206" s="21"/>
      <c r="AH2206" s="21"/>
      <c r="AI2206" s="21"/>
      <c r="AJ2206" s="21"/>
      <c r="AK2206" s="21"/>
      <c r="AL2206" s="21"/>
      <c r="AM2206" s="21"/>
      <c r="AN2206" s="21"/>
      <c r="AO2206" s="22"/>
      <c r="AP2206" s="21"/>
      <c r="AQ2206" s="22"/>
      <c r="AR2206" s="21"/>
      <c r="AS2206" s="21"/>
      <c r="AT2206" s="21"/>
      <c r="AU2206" s="21"/>
      <c r="AV2206" s="21"/>
      <c r="AW2206" s="21"/>
      <c r="AX2206" s="22"/>
      <c r="AY2206" s="21"/>
      <c r="AZ2206" s="22"/>
      <c r="BA2206" s="21"/>
      <c r="BB2206" s="21"/>
      <c r="BC2206" s="21"/>
      <c r="BD2206" s="21"/>
      <c r="BE2206" s="26"/>
      <c r="BF2206" s="26"/>
      <c r="BG2206" s="62"/>
    </row>
    <row r="2207" spans="1:59" x14ac:dyDescent="0.3">
      <c r="A2207" s="6"/>
      <c r="B2207" s="6"/>
      <c r="C2207" s="39"/>
      <c r="D2207" s="6"/>
      <c r="E2207" s="149"/>
      <c r="F2207" s="153"/>
      <c r="G2207" s="10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12"/>
      <c r="Y2207" s="6"/>
      <c r="Z2207" s="6"/>
      <c r="AA2207" s="6"/>
      <c r="AB2207" s="6"/>
      <c r="AC2207" s="9"/>
      <c r="AD2207" s="9"/>
      <c r="AE2207" s="9"/>
      <c r="AF2207" s="9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21"/>
      <c r="AS2207" s="21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</row>
    <row r="2208" spans="1:59" x14ac:dyDescent="0.3">
      <c r="A2208" s="6"/>
      <c r="B2208" s="6"/>
      <c r="C2208" s="39"/>
      <c r="D2208" s="6"/>
      <c r="E2208" s="149"/>
      <c r="F2208" s="153"/>
      <c r="G2208" s="10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12"/>
      <c r="Y2208" s="6"/>
      <c r="Z2208" s="6"/>
      <c r="AA2208" s="6"/>
      <c r="AB2208" s="6"/>
      <c r="AC2208" s="9"/>
      <c r="AD2208" s="9"/>
      <c r="AE2208" s="9"/>
      <c r="AF2208" s="9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21"/>
      <c r="AS2208" s="21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</row>
    <row r="2209" spans="1:59" x14ac:dyDescent="0.3">
      <c r="A2209" s="6"/>
      <c r="B2209" s="6"/>
      <c r="C2209" s="39"/>
      <c r="D2209" s="6"/>
      <c r="E2209" s="149"/>
      <c r="F2209" s="153"/>
      <c r="G2209" s="10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12"/>
      <c r="Y2209" s="6"/>
      <c r="Z2209" s="6"/>
      <c r="AA2209" s="6"/>
      <c r="AB2209" s="6"/>
      <c r="AC2209" s="9"/>
      <c r="AD2209" s="9"/>
      <c r="AE2209" s="9"/>
      <c r="AF2209" s="9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21"/>
      <c r="AS2209" s="21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</row>
    <row r="2210" spans="1:59" x14ac:dyDescent="0.3">
      <c r="A2210" s="6"/>
      <c r="B2210" s="6"/>
      <c r="C2210" s="39"/>
      <c r="D2210" s="6"/>
      <c r="E2210" s="149"/>
      <c r="F2210" s="153"/>
      <c r="G2210" s="10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12"/>
      <c r="Y2210" s="6"/>
      <c r="Z2210" s="6"/>
      <c r="AA2210" s="6"/>
      <c r="AB2210" s="6"/>
      <c r="AC2210" s="9"/>
      <c r="AD2210" s="9"/>
      <c r="AE2210" s="9"/>
      <c r="AF2210" s="9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</row>
    <row r="2211" spans="1:59" ht="15" x14ac:dyDescent="0.35">
      <c r="A2211" s="6"/>
      <c r="B2211" s="6"/>
      <c r="C2211" s="39"/>
      <c r="D2211" s="6"/>
      <c r="E2211" s="149"/>
      <c r="F2211" s="153"/>
      <c r="G2211" s="10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12"/>
      <c r="Y2211" s="6"/>
      <c r="Z2211" s="6"/>
      <c r="AA2211" s="6"/>
      <c r="AB2211" s="6"/>
      <c r="AC2211" s="9"/>
      <c r="AD2211" s="9"/>
      <c r="AE2211" s="9"/>
      <c r="AF2211" s="9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21"/>
      <c r="AS2211" s="21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65"/>
    </row>
    <row r="2212" spans="1:59" x14ac:dyDescent="0.3">
      <c r="A2212" s="6"/>
      <c r="B2212" s="6"/>
      <c r="C2212" s="39"/>
      <c r="D2212" s="6"/>
      <c r="E2212" s="149"/>
      <c r="F2212" s="153"/>
      <c r="G2212" s="10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12"/>
      <c r="Y2212" s="6"/>
      <c r="Z2212" s="6"/>
      <c r="AA2212" s="6"/>
      <c r="AB2212" s="6"/>
      <c r="AC2212" s="9"/>
      <c r="AD2212" s="9"/>
      <c r="AE2212" s="9"/>
      <c r="AF2212" s="9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21"/>
      <c r="AS2212" s="21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</row>
    <row r="2213" spans="1:59" x14ac:dyDescent="0.3">
      <c r="A2213" s="6"/>
      <c r="B2213" s="6"/>
      <c r="C2213" s="39"/>
      <c r="D2213" s="6"/>
      <c r="E2213" s="149"/>
      <c r="F2213" s="153"/>
      <c r="G2213" s="10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12"/>
      <c r="Y2213" s="6"/>
      <c r="Z2213" s="6"/>
      <c r="AA2213" s="6"/>
      <c r="AB2213" s="6"/>
      <c r="AC2213" s="9"/>
      <c r="AD2213" s="9"/>
      <c r="AE2213" s="9"/>
      <c r="AF2213" s="9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21"/>
      <c r="AS2213" s="21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</row>
    <row r="2214" spans="1:59" x14ac:dyDescent="0.3">
      <c r="A2214" s="6"/>
      <c r="B2214" s="6"/>
      <c r="C2214" s="39"/>
      <c r="D2214" s="6"/>
      <c r="E2214" s="149"/>
      <c r="F2214" s="153"/>
      <c r="G2214" s="10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5"/>
      <c r="V2214" s="5"/>
      <c r="W2214" s="13"/>
      <c r="X2214" s="4"/>
      <c r="Y2214" s="4"/>
      <c r="Z2214" s="4"/>
      <c r="AA2214" s="6"/>
      <c r="AB2214" s="5"/>
      <c r="AC2214" s="9"/>
      <c r="AD2214" s="9"/>
      <c r="AE2214" s="9"/>
      <c r="AF2214" s="9"/>
      <c r="AG2214" s="2"/>
      <c r="AH2214" s="3"/>
      <c r="AI2214" s="2"/>
      <c r="AJ2214" s="2"/>
      <c r="AK2214" s="2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</row>
    <row r="2215" spans="1:59" ht="13.5" customHeight="1" x14ac:dyDescent="0.35">
      <c r="A2215" s="49"/>
      <c r="B2215" s="49"/>
      <c r="C2215" s="14"/>
      <c r="D2215" s="1"/>
      <c r="E2215" s="149"/>
      <c r="F2215" s="153"/>
      <c r="G2215" s="10"/>
      <c r="H2215" s="17"/>
      <c r="I2215" s="17"/>
      <c r="J2215" s="17"/>
      <c r="K2215" s="30"/>
      <c r="L2215" s="30"/>
      <c r="M2215" s="30"/>
      <c r="N2215" s="30"/>
      <c r="O2215" s="30"/>
      <c r="P2215" s="30"/>
      <c r="Q2215" s="30"/>
      <c r="R2215" s="30"/>
      <c r="S2215" s="30"/>
      <c r="T2215" s="30"/>
      <c r="U2215" s="30"/>
      <c r="V2215" s="30"/>
      <c r="W2215" s="29"/>
      <c r="X2215" s="15"/>
      <c r="Y2215" s="30"/>
      <c r="Z2215" s="30"/>
      <c r="AA2215" s="30"/>
      <c r="AB2215" s="30"/>
      <c r="AC2215" s="17"/>
      <c r="AD2215" s="17"/>
      <c r="AE2215" s="17"/>
      <c r="AF2215" s="17"/>
      <c r="AG2215" s="21"/>
      <c r="AH2215" s="21"/>
      <c r="AI2215" s="21"/>
      <c r="AJ2215" s="21"/>
      <c r="AK2215" s="21"/>
      <c r="AL2215" s="21"/>
      <c r="AM2215" s="21"/>
      <c r="AN2215" s="21"/>
      <c r="AO2215" s="22"/>
      <c r="AP2215" s="21"/>
      <c r="AQ2215" s="22"/>
      <c r="AR2215" s="21"/>
      <c r="AS2215" s="21"/>
      <c r="AT2215" s="21"/>
      <c r="AU2215" s="21"/>
      <c r="AV2215" s="21"/>
      <c r="AW2215" s="21"/>
      <c r="AX2215" s="22"/>
      <c r="AY2215" s="21"/>
      <c r="AZ2215" s="22"/>
      <c r="BA2215" s="21"/>
      <c r="BB2215" s="21"/>
      <c r="BC2215" s="21"/>
      <c r="BD2215" s="21"/>
      <c r="BE2215" s="26"/>
      <c r="BF2215" s="26"/>
      <c r="BG2215" s="62"/>
    </row>
    <row r="2216" spans="1:59" x14ac:dyDescent="0.3">
      <c r="A2216" s="63"/>
      <c r="B2216" s="63"/>
      <c r="C2216" s="39"/>
      <c r="D2216" s="6"/>
      <c r="E2216" s="149"/>
      <c r="F2216" s="153"/>
      <c r="G2216" s="10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5"/>
      <c r="V2216" s="5"/>
      <c r="W2216" s="13"/>
      <c r="X2216" s="4"/>
      <c r="Y2216" s="4"/>
      <c r="Z2216" s="4"/>
      <c r="AA2216" s="6"/>
      <c r="AB2216" s="5"/>
      <c r="AC2216" s="9"/>
      <c r="AD2216" s="9"/>
      <c r="AE2216" s="9"/>
      <c r="AF2216" s="9"/>
      <c r="AG2216" s="64"/>
      <c r="AH2216" s="3"/>
      <c r="AI2216" s="2"/>
      <c r="AJ2216" s="2"/>
      <c r="AK2216" s="2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</row>
    <row r="2217" spans="1:59" x14ac:dyDescent="0.3">
      <c r="A2217" s="6"/>
      <c r="B2217" s="6"/>
      <c r="C2217" s="39"/>
      <c r="D2217" s="6"/>
      <c r="E2217" s="149"/>
      <c r="F2217" s="153"/>
      <c r="G2217" s="10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12"/>
      <c r="Y2217" s="6"/>
      <c r="Z2217" s="6"/>
      <c r="AA2217" s="6"/>
      <c r="AB2217" s="6"/>
      <c r="AC2217" s="9"/>
      <c r="AD2217" s="9"/>
      <c r="AE2217" s="9"/>
      <c r="AF2217" s="9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21"/>
      <c r="AS2217" s="21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</row>
    <row r="2218" spans="1:59" ht="13.5" customHeight="1" x14ac:dyDescent="0.35">
      <c r="A2218" s="49"/>
      <c r="B2218" s="49"/>
      <c r="C2218" s="39"/>
      <c r="D2218" s="1"/>
      <c r="E2218" s="149"/>
      <c r="F2218" s="153"/>
      <c r="G2218" s="10"/>
      <c r="H2218" s="17"/>
      <c r="I2218" s="17"/>
      <c r="J2218" s="17"/>
      <c r="K2218" s="30"/>
      <c r="L2218" s="30"/>
      <c r="M2218" s="30"/>
      <c r="N2218" s="30"/>
      <c r="O2218" s="30"/>
      <c r="P2218" s="30"/>
      <c r="Q2218" s="30"/>
      <c r="R2218" s="30"/>
      <c r="S2218" s="30"/>
      <c r="T2218" s="30"/>
      <c r="U2218" s="30"/>
      <c r="V2218" s="30"/>
      <c r="W2218" s="29"/>
      <c r="X2218" s="15"/>
      <c r="Y2218" s="30"/>
      <c r="Z2218" s="30"/>
      <c r="AA2218" s="30"/>
      <c r="AB2218" s="30"/>
      <c r="AC2218" s="17"/>
      <c r="AD2218" s="17"/>
      <c r="AE2218" s="17"/>
      <c r="AF2218" s="17"/>
      <c r="AG2218" s="21"/>
      <c r="AH2218" s="21"/>
      <c r="AI2218" s="21"/>
      <c r="AJ2218" s="21"/>
      <c r="AK2218" s="21"/>
      <c r="AL2218" s="21"/>
      <c r="AM2218" s="21"/>
      <c r="AN2218" s="21"/>
      <c r="AO2218" s="22"/>
      <c r="AP2218" s="21"/>
      <c r="AQ2218" s="22"/>
      <c r="AR2218" s="21"/>
      <c r="AS2218" s="21"/>
      <c r="AT2218" s="21"/>
      <c r="AU2218" s="21"/>
      <c r="AV2218" s="21"/>
      <c r="AW2218" s="21"/>
      <c r="AX2218" s="22"/>
      <c r="AY2218" s="21"/>
      <c r="AZ2218" s="22"/>
      <c r="BA2218" s="21"/>
      <c r="BB2218" s="21"/>
      <c r="BC2218" s="21"/>
      <c r="BD2218" s="21"/>
      <c r="BE2218" s="26"/>
      <c r="BF2218" s="26"/>
      <c r="BG2218" s="62"/>
    </row>
    <row r="2219" spans="1:59" x14ac:dyDescent="0.3">
      <c r="A2219" s="63"/>
      <c r="B2219" s="63"/>
      <c r="C2219" s="39"/>
      <c r="D2219" s="6"/>
      <c r="E2219" s="149"/>
      <c r="F2219" s="153"/>
      <c r="G2219" s="10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5"/>
      <c r="V2219" s="5"/>
      <c r="W2219" s="13"/>
      <c r="X2219" s="4"/>
      <c r="Y2219" s="4"/>
      <c r="Z2219" s="4"/>
      <c r="AA2219" s="6"/>
      <c r="AB2219" s="5"/>
      <c r="AC2219" s="9"/>
      <c r="AD2219" s="9"/>
      <c r="AE2219" s="9"/>
      <c r="AF2219" s="9"/>
      <c r="AG2219" s="64"/>
      <c r="AH2219" s="3"/>
      <c r="AI2219" s="2"/>
      <c r="AJ2219" s="2"/>
      <c r="AK2219" s="2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</row>
    <row r="2220" spans="1:59" ht="13.5" customHeight="1" x14ac:dyDescent="0.35">
      <c r="A2220" s="49"/>
      <c r="B2220" s="49"/>
      <c r="C2220" s="39"/>
      <c r="D2220" s="1"/>
      <c r="E2220" s="149"/>
      <c r="F2220" s="153"/>
      <c r="G2220" s="10"/>
      <c r="H2220" s="17"/>
      <c r="I2220" s="17"/>
      <c r="J2220" s="17"/>
      <c r="K2220" s="30"/>
      <c r="L2220" s="30"/>
      <c r="M2220" s="30"/>
      <c r="N2220" s="30"/>
      <c r="O2220" s="30"/>
      <c r="P2220" s="30"/>
      <c r="Q2220" s="30"/>
      <c r="R2220" s="30"/>
      <c r="S2220" s="30"/>
      <c r="T2220" s="30"/>
      <c r="U2220" s="30"/>
      <c r="V2220" s="30"/>
      <c r="W2220" s="29"/>
      <c r="X2220" s="15"/>
      <c r="Y2220" s="30"/>
      <c r="Z2220" s="30"/>
      <c r="AA2220" s="30"/>
      <c r="AB2220" s="30"/>
      <c r="AC2220" s="17"/>
      <c r="AD2220" s="17"/>
      <c r="AE2220" s="17"/>
      <c r="AF2220" s="17"/>
      <c r="AG2220" s="21"/>
      <c r="AH2220" s="21"/>
      <c r="AI2220" s="21"/>
      <c r="AJ2220" s="21"/>
      <c r="AK2220" s="21"/>
      <c r="AL2220" s="21"/>
      <c r="AM2220" s="21"/>
      <c r="AN2220" s="21"/>
      <c r="AO2220" s="22"/>
      <c r="AP2220" s="21"/>
      <c r="AQ2220" s="22"/>
      <c r="AR2220" s="21"/>
      <c r="AS2220" s="21"/>
      <c r="AT2220" s="21"/>
      <c r="AU2220" s="21"/>
      <c r="AV2220" s="21"/>
      <c r="AW2220" s="21"/>
      <c r="AX2220" s="22"/>
      <c r="AY2220" s="21"/>
      <c r="AZ2220" s="22"/>
      <c r="BA2220" s="21"/>
      <c r="BB2220" s="21"/>
      <c r="BC2220" s="21"/>
      <c r="BD2220" s="21"/>
      <c r="BE2220" s="26"/>
      <c r="BF2220" s="26"/>
      <c r="BG2220" s="62"/>
    </row>
    <row r="2221" spans="1:59" x14ac:dyDescent="0.3">
      <c r="A2221" s="63"/>
      <c r="B2221" s="63"/>
      <c r="C2221" s="39"/>
      <c r="D2221" s="6"/>
      <c r="E2221" s="149"/>
      <c r="F2221" s="153"/>
      <c r="G2221" s="10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5"/>
      <c r="V2221" s="5"/>
      <c r="W2221" s="13"/>
      <c r="X2221" s="4"/>
      <c r="Y2221" s="4"/>
      <c r="Z2221" s="4"/>
      <c r="AA2221" s="6"/>
      <c r="AB2221" s="5"/>
      <c r="AC2221" s="9"/>
      <c r="AD2221" s="9"/>
      <c r="AE2221" s="9"/>
      <c r="AF2221" s="9"/>
      <c r="AG2221" s="64"/>
      <c r="AH2221" s="3"/>
      <c r="AI2221" s="2"/>
      <c r="AJ2221" s="2"/>
      <c r="AK2221" s="2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</row>
    <row r="2222" spans="1:59" x14ac:dyDescent="0.3">
      <c r="A2222" s="63"/>
      <c r="B2222" s="63"/>
      <c r="C2222" s="39"/>
      <c r="D2222" s="6"/>
      <c r="E2222" s="149"/>
      <c r="F2222" s="153"/>
      <c r="G2222" s="10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5"/>
      <c r="V2222" s="5"/>
      <c r="W2222" s="13"/>
      <c r="X2222" s="4"/>
      <c r="Y2222" s="16"/>
      <c r="Z2222" s="16"/>
      <c r="AA2222" s="6"/>
      <c r="AB2222" s="5"/>
      <c r="AC2222" s="9"/>
      <c r="AD2222" s="9"/>
      <c r="AE2222" s="9"/>
      <c r="AF2222" s="9"/>
      <c r="AG2222" s="64"/>
      <c r="AH2222" s="3"/>
      <c r="AI2222" s="2"/>
      <c r="AJ2222" s="2"/>
      <c r="AK2222" s="2"/>
      <c r="AL2222" s="3"/>
      <c r="AM2222" s="3"/>
      <c r="AN2222" s="3"/>
      <c r="AO2222" s="3"/>
      <c r="AP2222" s="3"/>
      <c r="AQ2222" s="3"/>
      <c r="AR2222" s="21"/>
      <c r="AS2222" s="21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</row>
    <row r="2223" spans="1:59" ht="13.5" customHeight="1" x14ac:dyDescent="0.35">
      <c r="A2223" s="49"/>
      <c r="B2223" s="49"/>
      <c r="C2223" s="14"/>
      <c r="D2223" s="1"/>
      <c r="E2223" s="149"/>
      <c r="F2223" s="153"/>
      <c r="G2223" s="10"/>
      <c r="H2223" s="17"/>
      <c r="I2223" s="17"/>
      <c r="J2223" s="17"/>
      <c r="K2223" s="30"/>
      <c r="L2223" s="30"/>
      <c r="M2223" s="30"/>
      <c r="N2223" s="30"/>
      <c r="O2223" s="30"/>
      <c r="P2223" s="30"/>
      <c r="Q2223" s="30"/>
      <c r="R2223" s="30"/>
      <c r="S2223" s="30"/>
      <c r="T2223" s="30"/>
      <c r="U2223" s="30"/>
      <c r="V2223" s="30"/>
      <c r="W2223" s="29"/>
      <c r="X2223" s="15"/>
      <c r="Y2223" s="30"/>
      <c r="Z2223" s="30"/>
      <c r="AA2223" s="30"/>
      <c r="AB2223" s="30"/>
      <c r="AC2223" s="17"/>
      <c r="AD2223" s="17"/>
      <c r="AE2223" s="17"/>
      <c r="AF2223" s="17"/>
      <c r="AG2223" s="21"/>
      <c r="AH2223" s="21"/>
      <c r="AI2223" s="21"/>
      <c r="AJ2223" s="21"/>
      <c r="AK2223" s="21"/>
      <c r="AL2223" s="21"/>
      <c r="AM2223" s="21"/>
      <c r="AN2223" s="21"/>
      <c r="AO2223" s="22"/>
      <c r="AP2223" s="21"/>
      <c r="AQ2223" s="22"/>
      <c r="AR2223" s="21"/>
      <c r="AS2223" s="21"/>
      <c r="AT2223" s="21"/>
      <c r="AU2223" s="21"/>
      <c r="AV2223" s="21"/>
      <c r="AW2223" s="21"/>
      <c r="AX2223" s="22"/>
      <c r="AY2223" s="21"/>
      <c r="AZ2223" s="22"/>
      <c r="BA2223" s="21"/>
      <c r="BB2223" s="21"/>
      <c r="BC2223" s="21"/>
      <c r="BD2223" s="21"/>
      <c r="BE2223" s="26"/>
      <c r="BF2223" s="26"/>
      <c r="BG2223" s="62"/>
    </row>
    <row r="2224" spans="1:59" x14ac:dyDescent="0.3">
      <c r="A2224" s="6"/>
      <c r="B2224" s="6"/>
      <c r="C2224" s="39"/>
      <c r="D2224" s="6"/>
      <c r="E2224" s="149"/>
      <c r="F2224" s="153"/>
      <c r="G2224" s="10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5"/>
      <c r="V2224" s="5"/>
      <c r="W2224" s="13"/>
      <c r="X2224" s="4"/>
      <c r="Y2224" s="4"/>
      <c r="Z2224" s="4"/>
      <c r="AA2224" s="6"/>
      <c r="AB2224" s="5"/>
      <c r="AC2224" s="9"/>
      <c r="AD2224" s="9"/>
      <c r="AE2224" s="9"/>
      <c r="AF2224" s="9"/>
      <c r="AG2224" s="2"/>
      <c r="AH2224" s="3"/>
      <c r="AI2224" s="2"/>
      <c r="AJ2224" s="2"/>
      <c r="AK2224" s="2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</row>
    <row r="2225" spans="1:59" x14ac:dyDescent="0.3">
      <c r="A2225" s="6"/>
      <c r="B2225" s="6"/>
      <c r="C2225" s="39"/>
      <c r="D2225" s="6"/>
      <c r="E2225" s="149"/>
      <c r="F2225" s="153"/>
      <c r="G2225" s="10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5"/>
      <c r="V2225" s="5"/>
      <c r="W2225" s="13"/>
      <c r="X2225" s="4"/>
      <c r="Y2225" s="4"/>
      <c r="Z2225" s="4"/>
      <c r="AA2225" s="6"/>
      <c r="AB2225" s="5"/>
      <c r="AC2225" s="9"/>
      <c r="AD2225" s="9"/>
      <c r="AE2225" s="9"/>
      <c r="AF2225" s="9"/>
      <c r="AG2225" s="2"/>
      <c r="AH2225" s="3"/>
      <c r="AI2225" s="2"/>
      <c r="AJ2225" s="2"/>
      <c r="AK2225" s="2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</row>
    <row r="2226" spans="1:59" ht="13.5" customHeight="1" x14ac:dyDescent="0.35">
      <c r="A2226" s="49"/>
      <c r="B2226" s="49"/>
      <c r="C2226" s="14"/>
      <c r="D2226" s="1"/>
      <c r="E2226" s="149"/>
      <c r="F2226" s="153"/>
      <c r="G2226" s="10"/>
      <c r="H2226" s="17"/>
      <c r="I2226" s="17"/>
      <c r="J2226" s="17"/>
      <c r="K2226" s="30"/>
      <c r="L2226" s="30"/>
      <c r="M2226" s="30"/>
      <c r="N2226" s="30"/>
      <c r="O2226" s="30"/>
      <c r="P2226" s="30"/>
      <c r="Q2226" s="30"/>
      <c r="R2226" s="30"/>
      <c r="S2226" s="30"/>
      <c r="T2226" s="30"/>
      <c r="U2226" s="30"/>
      <c r="V2226" s="30"/>
      <c r="W2226" s="29"/>
      <c r="X2226" s="15"/>
      <c r="Y2226" s="30"/>
      <c r="Z2226" s="30"/>
      <c r="AA2226" s="30"/>
      <c r="AB2226" s="30"/>
      <c r="AC2226" s="17"/>
      <c r="AD2226" s="17"/>
      <c r="AE2226" s="17"/>
      <c r="AF2226" s="17"/>
      <c r="AG2226" s="21"/>
      <c r="AH2226" s="21"/>
      <c r="AI2226" s="21"/>
      <c r="AJ2226" s="21"/>
      <c r="AK2226" s="21"/>
      <c r="AL2226" s="21"/>
      <c r="AM2226" s="21"/>
      <c r="AN2226" s="21"/>
      <c r="AO2226" s="22"/>
      <c r="AP2226" s="21"/>
      <c r="AQ2226" s="22"/>
      <c r="AR2226" s="21"/>
      <c r="AS2226" s="21"/>
      <c r="AT2226" s="21"/>
      <c r="AU2226" s="21"/>
      <c r="AV2226" s="21"/>
      <c r="AW2226" s="21"/>
      <c r="AX2226" s="22"/>
      <c r="AY2226" s="21"/>
      <c r="AZ2226" s="22"/>
      <c r="BA2226" s="21"/>
      <c r="BB2226" s="21"/>
      <c r="BC2226" s="21"/>
      <c r="BD2226" s="21"/>
      <c r="BE2226" s="26"/>
      <c r="BF2226" s="26"/>
      <c r="BG2226" s="62"/>
    </row>
    <row r="2227" spans="1:59" ht="13.5" customHeight="1" x14ac:dyDescent="0.35">
      <c r="A2227" s="49"/>
      <c r="B2227" s="49"/>
      <c r="C2227" s="39"/>
      <c r="D2227" s="1"/>
      <c r="E2227" s="149"/>
      <c r="F2227" s="153"/>
      <c r="G2227" s="10"/>
      <c r="H2227" s="17"/>
      <c r="I2227" s="17"/>
      <c r="J2227" s="17"/>
      <c r="K2227" s="30"/>
      <c r="L2227" s="30"/>
      <c r="M2227" s="30"/>
      <c r="N2227" s="30"/>
      <c r="O2227" s="30"/>
      <c r="P2227" s="30"/>
      <c r="Q2227" s="30"/>
      <c r="R2227" s="30"/>
      <c r="S2227" s="30"/>
      <c r="T2227" s="30"/>
      <c r="U2227" s="30"/>
      <c r="V2227" s="30"/>
      <c r="W2227" s="29"/>
      <c r="X2227" s="15"/>
      <c r="Y2227" s="30"/>
      <c r="Z2227" s="30"/>
      <c r="AA2227" s="30"/>
      <c r="AB2227" s="30"/>
      <c r="AC2227" s="17"/>
      <c r="AD2227" s="17"/>
      <c r="AE2227" s="17"/>
      <c r="AF2227" s="17"/>
      <c r="AG2227" s="21"/>
      <c r="AH2227" s="21"/>
      <c r="AI2227" s="21"/>
      <c r="AJ2227" s="21"/>
      <c r="AK2227" s="21"/>
      <c r="AL2227" s="21"/>
      <c r="AM2227" s="21"/>
      <c r="AN2227" s="21"/>
      <c r="AO2227" s="22"/>
      <c r="AP2227" s="21"/>
      <c r="AQ2227" s="22"/>
      <c r="AR2227" s="21"/>
      <c r="AS2227" s="21"/>
      <c r="AT2227" s="21"/>
      <c r="AU2227" s="21"/>
      <c r="AV2227" s="21"/>
      <c r="AW2227" s="21"/>
      <c r="AX2227" s="22"/>
      <c r="AY2227" s="21"/>
      <c r="AZ2227" s="22"/>
      <c r="BA2227" s="21"/>
      <c r="BB2227" s="21"/>
      <c r="BC2227" s="21"/>
      <c r="BD2227" s="21"/>
      <c r="BE2227" s="26"/>
      <c r="BF2227" s="26"/>
      <c r="BG2227" s="62"/>
    </row>
    <row r="2228" spans="1:59" x14ac:dyDescent="0.3">
      <c r="A2228" s="6"/>
      <c r="B2228" s="6"/>
      <c r="C2228" s="39"/>
      <c r="D2228" s="6"/>
      <c r="E2228" s="149"/>
      <c r="F2228" s="153"/>
      <c r="G2228" s="10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5"/>
      <c r="V2228" s="5"/>
      <c r="W2228" s="13"/>
      <c r="X2228" s="4"/>
      <c r="Y2228" s="4"/>
      <c r="Z2228" s="4"/>
      <c r="AA2228" s="6"/>
      <c r="AB2228" s="5"/>
      <c r="AC2228" s="9"/>
      <c r="AD2228" s="9"/>
      <c r="AE2228" s="9"/>
      <c r="AF2228" s="9"/>
      <c r="AG2228" s="2"/>
      <c r="AH2228" s="3"/>
      <c r="AI2228" s="2"/>
      <c r="AJ2228" s="2"/>
      <c r="AK2228" s="2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</row>
    <row r="2229" spans="1:59" x14ac:dyDescent="0.3">
      <c r="A2229" s="6"/>
      <c r="B2229" s="6"/>
      <c r="C2229" s="39"/>
      <c r="D2229" s="6"/>
      <c r="E2229" s="149"/>
      <c r="F2229" s="153"/>
      <c r="G2229" s="10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12"/>
      <c r="Y2229" s="6"/>
      <c r="Z2229" s="6"/>
      <c r="AA2229" s="6"/>
      <c r="AB2229" s="6"/>
      <c r="AC2229" s="9"/>
      <c r="AD2229" s="9"/>
      <c r="AE2229" s="9"/>
      <c r="AF2229" s="9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21"/>
      <c r="AS2229" s="21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</row>
    <row r="2230" spans="1:59" ht="13.5" customHeight="1" x14ac:dyDescent="0.35">
      <c r="A2230" s="49"/>
      <c r="B2230" s="49"/>
      <c r="C2230" s="14"/>
      <c r="D2230" s="1"/>
      <c r="E2230" s="149"/>
      <c r="F2230" s="153"/>
      <c r="G2230" s="10"/>
      <c r="H2230" s="17"/>
      <c r="I2230" s="17"/>
      <c r="J2230" s="17"/>
      <c r="K2230" s="30"/>
      <c r="L2230" s="30"/>
      <c r="M2230" s="30"/>
      <c r="N2230" s="30"/>
      <c r="O2230" s="30"/>
      <c r="P2230" s="30"/>
      <c r="Q2230" s="30"/>
      <c r="R2230" s="30"/>
      <c r="S2230" s="30"/>
      <c r="T2230" s="30"/>
      <c r="U2230" s="30"/>
      <c r="V2230" s="30"/>
      <c r="W2230" s="29"/>
      <c r="X2230" s="15"/>
      <c r="Y2230" s="30"/>
      <c r="Z2230" s="30"/>
      <c r="AA2230" s="30"/>
      <c r="AB2230" s="30"/>
      <c r="AC2230" s="17"/>
      <c r="AD2230" s="17"/>
      <c r="AE2230" s="17"/>
      <c r="AF2230" s="17"/>
      <c r="AG2230" s="21"/>
      <c r="AH2230" s="21"/>
      <c r="AI2230" s="21"/>
      <c r="AJ2230" s="21"/>
      <c r="AK2230" s="21"/>
      <c r="AL2230" s="21"/>
      <c r="AM2230" s="21"/>
      <c r="AN2230" s="21"/>
      <c r="AO2230" s="22"/>
      <c r="AP2230" s="21"/>
      <c r="AQ2230" s="22"/>
      <c r="AR2230" s="21"/>
      <c r="AS2230" s="21"/>
      <c r="AT2230" s="21"/>
      <c r="AU2230" s="21"/>
      <c r="AV2230" s="21"/>
      <c r="AW2230" s="21"/>
      <c r="AX2230" s="22"/>
      <c r="AY2230" s="21"/>
      <c r="AZ2230" s="22"/>
      <c r="BA2230" s="21"/>
      <c r="BB2230" s="21"/>
      <c r="BC2230" s="21"/>
      <c r="BD2230" s="21"/>
      <c r="BE2230" s="26"/>
      <c r="BF2230" s="26"/>
      <c r="BG2230" s="62"/>
    </row>
    <row r="2231" spans="1:59" ht="13.5" customHeight="1" x14ac:dyDescent="0.35">
      <c r="A2231" s="49"/>
      <c r="B2231" s="49"/>
      <c r="C2231" s="14"/>
      <c r="D2231" s="1"/>
      <c r="E2231" s="149"/>
      <c r="F2231" s="153"/>
      <c r="G2231" s="10"/>
      <c r="H2231" s="17"/>
      <c r="I2231" s="17"/>
      <c r="J2231" s="17"/>
      <c r="K2231" s="30"/>
      <c r="L2231" s="30"/>
      <c r="M2231" s="30"/>
      <c r="N2231" s="30"/>
      <c r="O2231" s="30"/>
      <c r="P2231" s="30"/>
      <c r="Q2231" s="30"/>
      <c r="R2231" s="30"/>
      <c r="S2231" s="30"/>
      <c r="T2231" s="30"/>
      <c r="U2231" s="30"/>
      <c r="V2231" s="30"/>
      <c r="W2231" s="29"/>
      <c r="X2231" s="15"/>
      <c r="Y2231" s="30"/>
      <c r="Z2231" s="30"/>
      <c r="AA2231" s="30"/>
      <c r="AB2231" s="30"/>
      <c r="AC2231" s="17"/>
      <c r="AD2231" s="17"/>
      <c r="AE2231" s="17"/>
      <c r="AF2231" s="17"/>
      <c r="AG2231" s="21"/>
      <c r="AH2231" s="21"/>
      <c r="AI2231" s="21"/>
      <c r="AJ2231" s="21"/>
      <c r="AK2231" s="21"/>
      <c r="AL2231" s="21"/>
      <c r="AM2231" s="21"/>
      <c r="AN2231" s="21"/>
      <c r="AO2231" s="22"/>
      <c r="AP2231" s="21"/>
      <c r="AQ2231" s="22"/>
      <c r="AR2231" s="21"/>
      <c r="AS2231" s="21"/>
      <c r="AT2231" s="21"/>
      <c r="AU2231" s="21"/>
      <c r="AV2231" s="21"/>
      <c r="AW2231" s="21"/>
      <c r="AX2231" s="22"/>
      <c r="AY2231" s="21"/>
      <c r="AZ2231" s="22"/>
      <c r="BA2231" s="21"/>
      <c r="BB2231" s="21"/>
      <c r="BC2231" s="21"/>
      <c r="BD2231" s="21"/>
      <c r="BE2231" s="26"/>
      <c r="BF2231" s="26"/>
      <c r="BG2231" s="62"/>
    </row>
    <row r="2232" spans="1:59" ht="13.5" customHeight="1" x14ac:dyDescent="0.35">
      <c r="A2232" s="49"/>
      <c r="B2232" s="49"/>
      <c r="C2232" s="14"/>
      <c r="D2232" s="1"/>
      <c r="E2232" s="149"/>
      <c r="F2232" s="153"/>
      <c r="G2232" s="10"/>
      <c r="H2232" s="17"/>
      <c r="I2232" s="17"/>
      <c r="J2232" s="17"/>
      <c r="K2232" s="30"/>
      <c r="L2232" s="30"/>
      <c r="M2232" s="30"/>
      <c r="N2232" s="30"/>
      <c r="O2232" s="30"/>
      <c r="P2232" s="30"/>
      <c r="Q2232" s="30"/>
      <c r="R2232" s="30"/>
      <c r="S2232" s="30"/>
      <c r="T2232" s="30"/>
      <c r="U2232" s="30"/>
      <c r="V2232" s="30"/>
      <c r="W2232" s="29"/>
      <c r="X2232" s="15"/>
      <c r="Y2232" s="30"/>
      <c r="Z2232" s="30"/>
      <c r="AA2232" s="30"/>
      <c r="AB2232" s="30"/>
      <c r="AC2232" s="17"/>
      <c r="AD2232" s="17"/>
      <c r="AE2232" s="17"/>
      <c r="AF2232" s="17"/>
      <c r="AG2232" s="21"/>
      <c r="AH2232" s="21"/>
      <c r="AI2232" s="21"/>
      <c r="AJ2232" s="21"/>
      <c r="AK2232" s="21"/>
      <c r="AL2232" s="21"/>
      <c r="AM2232" s="21"/>
      <c r="AN2232" s="21"/>
      <c r="AO2232" s="22"/>
      <c r="AP2232" s="21"/>
      <c r="AQ2232" s="22"/>
      <c r="AR2232" s="21"/>
      <c r="AS2232" s="21"/>
      <c r="AT2232" s="21"/>
      <c r="AU2232" s="21"/>
      <c r="AV2232" s="21"/>
      <c r="AW2232" s="21"/>
      <c r="AX2232" s="22"/>
      <c r="AY2232" s="21"/>
      <c r="AZ2232" s="22"/>
      <c r="BA2232" s="21"/>
      <c r="BB2232" s="21"/>
      <c r="BC2232" s="21"/>
      <c r="BD2232" s="21"/>
      <c r="BE2232" s="26"/>
      <c r="BF2232" s="26"/>
      <c r="BG2232" s="62"/>
    </row>
    <row r="2233" spans="1:59" x14ac:dyDescent="0.3">
      <c r="A2233" s="63"/>
      <c r="B2233" s="63"/>
      <c r="C2233" s="39"/>
      <c r="D2233" s="6"/>
      <c r="E2233" s="149"/>
      <c r="F2233" s="153"/>
      <c r="G2233" s="10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5"/>
      <c r="V2233" s="5"/>
      <c r="W2233" s="13"/>
      <c r="X2233" s="4"/>
      <c r="Y2233" s="4"/>
      <c r="Z2233" s="4"/>
      <c r="AA2233" s="6"/>
      <c r="AB2233" s="5"/>
      <c r="AC2233" s="9"/>
      <c r="AD2233" s="9"/>
      <c r="AE2233" s="9"/>
      <c r="AF2233" s="9"/>
      <c r="AG2233" s="64"/>
      <c r="AH2233" s="3"/>
      <c r="AI2233" s="2"/>
      <c r="AJ2233" s="2"/>
      <c r="AK2233" s="2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</row>
    <row r="2234" spans="1:59" x14ac:dyDescent="0.3">
      <c r="A2234" s="6"/>
      <c r="B2234" s="6"/>
      <c r="C2234" s="39"/>
      <c r="D2234" s="6"/>
      <c r="E2234" s="149"/>
      <c r="F2234" s="153"/>
      <c r="G2234" s="10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12"/>
      <c r="Y2234" s="6"/>
      <c r="Z2234" s="6"/>
      <c r="AA2234" s="6"/>
      <c r="AB2234" s="6"/>
      <c r="AC2234" s="9"/>
      <c r="AD2234" s="9"/>
      <c r="AE2234" s="9"/>
      <c r="AF2234" s="9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21"/>
      <c r="AS2234" s="21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</row>
    <row r="2235" spans="1:59" x14ac:dyDescent="0.3">
      <c r="A2235" s="6"/>
      <c r="B2235" s="6"/>
      <c r="C2235" s="39"/>
      <c r="D2235" s="6"/>
      <c r="E2235" s="149"/>
      <c r="F2235" s="153"/>
      <c r="G2235" s="10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12"/>
      <c r="Y2235" s="6"/>
      <c r="Z2235" s="6"/>
      <c r="AA2235" s="6"/>
      <c r="AB2235" s="6"/>
      <c r="AC2235" s="9"/>
      <c r="AD2235" s="9"/>
      <c r="AE2235" s="9"/>
      <c r="AF2235" s="9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21"/>
      <c r="AS2235" s="21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</row>
    <row r="2236" spans="1:59" x14ac:dyDescent="0.3">
      <c r="A2236" s="6"/>
      <c r="B2236" s="6"/>
      <c r="C2236" s="39"/>
      <c r="D2236" s="6"/>
      <c r="E2236" s="149"/>
      <c r="F2236" s="153"/>
      <c r="G2236" s="10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12"/>
      <c r="Y2236" s="6"/>
      <c r="Z2236" s="6"/>
      <c r="AA2236" s="6"/>
      <c r="AB2236" s="6"/>
      <c r="AC2236" s="9"/>
      <c r="AD2236" s="9"/>
      <c r="AE2236" s="9"/>
      <c r="AF2236" s="9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</row>
    <row r="2237" spans="1:59" ht="13.5" customHeight="1" x14ac:dyDescent="0.35">
      <c r="A2237" s="49"/>
      <c r="B2237" s="49"/>
      <c r="C2237" s="39"/>
      <c r="D2237" s="1"/>
      <c r="E2237" s="149"/>
      <c r="F2237" s="153"/>
      <c r="G2237" s="10"/>
      <c r="H2237" s="17"/>
      <c r="I2237" s="17"/>
      <c r="J2237" s="17"/>
      <c r="K2237" s="30"/>
      <c r="L2237" s="30"/>
      <c r="M2237" s="30"/>
      <c r="N2237" s="30"/>
      <c r="O2237" s="30"/>
      <c r="P2237" s="30"/>
      <c r="Q2237" s="30"/>
      <c r="R2237" s="30"/>
      <c r="S2237" s="30"/>
      <c r="T2237" s="30"/>
      <c r="U2237" s="30"/>
      <c r="V2237" s="30"/>
      <c r="W2237" s="29"/>
      <c r="X2237" s="15"/>
      <c r="Y2237" s="30"/>
      <c r="Z2237" s="30"/>
      <c r="AA2237" s="30"/>
      <c r="AB2237" s="30"/>
      <c r="AC2237" s="17"/>
      <c r="AD2237" s="17"/>
      <c r="AE2237" s="17"/>
      <c r="AF2237" s="17"/>
      <c r="AG2237" s="21"/>
      <c r="AH2237" s="21"/>
      <c r="AI2237" s="21"/>
      <c r="AJ2237" s="21"/>
      <c r="AK2237" s="21"/>
      <c r="AL2237" s="21"/>
      <c r="AM2237" s="21"/>
      <c r="AN2237" s="21"/>
      <c r="AO2237" s="22"/>
      <c r="AP2237" s="21"/>
      <c r="AQ2237" s="22"/>
      <c r="AR2237" s="21"/>
      <c r="AS2237" s="21"/>
      <c r="AT2237" s="21"/>
      <c r="AU2237" s="21"/>
      <c r="AV2237" s="21"/>
      <c r="AW2237" s="21"/>
      <c r="AX2237" s="22"/>
      <c r="AY2237" s="21"/>
      <c r="AZ2237" s="22"/>
      <c r="BA2237" s="21"/>
      <c r="BB2237" s="21"/>
      <c r="BC2237" s="21"/>
      <c r="BD2237" s="21"/>
      <c r="BE2237" s="26"/>
      <c r="BF2237" s="26"/>
      <c r="BG2237" s="62"/>
    </row>
    <row r="2238" spans="1:59" ht="13.5" customHeight="1" x14ac:dyDescent="0.35">
      <c r="A2238" s="49"/>
      <c r="B2238" s="49"/>
      <c r="C2238" s="14"/>
      <c r="D2238" s="1"/>
      <c r="E2238" s="149"/>
      <c r="F2238" s="153"/>
      <c r="G2238" s="10"/>
      <c r="H2238" s="17"/>
      <c r="I2238" s="17"/>
      <c r="J2238" s="17"/>
      <c r="K2238" s="30"/>
      <c r="L2238" s="30"/>
      <c r="M2238" s="30"/>
      <c r="N2238" s="30"/>
      <c r="O2238" s="30"/>
      <c r="P2238" s="30"/>
      <c r="Q2238" s="30"/>
      <c r="R2238" s="30"/>
      <c r="S2238" s="30"/>
      <c r="T2238" s="30"/>
      <c r="U2238" s="30"/>
      <c r="V2238" s="30"/>
      <c r="W2238" s="29"/>
      <c r="X2238" s="15"/>
      <c r="Y2238" s="30"/>
      <c r="Z2238" s="30"/>
      <c r="AA2238" s="30"/>
      <c r="AB2238" s="30"/>
      <c r="AC2238" s="17"/>
      <c r="AD2238" s="17"/>
      <c r="AE2238" s="17"/>
      <c r="AF2238" s="17"/>
      <c r="AG2238" s="21"/>
      <c r="AH2238" s="21"/>
      <c r="AI2238" s="21"/>
      <c r="AJ2238" s="21"/>
      <c r="AK2238" s="21"/>
      <c r="AL2238" s="21"/>
      <c r="AM2238" s="21"/>
      <c r="AN2238" s="21"/>
      <c r="AO2238" s="22"/>
      <c r="AP2238" s="21"/>
      <c r="AQ2238" s="22"/>
      <c r="AR2238" s="21"/>
      <c r="AS2238" s="21"/>
      <c r="AT2238" s="21"/>
      <c r="AU2238" s="21"/>
      <c r="AV2238" s="21"/>
      <c r="AW2238" s="21"/>
      <c r="AX2238" s="22"/>
      <c r="AY2238" s="21"/>
      <c r="AZ2238" s="22"/>
      <c r="BA2238" s="21"/>
      <c r="BB2238" s="21"/>
      <c r="BC2238" s="21"/>
      <c r="BD2238" s="21"/>
      <c r="BE2238" s="26"/>
      <c r="BF2238" s="26"/>
      <c r="BG2238" s="62"/>
    </row>
    <row r="2239" spans="1:59" x14ac:dyDescent="0.3">
      <c r="A2239" s="6"/>
      <c r="B2239" s="6"/>
      <c r="C2239" s="39"/>
      <c r="D2239" s="6"/>
      <c r="E2239" s="149"/>
      <c r="F2239" s="153"/>
      <c r="G2239" s="10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12"/>
      <c r="Y2239" s="6"/>
      <c r="Z2239" s="6"/>
      <c r="AA2239" s="6"/>
      <c r="AB2239" s="6"/>
      <c r="AC2239" s="9"/>
      <c r="AD2239" s="9"/>
      <c r="AE2239" s="9"/>
      <c r="AF2239" s="9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</row>
    <row r="2240" spans="1:59" x14ac:dyDescent="0.3">
      <c r="A2240" s="63"/>
      <c r="B2240" s="63"/>
      <c r="C2240" s="39"/>
      <c r="D2240" s="6"/>
      <c r="E2240" s="149"/>
      <c r="F2240" s="153"/>
      <c r="G2240" s="10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5"/>
      <c r="V2240" s="5"/>
      <c r="W2240" s="13"/>
      <c r="X2240" s="4"/>
      <c r="Y2240" s="4"/>
      <c r="Z2240" s="4"/>
      <c r="AA2240" s="6"/>
      <c r="AB2240" s="5"/>
      <c r="AC2240" s="9"/>
      <c r="AD2240" s="9"/>
      <c r="AE2240" s="9"/>
      <c r="AF2240" s="9"/>
      <c r="AG2240" s="64"/>
      <c r="AH2240" s="3"/>
      <c r="AI2240" s="2"/>
      <c r="AJ2240" s="2"/>
      <c r="AK2240" s="2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</row>
    <row r="2241" spans="1:59" ht="13.5" customHeight="1" x14ac:dyDescent="0.35">
      <c r="A2241" s="49"/>
      <c r="B2241" s="49"/>
      <c r="C2241" s="39"/>
      <c r="D2241" s="1"/>
      <c r="E2241" s="149"/>
      <c r="F2241" s="153"/>
      <c r="G2241" s="10"/>
      <c r="H2241" s="17"/>
      <c r="I2241" s="17"/>
      <c r="J2241" s="17"/>
      <c r="K2241" s="30"/>
      <c r="L2241" s="30"/>
      <c r="M2241" s="30"/>
      <c r="N2241" s="30"/>
      <c r="O2241" s="30"/>
      <c r="P2241" s="30"/>
      <c r="Q2241" s="30"/>
      <c r="R2241" s="30"/>
      <c r="S2241" s="30"/>
      <c r="T2241" s="30"/>
      <c r="U2241" s="30"/>
      <c r="V2241" s="30"/>
      <c r="W2241" s="29"/>
      <c r="X2241" s="15"/>
      <c r="Y2241" s="30"/>
      <c r="Z2241" s="30"/>
      <c r="AA2241" s="30"/>
      <c r="AB2241" s="30"/>
      <c r="AC2241" s="17"/>
      <c r="AD2241" s="17"/>
      <c r="AE2241" s="17"/>
      <c r="AF2241" s="17"/>
      <c r="AG2241" s="21"/>
      <c r="AH2241" s="21"/>
      <c r="AI2241" s="21"/>
      <c r="AJ2241" s="21"/>
      <c r="AK2241" s="21"/>
      <c r="AL2241" s="21"/>
      <c r="AM2241" s="21"/>
      <c r="AN2241" s="21"/>
      <c r="AO2241" s="22"/>
      <c r="AP2241" s="21"/>
      <c r="AQ2241" s="22"/>
      <c r="AR2241" s="21"/>
      <c r="AS2241" s="21"/>
      <c r="AT2241" s="21"/>
      <c r="AU2241" s="21"/>
      <c r="AV2241" s="21"/>
      <c r="AW2241" s="21"/>
      <c r="AX2241" s="22"/>
      <c r="AY2241" s="21"/>
      <c r="AZ2241" s="22"/>
      <c r="BA2241" s="21"/>
      <c r="BB2241" s="21"/>
      <c r="BC2241" s="21"/>
      <c r="BD2241" s="21"/>
      <c r="BE2241" s="26"/>
      <c r="BF2241" s="26"/>
      <c r="BG2241" s="62"/>
    </row>
    <row r="2242" spans="1:59" ht="13.5" customHeight="1" x14ac:dyDescent="0.35">
      <c r="A2242" s="49"/>
      <c r="B2242" s="49"/>
      <c r="C2242" s="39"/>
      <c r="D2242" s="1"/>
      <c r="E2242" s="149"/>
      <c r="F2242" s="153"/>
      <c r="G2242" s="10"/>
      <c r="H2242" s="17"/>
      <c r="I2242" s="17"/>
      <c r="J2242" s="17"/>
      <c r="K2242" s="30"/>
      <c r="L2242" s="30"/>
      <c r="M2242" s="30"/>
      <c r="N2242" s="30"/>
      <c r="O2242" s="30"/>
      <c r="P2242" s="30"/>
      <c r="Q2242" s="30"/>
      <c r="R2242" s="30"/>
      <c r="S2242" s="30"/>
      <c r="T2242" s="30"/>
      <c r="U2242" s="30"/>
      <c r="V2242" s="30"/>
      <c r="W2242" s="29"/>
      <c r="X2242" s="15"/>
      <c r="Y2242" s="30"/>
      <c r="Z2242" s="30"/>
      <c r="AA2242" s="30"/>
      <c r="AB2242" s="30"/>
      <c r="AC2242" s="17"/>
      <c r="AD2242" s="17"/>
      <c r="AE2242" s="17"/>
      <c r="AF2242" s="17"/>
      <c r="AG2242" s="21"/>
      <c r="AH2242" s="21"/>
      <c r="AI2242" s="21"/>
      <c r="AJ2242" s="21"/>
      <c r="AK2242" s="21"/>
      <c r="AL2242" s="21"/>
      <c r="AM2242" s="21"/>
      <c r="AN2242" s="21"/>
      <c r="AO2242" s="22"/>
      <c r="AP2242" s="21"/>
      <c r="AQ2242" s="22"/>
      <c r="AR2242" s="21"/>
      <c r="AS2242" s="21"/>
      <c r="AT2242" s="21"/>
      <c r="AU2242" s="21"/>
      <c r="AV2242" s="21"/>
      <c r="AW2242" s="21"/>
      <c r="AX2242" s="22"/>
      <c r="AY2242" s="21"/>
      <c r="AZ2242" s="22"/>
      <c r="BA2242" s="21"/>
      <c r="BB2242" s="21"/>
      <c r="BC2242" s="21"/>
      <c r="BD2242" s="21"/>
      <c r="BE2242" s="26"/>
      <c r="BF2242" s="26"/>
      <c r="BG2242" s="62"/>
    </row>
    <row r="2243" spans="1:59" ht="13.5" customHeight="1" x14ac:dyDescent="0.35">
      <c r="A2243" s="49"/>
      <c r="B2243" s="49"/>
      <c r="C2243" s="14"/>
      <c r="D2243" s="1"/>
      <c r="E2243" s="149"/>
      <c r="F2243" s="153"/>
      <c r="G2243" s="10"/>
      <c r="H2243" s="17"/>
      <c r="I2243" s="17"/>
      <c r="J2243" s="17"/>
      <c r="K2243" s="30"/>
      <c r="L2243" s="30"/>
      <c r="M2243" s="30"/>
      <c r="N2243" s="30"/>
      <c r="O2243" s="30"/>
      <c r="P2243" s="30"/>
      <c r="Q2243" s="30"/>
      <c r="R2243" s="30"/>
      <c r="S2243" s="30"/>
      <c r="T2243" s="30"/>
      <c r="U2243" s="30"/>
      <c r="V2243" s="30"/>
      <c r="W2243" s="29"/>
      <c r="X2243" s="15"/>
      <c r="Y2243" s="30"/>
      <c r="Z2243" s="30"/>
      <c r="AA2243" s="30"/>
      <c r="AB2243" s="30"/>
      <c r="AC2243" s="17"/>
      <c r="AD2243" s="17"/>
      <c r="AE2243" s="17"/>
      <c r="AF2243" s="17"/>
      <c r="AG2243" s="21"/>
      <c r="AH2243" s="21"/>
      <c r="AI2243" s="21"/>
      <c r="AJ2243" s="21"/>
      <c r="AK2243" s="21"/>
      <c r="AL2243" s="21"/>
      <c r="AM2243" s="21"/>
      <c r="AN2243" s="21"/>
      <c r="AO2243" s="22"/>
      <c r="AP2243" s="21"/>
      <c r="AQ2243" s="22"/>
      <c r="AR2243" s="21"/>
      <c r="AS2243" s="21"/>
      <c r="AT2243" s="21"/>
      <c r="AU2243" s="21"/>
      <c r="AV2243" s="21"/>
      <c r="AW2243" s="21"/>
      <c r="AX2243" s="22"/>
      <c r="AY2243" s="21"/>
      <c r="AZ2243" s="22"/>
      <c r="BA2243" s="21"/>
      <c r="BB2243" s="21"/>
      <c r="BC2243" s="21"/>
      <c r="BD2243" s="21"/>
      <c r="BE2243" s="26"/>
      <c r="BF2243" s="26"/>
      <c r="BG2243" s="62"/>
    </row>
    <row r="2244" spans="1:59" x14ac:dyDescent="0.3">
      <c r="A2244" s="6"/>
      <c r="B2244" s="6"/>
      <c r="C2244" s="39"/>
      <c r="D2244" s="6"/>
      <c r="E2244" s="149"/>
      <c r="F2244" s="153"/>
      <c r="G2244" s="10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12"/>
      <c r="Y2244" s="6"/>
      <c r="Z2244" s="6"/>
      <c r="AA2244" s="6"/>
      <c r="AB2244" s="6"/>
      <c r="AC2244" s="9"/>
      <c r="AD2244" s="9"/>
      <c r="AE2244" s="9"/>
      <c r="AF2244" s="9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21"/>
      <c r="AS2244" s="21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</row>
    <row r="2245" spans="1:59" ht="13.5" customHeight="1" x14ac:dyDescent="0.35">
      <c r="A2245" s="49"/>
      <c r="B2245" s="49"/>
      <c r="C2245" s="14"/>
      <c r="D2245" s="1"/>
      <c r="E2245" s="149"/>
      <c r="F2245" s="153"/>
      <c r="G2245" s="10"/>
      <c r="H2245" s="17"/>
      <c r="I2245" s="17"/>
      <c r="J2245" s="17"/>
      <c r="K2245" s="30"/>
      <c r="L2245" s="30"/>
      <c r="M2245" s="30"/>
      <c r="N2245" s="30"/>
      <c r="O2245" s="30"/>
      <c r="P2245" s="30"/>
      <c r="Q2245" s="30"/>
      <c r="R2245" s="30"/>
      <c r="S2245" s="30"/>
      <c r="T2245" s="30"/>
      <c r="U2245" s="30"/>
      <c r="V2245" s="30"/>
      <c r="W2245" s="29"/>
      <c r="X2245" s="15"/>
      <c r="Y2245" s="30"/>
      <c r="Z2245" s="30"/>
      <c r="AA2245" s="30"/>
      <c r="AB2245" s="30"/>
      <c r="AC2245" s="17"/>
      <c r="AD2245" s="17"/>
      <c r="AE2245" s="17"/>
      <c r="AF2245" s="17"/>
      <c r="AG2245" s="21"/>
      <c r="AH2245" s="21"/>
      <c r="AI2245" s="21"/>
      <c r="AJ2245" s="21"/>
      <c r="AK2245" s="21"/>
      <c r="AL2245" s="21"/>
      <c r="AM2245" s="21"/>
      <c r="AN2245" s="21"/>
      <c r="AO2245" s="22"/>
      <c r="AP2245" s="21"/>
      <c r="AQ2245" s="22"/>
      <c r="AR2245" s="21"/>
      <c r="AS2245" s="21"/>
      <c r="AT2245" s="21"/>
      <c r="AU2245" s="21"/>
      <c r="AV2245" s="21"/>
      <c r="AW2245" s="21"/>
      <c r="AX2245" s="22"/>
      <c r="AY2245" s="21"/>
      <c r="AZ2245" s="22"/>
      <c r="BA2245" s="21"/>
      <c r="BB2245" s="21"/>
      <c r="BC2245" s="21"/>
      <c r="BD2245" s="21"/>
      <c r="BE2245" s="26"/>
      <c r="BF2245" s="26"/>
      <c r="BG2245" s="62"/>
    </row>
    <row r="2246" spans="1:59" x14ac:dyDescent="0.3">
      <c r="A2246" s="63"/>
      <c r="B2246" s="63"/>
      <c r="C2246" s="39"/>
      <c r="D2246" s="6"/>
      <c r="E2246" s="149"/>
      <c r="F2246" s="153"/>
      <c r="G2246" s="10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5"/>
      <c r="V2246" s="5"/>
      <c r="W2246" s="13"/>
      <c r="X2246" s="4"/>
      <c r="Y2246" s="4"/>
      <c r="Z2246" s="4"/>
      <c r="AA2246" s="6"/>
      <c r="AB2246" s="5"/>
      <c r="AC2246" s="9"/>
      <c r="AD2246" s="9"/>
      <c r="AE2246" s="9"/>
      <c r="AF2246" s="9"/>
      <c r="AG2246" s="64"/>
      <c r="AH2246" s="3"/>
      <c r="AI2246" s="2"/>
      <c r="AJ2246" s="2"/>
      <c r="AK2246" s="2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</row>
    <row r="2247" spans="1:59" ht="13.5" customHeight="1" x14ac:dyDescent="0.35">
      <c r="A2247" s="49"/>
      <c r="B2247" s="49"/>
      <c r="C2247" s="39"/>
      <c r="D2247" s="1"/>
      <c r="E2247" s="149"/>
      <c r="F2247" s="153"/>
      <c r="G2247" s="10"/>
      <c r="H2247" s="17"/>
      <c r="I2247" s="17"/>
      <c r="J2247" s="17"/>
      <c r="K2247" s="30"/>
      <c r="L2247" s="30"/>
      <c r="M2247" s="30"/>
      <c r="N2247" s="30"/>
      <c r="O2247" s="30"/>
      <c r="P2247" s="30"/>
      <c r="Q2247" s="30"/>
      <c r="R2247" s="30"/>
      <c r="S2247" s="30"/>
      <c r="T2247" s="30"/>
      <c r="U2247" s="30"/>
      <c r="V2247" s="30"/>
      <c r="W2247" s="29"/>
      <c r="X2247" s="15"/>
      <c r="Y2247" s="30"/>
      <c r="Z2247" s="30"/>
      <c r="AA2247" s="30"/>
      <c r="AB2247" s="30"/>
      <c r="AC2247" s="17"/>
      <c r="AD2247" s="17"/>
      <c r="AE2247" s="17"/>
      <c r="AF2247" s="17"/>
      <c r="AG2247" s="21"/>
      <c r="AH2247" s="21"/>
      <c r="AI2247" s="21"/>
      <c r="AJ2247" s="21"/>
      <c r="AK2247" s="21"/>
      <c r="AL2247" s="21"/>
      <c r="AM2247" s="21"/>
      <c r="AN2247" s="21"/>
      <c r="AO2247" s="22"/>
      <c r="AP2247" s="21"/>
      <c r="AQ2247" s="22"/>
      <c r="AR2247" s="21"/>
      <c r="AS2247" s="21"/>
      <c r="AT2247" s="21"/>
      <c r="AU2247" s="21"/>
      <c r="AV2247" s="21"/>
      <c r="AW2247" s="21"/>
      <c r="AX2247" s="22"/>
      <c r="AY2247" s="21"/>
      <c r="AZ2247" s="22"/>
      <c r="BA2247" s="21"/>
      <c r="BB2247" s="21"/>
      <c r="BC2247" s="21"/>
      <c r="BD2247" s="21"/>
      <c r="BE2247" s="26"/>
      <c r="BF2247" s="26"/>
      <c r="BG2247" s="62"/>
    </row>
    <row r="2248" spans="1:59" x14ac:dyDescent="0.3">
      <c r="A2248" s="6"/>
      <c r="B2248" s="6"/>
      <c r="C2248" s="39"/>
      <c r="D2248" s="6"/>
      <c r="E2248" s="149"/>
      <c r="F2248" s="153"/>
      <c r="G2248" s="10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5"/>
      <c r="V2248" s="5"/>
      <c r="W2248" s="13"/>
      <c r="X2248" s="4"/>
      <c r="Y2248" s="4"/>
      <c r="Z2248" s="4"/>
      <c r="AA2248" s="6"/>
      <c r="AB2248" s="5"/>
      <c r="AC2248" s="9"/>
      <c r="AD2248" s="9"/>
      <c r="AE2248" s="9"/>
      <c r="AF2248" s="9"/>
      <c r="AG2248" s="2"/>
      <c r="AH2248" s="3"/>
      <c r="AI2248" s="2"/>
      <c r="AJ2248" s="2"/>
      <c r="AK2248" s="2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</row>
    <row r="2249" spans="1:59" x14ac:dyDescent="0.3">
      <c r="A2249" s="6"/>
      <c r="B2249" s="6"/>
      <c r="C2249" s="39"/>
      <c r="D2249" s="6"/>
      <c r="E2249" s="149"/>
      <c r="F2249" s="153"/>
      <c r="G2249" s="10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5"/>
      <c r="V2249" s="5"/>
      <c r="W2249" s="13"/>
      <c r="X2249" s="4"/>
      <c r="Y2249" s="4"/>
      <c r="Z2249" s="4"/>
      <c r="AA2249" s="6"/>
      <c r="AB2249" s="5"/>
      <c r="AC2249" s="9"/>
      <c r="AD2249" s="9"/>
      <c r="AE2249" s="9"/>
      <c r="AF2249" s="9"/>
      <c r="AG2249" s="2"/>
      <c r="AH2249" s="3"/>
      <c r="AI2249" s="2"/>
      <c r="AJ2249" s="2"/>
      <c r="AK2249" s="2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</row>
    <row r="2250" spans="1:59" ht="13.5" customHeight="1" x14ac:dyDescent="0.35">
      <c r="A2250" s="49"/>
      <c r="B2250" s="49"/>
      <c r="C2250" s="39"/>
      <c r="D2250" s="1"/>
      <c r="E2250" s="149"/>
      <c r="F2250" s="153"/>
      <c r="G2250" s="10"/>
      <c r="H2250" s="17"/>
      <c r="I2250" s="17"/>
      <c r="J2250" s="17"/>
      <c r="K2250" s="30"/>
      <c r="L2250" s="30"/>
      <c r="M2250" s="30"/>
      <c r="N2250" s="30"/>
      <c r="O2250" s="30"/>
      <c r="P2250" s="30"/>
      <c r="Q2250" s="30"/>
      <c r="R2250" s="30"/>
      <c r="S2250" s="30"/>
      <c r="T2250" s="30"/>
      <c r="U2250" s="30"/>
      <c r="V2250" s="30"/>
      <c r="W2250" s="29"/>
      <c r="X2250" s="15"/>
      <c r="Y2250" s="30"/>
      <c r="Z2250" s="30"/>
      <c r="AA2250" s="30"/>
      <c r="AB2250" s="30"/>
      <c r="AC2250" s="17"/>
      <c r="AD2250" s="17"/>
      <c r="AE2250" s="17"/>
      <c r="AF2250" s="17"/>
      <c r="AG2250" s="21"/>
      <c r="AH2250" s="21"/>
      <c r="AI2250" s="21"/>
      <c r="AJ2250" s="21"/>
      <c r="AK2250" s="21"/>
      <c r="AL2250" s="21"/>
      <c r="AM2250" s="21"/>
      <c r="AN2250" s="21"/>
      <c r="AO2250" s="22"/>
      <c r="AP2250" s="21"/>
      <c r="AQ2250" s="22"/>
      <c r="AR2250" s="21"/>
      <c r="AS2250" s="21"/>
      <c r="AT2250" s="21"/>
      <c r="AU2250" s="21"/>
      <c r="AV2250" s="21"/>
      <c r="AW2250" s="21"/>
      <c r="AX2250" s="22"/>
      <c r="AY2250" s="21"/>
      <c r="AZ2250" s="22"/>
      <c r="BA2250" s="21"/>
      <c r="BB2250" s="21"/>
      <c r="BC2250" s="21"/>
      <c r="BD2250" s="21"/>
      <c r="BE2250" s="26"/>
      <c r="BF2250" s="26"/>
      <c r="BG2250" s="62"/>
    </row>
    <row r="2251" spans="1:59" ht="13.5" customHeight="1" x14ac:dyDescent="0.35">
      <c r="A2251" s="49"/>
      <c r="B2251" s="49"/>
      <c r="C2251" s="14"/>
      <c r="D2251" s="1"/>
      <c r="E2251" s="149"/>
      <c r="F2251" s="153"/>
      <c r="G2251" s="10"/>
      <c r="H2251" s="17"/>
      <c r="I2251" s="17"/>
      <c r="J2251" s="17"/>
      <c r="K2251" s="30"/>
      <c r="L2251" s="30"/>
      <c r="M2251" s="30"/>
      <c r="N2251" s="30"/>
      <c r="O2251" s="30"/>
      <c r="P2251" s="30"/>
      <c r="Q2251" s="30"/>
      <c r="R2251" s="30"/>
      <c r="S2251" s="30"/>
      <c r="T2251" s="30"/>
      <c r="U2251" s="30"/>
      <c r="V2251" s="30"/>
      <c r="W2251" s="29"/>
      <c r="X2251" s="15"/>
      <c r="Y2251" s="30"/>
      <c r="Z2251" s="30"/>
      <c r="AA2251" s="30"/>
      <c r="AB2251" s="30"/>
      <c r="AC2251" s="17"/>
      <c r="AD2251" s="17"/>
      <c r="AE2251" s="17"/>
      <c r="AF2251" s="17"/>
      <c r="AG2251" s="21"/>
      <c r="AH2251" s="21"/>
      <c r="AI2251" s="21"/>
      <c r="AJ2251" s="21"/>
      <c r="AK2251" s="21"/>
      <c r="AL2251" s="21"/>
      <c r="AM2251" s="21"/>
      <c r="AN2251" s="21"/>
      <c r="AO2251" s="22"/>
      <c r="AP2251" s="21"/>
      <c r="AQ2251" s="22"/>
      <c r="AR2251" s="21"/>
      <c r="AS2251" s="21"/>
      <c r="AT2251" s="21"/>
      <c r="AU2251" s="21"/>
      <c r="AV2251" s="21"/>
      <c r="AW2251" s="21"/>
      <c r="AX2251" s="22"/>
      <c r="AY2251" s="21"/>
      <c r="AZ2251" s="22"/>
      <c r="BA2251" s="21"/>
      <c r="BB2251" s="21"/>
      <c r="BC2251" s="21"/>
      <c r="BD2251" s="21"/>
      <c r="BE2251" s="26"/>
      <c r="BF2251" s="26"/>
      <c r="BG2251" s="62"/>
    </row>
    <row r="2252" spans="1:59" ht="13.5" customHeight="1" x14ac:dyDescent="0.35">
      <c r="A2252" s="49"/>
      <c r="B2252" s="49"/>
      <c r="C2252" s="39"/>
      <c r="D2252" s="1"/>
      <c r="E2252" s="149"/>
      <c r="F2252" s="153"/>
      <c r="G2252" s="10"/>
      <c r="H2252" s="17"/>
      <c r="I2252" s="17"/>
      <c r="J2252" s="17"/>
      <c r="K2252" s="30"/>
      <c r="L2252" s="30"/>
      <c r="M2252" s="30"/>
      <c r="N2252" s="30"/>
      <c r="O2252" s="30"/>
      <c r="P2252" s="30"/>
      <c r="Q2252" s="30"/>
      <c r="R2252" s="30"/>
      <c r="S2252" s="30"/>
      <c r="T2252" s="30"/>
      <c r="U2252" s="30"/>
      <c r="V2252" s="30"/>
      <c r="W2252" s="29"/>
      <c r="X2252" s="15"/>
      <c r="Y2252" s="30"/>
      <c r="Z2252" s="30"/>
      <c r="AA2252" s="30"/>
      <c r="AB2252" s="30"/>
      <c r="AC2252" s="17"/>
      <c r="AD2252" s="17"/>
      <c r="AE2252" s="17"/>
      <c r="AF2252" s="17"/>
      <c r="AG2252" s="21"/>
      <c r="AH2252" s="21"/>
      <c r="AI2252" s="21"/>
      <c r="AJ2252" s="21"/>
      <c r="AK2252" s="21"/>
      <c r="AL2252" s="21"/>
      <c r="AM2252" s="21"/>
      <c r="AN2252" s="21"/>
      <c r="AO2252" s="22"/>
      <c r="AP2252" s="21"/>
      <c r="AQ2252" s="22"/>
      <c r="AR2252" s="21"/>
      <c r="AS2252" s="21"/>
      <c r="AT2252" s="21"/>
      <c r="AU2252" s="21"/>
      <c r="AV2252" s="21"/>
      <c r="AW2252" s="21"/>
      <c r="AX2252" s="22"/>
      <c r="AY2252" s="21"/>
      <c r="AZ2252" s="22"/>
      <c r="BA2252" s="21"/>
      <c r="BB2252" s="21"/>
      <c r="BC2252" s="21"/>
      <c r="BD2252" s="21"/>
      <c r="BE2252" s="26"/>
      <c r="BF2252" s="26"/>
      <c r="BG2252" s="62"/>
    </row>
    <row r="2253" spans="1:59" x14ac:dyDescent="0.3">
      <c r="A2253" s="63"/>
      <c r="B2253" s="63"/>
      <c r="C2253" s="39"/>
      <c r="D2253" s="6"/>
      <c r="E2253" s="149"/>
      <c r="F2253" s="153"/>
      <c r="G2253" s="10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5"/>
      <c r="V2253" s="5"/>
      <c r="W2253" s="13"/>
      <c r="X2253" s="4"/>
      <c r="Y2253" s="4"/>
      <c r="Z2253" s="4"/>
      <c r="AA2253" s="6"/>
      <c r="AB2253" s="5"/>
      <c r="AC2253" s="9"/>
      <c r="AD2253" s="9"/>
      <c r="AE2253" s="9"/>
      <c r="AF2253" s="9"/>
      <c r="AG2253" s="64"/>
      <c r="AH2253" s="3"/>
      <c r="AI2253" s="2"/>
      <c r="AJ2253" s="2"/>
      <c r="AK2253" s="2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</row>
    <row r="2254" spans="1:59" x14ac:dyDescent="0.3">
      <c r="A2254" s="6"/>
      <c r="B2254" s="6"/>
      <c r="C2254" s="39"/>
      <c r="D2254" s="6"/>
      <c r="E2254" s="149"/>
      <c r="F2254" s="153"/>
      <c r="G2254" s="10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12"/>
      <c r="Y2254" s="6"/>
      <c r="Z2254" s="6"/>
      <c r="AA2254" s="6"/>
      <c r="AB2254" s="6"/>
      <c r="AC2254" s="9"/>
      <c r="AD2254" s="9"/>
      <c r="AE2254" s="9"/>
      <c r="AF2254" s="9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21"/>
      <c r="AS2254" s="21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</row>
    <row r="2255" spans="1:59" x14ac:dyDescent="0.3">
      <c r="A2255" s="63"/>
      <c r="B2255" s="63"/>
      <c r="C2255" s="39"/>
      <c r="D2255" s="6"/>
      <c r="E2255" s="149"/>
      <c r="F2255" s="153"/>
      <c r="G2255" s="10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5"/>
      <c r="V2255" s="5"/>
      <c r="W2255" s="13"/>
      <c r="X2255" s="4"/>
      <c r="Y2255" s="4"/>
      <c r="Z2255" s="4"/>
      <c r="AA2255" s="6"/>
      <c r="AB2255" s="5"/>
      <c r="AC2255" s="9"/>
      <c r="AD2255" s="9"/>
      <c r="AE2255" s="9"/>
      <c r="AF2255" s="9"/>
      <c r="AG2255" s="64"/>
      <c r="AH2255" s="3"/>
      <c r="AI2255" s="2"/>
      <c r="AJ2255" s="2"/>
      <c r="AK2255" s="2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</row>
    <row r="2256" spans="1:59" ht="13.5" customHeight="1" x14ac:dyDescent="0.35">
      <c r="A2256" s="49"/>
      <c r="B2256" s="49"/>
      <c r="C2256" s="39"/>
      <c r="D2256" s="1"/>
      <c r="E2256" s="149"/>
      <c r="F2256" s="153"/>
      <c r="G2256" s="10"/>
      <c r="H2256" s="17"/>
      <c r="I2256" s="17"/>
      <c r="J2256" s="17"/>
      <c r="K2256" s="30"/>
      <c r="L2256" s="30"/>
      <c r="M2256" s="30"/>
      <c r="N2256" s="30"/>
      <c r="O2256" s="30"/>
      <c r="P2256" s="30"/>
      <c r="Q2256" s="30"/>
      <c r="R2256" s="30"/>
      <c r="S2256" s="30"/>
      <c r="T2256" s="30"/>
      <c r="U2256" s="30"/>
      <c r="V2256" s="30"/>
      <c r="W2256" s="29"/>
      <c r="X2256" s="15"/>
      <c r="Y2256" s="30"/>
      <c r="Z2256" s="30"/>
      <c r="AA2256" s="30"/>
      <c r="AB2256" s="30"/>
      <c r="AC2256" s="17"/>
      <c r="AD2256" s="17"/>
      <c r="AE2256" s="17"/>
      <c r="AF2256" s="17"/>
      <c r="AG2256" s="21"/>
      <c r="AH2256" s="21"/>
      <c r="AI2256" s="21"/>
      <c r="AJ2256" s="21"/>
      <c r="AK2256" s="21"/>
      <c r="AL2256" s="21"/>
      <c r="AM2256" s="21"/>
      <c r="AN2256" s="21"/>
      <c r="AO2256" s="22"/>
      <c r="AP2256" s="21"/>
      <c r="AQ2256" s="22"/>
      <c r="AR2256" s="21"/>
      <c r="AS2256" s="21"/>
      <c r="AT2256" s="21"/>
      <c r="AU2256" s="21"/>
      <c r="AV2256" s="21"/>
      <c r="AW2256" s="21"/>
      <c r="AX2256" s="22"/>
      <c r="AY2256" s="21"/>
      <c r="AZ2256" s="22"/>
      <c r="BA2256" s="21"/>
      <c r="BB2256" s="21"/>
      <c r="BC2256" s="21"/>
      <c r="BD2256" s="21"/>
      <c r="BE2256" s="26"/>
      <c r="BF2256" s="26"/>
      <c r="BG2256" s="62"/>
    </row>
    <row r="2257" spans="1:59" ht="13.5" customHeight="1" x14ac:dyDescent="0.35">
      <c r="A2257" s="49"/>
      <c r="B2257" s="49"/>
      <c r="C2257" s="39"/>
      <c r="D2257" s="1"/>
      <c r="E2257" s="149"/>
      <c r="F2257" s="153"/>
      <c r="G2257" s="10"/>
      <c r="H2257" s="17"/>
      <c r="I2257" s="17"/>
      <c r="J2257" s="17"/>
      <c r="K2257" s="30"/>
      <c r="L2257" s="30"/>
      <c r="M2257" s="30"/>
      <c r="N2257" s="30"/>
      <c r="O2257" s="30"/>
      <c r="P2257" s="30"/>
      <c r="Q2257" s="30"/>
      <c r="R2257" s="30"/>
      <c r="S2257" s="30"/>
      <c r="T2257" s="30"/>
      <c r="U2257" s="30"/>
      <c r="V2257" s="30"/>
      <c r="W2257" s="29"/>
      <c r="X2257" s="15"/>
      <c r="Y2257" s="30"/>
      <c r="Z2257" s="30"/>
      <c r="AA2257" s="30"/>
      <c r="AB2257" s="30"/>
      <c r="AC2257" s="17"/>
      <c r="AD2257" s="17"/>
      <c r="AE2257" s="17"/>
      <c r="AF2257" s="17"/>
      <c r="AG2257" s="21"/>
      <c r="AH2257" s="21"/>
      <c r="AI2257" s="21"/>
      <c r="AJ2257" s="21"/>
      <c r="AK2257" s="21"/>
      <c r="AL2257" s="21"/>
      <c r="AM2257" s="21"/>
      <c r="AN2257" s="21"/>
      <c r="AO2257" s="22"/>
      <c r="AP2257" s="21"/>
      <c r="AQ2257" s="22"/>
      <c r="AR2257" s="21"/>
      <c r="AS2257" s="21"/>
      <c r="AT2257" s="21"/>
      <c r="AU2257" s="21"/>
      <c r="AV2257" s="21"/>
      <c r="AW2257" s="21"/>
      <c r="AX2257" s="22"/>
      <c r="AY2257" s="21"/>
      <c r="AZ2257" s="22"/>
      <c r="BA2257" s="21"/>
      <c r="BB2257" s="21"/>
      <c r="BC2257" s="21"/>
      <c r="BD2257" s="21"/>
      <c r="BE2257" s="26"/>
      <c r="BF2257" s="26"/>
      <c r="BG2257" s="62"/>
    </row>
    <row r="2258" spans="1:59" x14ac:dyDescent="0.3">
      <c r="A2258" s="63"/>
      <c r="B2258" s="63"/>
      <c r="C2258" s="39"/>
      <c r="D2258" s="6"/>
      <c r="E2258" s="149"/>
      <c r="F2258" s="153"/>
      <c r="G2258" s="10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5"/>
      <c r="V2258" s="5"/>
      <c r="W2258" s="13"/>
      <c r="X2258" s="4"/>
      <c r="Y2258" s="4"/>
      <c r="Z2258" s="4"/>
      <c r="AA2258" s="6"/>
      <c r="AB2258" s="5"/>
      <c r="AC2258" s="9"/>
      <c r="AD2258" s="9"/>
      <c r="AE2258" s="9"/>
      <c r="AF2258" s="9"/>
      <c r="AG2258" s="64"/>
      <c r="AH2258" s="3"/>
      <c r="AI2258" s="2"/>
      <c r="AJ2258" s="2"/>
      <c r="AK2258" s="2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</row>
    <row r="2259" spans="1:59" x14ac:dyDescent="0.3">
      <c r="A2259" s="6"/>
      <c r="B2259" s="6"/>
      <c r="C2259" s="39"/>
      <c r="D2259" s="6"/>
      <c r="E2259" s="149"/>
      <c r="F2259" s="153"/>
      <c r="G2259" s="10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12"/>
      <c r="Y2259" s="6"/>
      <c r="Z2259" s="6"/>
      <c r="AA2259" s="6"/>
      <c r="AB2259" s="6"/>
      <c r="AC2259" s="9"/>
      <c r="AD2259" s="9"/>
      <c r="AE2259" s="9"/>
      <c r="AF2259" s="9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21"/>
      <c r="AS2259" s="21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</row>
    <row r="2260" spans="1:59" ht="13.5" customHeight="1" x14ac:dyDescent="0.35">
      <c r="A2260" s="49"/>
      <c r="B2260" s="49"/>
      <c r="C2260" s="39"/>
      <c r="D2260" s="1"/>
      <c r="E2260" s="149"/>
      <c r="F2260" s="153"/>
      <c r="G2260" s="10"/>
      <c r="H2260" s="17"/>
      <c r="I2260" s="17"/>
      <c r="J2260" s="17"/>
      <c r="K2260" s="30"/>
      <c r="L2260" s="30"/>
      <c r="M2260" s="30"/>
      <c r="N2260" s="30"/>
      <c r="O2260" s="30"/>
      <c r="P2260" s="30"/>
      <c r="Q2260" s="30"/>
      <c r="R2260" s="30"/>
      <c r="S2260" s="30"/>
      <c r="T2260" s="30"/>
      <c r="U2260" s="30"/>
      <c r="V2260" s="30"/>
      <c r="W2260" s="29"/>
      <c r="X2260" s="15"/>
      <c r="Y2260" s="30"/>
      <c r="Z2260" s="30"/>
      <c r="AA2260" s="30"/>
      <c r="AB2260" s="30"/>
      <c r="AC2260" s="17"/>
      <c r="AD2260" s="17"/>
      <c r="AE2260" s="17"/>
      <c r="AF2260" s="17"/>
      <c r="AG2260" s="21"/>
      <c r="AH2260" s="21"/>
      <c r="AI2260" s="21"/>
      <c r="AJ2260" s="21"/>
      <c r="AK2260" s="21"/>
      <c r="AL2260" s="21"/>
      <c r="AM2260" s="21"/>
      <c r="AN2260" s="21"/>
      <c r="AO2260" s="22"/>
      <c r="AP2260" s="21"/>
      <c r="AQ2260" s="22"/>
      <c r="AR2260" s="21"/>
      <c r="AS2260" s="21"/>
      <c r="AT2260" s="21"/>
      <c r="AU2260" s="21"/>
      <c r="AV2260" s="21"/>
      <c r="AW2260" s="21"/>
      <c r="AX2260" s="22"/>
      <c r="AY2260" s="21"/>
      <c r="AZ2260" s="22"/>
      <c r="BA2260" s="21"/>
      <c r="BB2260" s="21"/>
      <c r="BC2260" s="21"/>
      <c r="BD2260" s="21"/>
      <c r="BE2260" s="26"/>
      <c r="BF2260" s="26"/>
      <c r="BG2260" s="62"/>
    </row>
    <row r="2261" spans="1:59" x14ac:dyDescent="0.3">
      <c r="A2261" s="6"/>
      <c r="B2261" s="6"/>
      <c r="C2261" s="39"/>
      <c r="D2261" s="6"/>
      <c r="E2261" s="149"/>
      <c r="F2261" s="153"/>
      <c r="G2261" s="10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5"/>
      <c r="V2261" s="5"/>
      <c r="W2261" s="13"/>
      <c r="X2261" s="4"/>
      <c r="Y2261" s="4"/>
      <c r="Z2261" s="4"/>
      <c r="AA2261" s="6"/>
      <c r="AB2261" s="5"/>
      <c r="AC2261" s="9"/>
      <c r="AD2261" s="9"/>
      <c r="AE2261" s="9"/>
      <c r="AF2261" s="9"/>
      <c r="AG2261" s="2"/>
      <c r="AH2261" s="3"/>
      <c r="AI2261" s="2"/>
      <c r="AJ2261" s="2"/>
      <c r="AK2261" s="2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</row>
    <row r="2262" spans="1:59" ht="13.5" customHeight="1" x14ac:dyDescent="0.35">
      <c r="A2262" s="49"/>
      <c r="B2262" s="49"/>
      <c r="C2262" s="14"/>
      <c r="D2262" s="1"/>
      <c r="E2262" s="149"/>
      <c r="F2262" s="153"/>
      <c r="G2262" s="10"/>
      <c r="H2262" s="17"/>
      <c r="I2262" s="17"/>
      <c r="J2262" s="17"/>
      <c r="K2262" s="30"/>
      <c r="L2262" s="30"/>
      <c r="M2262" s="30"/>
      <c r="N2262" s="30"/>
      <c r="O2262" s="30"/>
      <c r="P2262" s="30"/>
      <c r="Q2262" s="30"/>
      <c r="R2262" s="30"/>
      <c r="S2262" s="30"/>
      <c r="T2262" s="30"/>
      <c r="U2262" s="30"/>
      <c r="V2262" s="30"/>
      <c r="W2262" s="29"/>
      <c r="X2262" s="15"/>
      <c r="Y2262" s="30"/>
      <c r="Z2262" s="30"/>
      <c r="AA2262" s="30"/>
      <c r="AB2262" s="30"/>
      <c r="AC2262" s="17"/>
      <c r="AD2262" s="17"/>
      <c r="AE2262" s="17"/>
      <c r="AF2262" s="17"/>
      <c r="AG2262" s="21"/>
      <c r="AH2262" s="21"/>
      <c r="AI2262" s="21"/>
      <c r="AJ2262" s="21"/>
      <c r="AK2262" s="21"/>
      <c r="AL2262" s="21"/>
      <c r="AM2262" s="21"/>
      <c r="AN2262" s="21"/>
      <c r="AO2262" s="22"/>
      <c r="AP2262" s="21"/>
      <c r="AQ2262" s="22"/>
      <c r="AR2262" s="21"/>
      <c r="AS2262" s="21"/>
      <c r="AT2262" s="21"/>
      <c r="AU2262" s="21"/>
      <c r="AV2262" s="21"/>
      <c r="AW2262" s="21"/>
      <c r="AX2262" s="22"/>
      <c r="AY2262" s="21"/>
      <c r="AZ2262" s="22"/>
      <c r="BA2262" s="21"/>
      <c r="BB2262" s="21"/>
      <c r="BC2262" s="21"/>
      <c r="BD2262" s="21"/>
      <c r="BE2262" s="26"/>
      <c r="BF2262" s="26"/>
      <c r="BG2262" s="62"/>
    </row>
    <row r="2263" spans="1:59" x14ac:dyDescent="0.3">
      <c r="A2263" s="6"/>
      <c r="B2263" s="6"/>
      <c r="C2263" s="39"/>
      <c r="D2263" s="6"/>
      <c r="E2263" s="149"/>
      <c r="F2263" s="153"/>
      <c r="G2263" s="10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12"/>
      <c r="Y2263" s="6"/>
      <c r="Z2263" s="6"/>
      <c r="AA2263" s="6"/>
      <c r="AB2263" s="6"/>
      <c r="AC2263" s="9"/>
      <c r="AD2263" s="9"/>
      <c r="AE2263" s="9"/>
      <c r="AF2263" s="9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21"/>
      <c r="AS2263" s="21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</row>
    <row r="2264" spans="1:59" ht="13.5" customHeight="1" x14ac:dyDescent="0.35">
      <c r="A2264" s="49"/>
      <c r="B2264" s="49"/>
      <c r="C2264" s="14"/>
      <c r="D2264" s="1"/>
      <c r="E2264" s="149"/>
      <c r="F2264" s="153"/>
      <c r="G2264" s="10"/>
      <c r="H2264" s="17"/>
      <c r="I2264" s="17"/>
      <c r="J2264" s="17"/>
      <c r="K2264" s="30"/>
      <c r="L2264" s="30"/>
      <c r="M2264" s="30"/>
      <c r="N2264" s="30"/>
      <c r="O2264" s="30"/>
      <c r="P2264" s="30"/>
      <c r="Q2264" s="30"/>
      <c r="R2264" s="30"/>
      <c r="S2264" s="30"/>
      <c r="T2264" s="30"/>
      <c r="U2264" s="30"/>
      <c r="V2264" s="30"/>
      <c r="W2264" s="29"/>
      <c r="X2264" s="15"/>
      <c r="Y2264" s="30"/>
      <c r="Z2264" s="30"/>
      <c r="AA2264" s="30"/>
      <c r="AB2264" s="30"/>
      <c r="AC2264" s="17"/>
      <c r="AD2264" s="17"/>
      <c r="AE2264" s="17"/>
      <c r="AF2264" s="17"/>
      <c r="AG2264" s="21"/>
      <c r="AH2264" s="21"/>
      <c r="AI2264" s="21"/>
      <c r="AJ2264" s="21"/>
      <c r="AK2264" s="21"/>
      <c r="AL2264" s="21"/>
      <c r="AM2264" s="21"/>
      <c r="AN2264" s="21"/>
      <c r="AO2264" s="22"/>
      <c r="AP2264" s="21"/>
      <c r="AQ2264" s="22"/>
      <c r="AR2264" s="21"/>
      <c r="AS2264" s="21"/>
      <c r="AT2264" s="21"/>
      <c r="AU2264" s="21"/>
      <c r="AV2264" s="21"/>
      <c r="AW2264" s="21"/>
      <c r="AX2264" s="22"/>
      <c r="AY2264" s="21"/>
      <c r="AZ2264" s="22"/>
      <c r="BA2264" s="21"/>
      <c r="BB2264" s="21"/>
      <c r="BC2264" s="21"/>
      <c r="BD2264" s="21"/>
      <c r="BE2264" s="26"/>
      <c r="BF2264" s="26"/>
      <c r="BG2264" s="62"/>
    </row>
    <row r="2265" spans="1:59" ht="13.5" customHeight="1" x14ac:dyDescent="0.35">
      <c r="A2265" s="49"/>
      <c r="B2265" s="49"/>
      <c r="C2265" s="39"/>
      <c r="D2265" s="1"/>
      <c r="E2265" s="149"/>
      <c r="F2265" s="153"/>
      <c r="G2265" s="10"/>
      <c r="H2265" s="17"/>
      <c r="I2265" s="17"/>
      <c r="J2265" s="17"/>
      <c r="K2265" s="30"/>
      <c r="L2265" s="30"/>
      <c r="M2265" s="30"/>
      <c r="N2265" s="30"/>
      <c r="O2265" s="30"/>
      <c r="P2265" s="30"/>
      <c r="Q2265" s="30"/>
      <c r="R2265" s="30"/>
      <c r="S2265" s="30"/>
      <c r="T2265" s="30"/>
      <c r="U2265" s="30"/>
      <c r="V2265" s="30"/>
      <c r="W2265" s="29"/>
      <c r="X2265" s="15"/>
      <c r="Y2265" s="30"/>
      <c r="Z2265" s="30"/>
      <c r="AA2265" s="30"/>
      <c r="AB2265" s="30"/>
      <c r="AC2265" s="17"/>
      <c r="AD2265" s="17"/>
      <c r="AE2265" s="17"/>
      <c r="AF2265" s="17"/>
      <c r="AG2265" s="21"/>
      <c r="AH2265" s="21"/>
      <c r="AI2265" s="21"/>
      <c r="AJ2265" s="21"/>
      <c r="AK2265" s="21"/>
      <c r="AL2265" s="21"/>
      <c r="AM2265" s="21"/>
      <c r="AN2265" s="21"/>
      <c r="AO2265" s="22"/>
      <c r="AP2265" s="21"/>
      <c r="AQ2265" s="22"/>
      <c r="AR2265" s="21"/>
      <c r="AS2265" s="21"/>
      <c r="AT2265" s="21"/>
      <c r="AU2265" s="21"/>
      <c r="AV2265" s="21"/>
      <c r="AW2265" s="21"/>
      <c r="AX2265" s="22"/>
      <c r="AY2265" s="21"/>
      <c r="AZ2265" s="22"/>
      <c r="BA2265" s="21"/>
      <c r="BB2265" s="21"/>
      <c r="BC2265" s="21"/>
      <c r="BD2265" s="21"/>
      <c r="BE2265" s="26"/>
      <c r="BF2265" s="26"/>
      <c r="BG2265" s="65"/>
    </row>
    <row r="2266" spans="1:59" x14ac:dyDescent="0.3">
      <c r="A2266" s="6"/>
      <c r="B2266" s="6"/>
      <c r="C2266" s="39"/>
      <c r="D2266" s="6"/>
      <c r="E2266" s="149"/>
      <c r="F2266" s="153"/>
      <c r="G2266" s="10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12"/>
      <c r="Y2266" s="6"/>
      <c r="Z2266" s="6"/>
      <c r="AA2266" s="6"/>
      <c r="AB2266" s="6"/>
      <c r="AC2266" s="9"/>
      <c r="AD2266" s="9"/>
      <c r="AE2266" s="9"/>
      <c r="AF2266" s="9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21"/>
      <c r="AS2266" s="21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</row>
    <row r="2267" spans="1:59" ht="13.5" customHeight="1" x14ac:dyDescent="0.35">
      <c r="A2267" s="49"/>
      <c r="B2267" s="49"/>
      <c r="C2267" s="14"/>
      <c r="D2267" s="1"/>
      <c r="E2267" s="149"/>
      <c r="F2267" s="153"/>
      <c r="G2267" s="10"/>
      <c r="H2267" s="17"/>
      <c r="I2267" s="17"/>
      <c r="J2267" s="17"/>
      <c r="K2267" s="30"/>
      <c r="L2267" s="30"/>
      <c r="M2267" s="30"/>
      <c r="N2267" s="30"/>
      <c r="O2267" s="30"/>
      <c r="P2267" s="30"/>
      <c r="Q2267" s="30"/>
      <c r="R2267" s="30"/>
      <c r="S2267" s="30"/>
      <c r="T2267" s="30"/>
      <c r="U2267" s="30"/>
      <c r="V2267" s="30"/>
      <c r="W2267" s="29"/>
      <c r="X2267" s="15"/>
      <c r="Y2267" s="30"/>
      <c r="Z2267" s="30"/>
      <c r="AA2267" s="30"/>
      <c r="AB2267" s="30"/>
      <c r="AC2267" s="17"/>
      <c r="AD2267" s="17"/>
      <c r="AE2267" s="17"/>
      <c r="AF2267" s="17"/>
      <c r="AG2267" s="21"/>
      <c r="AH2267" s="21"/>
      <c r="AI2267" s="21"/>
      <c r="AJ2267" s="21"/>
      <c r="AK2267" s="21"/>
      <c r="AL2267" s="21"/>
      <c r="AM2267" s="21"/>
      <c r="AN2267" s="21"/>
      <c r="AO2267" s="22"/>
      <c r="AP2267" s="21"/>
      <c r="AQ2267" s="22"/>
      <c r="AR2267" s="21"/>
      <c r="AS2267" s="21"/>
      <c r="AT2267" s="21"/>
      <c r="AU2267" s="21"/>
      <c r="AV2267" s="21"/>
      <c r="AW2267" s="21"/>
      <c r="AX2267" s="22"/>
      <c r="AY2267" s="21"/>
      <c r="AZ2267" s="22"/>
      <c r="BA2267" s="21"/>
      <c r="BB2267" s="21"/>
      <c r="BC2267" s="21"/>
      <c r="BD2267" s="21"/>
      <c r="BE2267" s="26"/>
      <c r="BF2267" s="26"/>
      <c r="BG2267" s="62"/>
    </row>
    <row r="2268" spans="1:59" x14ac:dyDescent="0.3">
      <c r="A2268" s="63"/>
      <c r="B2268" s="63"/>
      <c r="C2268" s="39"/>
      <c r="D2268" s="6"/>
      <c r="E2268" s="149"/>
      <c r="F2268" s="153"/>
      <c r="G2268" s="10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5"/>
      <c r="V2268" s="5"/>
      <c r="W2268" s="13"/>
      <c r="X2268" s="4"/>
      <c r="Y2268" s="4"/>
      <c r="Z2268" s="4"/>
      <c r="AA2268" s="6"/>
      <c r="AB2268" s="5"/>
      <c r="AC2268" s="9"/>
      <c r="AD2268" s="9"/>
      <c r="AE2268" s="9"/>
      <c r="AF2268" s="9"/>
      <c r="AG2268" s="64"/>
      <c r="AH2268" s="3"/>
      <c r="AI2268" s="2"/>
      <c r="AJ2268" s="2"/>
      <c r="AK2268" s="2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</row>
    <row r="2269" spans="1:59" ht="13.5" customHeight="1" x14ac:dyDescent="0.35">
      <c r="A2269" s="49"/>
      <c r="B2269" s="49"/>
      <c r="C2269" s="39"/>
      <c r="D2269" s="1"/>
      <c r="E2269" s="149"/>
      <c r="F2269" s="153"/>
      <c r="G2269" s="10"/>
      <c r="H2269" s="17"/>
      <c r="I2269" s="17"/>
      <c r="J2269" s="17"/>
      <c r="K2269" s="30"/>
      <c r="L2269" s="30"/>
      <c r="M2269" s="30"/>
      <c r="N2269" s="30"/>
      <c r="O2269" s="30"/>
      <c r="P2269" s="30"/>
      <c r="Q2269" s="30"/>
      <c r="R2269" s="30"/>
      <c r="S2269" s="30"/>
      <c r="T2269" s="30"/>
      <c r="U2269" s="30"/>
      <c r="V2269" s="30"/>
      <c r="W2269" s="29"/>
      <c r="X2269" s="15"/>
      <c r="Y2269" s="30"/>
      <c r="Z2269" s="30"/>
      <c r="AA2269" s="30"/>
      <c r="AB2269" s="30"/>
      <c r="AC2269" s="17"/>
      <c r="AD2269" s="17"/>
      <c r="AE2269" s="17"/>
      <c r="AF2269" s="17"/>
      <c r="AG2269" s="21"/>
      <c r="AH2269" s="21"/>
      <c r="AI2269" s="21"/>
      <c r="AJ2269" s="21"/>
      <c r="AK2269" s="21"/>
      <c r="AL2269" s="21"/>
      <c r="AM2269" s="21"/>
      <c r="AN2269" s="21"/>
      <c r="AO2269" s="22"/>
      <c r="AP2269" s="21"/>
      <c r="AQ2269" s="22"/>
      <c r="AR2269" s="21"/>
      <c r="AS2269" s="21"/>
      <c r="AT2269" s="21"/>
      <c r="AU2269" s="21"/>
      <c r="AV2269" s="21"/>
      <c r="AW2269" s="21"/>
      <c r="AX2269" s="22"/>
      <c r="AY2269" s="21"/>
      <c r="AZ2269" s="22"/>
      <c r="BA2269" s="21"/>
      <c r="BB2269" s="21"/>
      <c r="BC2269" s="21"/>
      <c r="BD2269" s="21"/>
      <c r="BE2269" s="26"/>
      <c r="BF2269" s="26"/>
      <c r="BG2269" s="62"/>
    </row>
    <row r="2270" spans="1:59" ht="13.5" customHeight="1" x14ac:dyDescent="0.35">
      <c r="A2270" s="49"/>
      <c r="B2270" s="49"/>
      <c r="C2270" s="39"/>
      <c r="D2270" s="1"/>
      <c r="E2270" s="149"/>
      <c r="F2270" s="153"/>
      <c r="G2270" s="10"/>
      <c r="H2270" s="17"/>
      <c r="I2270" s="17"/>
      <c r="J2270" s="17"/>
      <c r="K2270" s="30"/>
      <c r="L2270" s="30"/>
      <c r="M2270" s="30"/>
      <c r="N2270" s="30"/>
      <c r="O2270" s="30"/>
      <c r="P2270" s="30"/>
      <c r="Q2270" s="30"/>
      <c r="R2270" s="30"/>
      <c r="S2270" s="30"/>
      <c r="T2270" s="30"/>
      <c r="U2270" s="30"/>
      <c r="V2270" s="30"/>
      <c r="W2270" s="29"/>
      <c r="X2270" s="15"/>
      <c r="Y2270" s="30"/>
      <c r="Z2270" s="30"/>
      <c r="AA2270" s="30"/>
      <c r="AB2270" s="30"/>
      <c r="AC2270" s="17"/>
      <c r="AD2270" s="17"/>
      <c r="AE2270" s="17"/>
      <c r="AF2270" s="17"/>
      <c r="AG2270" s="21"/>
      <c r="AH2270" s="21"/>
      <c r="AI2270" s="21"/>
      <c r="AJ2270" s="21"/>
      <c r="AK2270" s="21"/>
      <c r="AL2270" s="21"/>
      <c r="AM2270" s="21"/>
      <c r="AN2270" s="21"/>
      <c r="AO2270" s="22"/>
      <c r="AP2270" s="21"/>
      <c r="AQ2270" s="22"/>
      <c r="AR2270" s="21"/>
      <c r="AS2270" s="21"/>
      <c r="AT2270" s="21"/>
      <c r="AU2270" s="21"/>
      <c r="AV2270" s="21"/>
      <c r="AW2270" s="21"/>
      <c r="AX2270" s="22"/>
      <c r="AY2270" s="21"/>
      <c r="AZ2270" s="22"/>
      <c r="BA2270" s="21"/>
      <c r="BB2270" s="21"/>
      <c r="BC2270" s="21"/>
      <c r="BD2270" s="21"/>
      <c r="BE2270" s="26"/>
      <c r="BF2270" s="26"/>
      <c r="BG2270" s="62"/>
    </row>
    <row r="2271" spans="1:59" x14ac:dyDescent="0.3">
      <c r="A2271" s="63"/>
      <c r="B2271" s="63"/>
      <c r="C2271" s="39"/>
      <c r="D2271" s="6"/>
      <c r="E2271" s="149"/>
      <c r="F2271" s="153"/>
      <c r="G2271" s="10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5"/>
      <c r="V2271" s="5"/>
      <c r="W2271" s="13"/>
      <c r="X2271" s="4"/>
      <c r="Y2271" s="4"/>
      <c r="Z2271" s="4"/>
      <c r="AA2271" s="6"/>
      <c r="AB2271" s="5"/>
      <c r="AC2271" s="9"/>
      <c r="AD2271" s="9"/>
      <c r="AE2271" s="9"/>
      <c r="AF2271" s="9"/>
      <c r="AG2271" s="64"/>
      <c r="AH2271" s="3"/>
      <c r="AI2271" s="2"/>
      <c r="AJ2271" s="2"/>
      <c r="AK2271" s="2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</row>
    <row r="2272" spans="1:59" ht="13.5" customHeight="1" x14ac:dyDescent="0.35">
      <c r="A2272" s="49"/>
      <c r="B2272" s="49"/>
      <c r="C2272" s="14"/>
      <c r="D2272" s="1"/>
      <c r="E2272" s="149"/>
      <c r="F2272" s="153"/>
      <c r="G2272" s="10"/>
      <c r="H2272" s="17"/>
      <c r="I2272" s="17"/>
      <c r="J2272" s="17"/>
      <c r="K2272" s="30"/>
      <c r="L2272" s="30"/>
      <c r="M2272" s="30"/>
      <c r="N2272" s="30"/>
      <c r="O2272" s="30"/>
      <c r="P2272" s="30"/>
      <c r="Q2272" s="30"/>
      <c r="R2272" s="30"/>
      <c r="S2272" s="30"/>
      <c r="T2272" s="30"/>
      <c r="U2272" s="30"/>
      <c r="V2272" s="30"/>
      <c r="W2272" s="29"/>
      <c r="X2272" s="15"/>
      <c r="Y2272" s="30"/>
      <c r="Z2272" s="30"/>
      <c r="AA2272" s="30"/>
      <c r="AB2272" s="30"/>
      <c r="AC2272" s="17"/>
      <c r="AD2272" s="17"/>
      <c r="AE2272" s="17"/>
      <c r="AF2272" s="17"/>
      <c r="AG2272" s="21"/>
      <c r="AH2272" s="21"/>
      <c r="AI2272" s="21"/>
      <c r="AJ2272" s="21"/>
      <c r="AK2272" s="21"/>
      <c r="AL2272" s="21"/>
      <c r="AM2272" s="21"/>
      <c r="AN2272" s="21"/>
      <c r="AO2272" s="22"/>
      <c r="AP2272" s="21"/>
      <c r="AQ2272" s="22"/>
      <c r="AR2272" s="21"/>
      <c r="AS2272" s="21"/>
      <c r="AT2272" s="21"/>
      <c r="AU2272" s="21"/>
      <c r="AV2272" s="21"/>
      <c r="AW2272" s="21"/>
      <c r="AX2272" s="22"/>
      <c r="AY2272" s="21"/>
      <c r="AZ2272" s="22"/>
      <c r="BA2272" s="21"/>
      <c r="BB2272" s="21"/>
      <c r="BC2272" s="21"/>
      <c r="BD2272" s="21"/>
      <c r="BE2272" s="26"/>
      <c r="BF2272" s="26"/>
      <c r="BG2272" s="62"/>
    </row>
    <row r="2273" spans="1:59" x14ac:dyDescent="0.3">
      <c r="A2273" s="6"/>
      <c r="B2273" s="6"/>
      <c r="C2273" s="39"/>
      <c r="D2273" s="6"/>
      <c r="E2273" s="149"/>
      <c r="F2273" s="153"/>
      <c r="G2273" s="10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12"/>
      <c r="Y2273" s="6"/>
      <c r="Z2273" s="6"/>
      <c r="AA2273" s="6"/>
      <c r="AB2273" s="6"/>
      <c r="AC2273" s="9"/>
      <c r="AD2273" s="9"/>
      <c r="AE2273" s="9"/>
      <c r="AF2273" s="9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21"/>
      <c r="AS2273" s="21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</row>
    <row r="2274" spans="1:59" x14ac:dyDescent="0.3">
      <c r="A2274" s="6"/>
      <c r="B2274" s="6"/>
      <c r="C2274" s="39"/>
      <c r="D2274" s="6"/>
      <c r="E2274" s="149"/>
      <c r="F2274" s="153"/>
      <c r="G2274" s="10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12"/>
      <c r="Y2274" s="6"/>
      <c r="Z2274" s="6"/>
      <c r="AA2274" s="6"/>
      <c r="AB2274" s="6"/>
      <c r="AC2274" s="9"/>
      <c r="AD2274" s="9"/>
      <c r="AE2274" s="9"/>
      <c r="AF2274" s="9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21"/>
      <c r="AS2274" s="21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</row>
    <row r="2275" spans="1:59" x14ac:dyDescent="0.3">
      <c r="A2275" s="6"/>
      <c r="B2275" s="6"/>
      <c r="C2275" s="39"/>
      <c r="D2275" s="6"/>
      <c r="E2275" s="149"/>
      <c r="F2275" s="153"/>
      <c r="G2275" s="10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5"/>
      <c r="V2275" s="5"/>
      <c r="W2275" s="13"/>
      <c r="X2275" s="4"/>
      <c r="Y2275" s="4"/>
      <c r="Z2275" s="4"/>
      <c r="AA2275" s="6"/>
      <c r="AB2275" s="5"/>
      <c r="AC2275" s="9"/>
      <c r="AD2275" s="9"/>
      <c r="AE2275" s="9"/>
      <c r="AF2275" s="9"/>
      <c r="AG2275" s="2"/>
      <c r="AH2275" s="3"/>
      <c r="AI2275" s="2"/>
      <c r="AJ2275" s="2"/>
      <c r="AK2275" s="2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</row>
    <row r="2276" spans="1:59" x14ac:dyDescent="0.3">
      <c r="A2276" s="6"/>
      <c r="B2276" s="6"/>
      <c r="C2276" s="39"/>
      <c r="D2276" s="6"/>
      <c r="E2276" s="149"/>
      <c r="F2276" s="153"/>
      <c r="G2276" s="10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12"/>
      <c r="Y2276" s="6"/>
      <c r="Z2276" s="6"/>
      <c r="AA2276" s="6"/>
      <c r="AB2276" s="6"/>
      <c r="AC2276" s="9"/>
      <c r="AD2276" s="9"/>
      <c r="AE2276" s="9"/>
      <c r="AF2276" s="9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21"/>
      <c r="AS2276" s="21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</row>
    <row r="2277" spans="1:59" x14ac:dyDescent="0.3">
      <c r="A2277" s="6"/>
      <c r="B2277" s="6"/>
      <c r="C2277" s="39"/>
      <c r="D2277" s="6"/>
      <c r="E2277" s="149"/>
      <c r="F2277" s="153"/>
      <c r="G2277" s="10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5"/>
      <c r="V2277" s="5"/>
      <c r="W2277" s="13"/>
      <c r="X2277" s="4"/>
      <c r="Y2277" s="4"/>
      <c r="Z2277" s="4"/>
      <c r="AA2277" s="6"/>
      <c r="AB2277" s="5"/>
      <c r="AC2277" s="9"/>
      <c r="AD2277" s="9"/>
      <c r="AE2277" s="9"/>
      <c r="AF2277" s="9"/>
      <c r="AG2277" s="2"/>
      <c r="AH2277" s="3"/>
      <c r="AI2277" s="2"/>
      <c r="AJ2277" s="2"/>
      <c r="AK2277" s="2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</row>
    <row r="2278" spans="1:59" x14ac:dyDescent="0.3">
      <c r="A2278" s="63"/>
      <c r="B2278" s="63"/>
      <c r="C2278" s="39"/>
      <c r="D2278" s="6"/>
      <c r="E2278" s="149"/>
      <c r="F2278" s="153"/>
      <c r="G2278" s="10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5"/>
      <c r="V2278" s="5"/>
      <c r="W2278" s="13"/>
      <c r="X2278" s="4"/>
      <c r="Y2278" s="4"/>
      <c r="Z2278" s="4"/>
      <c r="AA2278" s="6"/>
      <c r="AB2278" s="5"/>
      <c r="AC2278" s="9"/>
      <c r="AD2278" s="9"/>
      <c r="AE2278" s="9"/>
      <c r="AF2278" s="9"/>
      <c r="AG2278" s="64"/>
      <c r="AH2278" s="3"/>
      <c r="AI2278" s="2"/>
      <c r="AJ2278" s="2"/>
      <c r="AK2278" s="2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</row>
    <row r="2279" spans="1:59" x14ac:dyDescent="0.3">
      <c r="A2279" s="63"/>
      <c r="B2279" s="63"/>
      <c r="C2279" s="39"/>
      <c r="D2279" s="6"/>
      <c r="E2279" s="149"/>
      <c r="F2279" s="153"/>
      <c r="G2279" s="10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5"/>
      <c r="V2279" s="5"/>
      <c r="W2279" s="13"/>
      <c r="X2279" s="4"/>
      <c r="Y2279" s="4"/>
      <c r="Z2279" s="4"/>
      <c r="AA2279" s="6"/>
      <c r="AB2279" s="5"/>
      <c r="AC2279" s="9"/>
      <c r="AD2279" s="9"/>
      <c r="AE2279" s="9"/>
      <c r="AF2279" s="9"/>
      <c r="AG2279" s="64"/>
      <c r="AH2279" s="3"/>
      <c r="AI2279" s="2"/>
      <c r="AJ2279" s="2"/>
      <c r="AK2279" s="2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</row>
    <row r="2280" spans="1:59" ht="13.5" customHeight="1" x14ac:dyDescent="0.35">
      <c r="A2280" s="49"/>
      <c r="B2280" s="49"/>
      <c r="C2280" s="14"/>
      <c r="D2280" s="1"/>
      <c r="E2280" s="149"/>
      <c r="F2280" s="153"/>
      <c r="G2280" s="10"/>
      <c r="H2280" s="17"/>
      <c r="I2280" s="17"/>
      <c r="J2280" s="17"/>
      <c r="K2280" s="30"/>
      <c r="L2280" s="30"/>
      <c r="M2280" s="30"/>
      <c r="N2280" s="30"/>
      <c r="O2280" s="30"/>
      <c r="P2280" s="30"/>
      <c r="Q2280" s="30"/>
      <c r="R2280" s="30"/>
      <c r="S2280" s="30"/>
      <c r="T2280" s="30"/>
      <c r="U2280" s="30"/>
      <c r="V2280" s="30"/>
      <c r="W2280" s="29"/>
      <c r="X2280" s="15"/>
      <c r="Y2280" s="30"/>
      <c r="Z2280" s="30"/>
      <c r="AA2280" s="30"/>
      <c r="AB2280" s="30"/>
      <c r="AC2280" s="17"/>
      <c r="AD2280" s="17"/>
      <c r="AE2280" s="17"/>
      <c r="AF2280" s="17"/>
      <c r="AG2280" s="21"/>
      <c r="AH2280" s="21"/>
      <c r="AI2280" s="21"/>
      <c r="AJ2280" s="21"/>
      <c r="AK2280" s="21"/>
      <c r="AL2280" s="21"/>
      <c r="AM2280" s="21"/>
      <c r="AN2280" s="21"/>
      <c r="AO2280" s="22"/>
      <c r="AP2280" s="21"/>
      <c r="AQ2280" s="22"/>
      <c r="AR2280" s="21"/>
      <c r="AS2280" s="21"/>
      <c r="AT2280" s="21"/>
      <c r="AU2280" s="21"/>
      <c r="AV2280" s="21"/>
      <c r="AW2280" s="21"/>
      <c r="AX2280" s="22"/>
      <c r="AY2280" s="21"/>
      <c r="AZ2280" s="22"/>
      <c r="BA2280" s="21"/>
      <c r="BB2280" s="21"/>
      <c r="BC2280" s="21"/>
      <c r="BD2280" s="21"/>
      <c r="BE2280" s="26"/>
      <c r="BF2280" s="26"/>
      <c r="BG2280" s="62"/>
    </row>
    <row r="2281" spans="1:59" ht="13.5" customHeight="1" x14ac:dyDescent="0.35">
      <c r="A2281" s="49"/>
      <c r="B2281" s="49"/>
      <c r="C2281" s="14"/>
      <c r="D2281" s="1"/>
      <c r="E2281" s="149"/>
      <c r="F2281" s="153"/>
      <c r="G2281" s="10"/>
      <c r="H2281" s="17"/>
      <c r="I2281" s="17"/>
      <c r="J2281" s="17"/>
      <c r="K2281" s="30"/>
      <c r="L2281" s="30"/>
      <c r="M2281" s="30"/>
      <c r="N2281" s="30"/>
      <c r="O2281" s="30"/>
      <c r="P2281" s="30"/>
      <c r="Q2281" s="30"/>
      <c r="R2281" s="30"/>
      <c r="S2281" s="30"/>
      <c r="T2281" s="30"/>
      <c r="U2281" s="30"/>
      <c r="V2281" s="30"/>
      <c r="W2281" s="29"/>
      <c r="X2281" s="15"/>
      <c r="Y2281" s="30"/>
      <c r="Z2281" s="30"/>
      <c r="AA2281" s="30"/>
      <c r="AB2281" s="30"/>
      <c r="AC2281" s="17"/>
      <c r="AD2281" s="17"/>
      <c r="AE2281" s="17"/>
      <c r="AF2281" s="17"/>
      <c r="AG2281" s="21"/>
      <c r="AH2281" s="21"/>
      <c r="AI2281" s="21"/>
      <c r="AJ2281" s="21"/>
      <c r="AK2281" s="21"/>
      <c r="AL2281" s="21"/>
      <c r="AM2281" s="21"/>
      <c r="AN2281" s="21"/>
      <c r="AO2281" s="22"/>
      <c r="AP2281" s="21"/>
      <c r="AQ2281" s="22"/>
      <c r="AR2281" s="21"/>
      <c r="AS2281" s="21"/>
      <c r="AT2281" s="21"/>
      <c r="AU2281" s="21"/>
      <c r="AV2281" s="21"/>
      <c r="AW2281" s="21"/>
      <c r="AX2281" s="22"/>
      <c r="AY2281" s="21"/>
      <c r="AZ2281" s="22"/>
      <c r="BA2281" s="21"/>
      <c r="BB2281" s="21"/>
      <c r="BC2281" s="21"/>
      <c r="BD2281" s="21"/>
      <c r="BE2281" s="26"/>
      <c r="BF2281" s="26"/>
      <c r="BG2281" s="62"/>
    </row>
    <row r="2282" spans="1:59" x14ac:dyDescent="0.3">
      <c r="A2282" s="6"/>
      <c r="B2282" s="6"/>
      <c r="C2282" s="39"/>
      <c r="D2282" s="6"/>
      <c r="E2282" s="149"/>
      <c r="F2282" s="153"/>
      <c r="G2282" s="10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12"/>
      <c r="Y2282" s="6"/>
      <c r="Z2282" s="6"/>
      <c r="AA2282" s="6"/>
      <c r="AB2282" s="6"/>
      <c r="AC2282" s="9"/>
      <c r="AD2282" s="9"/>
      <c r="AE2282" s="9"/>
      <c r="AF2282" s="9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</row>
    <row r="2283" spans="1:59" ht="13.5" customHeight="1" x14ac:dyDescent="0.35">
      <c r="A2283" s="49"/>
      <c r="B2283" s="49"/>
      <c r="C2283" s="14"/>
      <c r="D2283" s="1"/>
      <c r="E2283" s="149"/>
      <c r="F2283" s="153"/>
      <c r="G2283" s="10"/>
      <c r="H2283" s="17"/>
      <c r="I2283" s="17"/>
      <c r="J2283" s="17"/>
      <c r="K2283" s="30"/>
      <c r="L2283" s="30"/>
      <c r="M2283" s="30"/>
      <c r="N2283" s="30"/>
      <c r="O2283" s="30"/>
      <c r="P2283" s="30"/>
      <c r="Q2283" s="30"/>
      <c r="R2283" s="30"/>
      <c r="S2283" s="30"/>
      <c r="T2283" s="30"/>
      <c r="U2283" s="30"/>
      <c r="V2283" s="30"/>
      <c r="W2283" s="29"/>
      <c r="X2283" s="15"/>
      <c r="Y2283" s="30"/>
      <c r="Z2283" s="30"/>
      <c r="AA2283" s="30"/>
      <c r="AB2283" s="30"/>
      <c r="AC2283" s="17"/>
      <c r="AD2283" s="17"/>
      <c r="AE2283" s="17"/>
      <c r="AF2283" s="17"/>
      <c r="AG2283" s="21"/>
      <c r="AH2283" s="21"/>
      <c r="AI2283" s="21"/>
      <c r="AJ2283" s="21"/>
      <c r="AK2283" s="21"/>
      <c r="AL2283" s="21"/>
      <c r="AM2283" s="21"/>
      <c r="AN2283" s="21"/>
      <c r="AO2283" s="22"/>
      <c r="AP2283" s="21"/>
      <c r="AQ2283" s="22"/>
      <c r="AR2283" s="21"/>
      <c r="AS2283" s="21"/>
      <c r="AT2283" s="21"/>
      <c r="AU2283" s="21"/>
      <c r="AV2283" s="21"/>
      <c r="AW2283" s="21"/>
      <c r="AX2283" s="22"/>
      <c r="AY2283" s="21"/>
      <c r="AZ2283" s="22"/>
      <c r="BA2283" s="21"/>
      <c r="BB2283" s="21"/>
      <c r="BC2283" s="21"/>
      <c r="BD2283" s="21"/>
      <c r="BE2283" s="26"/>
      <c r="BF2283" s="26"/>
      <c r="BG2283" s="62"/>
    </row>
    <row r="2284" spans="1:59" x14ac:dyDescent="0.3">
      <c r="A2284" s="6"/>
      <c r="B2284" s="6"/>
      <c r="C2284" s="39"/>
      <c r="D2284" s="6"/>
      <c r="E2284" s="149"/>
      <c r="F2284" s="153"/>
      <c r="G2284" s="10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12"/>
      <c r="Y2284" s="6"/>
      <c r="Z2284" s="6"/>
      <c r="AA2284" s="6"/>
      <c r="AB2284" s="6"/>
      <c r="AC2284" s="9"/>
      <c r="AD2284" s="9"/>
      <c r="AE2284" s="9"/>
      <c r="AF2284" s="9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21"/>
      <c r="AS2284" s="21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</row>
    <row r="2285" spans="1:59" x14ac:dyDescent="0.3">
      <c r="A2285" s="6"/>
      <c r="B2285" s="6"/>
      <c r="C2285" s="39"/>
      <c r="D2285" s="6"/>
      <c r="E2285" s="149"/>
      <c r="F2285" s="153"/>
      <c r="G2285" s="10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12"/>
      <c r="Y2285" s="6"/>
      <c r="Z2285" s="6"/>
      <c r="AA2285" s="6"/>
      <c r="AB2285" s="6"/>
      <c r="AC2285" s="9"/>
      <c r="AD2285" s="9"/>
      <c r="AE2285" s="9"/>
      <c r="AF2285" s="9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21"/>
      <c r="AS2285" s="21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</row>
    <row r="2286" spans="1:59" x14ac:dyDescent="0.3">
      <c r="A2286" s="63"/>
      <c r="B2286" s="63"/>
      <c r="C2286" s="39"/>
      <c r="D2286" s="6"/>
      <c r="E2286" s="149"/>
      <c r="F2286" s="153"/>
      <c r="G2286" s="10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5"/>
      <c r="V2286" s="5"/>
      <c r="W2286" s="13"/>
      <c r="X2286" s="4"/>
      <c r="Y2286" s="4"/>
      <c r="Z2286" s="4"/>
      <c r="AA2286" s="6"/>
      <c r="AB2286" s="5"/>
      <c r="AC2286" s="9"/>
      <c r="AD2286" s="9"/>
      <c r="AE2286" s="9"/>
      <c r="AF2286" s="9"/>
      <c r="AG2286" s="64"/>
      <c r="AH2286" s="3"/>
      <c r="AI2286" s="2"/>
      <c r="AJ2286" s="2"/>
      <c r="AK2286" s="2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</row>
    <row r="2287" spans="1:59" x14ac:dyDescent="0.3">
      <c r="A2287" s="6"/>
      <c r="B2287" s="6"/>
      <c r="C2287" s="39"/>
      <c r="D2287" s="6"/>
      <c r="E2287" s="149"/>
      <c r="F2287" s="153"/>
      <c r="G2287" s="10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12"/>
      <c r="Y2287" s="6"/>
      <c r="Z2287" s="6"/>
      <c r="AA2287" s="6"/>
      <c r="AB2287" s="6"/>
      <c r="AC2287" s="9"/>
      <c r="AD2287" s="9"/>
      <c r="AE2287" s="9"/>
      <c r="AF2287" s="9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21"/>
      <c r="AS2287" s="21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</row>
    <row r="2288" spans="1:59" x14ac:dyDescent="0.3">
      <c r="A2288" s="6"/>
      <c r="B2288" s="6"/>
      <c r="C2288" s="39"/>
      <c r="D2288" s="6"/>
      <c r="E2288" s="149"/>
      <c r="F2288" s="153"/>
      <c r="G2288" s="10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5"/>
      <c r="V2288" s="5"/>
      <c r="W2288" s="13"/>
      <c r="X2288" s="4"/>
      <c r="Y2288" s="4"/>
      <c r="Z2288" s="4"/>
      <c r="AA2288" s="6"/>
      <c r="AB2288" s="5"/>
      <c r="AC2288" s="9"/>
      <c r="AD2288" s="9"/>
      <c r="AE2288" s="9"/>
      <c r="AF2288" s="9"/>
      <c r="AG2288" s="2"/>
      <c r="AH2288" s="3"/>
      <c r="AI2288" s="2"/>
      <c r="AJ2288" s="2"/>
      <c r="AK2288" s="2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</row>
    <row r="2289" spans="1:59" ht="13.5" customHeight="1" x14ac:dyDescent="0.35">
      <c r="A2289" s="49"/>
      <c r="B2289" s="49"/>
      <c r="C2289" s="14"/>
      <c r="D2289" s="1"/>
      <c r="E2289" s="149"/>
      <c r="F2289" s="153"/>
      <c r="G2289" s="10"/>
      <c r="H2289" s="17"/>
      <c r="I2289" s="17"/>
      <c r="J2289" s="17"/>
      <c r="K2289" s="30"/>
      <c r="L2289" s="30"/>
      <c r="M2289" s="30"/>
      <c r="N2289" s="30"/>
      <c r="O2289" s="30"/>
      <c r="P2289" s="30"/>
      <c r="Q2289" s="30"/>
      <c r="R2289" s="30"/>
      <c r="S2289" s="30"/>
      <c r="T2289" s="30"/>
      <c r="U2289" s="30"/>
      <c r="V2289" s="30"/>
      <c r="W2289" s="29"/>
      <c r="X2289" s="15"/>
      <c r="Y2289" s="30"/>
      <c r="Z2289" s="30"/>
      <c r="AA2289" s="30"/>
      <c r="AB2289" s="30"/>
      <c r="AC2289" s="17"/>
      <c r="AD2289" s="17"/>
      <c r="AE2289" s="17"/>
      <c r="AF2289" s="17"/>
      <c r="AG2289" s="21"/>
      <c r="AH2289" s="21"/>
      <c r="AI2289" s="21"/>
      <c r="AJ2289" s="21"/>
      <c r="AK2289" s="21"/>
      <c r="AL2289" s="21"/>
      <c r="AM2289" s="21"/>
      <c r="AN2289" s="21"/>
      <c r="AO2289" s="22"/>
      <c r="AP2289" s="21"/>
      <c r="AQ2289" s="22"/>
      <c r="AR2289" s="21"/>
      <c r="AS2289" s="21"/>
      <c r="AT2289" s="21"/>
      <c r="AU2289" s="21"/>
      <c r="AV2289" s="21"/>
      <c r="AW2289" s="21"/>
      <c r="AX2289" s="22"/>
      <c r="AY2289" s="21"/>
      <c r="AZ2289" s="22"/>
      <c r="BA2289" s="21"/>
      <c r="BB2289" s="21"/>
      <c r="BC2289" s="21"/>
      <c r="BD2289" s="21"/>
      <c r="BE2289" s="26"/>
      <c r="BF2289" s="26"/>
      <c r="BG2289" s="62"/>
    </row>
    <row r="2290" spans="1:59" ht="13.5" customHeight="1" x14ac:dyDescent="0.35">
      <c r="A2290" s="49"/>
      <c r="B2290" s="49"/>
      <c r="C2290" s="14"/>
      <c r="D2290" s="1"/>
      <c r="E2290" s="149"/>
      <c r="F2290" s="153"/>
      <c r="G2290" s="10"/>
      <c r="H2290" s="17"/>
      <c r="I2290" s="17"/>
      <c r="J2290" s="17"/>
      <c r="K2290" s="30"/>
      <c r="L2290" s="30"/>
      <c r="M2290" s="30"/>
      <c r="N2290" s="30"/>
      <c r="O2290" s="30"/>
      <c r="P2290" s="30"/>
      <c r="Q2290" s="30"/>
      <c r="R2290" s="30"/>
      <c r="S2290" s="30"/>
      <c r="T2290" s="30"/>
      <c r="U2290" s="30"/>
      <c r="V2290" s="30"/>
      <c r="W2290" s="29"/>
      <c r="X2290" s="15"/>
      <c r="Y2290" s="30"/>
      <c r="Z2290" s="30"/>
      <c r="AA2290" s="30"/>
      <c r="AB2290" s="30"/>
      <c r="AC2290" s="17"/>
      <c r="AD2290" s="17"/>
      <c r="AE2290" s="17"/>
      <c r="AF2290" s="17"/>
      <c r="AG2290" s="21"/>
      <c r="AH2290" s="21"/>
      <c r="AI2290" s="21"/>
      <c r="AJ2290" s="21"/>
      <c r="AK2290" s="21"/>
      <c r="AL2290" s="21"/>
      <c r="AM2290" s="21"/>
      <c r="AN2290" s="21"/>
      <c r="AO2290" s="22"/>
      <c r="AP2290" s="21"/>
      <c r="AQ2290" s="22"/>
      <c r="AR2290" s="21"/>
      <c r="AS2290" s="21"/>
      <c r="AT2290" s="21"/>
      <c r="AU2290" s="21"/>
      <c r="AV2290" s="21"/>
      <c r="AW2290" s="21"/>
      <c r="AX2290" s="22"/>
      <c r="AY2290" s="21"/>
      <c r="AZ2290" s="22"/>
      <c r="BA2290" s="21"/>
      <c r="BB2290" s="21"/>
      <c r="BC2290" s="21"/>
      <c r="BD2290" s="21"/>
      <c r="BE2290" s="26"/>
      <c r="BF2290" s="26"/>
      <c r="BG2290" s="62"/>
    </row>
    <row r="2291" spans="1:59" x14ac:dyDescent="0.3">
      <c r="A2291" s="6"/>
      <c r="B2291" s="6"/>
      <c r="C2291" s="39"/>
      <c r="D2291" s="6"/>
      <c r="E2291" s="149"/>
      <c r="F2291" s="153"/>
      <c r="G2291" s="10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12"/>
      <c r="Y2291" s="6"/>
      <c r="Z2291" s="6"/>
      <c r="AA2291" s="6"/>
      <c r="AB2291" s="6"/>
      <c r="AC2291" s="9"/>
      <c r="AD2291" s="9"/>
      <c r="AE2291" s="9"/>
      <c r="AF2291" s="9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21"/>
      <c r="AS2291" s="21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</row>
    <row r="2292" spans="1:59" x14ac:dyDescent="0.3">
      <c r="A2292" s="6"/>
      <c r="B2292" s="6"/>
      <c r="C2292" s="39"/>
      <c r="D2292" s="6"/>
      <c r="E2292" s="149"/>
      <c r="F2292" s="153"/>
      <c r="G2292" s="10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12"/>
      <c r="Y2292" s="6"/>
      <c r="Z2292" s="6"/>
      <c r="AA2292" s="6"/>
      <c r="AB2292" s="6"/>
      <c r="AC2292" s="9"/>
      <c r="AD2292" s="9"/>
      <c r="AE2292" s="9"/>
      <c r="AF2292" s="9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21"/>
      <c r="AS2292" s="21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</row>
    <row r="2293" spans="1:59" ht="13.5" customHeight="1" x14ac:dyDescent="0.35">
      <c r="A2293" s="49"/>
      <c r="B2293" s="49"/>
      <c r="C2293" s="14"/>
      <c r="D2293" s="1"/>
      <c r="E2293" s="149"/>
      <c r="F2293" s="153"/>
      <c r="G2293" s="10"/>
      <c r="H2293" s="17"/>
      <c r="I2293" s="17"/>
      <c r="J2293" s="17"/>
      <c r="K2293" s="30"/>
      <c r="L2293" s="30"/>
      <c r="M2293" s="30"/>
      <c r="N2293" s="30"/>
      <c r="O2293" s="30"/>
      <c r="P2293" s="30"/>
      <c r="Q2293" s="30"/>
      <c r="R2293" s="30"/>
      <c r="S2293" s="30"/>
      <c r="T2293" s="30"/>
      <c r="U2293" s="30"/>
      <c r="V2293" s="30"/>
      <c r="W2293" s="29"/>
      <c r="X2293" s="15"/>
      <c r="Y2293" s="30"/>
      <c r="Z2293" s="30"/>
      <c r="AA2293" s="30"/>
      <c r="AB2293" s="30"/>
      <c r="AC2293" s="17"/>
      <c r="AD2293" s="17"/>
      <c r="AE2293" s="17"/>
      <c r="AF2293" s="17"/>
      <c r="AG2293" s="21"/>
      <c r="AH2293" s="21"/>
      <c r="AI2293" s="21"/>
      <c r="AJ2293" s="21"/>
      <c r="AK2293" s="21"/>
      <c r="AL2293" s="21"/>
      <c r="AM2293" s="21"/>
      <c r="AN2293" s="21"/>
      <c r="AO2293" s="22"/>
      <c r="AP2293" s="21"/>
      <c r="AQ2293" s="22"/>
      <c r="AR2293" s="21"/>
      <c r="AS2293" s="21"/>
      <c r="AT2293" s="21"/>
      <c r="AU2293" s="21"/>
      <c r="AV2293" s="21"/>
      <c r="AW2293" s="21"/>
      <c r="AX2293" s="22"/>
      <c r="AY2293" s="21"/>
      <c r="AZ2293" s="22"/>
      <c r="BA2293" s="21"/>
      <c r="BB2293" s="21"/>
      <c r="BC2293" s="21"/>
      <c r="BD2293" s="21"/>
      <c r="BE2293" s="26"/>
      <c r="BF2293" s="26"/>
      <c r="BG2293" s="62"/>
    </row>
    <row r="2294" spans="1:59" x14ac:dyDescent="0.3">
      <c r="A2294" s="6"/>
      <c r="B2294" s="6"/>
      <c r="C2294" s="39"/>
      <c r="D2294" s="6"/>
      <c r="E2294" s="149"/>
      <c r="F2294" s="153"/>
      <c r="G2294" s="10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12"/>
      <c r="Y2294" s="6"/>
      <c r="Z2294" s="6"/>
      <c r="AA2294" s="6"/>
      <c r="AB2294" s="6"/>
      <c r="AC2294" s="9"/>
      <c r="AD2294" s="9"/>
      <c r="AE2294" s="9"/>
      <c r="AF2294" s="9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21"/>
      <c r="AS2294" s="21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</row>
    <row r="2295" spans="1:59" x14ac:dyDescent="0.3">
      <c r="A2295" s="6"/>
      <c r="B2295" s="6"/>
      <c r="C2295" s="39"/>
      <c r="D2295" s="6"/>
      <c r="E2295" s="149"/>
      <c r="F2295" s="153"/>
      <c r="G2295" s="10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5"/>
      <c r="V2295" s="5"/>
      <c r="W2295" s="13"/>
      <c r="X2295" s="4"/>
      <c r="Y2295" s="4"/>
      <c r="Z2295" s="4"/>
      <c r="AA2295" s="6"/>
      <c r="AB2295" s="5"/>
      <c r="AC2295" s="9"/>
      <c r="AD2295" s="9"/>
      <c r="AE2295" s="9"/>
      <c r="AF2295" s="9"/>
      <c r="AG2295" s="2"/>
      <c r="AH2295" s="3"/>
      <c r="AI2295" s="2"/>
      <c r="AJ2295" s="2"/>
      <c r="AK2295" s="2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</row>
    <row r="2296" spans="1:59" x14ac:dyDescent="0.3">
      <c r="A2296" s="6"/>
      <c r="B2296" s="6"/>
      <c r="C2296" s="39"/>
      <c r="D2296" s="6"/>
      <c r="E2296" s="149"/>
      <c r="F2296" s="153"/>
      <c r="G2296" s="10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12"/>
      <c r="Y2296" s="6"/>
      <c r="Z2296" s="6"/>
      <c r="AA2296" s="6"/>
      <c r="AB2296" s="6"/>
      <c r="AC2296" s="9"/>
      <c r="AD2296" s="9"/>
      <c r="AE2296" s="9"/>
      <c r="AF2296" s="9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21"/>
      <c r="AS2296" s="21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</row>
    <row r="2297" spans="1:59" x14ac:dyDescent="0.3">
      <c r="A2297" s="63"/>
      <c r="B2297" s="63"/>
      <c r="C2297" s="39"/>
      <c r="D2297" s="6"/>
      <c r="E2297" s="149"/>
      <c r="F2297" s="153"/>
      <c r="G2297" s="10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5"/>
      <c r="V2297" s="5"/>
      <c r="W2297" s="13"/>
      <c r="X2297" s="4"/>
      <c r="Y2297" s="4"/>
      <c r="Z2297" s="4"/>
      <c r="AA2297" s="6"/>
      <c r="AB2297" s="5"/>
      <c r="AC2297" s="9"/>
      <c r="AD2297" s="9"/>
      <c r="AE2297" s="9"/>
      <c r="AF2297" s="9"/>
      <c r="AG2297" s="64"/>
      <c r="AH2297" s="3"/>
      <c r="AI2297" s="2"/>
      <c r="AJ2297" s="2"/>
      <c r="AK2297" s="2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</row>
    <row r="2298" spans="1:59" x14ac:dyDescent="0.3">
      <c r="A2298" s="6"/>
      <c r="B2298" s="6"/>
      <c r="C2298" s="39"/>
      <c r="D2298" s="6"/>
      <c r="E2298" s="149"/>
      <c r="F2298" s="153"/>
      <c r="G2298" s="10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12"/>
      <c r="Y2298" s="6"/>
      <c r="Z2298" s="6"/>
      <c r="AA2298" s="6"/>
      <c r="AB2298" s="6"/>
      <c r="AC2298" s="9"/>
      <c r="AD2298" s="9"/>
      <c r="AE2298" s="9"/>
      <c r="AF2298" s="9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21"/>
      <c r="AS2298" s="21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</row>
    <row r="2299" spans="1:59" ht="13.5" customHeight="1" x14ac:dyDescent="0.35">
      <c r="A2299" s="49"/>
      <c r="B2299" s="49"/>
      <c r="C2299" s="39"/>
      <c r="D2299" s="1"/>
      <c r="E2299" s="149"/>
      <c r="F2299" s="153"/>
      <c r="G2299" s="10"/>
      <c r="H2299" s="17"/>
      <c r="I2299" s="17"/>
      <c r="J2299" s="17"/>
      <c r="K2299" s="30"/>
      <c r="L2299" s="30"/>
      <c r="M2299" s="30"/>
      <c r="N2299" s="30"/>
      <c r="O2299" s="30"/>
      <c r="P2299" s="30"/>
      <c r="Q2299" s="30"/>
      <c r="R2299" s="30"/>
      <c r="S2299" s="30"/>
      <c r="T2299" s="30"/>
      <c r="U2299" s="30"/>
      <c r="V2299" s="30"/>
      <c r="W2299" s="29"/>
      <c r="X2299" s="15"/>
      <c r="Y2299" s="30"/>
      <c r="Z2299" s="30"/>
      <c r="AA2299" s="30"/>
      <c r="AB2299" s="30"/>
      <c r="AC2299" s="17"/>
      <c r="AD2299" s="17"/>
      <c r="AE2299" s="17"/>
      <c r="AF2299" s="17"/>
      <c r="AG2299" s="21"/>
      <c r="AH2299" s="21"/>
      <c r="AI2299" s="21"/>
      <c r="AJ2299" s="21"/>
      <c r="AK2299" s="21"/>
      <c r="AL2299" s="21"/>
      <c r="AM2299" s="21"/>
      <c r="AN2299" s="21"/>
      <c r="AO2299" s="22"/>
      <c r="AP2299" s="21"/>
      <c r="AQ2299" s="22"/>
      <c r="AR2299" s="21"/>
      <c r="AS2299" s="21"/>
      <c r="AT2299" s="21"/>
      <c r="AU2299" s="21"/>
      <c r="AV2299" s="21"/>
      <c r="AW2299" s="21"/>
      <c r="AX2299" s="22"/>
      <c r="AY2299" s="21"/>
      <c r="AZ2299" s="22"/>
      <c r="BA2299" s="21"/>
      <c r="BB2299" s="21"/>
      <c r="BC2299" s="21"/>
      <c r="BD2299" s="21"/>
      <c r="BE2299" s="26"/>
      <c r="BF2299" s="26"/>
      <c r="BG2299" s="62"/>
    </row>
    <row r="2300" spans="1:59" x14ac:dyDescent="0.3">
      <c r="A2300" s="63"/>
      <c r="B2300" s="63"/>
      <c r="C2300" s="39"/>
      <c r="D2300" s="6"/>
      <c r="E2300" s="149"/>
      <c r="F2300" s="153"/>
      <c r="G2300" s="10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5"/>
      <c r="V2300" s="5"/>
      <c r="W2300" s="13"/>
      <c r="X2300" s="4"/>
      <c r="Y2300" s="4"/>
      <c r="Z2300" s="4"/>
      <c r="AA2300" s="6"/>
      <c r="AB2300" s="5"/>
      <c r="AC2300" s="9"/>
      <c r="AD2300" s="9"/>
      <c r="AE2300" s="9"/>
      <c r="AF2300" s="9"/>
      <c r="AG2300" s="64"/>
      <c r="AH2300" s="3"/>
      <c r="AI2300" s="2"/>
      <c r="AJ2300" s="2"/>
      <c r="AK2300" s="2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</row>
    <row r="2301" spans="1:59" ht="13.5" customHeight="1" x14ac:dyDescent="0.35">
      <c r="A2301" s="49"/>
      <c r="B2301" s="49"/>
      <c r="C2301" s="14"/>
      <c r="D2301" s="1"/>
      <c r="E2301" s="149"/>
      <c r="F2301" s="153"/>
      <c r="G2301" s="10"/>
      <c r="H2301" s="17"/>
      <c r="I2301" s="17"/>
      <c r="J2301" s="17"/>
      <c r="K2301" s="30"/>
      <c r="L2301" s="30"/>
      <c r="M2301" s="30"/>
      <c r="N2301" s="30"/>
      <c r="O2301" s="30"/>
      <c r="P2301" s="30"/>
      <c r="Q2301" s="30"/>
      <c r="R2301" s="30"/>
      <c r="S2301" s="30"/>
      <c r="T2301" s="30"/>
      <c r="U2301" s="30"/>
      <c r="V2301" s="30"/>
      <c r="W2301" s="29"/>
      <c r="X2301" s="15"/>
      <c r="Y2301" s="30"/>
      <c r="Z2301" s="30"/>
      <c r="AA2301" s="30"/>
      <c r="AB2301" s="30"/>
      <c r="AC2301" s="17"/>
      <c r="AD2301" s="17"/>
      <c r="AE2301" s="17"/>
      <c r="AF2301" s="17"/>
      <c r="AG2301" s="21"/>
      <c r="AH2301" s="21"/>
      <c r="AI2301" s="21"/>
      <c r="AJ2301" s="21"/>
      <c r="AK2301" s="21"/>
      <c r="AL2301" s="21"/>
      <c r="AM2301" s="21"/>
      <c r="AN2301" s="21"/>
      <c r="AO2301" s="22"/>
      <c r="AP2301" s="21"/>
      <c r="AQ2301" s="22"/>
      <c r="AR2301" s="21"/>
      <c r="AS2301" s="21"/>
      <c r="AT2301" s="21"/>
      <c r="AU2301" s="21"/>
      <c r="AV2301" s="21"/>
      <c r="AW2301" s="21"/>
      <c r="AX2301" s="22"/>
      <c r="AY2301" s="21"/>
      <c r="AZ2301" s="22"/>
      <c r="BA2301" s="21"/>
      <c r="BB2301" s="21"/>
      <c r="BC2301" s="21"/>
      <c r="BD2301" s="21"/>
      <c r="BE2301" s="26"/>
      <c r="BF2301" s="26"/>
      <c r="BG2301" s="62"/>
    </row>
    <row r="2302" spans="1:59" x14ac:dyDescent="0.3">
      <c r="A2302" s="63"/>
      <c r="B2302" s="63"/>
      <c r="C2302" s="39"/>
      <c r="D2302" s="6"/>
      <c r="E2302" s="149"/>
      <c r="F2302" s="153"/>
      <c r="G2302" s="10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5"/>
      <c r="V2302" s="5"/>
      <c r="W2302" s="13"/>
      <c r="X2302" s="4"/>
      <c r="Y2302" s="4"/>
      <c r="Z2302" s="4"/>
      <c r="AA2302" s="6"/>
      <c r="AB2302" s="5"/>
      <c r="AC2302" s="9"/>
      <c r="AD2302" s="9"/>
      <c r="AE2302" s="9"/>
      <c r="AF2302" s="9"/>
      <c r="AG2302" s="64"/>
      <c r="AH2302" s="3"/>
      <c r="AI2302" s="2"/>
      <c r="AJ2302" s="2"/>
      <c r="AK2302" s="2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</row>
    <row r="2303" spans="1:59" x14ac:dyDescent="0.3">
      <c r="A2303" s="6"/>
      <c r="B2303" s="6"/>
      <c r="C2303" s="39"/>
      <c r="D2303" s="6"/>
      <c r="E2303" s="149"/>
      <c r="F2303" s="153"/>
      <c r="G2303" s="10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12"/>
      <c r="Y2303" s="6"/>
      <c r="Z2303" s="6"/>
      <c r="AA2303" s="6"/>
      <c r="AB2303" s="6"/>
      <c r="AC2303" s="9"/>
      <c r="AD2303" s="9"/>
      <c r="AE2303" s="9"/>
      <c r="AF2303" s="9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21"/>
      <c r="AS2303" s="21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</row>
    <row r="2304" spans="1:59" ht="13.5" customHeight="1" x14ac:dyDescent="0.35">
      <c r="A2304" s="49"/>
      <c r="B2304" s="49"/>
      <c r="C2304" s="14"/>
      <c r="D2304" s="1"/>
      <c r="E2304" s="149"/>
      <c r="F2304" s="153"/>
      <c r="G2304" s="10"/>
      <c r="H2304" s="17"/>
      <c r="I2304" s="17"/>
      <c r="J2304" s="17"/>
      <c r="K2304" s="30"/>
      <c r="L2304" s="30"/>
      <c r="M2304" s="30"/>
      <c r="N2304" s="30"/>
      <c r="O2304" s="30"/>
      <c r="P2304" s="30"/>
      <c r="Q2304" s="30"/>
      <c r="R2304" s="30"/>
      <c r="S2304" s="30"/>
      <c r="T2304" s="30"/>
      <c r="U2304" s="30"/>
      <c r="V2304" s="30"/>
      <c r="W2304" s="29"/>
      <c r="X2304" s="15"/>
      <c r="Y2304" s="30"/>
      <c r="Z2304" s="30"/>
      <c r="AA2304" s="30"/>
      <c r="AB2304" s="30"/>
      <c r="AC2304" s="17"/>
      <c r="AD2304" s="17"/>
      <c r="AE2304" s="17"/>
      <c r="AF2304" s="17"/>
      <c r="AG2304" s="21"/>
      <c r="AH2304" s="21"/>
      <c r="AI2304" s="21"/>
      <c r="AJ2304" s="21"/>
      <c r="AK2304" s="21"/>
      <c r="AL2304" s="21"/>
      <c r="AM2304" s="21"/>
      <c r="AN2304" s="21"/>
      <c r="AO2304" s="22"/>
      <c r="AP2304" s="21"/>
      <c r="AQ2304" s="22"/>
      <c r="AR2304" s="21"/>
      <c r="AS2304" s="21"/>
      <c r="AT2304" s="21"/>
      <c r="AU2304" s="21"/>
      <c r="AV2304" s="21"/>
      <c r="AW2304" s="21"/>
      <c r="AX2304" s="22"/>
      <c r="AY2304" s="21"/>
      <c r="AZ2304" s="22"/>
      <c r="BA2304" s="21"/>
      <c r="BB2304" s="21"/>
      <c r="BC2304" s="21"/>
      <c r="BD2304" s="21"/>
      <c r="BE2304" s="26"/>
      <c r="BF2304" s="26"/>
      <c r="BG2304" s="62"/>
    </row>
    <row r="2305" spans="1:59" x14ac:dyDescent="0.3">
      <c r="A2305" s="6"/>
      <c r="B2305" s="6"/>
      <c r="C2305" s="39"/>
      <c r="D2305" s="6"/>
      <c r="E2305" s="149"/>
      <c r="F2305" s="153"/>
      <c r="G2305" s="10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12"/>
      <c r="Y2305" s="6"/>
      <c r="Z2305" s="6"/>
      <c r="AA2305" s="6"/>
      <c r="AB2305" s="6"/>
      <c r="AC2305" s="9"/>
      <c r="AD2305" s="9"/>
      <c r="AE2305" s="9"/>
      <c r="AF2305" s="9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21"/>
      <c r="AS2305" s="21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</row>
    <row r="2306" spans="1:59" x14ac:dyDescent="0.3">
      <c r="A2306" s="63"/>
      <c r="B2306" s="63"/>
      <c r="C2306" s="39"/>
      <c r="D2306" s="6"/>
      <c r="E2306" s="149"/>
      <c r="F2306" s="153"/>
      <c r="G2306" s="10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5"/>
      <c r="V2306" s="5"/>
      <c r="W2306" s="13"/>
      <c r="X2306" s="4"/>
      <c r="Y2306" s="4"/>
      <c r="Z2306" s="4"/>
      <c r="AA2306" s="6"/>
      <c r="AB2306" s="5"/>
      <c r="AC2306" s="9"/>
      <c r="AD2306" s="9"/>
      <c r="AE2306" s="9"/>
      <c r="AF2306" s="9"/>
      <c r="AG2306" s="64"/>
      <c r="AH2306" s="3"/>
      <c r="AI2306" s="2"/>
      <c r="AJ2306" s="2"/>
      <c r="AK2306" s="2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</row>
    <row r="2307" spans="1:59" ht="13.5" customHeight="1" x14ac:dyDescent="0.35">
      <c r="A2307" s="49"/>
      <c r="B2307" s="49"/>
      <c r="C2307" s="14"/>
      <c r="D2307" s="1"/>
      <c r="E2307" s="149"/>
      <c r="F2307" s="153"/>
      <c r="G2307" s="10"/>
      <c r="H2307" s="17"/>
      <c r="I2307" s="17"/>
      <c r="J2307" s="17"/>
      <c r="K2307" s="30"/>
      <c r="L2307" s="30"/>
      <c r="M2307" s="30"/>
      <c r="N2307" s="30"/>
      <c r="O2307" s="30"/>
      <c r="P2307" s="30"/>
      <c r="Q2307" s="30"/>
      <c r="R2307" s="30"/>
      <c r="S2307" s="30"/>
      <c r="T2307" s="30"/>
      <c r="U2307" s="30"/>
      <c r="V2307" s="30"/>
      <c r="W2307" s="29"/>
      <c r="X2307" s="15"/>
      <c r="Y2307" s="30"/>
      <c r="Z2307" s="30"/>
      <c r="AA2307" s="30"/>
      <c r="AB2307" s="30"/>
      <c r="AC2307" s="17"/>
      <c r="AD2307" s="17"/>
      <c r="AE2307" s="17"/>
      <c r="AF2307" s="17"/>
      <c r="AG2307" s="21"/>
      <c r="AH2307" s="21"/>
      <c r="AI2307" s="21"/>
      <c r="AJ2307" s="21"/>
      <c r="AK2307" s="21"/>
      <c r="AL2307" s="21"/>
      <c r="AM2307" s="21"/>
      <c r="AN2307" s="21"/>
      <c r="AO2307" s="22"/>
      <c r="AP2307" s="21"/>
      <c r="AQ2307" s="22"/>
      <c r="AR2307" s="21"/>
      <c r="AS2307" s="21"/>
      <c r="AT2307" s="21"/>
      <c r="AU2307" s="21"/>
      <c r="AV2307" s="21"/>
      <c r="AW2307" s="21"/>
      <c r="AX2307" s="22"/>
      <c r="AY2307" s="21"/>
      <c r="AZ2307" s="22"/>
      <c r="BA2307" s="21"/>
      <c r="BB2307" s="21"/>
      <c r="BC2307" s="21"/>
      <c r="BD2307" s="21"/>
      <c r="BE2307" s="26"/>
      <c r="BF2307" s="26"/>
      <c r="BG2307" s="62"/>
    </row>
    <row r="2308" spans="1:59" x14ac:dyDescent="0.3">
      <c r="A2308" s="6"/>
      <c r="B2308" s="6"/>
      <c r="C2308" s="39"/>
      <c r="D2308" s="6"/>
      <c r="E2308" s="149"/>
      <c r="F2308" s="153"/>
      <c r="G2308" s="10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5"/>
      <c r="V2308" s="5"/>
      <c r="W2308" s="13"/>
      <c r="X2308" s="4"/>
      <c r="Y2308" s="4"/>
      <c r="Z2308" s="4"/>
      <c r="AA2308" s="6"/>
      <c r="AB2308" s="5"/>
      <c r="AC2308" s="9"/>
      <c r="AD2308" s="9"/>
      <c r="AE2308" s="9"/>
      <c r="AF2308" s="9"/>
      <c r="AG2308" s="2"/>
      <c r="AH2308" s="3"/>
      <c r="AI2308" s="2"/>
      <c r="AJ2308" s="2"/>
      <c r="AK2308" s="2"/>
      <c r="AL2308" s="3"/>
      <c r="AM2308" s="3"/>
      <c r="AN2308" s="3"/>
      <c r="AO2308" s="3"/>
      <c r="AP2308" s="3"/>
      <c r="AQ2308" s="3"/>
      <c r="AR2308" s="21"/>
      <c r="AS2308" s="21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</row>
    <row r="2309" spans="1:59" ht="13.5" customHeight="1" x14ac:dyDescent="0.35">
      <c r="A2309" s="49"/>
      <c r="B2309" s="49"/>
      <c r="C2309" s="39"/>
      <c r="D2309" s="1"/>
      <c r="E2309" s="149"/>
      <c r="F2309" s="153"/>
      <c r="G2309" s="10"/>
      <c r="H2309" s="17"/>
      <c r="I2309" s="17"/>
      <c r="J2309" s="17"/>
      <c r="K2309" s="30"/>
      <c r="L2309" s="30"/>
      <c r="M2309" s="30"/>
      <c r="N2309" s="30"/>
      <c r="O2309" s="30"/>
      <c r="P2309" s="30"/>
      <c r="Q2309" s="30"/>
      <c r="R2309" s="30"/>
      <c r="S2309" s="30"/>
      <c r="T2309" s="30"/>
      <c r="U2309" s="30"/>
      <c r="V2309" s="30"/>
      <c r="W2309" s="29"/>
      <c r="X2309" s="15"/>
      <c r="Y2309" s="30"/>
      <c r="Z2309" s="30"/>
      <c r="AA2309" s="30"/>
      <c r="AB2309" s="30"/>
      <c r="AC2309" s="17"/>
      <c r="AD2309" s="17"/>
      <c r="AE2309" s="17"/>
      <c r="AF2309" s="17"/>
      <c r="AG2309" s="21"/>
      <c r="AH2309" s="21"/>
      <c r="AI2309" s="21"/>
      <c r="AJ2309" s="21"/>
      <c r="AK2309" s="21"/>
      <c r="AL2309" s="21"/>
      <c r="AM2309" s="21"/>
      <c r="AN2309" s="21"/>
      <c r="AO2309" s="22"/>
      <c r="AP2309" s="21"/>
      <c r="AQ2309" s="22"/>
      <c r="AR2309" s="21"/>
      <c r="AS2309" s="21"/>
      <c r="AT2309" s="21"/>
      <c r="AU2309" s="21"/>
      <c r="AV2309" s="21"/>
      <c r="AW2309" s="21"/>
      <c r="AX2309" s="22"/>
      <c r="AY2309" s="21"/>
      <c r="AZ2309" s="22"/>
      <c r="BA2309" s="21"/>
      <c r="BB2309" s="21"/>
      <c r="BC2309" s="21"/>
      <c r="BD2309" s="21"/>
      <c r="BE2309" s="26"/>
      <c r="BF2309" s="26"/>
      <c r="BG2309" s="62"/>
    </row>
    <row r="2310" spans="1:59" x14ac:dyDescent="0.3">
      <c r="A2310" s="6"/>
      <c r="B2310" s="6"/>
      <c r="C2310" s="39"/>
      <c r="D2310" s="6"/>
      <c r="E2310" s="149"/>
      <c r="F2310" s="153"/>
      <c r="G2310" s="10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12"/>
      <c r="Y2310" s="6"/>
      <c r="Z2310" s="6"/>
      <c r="AA2310" s="6"/>
      <c r="AB2310" s="6"/>
      <c r="AC2310" s="9"/>
      <c r="AD2310" s="9"/>
      <c r="AE2310" s="9"/>
      <c r="AF2310" s="9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21"/>
      <c r="AS2310" s="21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</row>
    <row r="2311" spans="1:59" ht="13.5" customHeight="1" x14ac:dyDescent="0.35">
      <c r="A2311" s="49"/>
      <c r="B2311" s="49"/>
      <c r="C2311" s="14"/>
      <c r="D2311" s="1"/>
      <c r="E2311" s="149"/>
      <c r="F2311" s="153"/>
      <c r="G2311" s="10"/>
      <c r="H2311" s="17"/>
      <c r="I2311" s="17"/>
      <c r="J2311" s="17"/>
      <c r="K2311" s="30"/>
      <c r="L2311" s="30"/>
      <c r="M2311" s="30"/>
      <c r="N2311" s="30"/>
      <c r="O2311" s="30"/>
      <c r="P2311" s="30"/>
      <c r="Q2311" s="30"/>
      <c r="R2311" s="30"/>
      <c r="S2311" s="30"/>
      <c r="T2311" s="30"/>
      <c r="U2311" s="30"/>
      <c r="V2311" s="30"/>
      <c r="W2311" s="29"/>
      <c r="X2311" s="15"/>
      <c r="Y2311" s="30"/>
      <c r="Z2311" s="30"/>
      <c r="AA2311" s="30"/>
      <c r="AB2311" s="30"/>
      <c r="AC2311" s="17"/>
      <c r="AD2311" s="17"/>
      <c r="AE2311" s="17"/>
      <c r="AF2311" s="17"/>
      <c r="AG2311" s="21"/>
      <c r="AH2311" s="21"/>
      <c r="AI2311" s="21"/>
      <c r="AJ2311" s="21"/>
      <c r="AK2311" s="21"/>
      <c r="AL2311" s="21"/>
      <c r="AM2311" s="21"/>
      <c r="AN2311" s="21"/>
      <c r="AO2311" s="22"/>
      <c r="AP2311" s="21"/>
      <c r="AQ2311" s="22"/>
      <c r="AR2311" s="21"/>
      <c r="AS2311" s="21"/>
      <c r="AT2311" s="21"/>
      <c r="AU2311" s="21"/>
      <c r="AV2311" s="21"/>
      <c r="AW2311" s="21"/>
      <c r="AX2311" s="22"/>
      <c r="AY2311" s="21"/>
      <c r="AZ2311" s="22"/>
      <c r="BA2311" s="21"/>
      <c r="BB2311" s="21"/>
      <c r="BC2311" s="21"/>
      <c r="BD2311" s="21"/>
      <c r="BE2311" s="26"/>
      <c r="BF2311" s="26"/>
      <c r="BG2311" s="62"/>
    </row>
    <row r="2312" spans="1:59" ht="13.5" customHeight="1" x14ac:dyDescent="0.35">
      <c r="A2312" s="49"/>
      <c r="B2312" s="49"/>
      <c r="C2312" s="39"/>
      <c r="D2312" s="1"/>
      <c r="E2312" s="149"/>
      <c r="F2312" s="153"/>
      <c r="G2312" s="10"/>
      <c r="H2312" s="17"/>
      <c r="I2312" s="17"/>
      <c r="J2312" s="17"/>
      <c r="K2312" s="30"/>
      <c r="L2312" s="30"/>
      <c r="M2312" s="30"/>
      <c r="N2312" s="30"/>
      <c r="O2312" s="30"/>
      <c r="P2312" s="30"/>
      <c r="Q2312" s="30"/>
      <c r="R2312" s="30"/>
      <c r="S2312" s="30"/>
      <c r="T2312" s="30"/>
      <c r="U2312" s="30"/>
      <c r="V2312" s="30"/>
      <c r="W2312" s="29"/>
      <c r="X2312" s="15"/>
      <c r="Y2312" s="30"/>
      <c r="Z2312" s="30"/>
      <c r="AA2312" s="30"/>
      <c r="AB2312" s="30"/>
      <c r="AC2312" s="17"/>
      <c r="AD2312" s="17"/>
      <c r="AE2312" s="17"/>
      <c r="AF2312" s="17"/>
      <c r="AG2312" s="21"/>
      <c r="AH2312" s="21"/>
      <c r="AI2312" s="21"/>
      <c r="AJ2312" s="21"/>
      <c r="AK2312" s="21"/>
      <c r="AL2312" s="21"/>
      <c r="AM2312" s="21"/>
      <c r="AN2312" s="21"/>
      <c r="AO2312" s="22"/>
      <c r="AP2312" s="21"/>
      <c r="AQ2312" s="22"/>
      <c r="AR2312" s="21"/>
      <c r="AS2312" s="21"/>
      <c r="AT2312" s="21"/>
      <c r="AU2312" s="21"/>
      <c r="AV2312" s="21"/>
      <c r="AW2312" s="21"/>
      <c r="AX2312" s="22"/>
      <c r="AY2312" s="21"/>
      <c r="AZ2312" s="22"/>
      <c r="BA2312" s="21"/>
      <c r="BB2312" s="21"/>
      <c r="BC2312" s="21"/>
      <c r="BD2312" s="21"/>
      <c r="BE2312" s="26"/>
      <c r="BF2312" s="26"/>
      <c r="BG2312" s="62"/>
    </row>
    <row r="2313" spans="1:59" ht="13.5" customHeight="1" x14ac:dyDescent="0.35">
      <c r="A2313" s="49"/>
      <c r="B2313" s="49"/>
      <c r="C2313" s="14"/>
      <c r="D2313" s="1"/>
      <c r="E2313" s="149"/>
      <c r="F2313" s="153"/>
      <c r="G2313" s="10"/>
      <c r="H2313" s="17"/>
      <c r="I2313" s="17"/>
      <c r="J2313" s="17"/>
      <c r="K2313" s="30"/>
      <c r="L2313" s="30"/>
      <c r="M2313" s="30"/>
      <c r="N2313" s="30"/>
      <c r="O2313" s="30"/>
      <c r="P2313" s="30"/>
      <c r="Q2313" s="30"/>
      <c r="R2313" s="30"/>
      <c r="S2313" s="30"/>
      <c r="T2313" s="30"/>
      <c r="U2313" s="30"/>
      <c r="V2313" s="30"/>
      <c r="W2313" s="29"/>
      <c r="X2313" s="15"/>
      <c r="Y2313" s="30"/>
      <c r="Z2313" s="30"/>
      <c r="AA2313" s="30"/>
      <c r="AB2313" s="30"/>
      <c r="AC2313" s="17"/>
      <c r="AD2313" s="17"/>
      <c r="AE2313" s="17"/>
      <c r="AF2313" s="17"/>
      <c r="AG2313" s="21"/>
      <c r="AH2313" s="21"/>
      <c r="AI2313" s="21"/>
      <c r="AJ2313" s="21"/>
      <c r="AK2313" s="21"/>
      <c r="AL2313" s="21"/>
      <c r="AM2313" s="21"/>
      <c r="AN2313" s="21"/>
      <c r="AO2313" s="22"/>
      <c r="AP2313" s="21"/>
      <c r="AQ2313" s="22"/>
      <c r="AR2313" s="21"/>
      <c r="AS2313" s="21"/>
      <c r="AT2313" s="21"/>
      <c r="AU2313" s="21"/>
      <c r="AV2313" s="21"/>
      <c r="AW2313" s="21"/>
      <c r="AX2313" s="22"/>
      <c r="AY2313" s="21"/>
      <c r="AZ2313" s="22"/>
      <c r="BA2313" s="21"/>
      <c r="BB2313" s="21"/>
      <c r="BC2313" s="21"/>
      <c r="BD2313" s="21"/>
      <c r="BE2313" s="26"/>
      <c r="BF2313" s="26"/>
      <c r="BG2313" s="62"/>
    </row>
    <row r="2314" spans="1:59" x14ac:dyDescent="0.3">
      <c r="A2314" s="6"/>
      <c r="B2314" s="6"/>
      <c r="C2314" s="39"/>
      <c r="D2314" s="6"/>
      <c r="E2314" s="149"/>
      <c r="F2314" s="153"/>
      <c r="G2314" s="10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12"/>
      <c r="Y2314" s="6"/>
      <c r="Z2314" s="6"/>
      <c r="AA2314" s="6"/>
      <c r="AB2314" s="6"/>
      <c r="AC2314" s="9"/>
      <c r="AD2314" s="9"/>
      <c r="AE2314" s="9"/>
      <c r="AF2314" s="9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21"/>
      <c r="AS2314" s="21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</row>
    <row r="2315" spans="1:59" x14ac:dyDescent="0.3">
      <c r="A2315" s="6"/>
      <c r="B2315" s="6"/>
      <c r="C2315" s="39"/>
      <c r="D2315" s="6"/>
      <c r="E2315" s="149"/>
      <c r="F2315" s="153"/>
      <c r="G2315" s="10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12"/>
      <c r="Y2315" s="6"/>
      <c r="Z2315" s="6"/>
      <c r="AA2315" s="6"/>
      <c r="AB2315" s="6"/>
      <c r="AC2315" s="9"/>
      <c r="AD2315" s="9"/>
      <c r="AE2315" s="9"/>
      <c r="AF2315" s="9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21"/>
      <c r="AS2315" s="21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</row>
    <row r="2316" spans="1:59" x14ac:dyDescent="0.3">
      <c r="A2316" s="63"/>
      <c r="B2316" s="63"/>
      <c r="C2316" s="39"/>
      <c r="D2316" s="6"/>
      <c r="E2316" s="149"/>
      <c r="F2316" s="153"/>
      <c r="G2316" s="10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5"/>
      <c r="V2316" s="5"/>
      <c r="W2316" s="13"/>
      <c r="X2316" s="4"/>
      <c r="Y2316" s="4"/>
      <c r="Z2316" s="4"/>
      <c r="AA2316" s="6"/>
      <c r="AB2316" s="5"/>
      <c r="AC2316" s="9"/>
      <c r="AD2316" s="9"/>
      <c r="AE2316" s="9"/>
      <c r="AF2316" s="9"/>
      <c r="AG2316" s="64"/>
      <c r="AH2316" s="3"/>
      <c r="AI2316" s="2"/>
      <c r="AJ2316" s="2"/>
      <c r="AK2316" s="2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</row>
    <row r="2317" spans="1:59" x14ac:dyDescent="0.3">
      <c r="A2317" s="6"/>
      <c r="B2317" s="6"/>
      <c r="C2317" s="39"/>
      <c r="D2317" s="6"/>
      <c r="E2317" s="149"/>
      <c r="F2317" s="153"/>
      <c r="G2317" s="10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12"/>
      <c r="Y2317" s="6"/>
      <c r="Z2317" s="6"/>
      <c r="AA2317" s="6"/>
      <c r="AB2317" s="6"/>
      <c r="AC2317" s="9"/>
      <c r="AD2317" s="9"/>
      <c r="AE2317" s="9"/>
      <c r="AF2317" s="9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21"/>
      <c r="AS2317" s="21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</row>
    <row r="2318" spans="1:59" ht="13.5" customHeight="1" x14ac:dyDescent="0.35">
      <c r="A2318" s="49"/>
      <c r="B2318" s="49"/>
      <c r="C2318" s="14"/>
      <c r="D2318" s="1"/>
      <c r="E2318" s="149"/>
      <c r="F2318" s="153"/>
      <c r="G2318" s="10"/>
      <c r="H2318" s="17"/>
      <c r="I2318" s="17"/>
      <c r="J2318" s="17"/>
      <c r="K2318" s="30"/>
      <c r="L2318" s="30"/>
      <c r="M2318" s="30"/>
      <c r="N2318" s="30"/>
      <c r="O2318" s="30"/>
      <c r="P2318" s="30"/>
      <c r="Q2318" s="30"/>
      <c r="R2318" s="30"/>
      <c r="S2318" s="30"/>
      <c r="T2318" s="30"/>
      <c r="U2318" s="30"/>
      <c r="V2318" s="30"/>
      <c r="W2318" s="29"/>
      <c r="X2318" s="15"/>
      <c r="Y2318" s="30"/>
      <c r="Z2318" s="30"/>
      <c r="AA2318" s="30"/>
      <c r="AB2318" s="30"/>
      <c r="AC2318" s="17"/>
      <c r="AD2318" s="17"/>
      <c r="AE2318" s="17"/>
      <c r="AF2318" s="17"/>
      <c r="AG2318" s="21"/>
      <c r="AH2318" s="21"/>
      <c r="AI2318" s="21"/>
      <c r="AJ2318" s="21"/>
      <c r="AK2318" s="21"/>
      <c r="AL2318" s="21"/>
      <c r="AM2318" s="21"/>
      <c r="AN2318" s="21"/>
      <c r="AO2318" s="22"/>
      <c r="AP2318" s="21"/>
      <c r="AQ2318" s="22"/>
      <c r="AR2318" s="21"/>
      <c r="AS2318" s="21"/>
      <c r="AT2318" s="21"/>
      <c r="AU2318" s="21"/>
      <c r="AV2318" s="21"/>
      <c r="AW2318" s="21"/>
      <c r="AX2318" s="22"/>
      <c r="AY2318" s="21"/>
      <c r="AZ2318" s="22"/>
      <c r="BA2318" s="21"/>
      <c r="BB2318" s="21"/>
      <c r="BC2318" s="21"/>
      <c r="BD2318" s="21"/>
      <c r="BE2318" s="26"/>
      <c r="BF2318" s="26"/>
      <c r="BG2318" s="62"/>
    </row>
    <row r="2319" spans="1:59" x14ac:dyDescent="0.3">
      <c r="A2319" s="6"/>
      <c r="B2319" s="6"/>
      <c r="C2319" s="39"/>
      <c r="D2319" s="6"/>
      <c r="E2319" s="149"/>
      <c r="F2319" s="153"/>
      <c r="G2319" s="10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12"/>
      <c r="Y2319" s="6"/>
      <c r="Z2319" s="6"/>
      <c r="AA2319" s="6"/>
      <c r="AB2319" s="6"/>
      <c r="AC2319" s="9"/>
      <c r="AD2319" s="9"/>
      <c r="AE2319" s="9"/>
      <c r="AF2319" s="9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21"/>
      <c r="AS2319" s="21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</row>
    <row r="2320" spans="1:59" ht="13.5" customHeight="1" x14ac:dyDescent="0.35">
      <c r="A2320" s="49"/>
      <c r="B2320" s="49"/>
      <c r="C2320" s="14"/>
      <c r="D2320" s="1"/>
      <c r="E2320" s="149"/>
      <c r="F2320" s="153"/>
      <c r="G2320" s="10"/>
      <c r="H2320" s="17"/>
      <c r="I2320" s="17"/>
      <c r="J2320" s="17"/>
      <c r="K2320" s="30"/>
      <c r="L2320" s="30"/>
      <c r="M2320" s="30"/>
      <c r="N2320" s="30"/>
      <c r="O2320" s="30"/>
      <c r="P2320" s="30"/>
      <c r="Q2320" s="30"/>
      <c r="R2320" s="30"/>
      <c r="S2320" s="30"/>
      <c r="T2320" s="30"/>
      <c r="U2320" s="30"/>
      <c r="V2320" s="30"/>
      <c r="W2320" s="29"/>
      <c r="X2320" s="15"/>
      <c r="Y2320" s="30"/>
      <c r="Z2320" s="30"/>
      <c r="AA2320" s="30"/>
      <c r="AB2320" s="30"/>
      <c r="AC2320" s="17"/>
      <c r="AD2320" s="17"/>
      <c r="AE2320" s="17"/>
      <c r="AF2320" s="17"/>
      <c r="AG2320" s="21"/>
      <c r="AH2320" s="21"/>
      <c r="AI2320" s="21"/>
      <c r="AJ2320" s="21"/>
      <c r="AK2320" s="21"/>
      <c r="AL2320" s="21"/>
      <c r="AM2320" s="21"/>
      <c r="AN2320" s="21"/>
      <c r="AO2320" s="22"/>
      <c r="AP2320" s="21"/>
      <c r="AQ2320" s="22"/>
      <c r="AR2320" s="21"/>
      <c r="AS2320" s="21"/>
      <c r="AT2320" s="21"/>
      <c r="AU2320" s="21"/>
      <c r="AV2320" s="21"/>
      <c r="AW2320" s="21"/>
      <c r="AX2320" s="22"/>
      <c r="AY2320" s="21"/>
      <c r="AZ2320" s="22"/>
      <c r="BA2320" s="21"/>
      <c r="BB2320" s="21"/>
      <c r="BC2320" s="21"/>
      <c r="BD2320" s="21"/>
      <c r="BE2320" s="26"/>
      <c r="BF2320" s="26"/>
      <c r="BG2320" s="62"/>
    </row>
    <row r="2321" spans="1:59" ht="13.5" customHeight="1" x14ac:dyDescent="0.35">
      <c r="A2321" s="49"/>
      <c r="B2321" s="49"/>
      <c r="C2321" s="14"/>
      <c r="D2321" s="1"/>
      <c r="E2321" s="149"/>
      <c r="F2321" s="153"/>
      <c r="G2321" s="10"/>
      <c r="H2321" s="17"/>
      <c r="I2321" s="17"/>
      <c r="J2321" s="17"/>
      <c r="K2321" s="30"/>
      <c r="L2321" s="30"/>
      <c r="M2321" s="30"/>
      <c r="N2321" s="30"/>
      <c r="O2321" s="30"/>
      <c r="P2321" s="30"/>
      <c r="Q2321" s="30"/>
      <c r="R2321" s="30"/>
      <c r="S2321" s="30"/>
      <c r="T2321" s="30"/>
      <c r="U2321" s="30"/>
      <c r="V2321" s="30"/>
      <c r="W2321" s="29"/>
      <c r="X2321" s="15"/>
      <c r="Y2321" s="30"/>
      <c r="Z2321" s="30"/>
      <c r="AA2321" s="30"/>
      <c r="AB2321" s="30"/>
      <c r="AC2321" s="17"/>
      <c r="AD2321" s="17"/>
      <c r="AE2321" s="17"/>
      <c r="AF2321" s="17"/>
      <c r="AG2321" s="21"/>
      <c r="AH2321" s="21"/>
      <c r="AI2321" s="21"/>
      <c r="AJ2321" s="21"/>
      <c r="AK2321" s="21"/>
      <c r="AL2321" s="21"/>
      <c r="AM2321" s="21"/>
      <c r="AN2321" s="21"/>
      <c r="AO2321" s="22"/>
      <c r="AP2321" s="21"/>
      <c r="AQ2321" s="22"/>
      <c r="AR2321" s="21"/>
      <c r="AS2321" s="21"/>
      <c r="AT2321" s="21"/>
      <c r="AU2321" s="21"/>
      <c r="AV2321" s="21"/>
      <c r="AW2321" s="21"/>
      <c r="AX2321" s="22"/>
      <c r="AY2321" s="21"/>
      <c r="AZ2321" s="22"/>
      <c r="BA2321" s="21"/>
      <c r="BB2321" s="21"/>
      <c r="BC2321" s="21"/>
      <c r="BD2321" s="21"/>
      <c r="BE2321" s="26"/>
      <c r="BF2321" s="26"/>
      <c r="BG2321" s="62"/>
    </row>
    <row r="2322" spans="1:59" ht="13.5" customHeight="1" x14ac:dyDescent="0.35">
      <c r="A2322" s="49"/>
      <c r="B2322" s="49"/>
      <c r="C2322" s="14"/>
      <c r="D2322" s="1"/>
      <c r="E2322" s="149"/>
      <c r="F2322" s="153"/>
      <c r="G2322" s="10"/>
      <c r="H2322" s="17"/>
      <c r="I2322" s="17"/>
      <c r="J2322" s="17"/>
      <c r="K2322" s="30"/>
      <c r="L2322" s="30"/>
      <c r="M2322" s="30"/>
      <c r="N2322" s="30"/>
      <c r="O2322" s="30"/>
      <c r="P2322" s="30"/>
      <c r="Q2322" s="30"/>
      <c r="R2322" s="30"/>
      <c r="S2322" s="30"/>
      <c r="T2322" s="30"/>
      <c r="U2322" s="30"/>
      <c r="V2322" s="30"/>
      <c r="W2322" s="29"/>
      <c r="X2322" s="15"/>
      <c r="Y2322" s="30"/>
      <c r="Z2322" s="30"/>
      <c r="AA2322" s="30"/>
      <c r="AB2322" s="30"/>
      <c r="AC2322" s="17"/>
      <c r="AD2322" s="17"/>
      <c r="AE2322" s="17"/>
      <c r="AF2322" s="17"/>
      <c r="AG2322" s="21"/>
      <c r="AH2322" s="21"/>
      <c r="AI2322" s="21"/>
      <c r="AJ2322" s="21"/>
      <c r="AK2322" s="21"/>
      <c r="AL2322" s="21"/>
      <c r="AM2322" s="21"/>
      <c r="AN2322" s="21"/>
      <c r="AO2322" s="22"/>
      <c r="AP2322" s="21"/>
      <c r="AQ2322" s="22"/>
      <c r="AR2322" s="21"/>
      <c r="AS2322" s="21"/>
      <c r="AT2322" s="21"/>
      <c r="AU2322" s="21"/>
      <c r="AV2322" s="21"/>
      <c r="AW2322" s="21"/>
      <c r="AX2322" s="22"/>
      <c r="AY2322" s="21"/>
      <c r="AZ2322" s="22"/>
      <c r="BA2322" s="21"/>
      <c r="BB2322" s="21"/>
      <c r="BC2322" s="21"/>
      <c r="BD2322" s="21"/>
      <c r="BE2322" s="26"/>
      <c r="BF2322" s="26"/>
      <c r="BG2322" s="62"/>
    </row>
    <row r="2323" spans="1:59" x14ac:dyDescent="0.3">
      <c r="A2323" s="63"/>
      <c r="B2323" s="63"/>
      <c r="C2323" s="39"/>
      <c r="D2323" s="6"/>
      <c r="E2323" s="149"/>
      <c r="F2323" s="153"/>
      <c r="G2323" s="10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5"/>
      <c r="V2323" s="5"/>
      <c r="W2323" s="13"/>
      <c r="X2323" s="4"/>
      <c r="Y2323" s="4"/>
      <c r="Z2323" s="4"/>
      <c r="AA2323" s="6"/>
      <c r="AB2323" s="5"/>
      <c r="AC2323" s="9"/>
      <c r="AD2323" s="9"/>
      <c r="AE2323" s="9"/>
      <c r="AF2323" s="9"/>
      <c r="AG2323" s="64"/>
      <c r="AH2323" s="3"/>
      <c r="AI2323" s="2"/>
      <c r="AJ2323" s="2"/>
      <c r="AK2323" s="2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</row>
    <row r="2324" spans="1:59" x14ac:dyDescent="0.3">
      <c r="A2324" s="6"/>
      <c r="B2324" s="6"/>
      <c r="C2324" s="39"/>
      <c r="D2324" s="6"/>
      <c r="E2324" s="149"/>
      <c r="F2324" s="153"/>
      <c r="G2324" s="10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12"/>
      <c r="Y2324" s="6"/>
      <c r="Z2324" s="6"/>
      <c r="AA2324" s="6"/>
      <c r="AB2324" s="6"/>
      <c r="AC2324" s="9"/>
      <c r="AD2324" s="9"/>
      <c r="AE2324" s="9"/>
      <c r="AF2324" s="9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</row>
    <row r="2325" spans="1:59" ht="13.5" customHeight="1" x14ac:dyDescent="0.35">
      <c r="A2325" s="49"/>
      <c r="B2325" s="49"/>
      <c r="C2325" s="14"/>
      <c r="D2325" s="1"/>
      <c r="E2325" s="149"/>
      <c r="F2325" s="153"/>
      <c r="G2325" s="10"/>
      <c r="H2325" s="17"/>
      <c r="I2325" s="17"/>
      <c r="J2325" s="17"/>
      <c r="K2325" s="30"/>
      <c r="L2325" s="30"/>
      <c r="M2325" s="30"/>
      <c r="N2325" s="30"/>
      <c r="O2325" s="30"/>
      <c r="P2325" s="30"/>
      <c r="Q2325" s="30"/>
      <c r="R2325" s="30"/>
      <c r="S2325" s="30"/>
      <c r="T2325" s="30"/>
      <c r="U2325" s="30"/>
      <c r="V2325" s="30"/>
      <c r="W2325" s="29"/>
      <c r="X2325" s="15"/>
      <c r="Y2325" s="30"/>
      <c r="Z2325" s="30"/>
      <c r="AA2325" s="30"/>
      <c r="AB2325" s="30"/>
      <c r="AC2325" s="17"/>
      <c r="AD2325" s="17"/>
      <c r="AE2325" s="17"/>
      <c r="AF2325" s="17"/>
      <c r="AG2325" s="21"/>
      <c r="AH2325" s="21"/>
      <c r="AI2325" s="21"/>
      <c r="AJ2325" s="21"/>
      <c r="AK2325" s="21"/>
      <c r="AL2325" s="21"/>
      <c r="AM2325" s="21"/>
      <c r="AN2325" s="21"/>
      <c r="AO2325" s="22"/>
      <c r="AP2325" s="21"/>
      <c r="AQ2325" s="22"/>
      <c r="AR2325" s="21"/>
      <c r="AS2325" s="21"/>
      <c r="AT2325" s="21"/>
      <c r="AU2325" s="21"/>
      <c r="AV2325" s="21"/>
      <c r="AW2325" s="21"/>
      <c r="AX2325" s="22"/>
      <c r="AY2325" s="21"/>
      <c r="AZ2325" s="22"/>
      <c r="BA2325" s="21"/>
      <c r="BB2325" s="21"/>
      <c r="BC2325" s="21"/>
      <c r="BD2325" s="21"/>
      <c r="BE2325" s="26"/>
      <c r="BF2325" s="26"/>
      <c r="BG2325" s="62"/>
    </row>
    <row r="2326" spans="1:59" x14ac:dyDescent="0.3">
      <c r="A2326" s="6"/>
      <c r="B2326" s="6"/>
      <c r="C2326" s="39"/>
      <c r="D2326" s="6"/>
      <c r="E2326" s="149"/>
      <c r="F2326" s="153"/>
      <c r="G2326" s="10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5"/>
      <c r="V2326" s="5"/>
      <c r="W2326" s="13"/>
      <c r="X2326" s="4"/>
      <c r="Y2326" s="4"/>
      <c r="Z2326" s="4"/>
      <c r="AA2326" s="6"/>
      <c r="AB2326" s="5"/>
      <c r="AC2326" s="9"/>
      <c r="AD2326" s="9"/>
      <c r="AE2326" s="9"/>
      <c r="AF2326" s="9"/>
      <c r="AG2326" s="2"/>
      <c r="AH2326" s="3"/>
      <c r="AI2326" s="2"/>
      <c r="AJ2326" s="2"/>
      <c r="AK2326" s="2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</row>
    <row r="2327" spans="1:59" ht="13.5" customHeight="1" x14ac:dyDescent="0.35">
      <c r="A2327" s="49"/>
      <c r="B2327" s="49"/>
      <c r="C2327" s="14"/>
      <c r="D2327" s="1"/>
      <c r="E2327" s="149"/>
      <c r="F2327" s="153"/>
      <c r="G2327" s="10"/>
      <c r="H2327" s="17"/>
      <c r="I2327" s="17"/>
      <c r="J2327" s="17"/>
      <c r="K2327" s="30"/>
      <c r="L2327" s="30"/>
      <c r="M2327" s="30"/>
      <c r="N2327" s="30"/>
      <c r="O2327" s="30"/>
      <c r="P2327" s="30"/>
      <c r="Q2327" s="30"/>
      <c r="R2327" s="30"/>
      <c r="S2327" s="30"/>
      <c r="T2327" s="30"/>
      <c r="U2327" s="30"/>
      <c r="V2327" s="30"/>
      <c r="W2327" s="29"/>
      <c r="X2327" s="15"/>
      <c r="Y2327" s="30"/>
      <c r="Z2327" s="30"/>
      <c r="AA2327" s="30"/>
      <c r="AB2327" s="30"/>
      <c r="AC2327" s="17"/>
      <c r="AD2327" s="17"/>
      <c r="AE2327" s="17"/>
      <c r="AF2327" s="17"/>
      <c r="AG2327" s="21"/>
      <c r="AH2327" s="21"/>
      <c r="AI2327" s="21"/>
      <c r="AJ2327" s="21"/>
      <c r="AK2327" s="21"/>
      <c r="AL2327" s="21"/>
      <c r="AM2327" s="21"/>
      <c r="AN2327" s="21"/>
      <c r="AO2327" s="22"/>
      <c r="AP2327" s="21"/>
      <c r="AQ2327" s="22"/>
      <c r="AR2327" s="21"/>
      <c r="AS2327" s="21"/>
      <c r="AT2327" s="21"/>
      <c r="AU2327" s="21"/>
      <c r="AV2327" s="21"/>
      <c r="AW2327" s="21"/>
      <c r="AX2327" s="22"/>
      <c r="AY2327" s="21"/>
      <c r="AZ2327" s="22"/>
      <c r="BA2327" s="21"/>
      <c r="BB2327" s="21"/>
      <c r="BC2327" s="21"/>
      <c r="BD2327" s="21"/>
      <c r="BE2327" s="26"/>
      <c r="BF2327" s="26"/>
      <c r="BG2327" s="62"/>
    </row>
    <row r="2328" spans="1:59" x14ac:dyDescent="0.3">
      <c r="A2328" s="63"/>
      <c r="B2328" s="63"/>
      <c r="C2328" s="39"/>
      <c r="D2328" s="6"/>
      <c r="E2328" s="149"/>
      <c r="F2328" s="153"/>
      <c r="G2328" s="10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5"/>
      <c r="V2328" s="5"/>
      <c r="W2328" s="13"/>
      <c r="X2328" s="4"/>
      <c r="Y2328" s="4"/>
      <c r="Z2328" s="4"/>
      <c r="AA2328" s="6"/>
      <c r="AB2328" s="5"/>
      <c r="AC2328" s="9"/>
      <c r="AD2328" s="9"/>
      <c r="AE2328" s="9"/>
      <c r="AF2328" s="9"/>
      <c r="AG2328" s="64"/>
      <c r="AH2328" s="3"/>
      <c r="AI2328" s="2"/>
      <c r="AJ2328" s="2"/>
      <c r="AK2328" s="2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</row>
    <row r="2329" spans="1:59" x14ac:dyDescent="0.3">
      <c r="A2329" s="6"/>
      <c r="B2329" s="6"/>
      <c r="C2329" s="39"/>
      <c r="D2329" s="6"/>
      <c r="E2329" s="149"/>
      <c r="F2329" s="153"/>
      <c r="G2329" s="10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12"/>
      <c r="Y2329" s="6"/>
      <c r="Z2329" s="6"/>
      <c r="AA2329" s="6"/>
      <c r="AB2329" s="6"/>
      <c r="AC2329" s="9"/>
      <c r="AD2329" s="9"/>
      <c r="AE2329" s="9"/>
      <c r="AF2329" s="9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21"/>
      <c r="AS2329" s="21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</row>
    <row r="2330" spans="1:59" x14ac:dyDescent="0.3">
      <c r="A2330" s="63"/>
      <c r="B2330" s="63"/>
      <c r="C2330" s="39"/>
      <c r="D2330" s="6"/>
      <c r="E2330" s="149"/>
      <c r="F2330" s="153"/>
      <c r="G2330" s="10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5"/>
      <c r="V2330" s="5"/>
      <c r="W2330" s="13"/>
      <c r="X2330" s="4"/>
      <c r="Y2330" s="4"/>
      <c r="Z2330" s="4"/>
      <c r="AA2330" s="6"/>
      <c r="AB2330" s="5"/>
      <c r="AC2330" s="9"/>
      <c r="AD2330" s="9"/>
      <c r="AE2330" s="9"/>
      <c r="AF2330" s="9"/>
      <c r="AG2330" s="64"/>
      <c r="AH2330" s="3"/>
      <c r="AI2330" s="2"/>
      <c r="AJ2330" s="2"/>
      <c r="AK2330" s="2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</row>
    <row r="2331" spans="1:59" ht="13.5" customHeight="1" x14ac:dyDescent="0.35">
      <c r="A2331" s="49"/>
      <c r="B2331" s="49"/>
      <c r="C2331" s="14"/>
      <c r="D2331" s="1"/>
      <c r="E2331" s="149"/>
      <c r="F2331" s="153"/>
      <c r="G2331" s="10"/>
      <c r="H2331" s="17"/>
      <c r="I2331" s="17"/>
      <c r="J2331" s="17"/>
      <c r="K2331" s="30"/>
      <c r="L2331" s="30"/>
      <c r="M2331" s="30"/>
      <c r="N2331" s="30"/>
      <c r="O2331" s="30"/>
      <c r="P2331" s="30"/>
      <c r="Q2331" s="30"/>
      <c r="R2331" s="30"/>
      <c r="S2331" s="30"/>
      <c r="T2331" s="30"/>
      <c r="U2331" s="30"/>
      <c r="V2331" s="30"/>
      <c r="W2331" s="29"/>
      <c r="X2331" s="15"/>
      <c r="Y2331" s="30"/>
      <c r="Z2331" s="30"/>
      <c r="AA2331" s="30"/>
      <c r="AB2331" s="30"/>
      <c r="AC2331" s="17"/>
      <c r="AD2331" s="17"/>
      <c r="AE2331" s="17"/>
      <c r="AF2331" s="17"/>
      <c r="AG2331" s="21"/>
      <c r="AH2331" s="21"/>
      <c r="AI2331" s="21"/>
      <c r="AJ2331" s="21"/>
      <c r="AK2331" s="21"/>
      <c r="AL2331" s="21"/>
      <c r="AM2331" s="21"/>
      <c r="AN2331" s="21"/>
      <c r="AO2331" s="22"/>
      <c r="AP2331" s="21"/>
      <c r="AQ2331" s="22"/>
      <c r="AR2331" s="21"/>
      <c r="AS2331" s="21"/>
      <c r="AT2331" s="21"/>
      <c r="AU2331" s="21"/>
      <c r="AV2331" s="21"/>
      <c r="AW2331" s="21"/>
      <c r="AX2331" s="22"/>
      <c r="AY2331" s="21"/>
      <c r="AZ2331" s="22"/>
      <c r="BA2331" s="21"/>
      <c r="BB2331" s="21"/>
      <c r="BC2331" s="21"/>
      <c r="BD2331" s="21"/>
      <c r="BE2331" s="26"/>
      <c r="BF2331" s="26"/>
      <c r="BG2331" s="62"/>
    </row>
    <row r="2332" spans="1:59" ht="13.5" customHeight="1" x14ac:dyDescent="0.35">
      <c r="A2332" s="49"/>
      <c r="B2332" s="49"/>
      <c r="C2332" s="39"/>
      <c r="D2332" s="1"/>
      <c r="E2332" s="149"/>
      <c r="F2332" s="153"/>
      <c r="G2332" s="10"/>
      <c r="H2332" s="17"/>
      <c r="I2332" s="17"/>
      <c r="J2332" s="17"/>
      <c r="K2332" s="30"/>
      <c r="L2332" s="30"/>
      <c r="M2332" s="30"/>
      <c r="N2332" s="30"/>
      <c r="O2332" s="30"/>
      <c r="P2332" s="30"/>
      <c r="Q2332" s="30"/>
      <c r="R2332" s="30"/>
      <c r="S2332" s="30"/>
      <c r="T2332" s="30"/>
      <c r="U2332" s="30"/>
      <c r="V2332" s="30"/>
      <c r="W2332" s="29"/>
      <c r="X2332" s="15"/>
      <c r="Y2332" s="30"/>
      <c r="Z2332" s="30"/>
      <c r="AA2332" s="30"/>
      <c r="AB2332" s="30"/>
      <c r="AC2332" s="17"/>
      <c r="AD2332" s="17"/>
      <c r="AE2332" s="17"/>
      <c r="AF2332" s="17"/>
      <c r="AG2332" s="21"/>
      <c r="AH2332" s="21"/>
      <c r="AI2332" s="21"/>
      <c r="AJ2332" s="21"/>
      <c r="AK2332" s="21"/>
      <c r="AL2332" s="21"/>
      <c r="AM2332" s="21"/>
      <c r="AN2332" s="21"/>
      <c r="AO2332" s="22"/>
      <c r="AP2332" s="21"/>
      <c r="AQ2332" s="22"/>
      <c r="AR2332" s="21"/>
      <c r="AS2332" s="21"/>
      <c r="AT2332" s="21"/>
      <c r="AU2332" s="21"/>
      <c r="AV2332" s="21"/>
      <c r="AW2332" s="21"/>
      <c r="AX2332" s="22"/>
      <c r="AY2332" s="21"/>
      <c r="AZ2332" s="22"/>
      <c r="BA2332" s="21"/>
      <c r="BB2332" s="21"/>
      <c r="BC2332" s="21"/>
      <c r="BD2332" s="21"/>
      <c r="BE2332" s="26"/>
      <c r="BF2332" s="26"/>
      <c r="BG2332" s="62"/>
    </row>
    <row r="2333" spans="1:59" x14ac:dyDescent="0.3">
      <c r="A2333" s="6"/>
      <c r="B2333" s="6"/>
      <c r="C2333" s="39"/>
      <c r="D2333" s="6"/>
      <c r="E2333" s="149"/>
      <c r="F2333" s="153"/>
      <c r="G2333" s="10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12"/>
      <c r="Y2333" s="6"/>
      <c r="Z2333" s="6"/>
      <c r="AA2333" s="6"/>
      <c r="AB2333" s="6"/>
      <c r="AC2333" s="9"/>
      <c r="AD2333" s="9"/>
      <c r="AE2333" s="9"/>
      <c r="AF2333" s="9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21"/>
      <c r="AS2333" s="21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</row>
    <row r="2334" spans="1:59" x14ac:dyDescent="0.3">
      <c r="A2334" s="6"/>
      <c r="B2334" s="6"/>
      <c r="C2334" s="39"/>
      <c r="D2334" s="6"/>
      <c r="E2334" s="149"/>
      <c r="F2334" s="153"/>
      <c r="G2334" s="10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12"/>
      <c r="Y2334" s="6"/>
      <c r="Z2334" s="6"/>
      <c r="AA2334" s="6"/>
      <c r="AB2334" s="6"/>
      <c r="AC2334" s="9"/>
      <c r="AD2334" s="9"/>
      <c r="AE2334" s="9"/>
      <c r="AF2334" s="9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21"/>
      <c r="AS2334" s="21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</row>
    <row r="2335" spans="1:59" x14ac:dyDescent="0.3">
      <c r="A2335" s="6"/>
      <c r="B2335" s="6"/>
      <c r="C2335" s="39"/>
      <c r="D2335" s="6"/>
      <c r="E2335" s="149"/>
      <c r="F2335" s="153"/>
      <c r="G2335" s="10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5"/>
      <c r="V2335" s="5"/>
      <c r="W2335" s="13"/>
      <c r="X2335" s="4"/>
      <c r="Y2335" s="4"/>
      <c r="Z2335" s="4"/>
      <c r="AA2335" s="6"/>
      <c r="AB2335" s="5"/>
      <c r="AC2335" s="9"/>
      <c r="AD2335" s="9"/>
      <c r="AE2335" s="9"/>
      <c r="AF2335" s="9"/>
      <c r="AG2335" s="2"/>
      <c r="AH2335" s="3"/>
      <c r="AI2335" s="2"/>
      <c r="AJ2335" s="2"/>
      <c r="AK2335" s="2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</row>
    <row r="2336" spans="1:59" ht="13.5" customHeight="1" x14ac:dyDescent="0.35">
      <c r="A2336" s="49"/>
      <c r="B2336" s="49"/>
      <c r="C2336" s="39"/>
      <c r="D2336" s="1"/>
      <c r="E2336" s="149"/>
      <c r="F2336" s="153"/>
      <c r="G2336" s="10"/>
      <c r="H2336" s="17"/>
      <c r="I2336" s="17"/>
      <c r="J2336" s="17"/>
      <c r="K2336" s="30"/>
      <c r="L2336" s="30"/>
      <c r="M2336" s="30"/>
      <c r="N2336" s="30"/>
      <c r="O2336" s="30"/>
      <c r="P2336" s="30"/>
      <c r="Q2336" s="30"/>
      <c r="R2336" s="30"/>
      <c r="S2336" s="30"/>
      <c r="T2336" s="30"/>
      <c r="U2336" s="30"/>
      <c r="V2336" s="30"/>
      <c r="W2336" s="29"/>
      <c r="X2336" s="15"/>
      <c r="Y2336" s="30"/>
      <c r="Z2336" s="30"/>
      <c r="AA2336" s="30"/>
      <c r="AB2336" s="30"/>
      <c r="AC2336" s="17"/>
      <c r="AD2336" s="17"/>
      <c r="AE2336" s="17"/>
      <c r="AF2336" s="17"/>
      <c r="AG2336" s="21"/>
      <c r="AH2336" s="21"/>
      <c r="AI2336" s="21"/>
      <c r="AJ2336" s="21"/>
      <c r="AK2336" s="21"/>
      <c r="AL2336" s="21"/>
      <c r="AM2336" s="21"/>
      <c r="AN2336" s="21"/>
      <c r="AO2336" s="22"/>
      <c r="AP2336" s="21"/>
      <c r="AQ2336" s="22"/>
      <c r="AR2336" s="21"/>
      <c r="AS2336" s="21"/>
      <c r="AT2336" s="21"/>
      <c r="AU2336" s="21"/>
      <c r="AV2336" s="21"/>
      <c r="AW2336" s="21"/>
      <c r="AX2336" s="22"/>
      <c r="AY2336" s="21"/>
      <c r="AZ2336" s="22"/>
      <c r="BA2336" s="21"/>
      <c r="BB2336" s="21"/>
      <c r="BC2336" s="21"/>
      <c r="BD2336" s="21"/>
      <c r="BE2336" s="26"/>
      <c r="BF2336" s="26"/>
      <c r="BG2336" s="62"/>
    </row>
    <row r="2337" spans="1:59" ht="13.5" customHeight="1" x14ac:dyDescent="0.35">
      <c r="A2337" s="49"/>
      <c r="B2337" s="49"/>
      <c r="C2337" s="14"/>
      <c r="D2337" s="1"/>
      <c r="E2337" s="149"/>
      <c r="F2337" s="153"/>
      <c r="G2337" s="10"/>
      <c r="H2337" s="17"/>
      <c r="I2337" s="17"/>
      <c r="J2337" s="17"/>
      <c r="K2337" s="30"/>
      <c r="L2337" s="30"/>
      <c r="M2337" s="30"/>
      <c r="N2337" s="30"/>
      <c r="O2337" s="30"/>
      <c r="P2337" s="30"/>
      <c r="Q2337" s="30"/>
      <c r="R2337" s="30"/>
      <c r="S2337" s="30"/>
      <c r="T2337" s="30"/>
      <c r="U2337" s="30"/>
      <c r="V2337" s="30"/>
      <c r="W2337" s="29"/>
      <c r="X2337" s="15"/>
      <c r="Y2337" s="30"/>
      <c r="Z2337" s="30"/>
      <c r="AA2337" s="30"/>
      <c r="AB2337" s="30"/>
      <c r="AC2337" s="17"/>
      <c r="AD2337" s="17"/>
      <c r="AE2337" s="17"/>
      <c r="AF2337" s="17"/>
      <c r="AG2337" s="21"/>
      <c r="AH2337" s="21"/>
      <c r="AI2337" s="21"/>
      <c r="AJ2337" s="21"/>
      <c r="AK2337" s="21"/>
      <c r="AL2337" s="21"/>
      <c r="AM2337" s="21"/>
      <c r="AN2337" s="21"/>
      <c r="AO2337" s="22"/>
      <c r="AP2337" s="21"/>
      <c r="AQ2337" s="22"/>
      <c r="AR2337" s="21"/>
      <c r="AS2337" s="21"/>
      <c r="AT2337" s="21"/>
      <c r="AU2337" s="21"/>
      <c r="AV2337" s="21"/>
      <c r="AW2337" s="21"/>
      <c r="AX2337" s="22"/>
      <c r="AY2337" s="21"/>
      <c r="AZ2337" s="22"/>
      <c r="BA2337" s="21"/>
      <c r="BB2337" s="21"/>
      <c r="BC2337" s="21"/>
      <c r="BD2337" s="21"/>
      <c r="BE2337" s="26"/>
      <c r="BF2337" s="26"/>
      <c r="BG2337" s="62"/>
    </row>
    <row r="2338" spans="1:59" x14ac:dyDescent="0.3">
      <c r="A2338" s="6"/>
      <c r="B2338" s="6"/>
      <c r="C2338" s="39"/>
      <c r="D2338" s="6"/>
      <c r="E2338" s="149"/>
      <c r="F2338" s="153"/>
      <c r="G2338" s="10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5"/>
      <c r="V2338" s="5"/>
      <c r="W2338" s="13"/>
      <c r="X2338" s="4"/>
      <c r="Y2338" s="4"/>
      <c r="Z2338" s="4"/>
      <c r="AA2338" s="6"/>
      <c r="AB2338" s="5"/>
      <c r="AC2338" s="9"/>
      <c r="AD2338" s="9"/>
      <c r="AE2338" s="9"/>
      <c r="AF2338" s="9"/>
      <c r="AG2338" s="2"/>
      <c r="AH2338" s="3"/>
      <c r="AI2338" s="2"/>
      <c r="AJ2338" s="2"/>
      <c r="AK2338" s="2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</row>
    <row r="2339" spans="1:59" x14ac:dyDescent="0.3">
      <c r="A2339" s="63"/>
      <c r="B2339" s="63"/>
      <c r="C2339" s="39"/>
      <c r="D2339" s="6"/>
      <c r="E2339" s="149"/>
      <c r="F2339" s="153"/>
      <c r="G2339" s="10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5"/>
      <c r="V2339" s="5"/>
      <c r="W2339" s="13"/>
      <c r="X2339" s="4"/>
      <c r="Y2339" s="4"/>
      <c r="Z2339" s="4"/>
      <c r="AA2339" s="6"/>
      <c r="AB2339" s="5"/>
      <c r="AC2339" s="9"/>
      <c r="AD2339" s="9"/>
      <c r="AE2339" s="9"/>
      <c r="AF2339" s="9"/>
      <c r="AG2339" s="64"/>
      <c r="AH2339" s="3"/>
      <c r="AI2339" s="2"/>
      <c r="AJ2339" s="2"/>
      <c r="AK2339" s="2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</row>
    <row r="2340" spans="1:59" ht="13.5" customHeight="1" x14ac:dyDescent="0.35">
      <c r="A2340" s="49"/>
      <c r="B2340" s="49"/>
      <c r="C2340" s="39"/>
      <c r="D2340" s="1"/>
      <c r="E2340" s="149"/>
      <c r="F2340" s="153"/>
      <c r="G2340" s="10"/>
      <c r="H2340" s="17"/>
      <c r="I2340" s="17"/>
      <c r="J2340" s="17"/>
      <c r="K2340" s="30"/>
      <c r="L2340" s="30"/>
      <c r="M2340" s="30"/>
      <c r="N2340" s="30"/>
      <c r="O2340" s="30"/>
      <c r="P2340" s="30"/>
      <c r="Q2340" s="30"/>
      <c r="R2340" s="30"/>
      <c r="S2340" s="30"/>
      <c r="T2340" s="30"/>
      <c r="U2340" s="30"/>
      <c r="V2340" s="30"/>
      <c r="W2340" s="29"/>
      <c r="X2340" s="15"/>
      <c r="Y2340" s="30"/>
      <c r="Z2340" s="30"/>
      <c r="AA2340" s="30"/>
      <c r="AB2340" s="30"/>
      <c r="AC2340" s="17"/>
      <c r="AD2340" s="17"/>
      <c r="AE2340" s="17"/>
      <c r="AF2340" s="17"/>
      <c r="AG2340" s="21"/>
      <c r="AH2340" s="21"/>
      <c r="AI2340" s="21"/>
      <c r="AJ2340" s="21"/>
      <c r="AK2340" s="21"/>
      <c r="AL2340" s="21"/>
      <c r="AM2340" s="21"/>
      <c r="AN2340" s="21"/>
      <c r="AO2340" s="22"/>
      <c r="AP2340" s="21"/>
      <c r="AQ2340" s="22"/>
      <c r="AR2340" s="21"/>
      <c r="AS2340" s="21"/>
      <c r="AT2340" s="21"/>
      <c r="AU2340" s="21"/>
      <c r="AV2340" s="21"/>
      <c r="AW2340" s="21"/>
      <c r="AX2340" s="22"/>
      <c r="AY2340" s="21"/>
      <c r="AZ2340" s="22"/>
      <c r="BA2340" s="21"/>
      <c r="BB2340" s="21"/>
      <c r="BC2340" s="21"/>
      <c r="BD2340" s="21"/>
      <c r="BE2340" s="26"/>
      <c r="BF2340" s="26"/>
      <c r="BG2340" s="62"/>
    </row>
    <row r="2341" spans="1:59" x14ac:dyDescent="0.3">
      <c r="A2341" s="6"/>
      <c r="B2341" s="6"/>
      <c r="C2341" s="39"/>
      <c r="D2341" s="6"/>
      <c r="E2341" s="149"/>
      <c r="F2341" s="153"/>
      <c r="G2341" s="10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5"/>
      <c r="V2341" s="5"/>
      <c r="W2341" s="13"/>
      <c r="X2341" s="4"/>
      <c r="Y2341" s="4"/>
      <c r="Z2341" s="4"/>
      <c r="AA2341" s="6"/>
      <c r="AB2341" s="5"/>
      <c r="AC2341" s="9"/>
      <c r="AD2341" s="9"/>
      <c r="AE2341" s="9"/>
      <c r="AF2341" s="9"/>
      <c r="AG2341" s="2"/>
      <c r="AH2341" s="3"/>
      <c r="AI2341" s="2"/>
      <c r="AJ2341" s="2"/>
      <c r="AK2341" s="2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</row>
    <row r="2342" spans="1:59" x14ac:dyDescent="0.3">
      <c r="A2342" s="6"/>
      <c r="B2342" s="6"/>
      <c r="C2342" s="39"/>
      <c r="D2342" s="6"/>
      <c r="E2342" s="149"/>
      <c r="F2342" s="153"/>
      <c r="G2342" s="10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12"/>
      <c r="Y2342" s="6"/>
      <c r="Z2342" s="6"/>
      <c r="AA2342" s="6"/>
      <c r="AB2342" s="6"/>
      <c r="AC2342" s="9"/>
      <c r="AD2342" s="9"/>
      <c r="AE2342" s="9"/>
      <c r="AF2342" s="9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21"/>
      <c r="AS2342" s="21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</row>
    <row r="2343" spans="1:59" x14ac:dyDescent="0.3">
      <c r="A2343" s="6"/>
      <c r="B2343" s="6"/>
      <c r="C2343" s="39"/>
      <c r="D2343" s="6"/>
      <c r="E2343" s="149"/>
      <c r="F2343" s="153"/>
      <c r="G2343" s="10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12"/>
      <c r="Y2343" s="6"/>
      <c r="Z2343" s="6"/>
      <c r="AA2343" s="6"/>
      <c r="AB2343" s="6"/>
      <c r="AC2343" s="9"/>
      <c r="AD2343" s="9"/>
      <c r="AE2343" s="9"/>
      <c r="AF2343" s="9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21"/>
      <c r="AS2343" s="21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</row>
    <row r="2344" spans="1:59" x14ac:dyDescent="0.3">
      <c r="A2344" s="6"/>
      <c r="B2344" s="6"/>
      <c r="C2344" s="39"/>
      <c r="D2344" s="6"/>
      <c r="E2344" s="149"/>
      <c r="F2344" s="153"/>
      <c r="G2344" s="10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12"/>
      <c r="Y2344" s="6"/>
      <c r="Z2344" s="6"/>
      <c r="AA2344" s="6"/>
      <c r="AB2344" s="6"/>
      <c r="AC2344" s="9"/>
      <c r="AD2344" s="9"/>
      <c r="AE2344" s="9"/>
      <c r="AF2344" s="9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21"/>
      <c r="AS2344" s="21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</row>
    <row r="2345" spans="1:59" ht="13.5" customHeight="1" x14ac:dyDescent="0.35">
      <c r="A2345" s="49"/>
      <c r="B2345" s="49"/>
      <c r="C2345" s="39"/>
      <c r="D2345" s="1"/>
      <c r="E2345" s="149"/>
      <c r="F2345" s="153"/>
      <c r="G2345" s="10"/>
      <c r="H2345" s="17"/>
      <c r="I2345" s="17"/>
      <c r="J2345" s="17"/>
      <c r="K2345" s="30"/>
      <c r="L2345" s="30"/>
      <c r="M2345" s="30"/>
      <c r="N2345" s="30"/>
      <c r="O2345" s="30"/>
      <c r="P2345" s="30"/>
      <c r="Q2345" s="30"/>
      <c r="R2345" s="30"/>
      <c r="S2345" s="30"/>
      <c r="T2345" s="30"/>
      <c r="U2345" s="30"/>
      <c r="V2345" s="30"/>
      <c r="W2345" s="29"/>
      <c r="X2345" s="15"/>
      <c r="Y2345" s="30"/>
      <c r="Z2345" s="30"/>
      <c r="AA2345" s="30"/>
      <c r="AB2345" s="30"/>
      <c r="AC2345" s="17"/>
      <c r="AD2345" s="17"/>
      <c r="AE2345" s="17"/>
      <c r="AF2345" s="17"/>
      <c r="AG2345" s="21"/>
      <c r="AH2345" s="21"/>
      <c r="AI2345" s="21"/>
      <c r="AJ2345" s="21"/>
      <c r="AK2345" s="21"/>
      <c r="AL2345" s="21"/>
      <c r="AM2345" s="21"/>
      <c r="AN2345" s="21"/>
      <c r="AO2345" s="22"/>
      <c r="AP2345" s="21"/>
      <c r="AQ2345" s="22"/>
      <c r="AR2345" s="21"/>
      <c r="AS2345" s="21"/>
      <c r="AT2345" s="21"/>
      <c r="AU2345" s="21"/>
      <c r="AV2345" s="21"/>
      <c r="AW2345" s="21"/>
      <c r="AX2345" s="22"/>
      <c r="AY2345" s="21"/>
      <c r="AZ2345" s="22"/>
      <c r="BA2345" s="21"/>
      <c r="BB2345" s="21"/>
      <c r="BC2345" s="21"/>
      <c r="BD2345" s="21"/>
      <c r="BE2345" s="26"/>
      <c r="BF2345" s="26"/>
      <c r="BG2345" s="62"/>
    </row>
    <row r="2346" spans="1:59" x14ac:dyDescent="0.3">
      <c r="A2346" s="63"/>
      <c r="B2346" s="63"/>
      <c r="C2346" s="39"/>
      <c r="D2346" s="6"/>
      <c r="E2346" s="149"/>
      <c r="F2346" s="153"/>
      <c r="G2346" s="10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5"/>
      <c r="V2346" s="5"/>
      <c r="W2346" s="13"/>
      <c r="X2346" s="4"/>
      <c r="Y2346" s="4"/>
      <c r="Z2346" s="4"/>
      <c r="AA2346" s="6"/>
      <c r="AB2346" s="5"/>
      <c r="AC2346" s="9"/>
      <c r="AD2346" s="9"/>
      <c r="AE2346" s="9"/>
      <c r="AF2346" s="9"/>
      <c r="AG2346" s="64"/>
      <c r="AH2346" s="3"/>
      <c r="AI2346" s="2"/>
      <c r="AJ2346" s="2"/>
      <c r="AK2346" s="2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</row>
    <row r="2347" spans="1:59" x14ac:dyDescent="0.3">
      <c r="A2347" s="6"/>
      <c r="B2347" s="6"/>
      <c r="C2347" s="39"/>
      <c r="D2347" s="6"/>
      <c r="E2347" s="149"/>
      <c r="F2347" s="153"/>
      <c r="G2347" s="10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12"/>
      <c r="Y2347" s="6"/>
      <c r="Z2347" s="6"/>
      <c r="AA2347" s="6"/>
      <c r="AB2347" s="6"/>
      <c r="AC2347" s="9"/>
      <c r="AD2347" s="9"/>
      <c r="AE2347" s="9"/>
      <c r="AF2347" s="9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21"/>
      <c r="AS2347" s="21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</row>
    <row r="2348" spans="1:59" ht="13.5" customHeight="1" x14ac:dyDescent="0.35">
      <c r="A2348" s="49"/>
      <c r="B2348" s="49"/>
      <c r="C2348" s="39"/>
      <c r="D2348" s="1"/>
      <c r="E2348" s="149"/>
      <c r="F2348" s="153"/>
      <c r="G2348" s="10"/>
      <c r="H2348" s="17"/>
      <c r="I2348" s="17"/>
      <c r="J2348" s="17"/>
      <c r="K2348" s="30"/>
      <c r="L2348" s="30"/>
      <c r="M2348" s="30"/>
      <c r="N2348" s="30"/>
      <c r="O2348" s="30"/>
      <c r="P2348" s="30"/>
      <c r="Q2348" s="30"/>
      <c r="R2348" s="30"/>
      <c r="S2348" s="30"/>
      <c r="T2348" s="30"/>
      <c r="U2348" s="30"/>
      <c r="V2348" s="30"/>
      <c r="W2348" s="29"/>
      <c r="X2348" s="15"/>
      <c r="Y2348" s="30"/>
      <c r="Z2348" s="30"/>
      <c r="AA2348" s="30"/>
      <c r="AB2348" s="30"/>
      <c r="AC2348" s="17"/>
      <c r="AD2348" s="17"/>
      <c r="AE2348" s="17"/>
      <c r="AF2348" s="17"/>
      <c r="AG2348" s="21"/>
      <c r="AH2348" s="21"/>
      <c r="AI2348" s="21"/>
      <c r="AJ2348" s="21"/>
      <c r="AK2348" s="21"/>
      <c r="AL2348" s="21"/>
      <c r="AM2348" s="21"/>
      <c r="AN2348" s="21"/>
      <c r="AO2348" s="22"/>
      <c r="AP2348" s="21"/>
      <c r="AQ2348" s="22"/>
      <c r="AR2348" s="21"/>
      <c r="AS2348" s="21"/>
      <c r="AT2348" s="21"/>
      <c r="AU2348" s="21"/>
      <c r="AV2348" s="21"/>
      <c r="AW2348" s="21"/>
      <c r="AX2348" s="22"/>
      <c r="AY2348" s="21"/>
      <c r="AZ2348" s="22"/>
      <c r="BA2348" s="21"/>
      <c r="BB2348" s="21"/>
      <c r="BC2348" s="21"/>
      <c r="BD2348" s="21"/>
      <c r="BE2348" s="26"/>
      <c r="BF2348" s="26"/>
      <c r="BG2348" s="62"/>
    </row>
    <row r="2349" spans="1:59" x14ac:dyDescent="0.3">
      <c r="A2349" s="6"/>
      <c r="B2349" s="6"/>
      <c r="C2349" s="39"/>
      <c r="D2349" s="6"/>
      <c r="E2349" s="149"/>
      <c r="F2349" s="153"/>
      <c r="G2349" s="10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5"/>
      <c r="V2349" s="5"/>
      <c r="W2349" s="13"/>
      <c r="X2349" s="4"/>
      <c r="Y2349" s="4"/>
      <c r="Z2349" s="4"/>
      <c r="AA2349" s="6"/>
      <c r="AB2349" s="5"/>
      <c r="AC2349" s="9"/>
      <c r="AD2349" s="9"/>
      <c r="AE2349" s="9"/>
      <c r="AF2349" s="9"/>
      <c r="AG2349" s="2"/>
      <c r="AH2349" s="3"/>
      <c r="AI2349" s="2"/>
      <c r="AJ2349" s="2"/>
      <c r="AK2349" s="2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</row>
    <row r="2350" spans="1:59" ht="13.5" customHeight="1" x14ac:dyDescent="0.35">
      <c r="A2350" s="49"/>
      <c r="B2350" s="49"/>
      <c r="C2350" s="39"/>
      <c r="D2350" s="1"/>
      <c r="E2350" s="149"/>
      <c r="F2350" s="153"/>
      <c r="G2350" s="10"/>
      <c r="H2350" s="17"/>
      <c r="I2350" s="17"/>
      <c r="J2350" s="17"/>
      <c r="K2350" s="30"/>
      <c r="L2350" s="30"/>
      <c r="M2350" s="30"/>
      <c r="N2350" s="30"/>
      <c r="O2350" s="30"/>
      <c r="P2350" s="30"/>
      <c r="Q2350" s="30"/>
      <c r="R2350" s="30"/>
      <c r="S2350" s="30"/>
      <c r="T2350" s="30"/>
      <c r="U2350" s="30"/>
      <c r="V2350" s="30"/>
      <c r="W2350" s="29"/>
      <c r="X2350" s="15"/>
      <c r="Y2350" s="30"/>
      <c r="Z2350" s="30"/>
      <c r="AA2350" s="30"/>
      <c r="AB2350" s="30"/>
      <c r="AC2350" s="17"/>
      <c r="AD2350" s="17"/>
      <c r="AE2350" s="17"/>
      <c r="AF2350" s="17"/>
      <c r="AG2350" s="21"/>
      <c r="AH2350" s="21"/>
      <c r="AI2350" s="21"/>
      <c r="AJ2350" s="21"/>
      <c r="AK2350" s="21"/>
      <c r="AL2350" s="21"/>
      <c r="AM2350" s="21"/>
      <c r="AN2350" s="21"/>
      <c r="AO2350" s="22"/>
      <c r="AP2350" s="21"/>
      <c r="AQ2350" s="22"/>
      <c r="AR2350" s="21"/>
      <c r="AS2350" s="21"/>
      <c r="AT2350" s="21"/>
      <c r="AU2350" s="21"/>
      <c r="AV2350" s="21"/>
      <c r="AW2350" s="21"/>
      <c r="AX2350" s="22"/>
      <c r="AY2350" s="21"/>
      <c r="AZ2350" s="22"/>
      <c r="BA2350" s="21"/>
      <c r="BB2350" s="21"/>
      <c r="BC2350" s="21"/>
      <c r="BD2350" s="21"/>
      <c r="BE2350" s="26"/>
      <c r="BF2350" s="26"/>
      <c r="BG2350" s="62"/>
    </row>
    <row r="2351" spans="1:59" ht="13.5" customHeight="1" x14ac:dyDescent="0.35">
      <c r="A2351" s="49"/>
      <c r="B2351" s="49"/>
      <c r="C2351" s="39"/>
      <c r="D2351" s="1"/>
      <c r="E2351" s="149"/>
      <c r="F2351" s="153"/>
      <c r="G2351" s="10"/>
      <c r="H2351" s="17"/>
      <c r="I2351" s="17"/>
      <c r="J2351" s="17"/>
      <c r="K2351" s="30"/>
      <c r="L2351" s="30"/>
      <c r="M2351" s="30"/>
      <c r="N2351" s="30"/>
      <c r="O2351" s="30"/>
      <c r="P2351" s="30"/>
      <c r="Q2351" s="30"/>
      <c r="R2351" s="30"/>
      <c r="S2351" s="30"/>
      <c r="T2351" s="30"/>
      <c r="U2351" s="30"/>
      <c r="V2351" s="30"/>
      <c r="W2351" s="29"/>
      <c r="X2351" s="15"/>
      <c r="Y2351" s="30"/>
      <c r="Z2351" s="30"/>
      <c r="AA2351" s="30"/>
      <c r="AB2351" s="30"/>
      <c r="AC2351" s="17"/>
      <c r="AD2351" s="17"/>
      <c r="AE2351" s="17"/>
      <c r="AF2351" s="17"/>
      <c r="AG2351" s="21"/>
      <c r="AH2351" s="21"/>
      <c r="AI2351" s="21"/>
      <c r="AJ2351" s="21"/>
      <c r="AK2351" s="21"/>
      <c r="AL2351" s="21"/>
      <c r="AM2351" s="21"/>
      <c r="AN2351" s="21"/>
      <c r="AO2351" s="22"/>
      <c r="AP2351" s="21"/>
      <c r="AQ2351" s="22"/>
      <c r="AR2351" s="21"/>
      <c r="AS2351" s="21"/>
      <c r="AT2351" s="21"/>
      <c r="AU2351" s="21"/>
      <c r="AV2351" s="21"/>
      <c r="AW2351" s="21"/>
      <c r="AX2351" s="22"/>
      <c r="AY2351" s="21"/>
      <c r="AZ2351" s="22"/>
      <c r="BA2351" s="21"/>
      <c r="BB2351" s="21"/>
      <c r="BC2351" s="21"/>
      <c r="BD2351" s="21"/>
      <c r="BE2351" s="26"/>
      <c r="BF2351" s="26"/>
      <c r="BG2351" s="62"/>
    </row>
    <row r="2352" spans="1:59" ht="13.5" customHeight="1" x14ac:dyDescent="0.35">
      <c r="A2352" s="49"/>
      <c r="B2352" s="49"/>
      <c r="C2352" s="14"/>
      <c r="D2352" s="1"/>
      <c r="E2352" s="149"/>
      <c r="F2352" s="153"/>
      <c r="G2352" s="10"/>
      <c r="H2352" s="17"/>
      <c r="I2352" s="17"/>
      <c r="J2352" s="17"/>
      <c r="K2352" s="30"/>
      <c r="L2352" s="30"/>
      <c r="M2352" s="30"/>
      <c r="N2352" s="30"/>
      <c r="O2352" s="30"/>
      <c r="P2352" s="30"/>
      <c r="Q2352" s="30"/>
      <c r="R2352" s="30"/>
      <c r="S2352" s="30"/>
      <c r="T2352" s="30"/>
      <c r="U2352" s="30"/>
      <c r="V2352" s="30"/>
      <c r="W2352" s="29"/>
      <c r="X2352" s="15"/>
      <c r="Y2352" s="30"/>
      <c r="Z2352" s="30"/>
      <c r="AA2352" s="30"/>
      <c r="AB2352" s="30"/>
      <c r="AC2352" s="17"/>
      <c r="AD2352" s="17"/>
      <c r="AE2352" s="17"/>
      <c r="AF2352" s="17"/>
      <c r="AG2352" s="21"/>
      <c r="AH2352" s="21"/>
      <c r="AI2352" s="21"/>
      <c r="AJ2352" s="21"/>
      <c r="AK2352" s="21"/>
      <c r="AL2352" s="21"/>
      <c r="AM2352" s="21"/>
      <c r="AN2352" s="21"/>
      <c r="AO2352" s="22"/>
      <c r="AP2352" s="21"/>
      <c r="AQ2352" s="22"/>
      <c r="AR2352" s="21"/>
      <c r="AS2352" s="21"/>
      <c r="AT2352" s="21"/>
      <c r="AU2352" s="21"/>
      <c r="AV2352" s="21"/>
      <c r="AW2352" s="21"/>
      <c r="AX2352" s="22"/>
      <c r="AY2352" s="21"/>
      <c r="AZ2352" s="22"/>
      <c r="BA2352" s="21"/>
      <c r="BB2352" s="21"/>
      <c r="BC2352" s="21"/>
      <c r="BD2352" s="21"/>
      <c r="BE2352" s="26"/>
      <c r="BF2352" s="26"/>
      <c r="BG2352" s="62"/>
    </row>
    <row r="2353" spans="1:59" ht="13.5" customHeight="1" x14ac:dyDescent="0.35">
      <c r="A2353" s="49"/>
      <c r="B2353" s="49"/>
      <c r="C2353" s="39"/>
      <c r="D2353" s="1"/>
      <c r="E2353" s="149"/>
      <c r="F2353" s="153"/>
      <c r="G2353" s="10"/>
      <c r="H2353" s="17"/>
      <c r="I2353" s="17"/>
      <c r="J2353" s="17"/>
      <c r="K2353" s="30"/>
      <c r="L2353" s="30"/>
      <c r="M2353" s="30"/>
      <c r="N2353" s="30"/>
      <c r="O2353" s="30"/>
      <c r="P2353" s="30"/>
      <c r="Q2353" s="30"/>
      <c r="R2353" s="30"/>
      <c r="S2353" s="30"/>
      <c r="T2353" s="30"/>
      <c r="U2353" s="30"/>
      <c r="V2353" s="30"/>
      <c r="W2353" s="29"/>
      <c r="X2353" s="15"/>
      <c r="Y2353" s="30"/>
      <c r="Z2353" s="30"/>
      <c r="AA2353" s="30"/>
      <c r="AB2353" s="30"/>
      <c r="AC2353" s="17"/>
      <c r="AD2353" s="17"/>
      <c r="AE2353" s="17"/>
      <c r="AF2353" s="17"/>
      <c r="AG2353" s="21"/>
      <c r="AH2353" s="21"/>
      <c r="AI2353" s="21"/>
      <c r="AJ2353" s="21"/>
      <c r="AK2353" s="21"/>
      <c r="AL2353" s="21"/>
      <c r="AM2353" s="21"/>
      <c r="AN2353" s="21"/>
      <c r="AO2353" s="22"/>
      <c r="AP2353" s="21"/>
      <c r="AQ2353" s="22"/>
      <c r="AR2353" s="21"/>
      <c r="AS2353" s="21"/>
      <c r="AT2353" s="21"/>
      <c r="AU2353" s="21"/>
      <c r="AV2353" s="21"/>
      <c r="AW2353" s="21"/>
      <c r="AX2353" s="22"/>
      <c r="AY2353" s="21"/>
      <c r="AZ2353" s="22"/>
      <c r="BA2353" s="21"/>
      <c r="BB2353" s="21"/>
      <c r="BC2353" s="21"/>
      <c r="BD2353" s="21"/>
      <c r="BE2353" s="26"/>
      <c r="BF2353" s="26"/>
      <c r="BG2353" s="62"/>
    </row>
    <row r="2354" spans="1:59" ht="13.5" customHeight="1" x14ac:dyDescent="0.3">
      <c r="A2354" s="49"/>
      <c r="B2354" s="49"/>
      <c r="C2354" s="14"/>
      <c r="D2354" s="6"/>
      <c r="E2354" s="149"/>
      <c r="F2354" s="153"/>
      <c r="G2354" s="10"/>
      <c r="H2354" s="17"/>
      <c r="I2354" s="17"/>
      <c r="J2354" s="17"/>
      <c r="K2354" s="30"/>
      <c r="L2354" s="30"/>
      <c r="M2354" s="30"/>
      <c r="N2354" s="30"/>
      <c r="O2354" s="30"/>
      <c r="P2354" s="30"/>
      <c r="Q2354" s="30"/>
      <c r="R2354" s="30"/>
      <c r="S2354" s="30"/>
      <c r="T2354" s="30"/>
      <c r="U2354" s="30"/>
      <c r="V2354" s="30"/>
      <c r="W2354" s="29"/>
      <c r="X2354" s="15"/>
      <c r="Y2354" s="30"/>
      <c r="Z2354" s="30"/>
      <c r="AA2354" s="30"/>
      <c r="AB2354" s="30"/>
      <c r="AC2354" s="17"/>
      <c r="AD2354" s="17"/>
      <c r="AE2354" s="17"/>
      <c r="AF2354" s="17"/>
      <c r="AG2354" s="21"/>
      <c r="AH2354" s="21"/>
      <c r="AI2354" s="21"/>
      <c r="AJ2354" s="21"/>
      <c r="AK2354" s="21"/>
      <c r="AL2354" s="21"/>
      <c r="AM2354" s="21"/>
      <c r="AN2354" s="21"/>
      <c r="AO2354" s="22"/>
      <c r="AP2354" s="21"/>
      <c r="AQ2354" s="22"/>
      <c r="AR2354" s="21"/>
      <c r="AS2354" s="21"/>
      <c r="AT2354" s="21"/>
      <c r="AU2354" s="21"/>
      <c r="AV2354" s="21"/>
      <c r="AW2354" s="21"/>
      <c r="AX2354" s="22"/>
      <c r="AY2354" s="21"/>
      <c r="AZ2354" s="22"/>
      <c r="BA2354" s="21"/>
      <c r="BB2354" s="21"/>
      <c r="BC2354" s="21"/>
      <c r="BD2354" s="21"/>
      <c r="BE2354" s="26"/>
      <c r="BF2354" s="26"/>
      <c r="BG2354" s="62"/>
    </row>
    <row r="2355" spans="1:59" ht="13.5" customHeight="1" x14ac:dyDescent="0.35">
      <c r="A2355" s="49"/>
      <c r="B2355" s="49"/>
      <c r="C2355" s="39"/>
      <c r="D2355" s="1"/>
      <c r="E2355" s="149"/>
      <c r="F2355" s="153"/>
      <c r="G2355" s="10"/>
      <c r="H2355" s="17"/>
      <c r="I2355" s="17"/>
      <c r="J2355" s="17"/>
      <c r="K2355" s="30"/>
      <c r="L2355" s="30"/>
      <c r="M2355" s="30"/>
      <c r="N2355" s="30"/>
      <c r="O2355" s="30"/>
      <c r="P2355" s="30"/>
      <c r="Q2355" s="30"/>
      <c r="R2355" s="30"/>
      <c r="S2355" s="30"/>
      <c r="T2355" s="30"/>
      <c r="U2355" s="30"/>
      <c r="V2355" s="30"/>
      <c r="W2355" s="29"/>
      <c r="X2355" s="15"/>
      <c r="Y2355" s="30"/>
      <c r="Z2355" s="30"/>
      <c r="AA2355" s="30"/>
      <c r="AB2355" s="30"/>
      <c r="AC2355" s="17"/>
      <c r="AD2355" s="17"/>
      <c r="AE2355" s="17"/>
      <c r="AF2355" s="17"/>
      <c r="AG2355" s="21"/>
      <c r="AH2355" s="21"/>
      <c r="AI2355" s="21"/>
      <c r="AJ2355" s="21"/>
      <c r="AK2355" s="21"/>
      <c r="AL2355" s="21"/>
      <c r="AM2355" s="21"/>
      <c r="AN2355" s="21"/>
      <c r="AO2355" s="22"/>
      <c r="AP2355" s="21"/>
      <c r="AQ2355" s="22"/>
      <c r="AR2355" s="21"/>
      <c r="AS2355" s="21"/>
      <c r="AT2355" s="21"/>
      <c r="AU2355" s="21"/>
      <c r="AV2355" s="21"/>
      <c r="AW2355" s="21"/>
      <c r="AX2355" s="22"/>
      <c r="AY2355" s="21"/>
      <c r="AZ2355" s="22"/>
      <c r="BA2355" s="21"/>
      <c r="BB2355" s="21"/>
      <c r="BC2355" s="21"/>
      <c r="BD2355" s="21"/>
      <c r="BE2355" s="26"/>
      <c r="BF2355" s="26"/>
      <c r="BG2355" s="62"/>
    </row>
    <row r="2356" spans="1:59" ht="13.5" customHeight="1" x14ac:dyDescent="0.35">
      <c r="A2356" s="49"/>
      <c r="B2356" s="49"/>
      <c r="C2356" s="14"/>
      <c r="D2356" s="1"/>
      <c r="E2356" s="149"/>
      <c r="F2356" s="153"/>
      <c r="G2356" s="10"/>
      <c r="H2356" s="17"/>
      <c r="I2356" s="17"/>
      <c r="J2356" s="17"/>
      <c r="K2356" s="30"/>
      <c r="L2356" s="30"/>
      <c r="M2356" s="30"/>
      <c r="N2356" s="30"/>
      <c r="O2356" s="30"/>
      <c r="P2356" s="30"/>
      <c r="Q2356" s="30"/>
      <c r="R2356" s="30"/>
      <c r="S2356" s="30"/>
      <c r="T2356" s="30"/>
      <c r="U2356" s="30"/>
      <c r="V2356" s="30"/>
      <c r="W2356" s="29"/>
      <c r="X2356" s="15"/>
      <c r="Y2356" s="30"/>
      <c r="Z2356" s="30"/>
      <c r="AA2356" s="30"/>
      <c r="AB2356" s="30"/>
      <c r="AC2356" s="17"/>
      <c r="AD2356" s="17"/>
      <c r="AE2356" s="17"/>
      <c r="AF2356" s="17"/>
      <c r="AG2356" s="21"/>
      <c r="AH2356" s="21"/>
      <c r="AI2356" s="21"/>
      <c r="AJ2356" s="21"/>
      <c r="AK2356" s="21"/>
      <c r="AL2356" s="21"/>
      <c r="AM2356" s="21"/>
      <c r="AN2356" s="21"/>
      <c r="AO2356" s="22"/>
      <c r="AP2356" s="21"/>
      <c r="AQ2356" s="22"/>
      <c r="AR2356" s="21"/>
      <c r="AS2356" s="21"/>
      <c r="AT2356" s="21"/>
      <c r="AU2356" s="21"/>
      <c r="AV2356" s="21"/>
      <c r="AW2356" s="21"/>
      <c r="AX2356" s="22"/>
      <c r="AY2356" s="21"/>
      <c r="AZ2356" s="22"/>
      <c r="BA2356" s="21"/>
      <c r="BB2356" s="21"/>
      <c r="BC2356" s="21"/>
      <c r="BD2356" s="21"/>
      <c r="BE2356" s="26"/>
      <c r="BF2356" s="26"/>
      <c r="BG2356" s="62"/>
    </row>
    <row r="2357" spans="1:59" x14ac:dyDescent="0.3">
      <c r="A2357" s="6"/>
      <c r="B2357" s="6"/>
      <c r="C2357" s="39"/>
      <c r="D2357" s="6"/>
      <c r="E2357" s="149"/>
      <c r="F2357" s="153"/>
      <c r="G2357" s="10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5"/>
      <c r="V2357" s="5"/>
      <c r="W2357" s="13"/>
      <c r="X2357" s="4"/>
      <c r="Y2357" s="4"/>
      <c r="Z2357" s="4"/>
      <c r="AA2357" s="6"/>
      <c r="AB2357" s="5"/>
      <c r="AC2357" s="9"/>
      <c r="AD2357" s="9"/>
      <c r="AE2357" s="9"/>
      <c r="AF2357" s="9"/>
      <c r="AG2357" s="2"/>
      <c r="AH2357" s="3"/>
      <c r="AI2357" s="2"/>
      <c r="AJ2357" s="2"/>
      <c r="AK2357" s="2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</row>
    <row r="2358" spans="1:59" x14ac:dyDescent="0.3">
      <c r="A2358" s="6"/>
      <c r="B2358" s="6"/>
      <c r="C2358" s="39"/>
      <c r="D2358" s="6"/>
      <c r="E2358" s="149"/>
      <c r="F2358" s="153"/>
      <c r="G2358" s="10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12"/>
      <c r="Y2358" s="6"/>
      <c r="Z2358" s="6"/>
      <c r="AA2358" s="6"/>
      <c r="AB2358" s="6"/>
      <c r="AC2358" s="9"/>
      <c r="AD2358" s="9"/>
      <c r="AE2358" s="9"/>
      <c r="AF2358" s="9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21"/>
      <c r="AS2358" s="21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</row>
    <row r="2359" spans="1:59" x14ac:dyDescent="0.3">
      <c r="A2359" s="63"/>
      <c r="B2359" s="63"/>
      <c r="C2359" s="39"/>
      <c r="D2359" s="6"/>
      <c r="E2359" s="149"/>
      <c r="F2359" s="153"/>
      <c r="G2359" s="10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5"/>
      <c r="V2359" s="5"/>
      <c r="W2359" s="13"/>
      <c r="X2359" s="4"/>
      <c r="Y2359" s="4"/>
      <c r="Z2359" s="4"/>
      <c r="AA2359" s="6"/>
      <c r="AB2359" s="5"/>
      <c r="AC2359" s="9"/>
      <c r="AD2359" s="9"/>
      <c r="AE2359" s="9"/>
      <c r="AF2359" s="9"/>
      <c r="AG2359" s="64"/>
      <c r="AH2359" s="3"/>
      <c r="AI2359" s="2"/>
      <c r="AJ2359" s="2"/>
      <c r="AK2359" s="2"/>
      <c r="AL2359" s="3"/>
      <c r="AM2359" s="3"/>
      <c r="AN2359" s="3"/>
      <c r="AO2359" s="3"/>
      <c r="AP2359" s="3"/>
      <c r="AQ2359" s="3"/>
      <c r="AR2359" s="21"/>
      <c r="AS2359" s="21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</row>
    <row r="2360" spans="1:59" ht="13.5" customHeight="1" x14ac:dyDescent="0.35">
      <c r="A2360" s="49"/>
      <c r="B2360" s="49"/>
      <c r="C2360" s="39"/>
      <c r="D2360" s="1"/>
      <c r="E2360" s="149"/>
      <c r="F2360" s="153"/>
      <c r="G2360" s="10"/>
      <c r="H2360" s="17"/>
      <c r="I2360" s="17"/>
      <c r="J2360" s="17"/>
      <c r="K2360" s="30"/>
      <c r="L2360" s="30"/>
      <c r="M2360" s="30"/>
      <c r="N2360" s="30"/>
      <c r="O2360" s="30"/>
      <c r="P2360" s="30"/>
      <c r="Q2360" s="30"/>
      <c r="R2360" s="30"/>
      <c r="S2360" s="30"/>
      <c r="T2360" s="30"/>
      <c r="U2360" s="30"/>
      <c r="V2360" s="30"/>
      <c r="W2360" s="29"/>
      <c r="X2360" s="15"/>
      <c r="Y2360" s="30"/>
      <c r="Z2360" s="30"/>
      <c r="AA2360" s="30"/>
      <c r="AB2360" s="30"/>
      <c r="AC2360" s="17"/>
      <c r="AD2360" s="17"/>
      <c r="AE2360" s="17"/>
      <c r="AF2360" s="17"/>
      <c r="AG2360" s="21"/>
      <c r="AH2360" s="21"/>
      <c r="AI2360" s="21"/>
      <c r="AJ2360" s="21"/>
      <c r="AK2360" s="21"/>
      <c r="AL2360" s="21"/>
      <c r="AM2360" s="21"/>
      <c r="AN2360" s="21"/>
      <c r="AO2360" s="22"/>
      <c r="AP2360" s="21"/>
      <c r="AQ2360" s="22"/>
      <c r="AR2360" s="21"/>
      <c r="AS2360" s="21"/>
      <c r="AT2360" s="21"/>
      <c r="AU2360" s="21"/>
      <c r="AV2360" s="21"/>
      <c r="AW2360" s="21"/>
      <c r="AX2360" s="22"/>
      <c r="AY2360" s="21"/>
      <c r="AZ2360" s="22"/>
      <c r="BA2360" s="21"/>
      <c r="BB2360" s="21"/>
      <c r="BC2360" s="21"/>
      <c r="BD2360" s="21"/>
      <c r="BE2360" s="26"/>
      <c r="BF2360" s="26"/>
      <c r="BG2360" s="62"/>
    </row>
    <row r="2361" spans="1:59" x14ac:dyDescent="0.3">
      <c r="A2361" s="6"/>
      <c r="B2361" s="6"/>
      <c r="C2361" s="39"/>
      <c r="D2361" s="6"/>
      <c r="E2361" s="149"/>
      <c r="F2361" s="153"/>
      <c r="G2361" s="10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5"/>
      <c r="V2361" s="5"/>
      <c r="W2361" s="13"/>
      <c r="X2361" s="4"/>
      <c r="Y2361" s="4"/>
      <c r="Z2361" s="4"/>
      <c r="AA2361" s="6"/>
      <c r="AB2361" s="5"/>
      <c r="AC2361" s="9"/>
      <c r="AD2361" s="9"/>
      <c r="AE2361" s="9"/>
      <c r="AF2361" s="9"/>
      <c r="AG2361" s="2"/>
      <c r="AH2361" s="3"/>
      <c r="AI2361" s="2"/>
      <c r="AJ2361" s="2"/>
      <c r="AK2361" s="2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</row>
    <row r="2362" spans="1:59" x14ac:dyDescent="0.3">
      <c r="A2362" s="63"/>
      <c r="B2362" s="63"/>
      <c r="C2362" s="39"/>
      <c r="D2362" s="6"/>
      <c r="E2362" s="149"/>
      <c r="F2362" s="153"/>
      <c r="G2362" s="10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5"/>
      <c r="V2362" s="5"/>
      <c r="W2362" s="13"/>
      <c r="X2362" s="4"/>
      <c r="Y2362" s="4"/>
      <c r="Z2362" s="4"/>
      <c r="AA2362" s="6"/>
      <c r="AB2362" s="5"/>
      <c r="AC2362" s="9"/>
      <c r="AD2362" s="9"/>
      <c r="AE2362" s="9"/>
      <c r="AF2362" s="9"/>
      <c r="AG2362" s="64"/>
      <c r="AH2362" s="3"/>
      <c r="AI2362" s="2"/>
      <c r="AJ2362" s="2"/>
      <c r="AK2362" s="2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</row>
    <row r="2363" spans="1:59" x14ac:dyDescent="0.3">
      <c r="A2363" s="6"/>
      <c r="B2363" s="6"/>
      <c r="C2363" s="39"/>
      <c r="D2363" s="6"/>
      <c r="E2363" s="149"/>
      <c r="F2363" s="153"/>
      <c r="G2363" s="10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12"/>
      <c r="Y2363" s="6"/>
      <c r="Z2363" s="6"/>
      <c r="AA2363" s="6"/>
      <c r="AB2363" s="6"/>
      <c r="AC2363" s="9"/>
      <c r="AD2363" s="9"/>
      <c r="AE2363" s="9"/>
      <c r="AF2363" s="9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21"/>
      <c r="AS2363" s="21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</row>
    <row r="2364" spans="1:59" x14ac:dyDescent="0.3">
      <c r="A2364" s="63"/>
      <c r="B2364" s="63"/>
      <c r="C2364" s="39"/>
      <c r="D2364" s="6"/>
      <c r="E2364" s="149"/>
      <c r="F2364" s="153"/>
      <c r="G2364" s="10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5"/>
      <c r="V2364" s="5"/>
      <c r="W2364" s="13"/>
      <c r="X2364" s="4"/>
      <c r="Y2364" s="4"/>
      <c r="Z2364" s="4"/>
      <c r="AA2364" s="6"/>
      <c r="AB2364" s="5"/>
      <c r="AC2364" s="9"/>
      <c r="AD2364" s="9"/>
      <c r="AE2364" s="9"/>
      <c r="AF2364" s="9"/>
      <c r="AG2364" s="64"/>
      <c r="AH2364" s="3"/>
      <c r="AI2364" s="2"/>
      <c r="AJ2364" s="2"/>
      <c r="AK2364" s="2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</row>
    <row r="2365" spans="1:59" x14ac:dyDescent="0.3">
      <c r="A2365" s="6"/>
      <c r="B2365" s="6"/>
      <c r="C2365" s="39"/>
      <c r="D2365" s="6"/>
      <c r="E2365" s="149"/>
      <c r="F2365" s="153"/>
      <c r="G2365" s="10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12"/>
      <c r="Y2365" s="6"/>
      <c r="Z2365" s="6"/>
      <c r="AA2365" s="6"/>
      <c r="AB2365" s="6"/>
      <c r="AC2365" s="9"/>
      <c r="AD2365" s="9"/>
      <c r="AE2365" s="9"/>
      <c r="AF2365" s="9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21"/>
      <c r="AS2365" s="21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</row>
    <row r="2366" spans="1:59" ht="13.5" customHeight="1" x14ac:dyDescent="0.35">
      <c r="A2366" s="49"/>
      <c r="B2366" s="49"/>
      <c r="C2366" s="39"/>
      <c r="D2366" s="1"/>
      <c r="E2366" s="149"/>
      <c r="F2366" s="153"/>
      <c r="G2366" s="10"/>
      <c r="H2366" s="17"/>
      <c r="I2366" s="17"/>
      <c r="J2366" s="17"/>
      <c r="K2366" s="30"/>
      <c r="L2366" s="30"/>
      <c r="M2366" s="30"/>
      <c r="N2366" s="30"/>
      <c r="O2366" s="30"/>
      <c r="P2366" s="30"/>
      <c r="Q2366" s="30"/>
      <c r="R2366" s="30"/>
      <c r="S2366" s="30"/>
      <c r="T2366" s="30"/>
      <c r="U2366" s="30"/>
      <c r="V2366" s="30"/>
      <c r="W2366" s="29"/>
      <c r="X2366" s="15"/>
      <c r="Y2366" s="30"/>
      <c r="Z2366" s="30"/>
      <c r="AA2366" s="30"/>
      <c r="AB2366" s="30"/>
      <c r="AC2366" s="17"/>
      <c r="AD2366" s="17"/>
      <c r="AE2366" s="17"/>
      <c r="AF2366" s="17"/>
      <c r="AG2366" s="21"/>
      <c r="AH2366" s="21"/>
      <c r="AI2366" s="21"/>
      <c r="AJ2366" s="21"/>
      <c r="AK2366" s="21"/>
      <c r="AL2366" s="21"/>
      <c r="AM2366" s="21"/>
      <c r="AN2366" s="21"/>
      <c r="AO2366" s="22"/>
      <c r="AP2366" s="21"/>
      <c r="AQ2366" s="22"/>
      <c r="AR2366" s="21"/>
      <c r="AS2366" s="21"/>
      <c r="AT2366" s="21"/>
      <c r="AU2366" s="21"/>
      <c r="AV2366" s="21"/>
      <c r="AW2366" s="21"/>
      <c r="AX2366" s="22"/>
      <c r="AY2366" s="21"/>
      <c r="AZ2366" s="22"/>
      <c r="BA2366" s="21"/>
      <c r="BB2366" s="21"/>
      <c r="BC2366" s="21"/>
      <c r="BD2366" s="21"/>
      <c r="BE2366" s="26"/>
      <c r="BF2366" s="26"/>
      <c r="BG2366" s="62"/>
    </row>
    <row r="2367" spans="1:59" x14ac:dyDescent="0.3">
      <c r="A2367" s="63"/>
      <c r="B2367" s="63"/>
      <c r="C2367" s="39"/>
      <c r="D2367" s="6"/>
      <c r="E2367" s="149"/>
      <c r="F2367" s="153"/>
      <c r="G2367" s="10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5"/>
      <c r="V2367" s="5"/>
      <c r="W2367" s="13"/>
      <c r="X2367" s="4"/>
      <c r="Y2367" s="4"/>
      <c r="Z2367" s="4"/>
      <c r="AA2367" s="6"/>
      <c r="AB2367" s="5"/>
      <c r="AC2367" s="9"/>
      <c r="AD2367" s="9"/>
      <c r="AE2367" s="9"/>
      <c r="AF2367" s="9"/>
      <c r="AG2367" s="64"/>
      <c r="AH2367" s="3"/>
      <c r="AI2367" s="2"/>
      <c r="AJ2367" s="2"/>
      <c r="AK2367" s="2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</row>
    <row r="2368" spans="1:59" x14ac:dyDescent="0.3">
      <c r="A2368" s="6"/>
      <c r="B2368" s="6"/>
      <c r="C2368" s="39"/>
      <c r="D2368" s="6"/>
      <c r="E2368" s="149"/>
      <c r="F2368" s="153"/>
      <c r="G2368" s="10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12"/>
      <c r="Y2368" s="6"/>
      <c r="Z2368" s="6"/>
      <c r="AA2368" s="6"/>
      <c r="AB2368" s="6"/>
      <c r="AC2368" s="9"/>
      <c r="AD2368" s="9"/>
      <c r="AE2368" s="9"/>
      <c r="AF2368" s="9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21"/>
      <c r="AS2368" s="21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</row>
    <row r="2369" spans="1:59" x14ac:dyDescent="0.3">
      <c r="A2369" s="6"/>
      <c r="B2369" s="6"/>
      <c r="C2369" s="39"/>
      <c r="D2369" s="6"/>
      <c r="E2369" s="149"/>
      <c r="F2369" s="153"/>
      <c r="G2369" s="10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12"/>
      <c r="Y2369" s="6"/>
      <c r="Z2369" s="6"/>
      <c r="AA2369" s="6"/>
      <c r="AB2369" s="6"/>
      <c r="AC2369" s="9"/>
      <c r="AD2369" s="9"/>
      <c r="AE2369" s="9"/>
      <c r="AF2369" s="9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21"/>
      <c r="AS2369" s="21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</row>
    <row r="2370" spans="1:59" x14ac:dyDescent="0.3">
      <c r="A2370" s="6"/>
      <c r="B2370" s="6"/>
      <c r="C2370" s="39"/>
      <c r="D2370" s="6"/>
      <c r="E2370" s="149"/>
      <c r="F2370" s="153"/>
      <c r="G2370" s="10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12"/>
      <c r="Y2370" s="6"/>
      <c r="Z2370" s="6"/>
      <c r="AA2370" s="6"/>
      <c r="AB2370" s="6"/>
      <c r="AC2370" s="9"/>
      <c r="AD2370" s="9"/>
      <c r="AE2370" s="9"/>
      <c r="AF2370" s="9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21"/>
      <c r="AS2370" s="21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</row>
    <row r="2371" spans="1:59" ht="13.5" customHeight="1" x14ac:dyDescent="0.35">
      <c r="A2371" s="49"/>
      <c r="B2371" s="49"/>
      <c r="C2371" s="14"/>
      <c r="D2371" s="1"/>
      <c r="E2371" s="149"/>
      <c r="F2371" s="153"/>
      <c r="G2371" s="10"/>
      <c r="H2371" s="17"/>
      <c r="I2371" s="17"/>
      <c r="J2371" s="17"/>
      <c r="K2371" s="30"/>
      <c r="L2371" s="30"/>
      <c r="M2371" s="30"/>
      <c r="N2371" s="30"/>
      <c r="O2371" s="30"/>
      <c r="P2371" s="30"/>
      <c r="Q2371" s="30"/>
      <c r="R2371" s="30"/>
      <c r="S2371" s="30"/>
      <c r="T2371" s="30"/>
      <c r="U2371" s="30"/>
      <c r="V2371" s="30"/>
      <c r="W2371" s="29"/>
      <c r="X2371" s="15"/>
      <c r="Y2371" s="30"/>
      <c r="Z2371" s="30"/>
      <c r="AA2371" s="30"/>
      <c r="AB2371" s="30"/>
      <c r="AC2371" s="17"/>
      <c r="AD2371" s="17"/>
      <c r="AE2371" s="17"/>
      <c r="AF2371" s="17"/>
      <c r="AG2371" s="21"/>
      <c r="AH2371" s="21"/>
      <c r="AI2371" s="21"/>
      <c r="AJ2371" s="21"/>
      <c r="AK2371" s="21"/>
      <c r="AL2371" s="21"/>
      <c r="AM2371" s="21"/>
      <c r="AN2371" s="21"/>
      <c r="AO2371" s="22"/>
      <c r="AP2371" s="21"/>
      <c r="AQ2371" s="22"/>
      <c r="AR2371" s="21"/>
      <c r="AS2371" s="21"/>
      <c r="AT2371" s="21"/>
      <c r="AU2371" s="21"/>
      <c r="AV2371" s="21"/>
      <c r="AW2371" s="21"/>
      <c r="AX2371" s="22"/>
      <c r="AY2371" s="21"/>
      <c r="AZ2371" s="22"/>
      <c r="BA2371" s="21"/>
      <c r="BB2371" s="21"/>
      <c r="BC2371" s="21"/>
      <c r="BD2371" s="21"/>
      <c r="BE2371" s="26"/>
      <c r="BF2371" s="26"/>
      <c r="BG2371" s="62"/>
    </row>
    <row r="2372" spans="1:59" x14ac:dyDescent="0.3">
      <c r="A2372" s="6"/>
      <c r="B2372" s="6"/>
      <c r="C2372" s="39"/>
      <c r="D2372" s="6"/>
      <c r="E2372" s="149"/>
      <c r="F2372" s="153"/>
      <c r="G2372" s="10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12"/>
      <c r="Y2372" s="6"/>
      <c r="Z2372" s="6"/>
      <c r="AA2372" s="6"/>
      <c r="AB2372" s="6"/>
      <c r="AC2372" s="9"/>
      <c r="AD2372" s="9"/>
      <c r="AE2372" s="9"/>
      <c r="AF2372" s="9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21"/>
      <c r="AS2372" s="21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</row>
    <row r="2373" spans="1:59" ht="13.5" customHeight="1" x14ac:dyDescent="0.35">
      <c r="A2373" s="49"/>
      <c r="B2373" s="49"/>
      <c r="C2373" s="14"/>
      <c r="D2373" s="1"/>
      <c r="E2373" s="149"/>
      <c r="F2373" s="153"/>
      <c r="G2373" s="10"/>
      <c r="H2373" s="17"/>
      <c r="I2373" s="17"/>
      <c r="J2373" s="17"/>
      <c r="K2373" s="30"/>
      <c r="L2373" s="30"/>
      <c r="M2373" s="30"/>
      <c r="N2373" s="30"/>
      <c r="O2373" s="30"/>
      <c r="P2373" s="30"/>
      <c r="Q2373" s="30"/>
      <c r="R2373" s="30"/>
      <c r="S2373" s="30"/>
      <c r="T2373" s="30"/>
      <c r="U2373" s="30"/>
      <c r="V2373" s="30"/>
      <c r="W2373" s="29"/>
      <c r="X2373" s="15"/>
      <c r="Y2373" s="30"/>
      <c r="Z2373" s="30"/>
      <c r="AA2373" s="30"/>
      <c r="AB2373" s="30"/>
      <c r="AC2373" s="17"/>
      <c r="AD2373" s="17"/>
      <c r="AE2373" s="17"/>
      <c r="AF2373" s="17"/>
      <c r="AG2373" s="21"/>
      <c r="AH2373" s="21"/>
      <c r="AI2373" s="21"/>
      <c r="AJ2373" s="21"/>
      <c r="AK2373" s="21"/>
      <c r="AL2373" s="21"/>
      <c r="AM2373" s="21"/>
      <c r="AN2373" s="21"/>
      <c r="AO2373" s="22"/>
      <c r="AP2373" s="21"/>
      <c r="AQ2373" s="22"/>
      <c r="AR2373" s="21"/>
      <c r="AS2373" s="21"/>
      <c r="AT2373" s="21"/>
      <c r="AU2373" s="21"/>
      <c r="AV2373" s="21"/>
      <c r="AW2373" s="21"/>
      <c r="AX2373" s="22"/>
      <c r="AY2373" s="21"/>
      <c r="AZ2373" s="22"/>
      <c r="BA2373" s="21"/>
      <c r="BB2373" s="21"/>
      <c r="BC2373" s="21"/>
      <c r="BD2373" s="21"/>
      <c r="BE2373" s="26"/>
      <c r="BF2373" s="26"/>
      <c r="BG2373" s="62"/>
    </row>
    <row r="2374" spans="1:59" x14ac:dyDescent="0.3">
      <c r="A2374" s="6"/>
      <c r="B2374" s="6"/>
      <c r="C2374" s="39"/>
      <c r="D2374" s="6"/>
      <c r="E2374" s="149"/>
      <c r="F2374" s="153"/>
      <c r="G2374" s="10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12"/>
      <c r="Y2374" s="6"/>
      <c r="Z2374" s="6"/>
      <c r="AA2374" s="6"/>
      <c r="AB2374" s="6"/>
      <c r="AC2374" s="9"/>
      <c r="AD2374" s="9"/>
      <c r="AE2374" s="9"/>
      <c r="AF2374" s="9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21"/>
      <c r="AS2374" s="21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</row>
    <row r="2375" spans="1:59" x14ac:dyDescent="0.3">
      <c r="A2375" s="6"/>
      <c r="B2375" s="6"/>
      <c r="C2375" s="39"/>
      <c r="D2375" s="6"/>
      <c r="E2375" s="149"/>
      <c r="F2375" s="153"/>
      <c r="G2375" s="10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12"/>
      <c r="Y2375" s="6"/>
      <c r="Z2375" s="6"/>
      <c r="AA2375" s="6"/>
      <c r="AB2375" s="6"/>
      <c r="AC2375" s="9"/>
      <c r="AD2375" s="9"/>
      <c r="AE2375" s="9"/>
      <c r="AF2375" s="9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21"/>
      <c r="AS2375" s="21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</row>
    <row r="2376" spans="1:59" x14ac:dyDescent="0.3">
      <c r="A2376" s="6"/>
      <c r="B2376" s="6"/>
      <c r="C2376" s="39"/>
      <c r="D2376" s="6"/>
      <c r="E2376" s="149"/>
      <c r="F2376" s="153"/>
      <c r="G2376" s="10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12"/>
      <c r="Y2376" s="6"/>
      <c r="Z2376" s="6"/>
      <c r="AA2376" s="6"/>
      <c r="AB2376" s="6"/>
      <c r="AC2376" s="9"/>
      <c r="AD2376" s="9"/>
      <c r="AE2376" s="9"/>
      <c r="AF2376" s="9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21"/>
      <c r="AS2376" s="21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</row>
    <row r="2377" spans="1:59" x14ac:dyDescent="0.3">
      <c r="A2377" s="6"/>
      <c r="B2377" s="6"/>
      <c r="C2377" s="39"/>
      <c r="D2377" s="6"/>
      <c r="E2377" s="149"/>
      <c r="F2377" s="153"/>
      <c r="G2377" s="10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12"/>
      <c r="Y2377" s="6"/>
      <c r="Z2377" s="6"/>
      <c r="AA2377" s="6"/>
      <c r="AB2377" s="6"/>
      <c r="AC2377" s="9"/>
      <c r="AD2377" s="9"/>
      <c r="AE2377" s="9"/>
      <c r="AF2377" s="9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21"/>
      <c r="AS2377" s="21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</row>
    <row r="2378" spans="1:59" x14ac:dyDescent="0.3">
      <c r="A2378" s="6"/>
      <c r="B2378" s="6"/>
      <c r="C2378" s="39"/>
      <c r="D2378" s="6"/>
      <c r="E2378" s="149"/>
      <c r="F2378" s="153"/>
      <c r="G2378" s="10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12"/>
      <c r="Y2378" s="6"/>
      <c r="Z2378" s="6"/>
      <c r="AA2378" s="6"/>
      <c r="AB2378" s="6"/>
      <c r="AC2378" s="9"/>
      <c r="AD2378" s="9"/>
      <c r="AE2378" s="9"/>
      <c r="AF2378" s="9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</row>
    <row r="2379" spans="1:59" x14ac:dyDescent="0.3">
      <c r="A2379" s="6"/>
      <c r="B2379" s="6"/>
      <c r="C2379" s="39"/>
      <c r="D2379" s="6"/>
      <c r="E2379" s="149"/>
      <c r="F2379" s="153"/>
      <c r="G2379" s="10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12"/>
      <c r="Y2379" s="6"/>
      <c r="Z2379" s="6"/>
      <c r="AA2379" s="6"/>
      <c r="AB2379" s="6"/>
      <c r="AC2379" s="9"/>
      <c r="AD2379" s="9"/>
      <c r="AE2379" s="9"/>
      <c r="AF2379" s="9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21"/>
      <c r="AS2379" s="21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</row>
    <row r="2380" spans="1:59" ht="13.5" customHeight="1" x14ac:dyDescent="0.35">
      <c r="A2380" s="49"/>
      <c r="B2380" s="49"/>
      <c r="C2380" s="14"/>
      <c r="D2380" s="1"/>
      <c r="E2380" s="149"/>
      <c r="F2380" s="153"/>
      <c r="G2380" s="10"/>
      <c r="H2380" s="17"/>
      <c r="I2380" s="17"/>
      <c r="J2380" s="17"/>
      <c r="K2380" s="30"/>
      <c r="L2380" s="30"/>
      <c r="M2380" s="30"/>
      <c r="N2380" s="30"/>
      <c r="O2380" s="30"/>
      <c r="P2380" s="30"/>
      <c r="Q2380" s="30"/>
      <c r="R2380" s="30"/>
      <c r="S2380" s="30"/>
      <c r="T2380" s="30"/>
      <c r="U2380" s="30"/>
      <c r="V2380" s="30"/>
      <c r="W2380" s="29"/>
      <c r="X2380" s="15"/>
      <c r="Y2380" s="30"/>
      <c r="Z2380" s="30"/>
      <c r="AA2380" s="30"/>
      <c r="AB2380" s="30"/>
      <c r="AC2380" s="17"/>
      <c r="AD2380" s="17"/>
      <c r="AE2380" s="17"/>
      <c r="AF2380" s="17"/>
      <c r="AG2380" s="21"/>
      <c r="AH2380" s="21"/>
      <c r="AI2380" s="21"/>
      <c r="AJ2380" s="21"/>
      <c r="AK2380" s="21"/>
      <c r="AL2380" s="21"/>
      <c r="AM2380" s="21"/>
      <c r="AN2380" s="21"/>
      <c r="AO2380" s="22"/>
      <c r="AP2380" s="21"/>
      <c r="AQ2380" s="22"/>
      <c r="AR2380" s="21"/>
      <c r="AS2380" s="21"/>
      <c r="AT2380" s="21"/>
      <c r="AU2380" s="21"/>
      <c r="AV2380" s="21"/>
      <c r="AW2380" s="21"/>
      <c r="AX2380" s="22"/>
      <c r="AY2380" s="21"/>
      <c r="AZ2380" s="22"/>
      <c r="BA2380" s="21"/>
      <c r="BB2380" s="21"/>
      <c r="BC2380" s="21"/>
      <c r="BD2380" s="21"/>
      <c r="BE2380" s="26"/>
      <c r="BF2380" s="26"/>
      <c r="BG2380" s="62"/>
    </row>
    <row r="2381" spans="1:59" x14ac:dyDescent="0.3">
      <c r="A2381" s="6"/>
      <c r="B2381" s="6"/>
      <c r="C2381" s="39"/>
      <c r="D2381" s="6"/>
      <c r="E2381" s="149"/>
      <c r="F2381" s="153"/>
      <c r="G2381" s="10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12"/>
      <c r="Y2381" s="6"/>
      <c r="Z2381" s="6"/>
      <c r="AA2381" s="6"/>
      <c r="AB2381" s="6"/>
      <c r="AC2381" s="9"/>
      <c r="AD2381" s="9"/>
      <c r="AE2381" s="9"/>
      <c r="AF2381" s="9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21"/>
      <c r="AS2381" s="21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</row>
    <row r="2382" spans="1:59" x14ac:dyDescent="0.3">
      <c r="A2382" s="6"/>
      <c r="B2382" s="6"/>
      <c r="C2382" s="39"/>
      <c r="D2382" s="6"/>
      <c r="E2382" s="149"/>
      <c r="F2382" s="153"/>
      <c r="G2382" s="10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12"/>
      <c r="Y2382" s="6"/>
      <c r="Z2382" s="6"/>
      <c r="AA2382" s="6"/>
      <c r="AB2382" s="6"/>
      <c r="AC2382" s="9"/>
      <c r="AD2382" s="9"/>
      <c r="AE2382" s="9"/>
      <c r="AF2382" s="9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21"/>
      <c r="AS2382" s="21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</row>
    <row r="2383" spans="1:59" x14ac:dyDescent="0.3">
      <c r="A2383" s="6"/>
      <c r="B2383" s="6"/>
      <c r="C2383" s="39"/>
      <c r="D2383" s="6"/>
      <c r="E2383" s="149"/>
      <c r="F2383" s="153"/>
      <c r="G2383" s="10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12"/>
      <c r="Y2383" s="6"/>
      <c r="Z2383" s="6"/>
      <c r="AA2383" s="6"/>
      <c r="AB2383" s="6"/>
      <c r="AC2383" s="9"/>
      <c r="AD2383" s="9"/>
      <c r="AE2383" s="9"/>
      <c r="AF2383" s="9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21"/>
      <c r="AS2383" s="21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</row>
    <row r="2384" spans="1:59" x14ac:dyDescent="0.3">
      <c r="A2384" s="6"/>
      <c r="B2384" s="6"/>
      <c r="C2384" s="39"/>
      <c r="D2384" s="6"/>
      <c r="E2384" s="149"/>
      <c r="F2384" s="153"/>
      <c r="G2384" s="10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5"/>
      <c r="V2384" s="5"/>
      <c r="W2384" s="13"/>
      <c r="X2384" s="4"/>
      <c r="Y2384" s="4"/>
      <c r="Z2384" s="4"/>
      <c r="AA2384" s="6"/>
      <c r="AB2384" s="5"/>
      <c r="AC2384" s="9"/>
      <c r="AD2384" s="9"/>
      <c r="AE2384" s="9"/>
      <c r="AF2384" s="9"/>
      <c r="AG2384" s="2"/>
      <c r="AH2384" s="3"/>
      <c r="AI2384" s="2"/>
      <c r="AJ2384" s="2"/>
      <c r="AK2384" s="2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</row>
    <row r="2385" spans="1:59" x14ac:dyDescent="0.3">
      <c r="A2385" s="6"/>
      <c r="B2385" s="6"/>
      <c r="C2385" s="39"/>
      <c r="D2385" s="6"/>
      <c r="E2385" s="149"/>
      <c r="F2385" s="153"/>
      <c r="G2385" s="10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5"/>
      <c r="V2385" s="5"/>
      <c r="W2385" s="13"/>
      <c r="X2385" s="4"/>
      <c r="Y2385" s="4"/>
      <c r="Z2385" s="4"/>
      <c r="AA2385" s="6"/>
      <c r="AB2385" s="5"/>
      <c r="AC2385" s="9"/>
      <c r="AD2385" s="9"/>
      <c r="AE2385" s="9"/>
      <c r="AF2385" s="9"/>
      <c r="AG2385" s="2"/>
      <c r="AH2385" s="3"/>
      <c r="AI2385" s="2"/>
      <c r="AJ2385" s="2"/>
      <c r="AK2385" s="2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</row>
    <row r="2386" spans="1:59" x14ac:dyDescent="0.3">
      <c r="A2386" s="6"/>
      <c r="B2386" s="6"/>
      <c r="C2386" s="39"/>
      <c r="D2386" s="6"/>
      <c r="E2386" s="149"/>
      <c r="F2386" s="153"/>
      <c r="G2386" s="10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12"/>
      <c r="Y2386" s="6"/>
      <c r="Z2386" s="6"/>
      <c r="AA2386" s="6"/>
      <c r="AB2386" s="6"/>
      <c r="AC2386" s="9"/>
      <c r="AD2386" s="9"/>
      <c r="AE2386" s="9"/>
      <c r="AF2386" s="9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</row>
    <row r="2387" spans="1:59" x14ac:dyDescent="0.3">
      <c r="A2387" s="63"/>
      <c r="B2387" s="63"/>
      <c r="C2387" s="39"/>
      <c r="D2387" s="6"/>
      <c r="E2387" s="149"/>
      <c r="F2387" s="153"/>
      <c r="G2387" s="10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5"/>
      <c r="V2387" s="5"/>
      <c r="W2387" s="13"/>
      <c r="X2387" s="4"/>
      <c r="Y2387" s="4"/>
      <c r="Z2387" s="4"/>
      <c r="AA2387" s="6"/>
      <c r="AB2387" s="5"/>
      <c r="AC2387" s="9"/>
      <c r="AD2387" s="9"/>
      <c r="AE2387" s="9"/>
      <c r="AF2387" s="9"/>
      <c r="AG2387" s="64"/>
      <c r="AH2387" s="3"/>
      <c r="AI2387" s="2"/>
      <c r="AJ2387" s="2"/>
      <c r="AK2387" s="2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</row>
    <row r="2388" spans="1:59" x14ac:dyDescent="0.3">
      <c r="A2388" s="6"/>
      <c r="B2388" s="6"/>
      <c r="C2388" s="39"/>
      <c r="D2388" s="6"/>
      <c r="E2388" s="149"/>
      <c r="F2388" s="153"/>
      <c r="G2388" s="10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5"/>
      <c r="V2388" s="5"/>
      <c r="W2388" s="13"/>
      <c r="X2388" s="4"/>
      <c r="Y2388" s="4"/>
      <c r="Z2388" s="4"/>
      <c r="AA2388" s="6"/>
      <c r="AB2388" s="5"/>
      <c r="AC2388" s="9"/>
      <c r="AD2388" s="9"/>
      <c r="AE2388" s="9"/>
      <c r="AF2388" s="9"/>
      <c r="AG2388" s="2"/>
      <c r="AH2388" s="3"/>
      <c r="AI2388" s="2"/>
      <c r="AJ2388" s="2"/>
      <c r="AK2388" s="2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</row>
    <row r="2389" spans="1:59" x14ac:dyDescent="0.3">
      <c r="A2389" s="6"/>
      <c r="B2389" s="6"/>
      <c r="C2389" s="39"/>
      <c r="D2389" s="6"/>
      <c r="E2389" s="149"/>
      <c r="F2389" s="153"/>
      <c r="G2389" s="10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12"/>
      <c r="Y2389" s="6"/>
      <c r="Z2389" s="6"/>
      <c r="AA2389" s="6"/>
      <c r="AB2389" s="6"/>
      <c r="AC2389" s="9"/>
      <c r="AD2389" s="9"/>
      <c r="AE2389" s="9"/>
      <c r="AF2389" s="9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21"/>
      <c r="AS2389" s="21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</row>
    <row r="2390" spans="1:59" x14ac:dyDescent="0.3">
      <c r="A2390" s="6"/>
      <c r="B2390" s="6"/>
      <c r="C2390" s="39"/>
      <c r="D2390" s="6"/>
      <c r="E2390" s="149"/>
      <c r="F2390" s="153"/>
      <c r="G2390" s="10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5"/>
      <c r="V2390" s="5"/>
      <c r="W2390" s="13"/>
      <c r="X2390" s="4"/>
      <c r="Y2390" s="4"/>
      <c r="Z2390" s="4"/>
      <c r="AA2390" s="6"/>
      <c r="AB2390" s="5"/>
      <c r="AC2390" s="9"/>
      <c r="AD2390" s="9"/>
      <c r="AE2390" s="9"/>
      <c r="AF2390" s="9"/>
      <c r="AG2390" s="2"/>
      <c r="AH2390" s="3"/>
      <c r="AI2390" s="2"/>
      <c r="AJ2390" s="2"/>
      <c r="AK2390" s="2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</row>
    <row r="2391" spans="1:59" ht="13.5" customHeight="1" x14ac:dyDescent="0.35">
      <c r="A2391" s="49"/>
      <c r="B2391" s="49"/>
      <c r="C2391" s="39"/>
      <c r="D2391" s="1"/>
      <c r="E2391" s="149"/>
      <c r="F2391" s="153"/>
      <c r="G2391" s="10"/>
      <c r="H2391" s="17"/>
      <c r="I2391" s="17"/>
      <c r="J2391" s="17"/>
      <c r="K2391" s="30"/>
      <c r="L2391" s="30"/>
      <c r="M2391" s="30"/>
      <c r="N2391" s="30"/>
      <c r="O2391" s="30"/>
      <c r="P2391" s="30"/>
      <c r="Q2391" s="30"/>
      <c r="R2391" s="30"/>
      <c r="S2391" s="30"/>
      <c r="T2391" s="30"/>
      <c r="U2391" s="30"/>
      <c r="V2391" s="30"/>
      <c r="W2391" s="29"/>
      <c r="X2391" s="15"/>
      <c r="Y2391" s="30"/>
      <c r="Z2391" s="30"/>
      <c r="AA2391" s="30"/>
      <c r="AB2391" s="30"/>
      <c r="AC2391" s="17"/>
      <c r="AD2391" s="17"/>
      <c r="AE2391" s="17"/>
      <c r="AF2391" s="17"/>
      <c r="AG2391" s="21"/>
      <c r="AH2391" s="21"/>
      <c r="AI2391" s="21"/>
      <c r="AJ2391" s="21"/>
      <c r="AK2391" s="21"/>
      <c r="AL2391" s="21"/>
      <c r="AM2391" s="21"/>
      <c r="AN2391" s="21"/>
      <c r="AO2391" s="22"/>
      <c r="AP2391" s="21"/>
      <c r="AQ2391" s="22"/>
      <c r="AR2391" s="21"/>
      <c r="AS2391" s="21"/>
      <c r="AT2391" s="21"/>
      <c r="AU2391" s="21"/>
      <c r="AV2391" s="21"/>
      <c r="AW2391" s="21"/>
      <c r="AX2391" s="22"/>
      <c r="AY2391" s="21"/>
      <c r="AZ2391" s="22"/>
      <c r="BA2391" s="21"/>
      <c r="BB2391" s="21"/>
      <c r="BC2391" s="21"/>
      <c r="BD2391" s="21"/>
      <c r="BE2391" s="26"/>
      <c r="BF2391" s="26"/>
      <c r="BG2391" s="62"/>
    </row>
    <row r="2392" spans="1:59" x14ac:dyDescent="0.3">
      <c r="A2392" s="6"/>
      <c r="B2392" s="6"/>
      <c r="C2392" s="39"/>
      <c r="D2392" s="6"/>
      <c r="E2392" s="149"/>
      <c r="F2392" s="153"/>
      <c r="G2392" s="10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12"/>
      <c r="Y2392" s="6"/>
      <c r="Z2392" s="6"/>
      <c r="AA2392" s="6"/>
      <c r="AB2392" s="6"/>
      <c r="AC2392" s="9"/>
      <c r="AD2392" s="9"/>
      <c r="AE2392" s="9"/>
      <c r="AF2392" s="9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21"/>
      <c r="AS2392" s="21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</row>
    <row r="2393" spans="1:59" x14ac:dyDescent="0.3">
      <c r="A2393" s="6"/>
      <c r="B2393" s="6"/>
      <c r="C2393" s="39"/>
      <c r="D2393" s="6"/>
      <c r="E2393" s="149"/>
      <c r="F2393" s="153"/>
      <c r="G2393" s="10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12"/>
      <c r="Y2393" s="6"/>
      <c r="Z2393" s="6"/>
      <c r="AA2393" s="6"/>
      <c r="AB2393" s="6"/>
      <c r="AC2393" s="9"/>
      <c r="AD2393" s="9"/>
      <c r="AE2393" s="9"/>
      <c r="AF2393" s="9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21"/>
      <c r="AS2393" s="21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</row>
    <row r="2394" spans="1:59" x14ac:dyDescent="0.3">
      <c r="A2394" s="6"/>
      <c r="B2394" s="6"/>
      <c r="C2394" s="39"/>
      <c r="D2394" s="6"/>
      <c r="E2394" s="149"/>
      <c r="F2394" s="153"/>
      <c r="G2394" s="10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12"/>
      <c r="Y2394" s="6"/>
      <c r="Z2394" s="6"/>
      <c r="AA2394" s="6"/>
      <c r="AB2394" s="6"/>
      <c r="AC2394" s="9"/>
      <c r="AD2394" s="9"/>
      <c r="AE2394" s="9"/>
      <c r="AF2394" s="9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21"/>
      <c r="AS2394" s="21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</row>
    <row r="2395" spans="1:59" x14ac:dyDescent="0.3">
      <c r="A2395" s="6"/>
      <c r="B2395" s="6"/>
      <c r="C2395" s="39"/>
      <c r="D2395" s="6"/>
      <c r="E2395" s="149"/>
      <c r="F2395" s="153"/>
      <c r="G2395" s="10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12"/>
      <c r="Y2395" s="6"/>
      <c r="Z2395" s="6"/>
      <c r="AA2395" s="6"/>
      <c r="AB2395" s="6"/>
      <c r="AC2395" s="9"/>
      <c r="AD2395" s="9"/>
      <c r="AE2395" s="9"/>
      <c r="AF2395" s="9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21"/>
      <c r="AS2395" s="21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</row>
    <row r="2396" spans="1:59" x14ac:dyDescent="0.3">
      <c r="A2396" s="6"/>
      <c r="B2396" s="6"/>
      <c r="C2396" s="39"/>
      <c r="D2396" s="6"/>
      <c r="E2396" s="149"/>
      <c r="F2396" s="153"/>
      <c r="G2396" s="10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12"/>
      <c r="Y2396" s="6"/>
      <c r="Z2396" s="6"/>
      <c r="AA2396" s="6"/>
      <c r="AB2396" s="6"/>
      <c r="AC2396" s="9"/>
      <c r="AD2396" s="9"/>
      <c r="AE2396" s="9"/>
      <c r="AF2396" s="9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</row>
    <row r="2397" spans="1:59" ht="13.5" customHeight="1" x14ac:dyDescent="0.35">
      <c r="A2397" s="49"/>
      <c r="B2397" s="49"/>
      <c r="C2397" s="14"/>
      <c r="D2397" s="1"/>
      <c r="E2397" s="149"/>
      <c r="F2397" s="153"/>
      <c r="G2397" s="10"/>
      <c r="H2397" s="17"/>
      <c r="I2397" s="17"/>
      <c r="J2397" s="17"/>
      <c r="K2397" s="30"/>
      <c r="L2397" s="30"/>
      <c r="M2397" s="30"/>
      <c r="N2397" s="30"/>
      <c r="O2397" s="30"/>
      <c r="P2397" s="30"/>
      <c r="Q2397" s="30"/>
      <c r="R2397" s="30"/>
      <c r="S2397" s="30"/>
      <c r="T2397" s="30"/>
      <c r="U2397" s="30"/>
      <c r="V2397" s="30"/>
      <c r="W2397" s="29"/>
      <c r="X2397" s="15"/>
      <c r="Y2397" s="30"/>
      <c r="Z2397" s="30"/>
      <c r="AA2397" s="30"/>
      <c r="AB2397" s="30"/>
      <c r="AC2397" s="17"/>
      <c r="AD2397" s="17"/>
      <c r="AE2397" s="17"/>
      <c r="AF2397" s="17"/>
      <c r="AG2397" s="21"/>
      <c r="AH2397" s="21"/>
      <c r="AI2397" s="21"/>
      <c r="AJ2397" s="21"/>
      <c r="AK2397" s="21"/>
      <c r="AL2397" s="21"/>
      <c r="AM2397" s="21"/>
      <c r="AN2397" s="21"/>
      <c r="AO2397" s="22"/>
      <c r="AP2397" s="21"/>
      <c r="AQ2397" s="22"/>
      <c r="AR2397" s="21"/>
      <c r="AS2397" s="21"/>
      <c r="AT2397" s="21"/>
      <c r="AU2397" s="21"/>
      <c r="AV2397" s="21"/>
      <c r="AW2397" s="21"/>
      <c r="AX2397" s="22"/>
      <c r="AY2397" s="21"/>
      <c r="AZ2397" s="22"/>
      <c r="BA2397" s="21"/>
      <c r="BB2397" s="21"/>
      <c r="BC2397" s="21"/>
      <c r="BD2397" s="21"/>
      <c r="BE2397" s="26"/>
      <c r="BF2397" s="26"/>
      <c r="BG2397" s="62"/>
    </row>
    <row r="2398" spans="1:59" x14ac:dyDescent="0.3">
      <c r="A2398" s="6"/>
      <c r="B2398" s="6"/>
      <c r="C2398" s="39"/>
      <c r="D2398" s="6"/>
      <c r="E2398" s="149"/>
      <c r="F2398" s="153"/>
      <c r="G2398" s="10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12"/>
      <c r="Y2398" s="6"/>
      <c r="Z2398" s="6"/>
      <c r="AA2398" s="6"/>
      <c r="AB2398" s="6"/>
      <c r="AC2398" s="9"/>
      <c r="AD2398" s="9"/>
      <c r="AE2398" s="9"/>
      <c r="AF2398" s="9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21"/>
      <c r="AS2398" s="21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</row>
    <row r="2399" spans="1:59" x14ac:dyDescent="0.3">
      <c r="A2399" s="6"/>
      <c r="B2399" s="6"/>
      <c r="C2399" s="39"/>
      <c r="D2399" s="6"/>
      <c r="E2399" s="149"/>
      <c r="F2399" s="153"/>
      <c r="G2399" s="10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12"/>
      <c r="Y2399" s="6"/>
      <c r="Z2399" s="6"/>
      <c r="AA2399" s="6"/>
      <c r="AB2399" s="6"/>
      <c r="AC2399" s="9"/>
      <c r="AD2399" s="9"/>
      <c r="AE2399" s="9"/>
      <c r="AF2399" s="9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21"/>
      <c r="AS2399" s="21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</row>
    <row r="2400" spans="1:59" x14ac:dyDescent="0.3">
      <c r="A2400" s="6"/>
      <c r="B2400" s="6"/>
      <c r="C2400" s="39"/>
      <c r="D2400" s="6"/>
      <c r="E2400" s="149"/>
      <c r="F2400" s="153"/>
      <c r="G2400" s="10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5"/>
      <c r="V2400" s="5"/>
      <c r="W2400" s="13"/>
      <c r="X2400" s="4"/>
      <c r="Y2400" s="4"/>
      <c r="Z2400" s="4"/>
      <c r="AA2400" s="6"/>
      <c r="AB2400" s="5"/>
      <c r="AC2400" s="9"/>
      <c r="AD2400" s="9"/>
      <c r="AE2400" s="9"/>
      <c r="AF2400" s="9"/>
      <c r="AG2400" s="2"/>
      <c r="AH2400" s="3"/>
      <c r="AI2400" s="2"/>
      <c r="AJ2400" s="2"/>
      <c r="AK2400" s="2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</row>
    <row r="2401" spans="1:59" ht="13.5" customHeight="1" x14ac:dyDescent="0.35">
      <c r="A2401" s="49"/>
      <c r="B2401" s="49"/>
      <c r="C2401" s="14"/>
      <c r="D2401" s="1"/>
      <c r="E2401" s="149"/>
      <c r="F2401" s="153"/>
      <c r="G2401" s="10"/>
      <c r="H2401" s="17"/>
      <c r="I2401" s="17"/>
      <c r="J2401" s="17"/>
      <c r="K2401" s="30"/>
      <c r="L2401" s="30"/>
      <c r="M2401" s="30"/>
      <c r="N2401" s="30"/>
      <c r="O2401" s="30"/>
      <c r="P2401" s="30"/>
      <c r="Q2401" s="30"/>
      <c r="R2401" s="30"/>
      <c r="S2401" s="30"/>
      <c r="T2401" s="30"/>
      <c r="U2401" s="30"/>
      <c r="V2401" s="30"/>
      <c r="W2401" s="29"/>
      <c r="X2401" s="15"/>
      <c r="Y2401" s="30"/>
      <c r="Z2401" s="30"/>
      <c r="AA2401" s="30"/>
      <c r="AB2401" s="30"/>
      <c r="AC2401" s="17"/>
      <c r="AD2401" s="17"/>
      <c r="AE2401" s="17"/>
      <c r="AF2401" s="17"/>
      <c r="AG2401" s="21"/>
      <c r="AH2401" s="21"/>
      <c r="AI2401" s="21"/>
      <c r="AJ2401" s="21"/>
      <c r="AK2401" s="21"/>
      <c r="AL2401" s="21"/>
      <c r="AM2401" s="21"/>
      <c r="AN2401" s="21"/>
      <c r="AO2401" s="22"/>
      <c r="AP2401" s="21"/>
      <c r="AQ2401" s="22"/>
      <c r="AR2401" s="21"/>
      <c r="AS2401" s="21"/>
      <c r="AT2401" s="21"/>
      <c r="AU2401" s="21"/>
      <c r="AV2401" s="21"/>
      <c r="AW2401" s="21"/>
      <c r="AX2401" s="22"/>
      <c r="AY2401" s="21"/>
      <c r="AZ2401" s="22"/>
      <c r="BA2401" s="21"/>
      <c r="BB2401" s="21"/>
      <c r="BC2401" s="21"/>
      <c r="BD2401" s="21"/>
      <c r="BE2401" s="26"/>
      <c r="BF2401" s="26"/>
      <c r="BG2401" s="62"/>
    </row>
    <row r="2402" spans="1:59" ht="13.5" customHeight="1" x14ac:dyDescent="0.35">
      <c r="A2402" s="49"/>
      <c r="B2402" s="49"/>
      <c r="C2402" s="39"/>
      <c r="D2402" s="1"/>
      <c r="E2402" s="149"/>
      <c r="F2402" s="153"/>
      <c r="G2402" s="10"/>
      <c r="H2402" s="17"/>
      <c r="I2402" s="17"/>
      <c r="J2402" s="17"/>
      <c r="K2402" s="30"/>
      <c r="L2402" s="30"/>
      <c r="M2402" s="30"/>
      <c r="N2402" s="30"/>
      <c r="O2402" s="30"/>
      <c r="P2402" s="30"/>
      <c r="Q2402" s="30"/>
      <c r="R2402" s="30"/>
      <c r="S2402" s="30"/>
      <c r="T2402" s="30"/>
      <c r="U2402" s="30"/>
      <c r="V2402" s="30"/>
      <c r="W2402" s="29"/>
      <c r="X2402" s="15"/>
      <c r="Y2402" s="30"/>
      <c r="Z2402" s="30"/>
      <c r="AA2402" s="30"/>
      <c r="AB2402" s="30"/>
      <c r="AC2402" s="17"/>
      <c r="AD2402" s="17"/>
      <c r="AE2402" s="17"/>
      <c r="AF2402" s="17"/>
      <c r="AG2402" s="21"/>
      <c r="AH2402" s="21"/>
      <c r="AI2402" s="21"/>
      <c r="AJ2402" s="21"/>
      <c r="AK2402" s="21"/>
      <c r="AL2402" s="21"/>
      <c r="AM2402" s="21"/>
      <c r="AN2402" s="21"/>
      <c r="AO2402" s="22"/>
      <c r="AP2402" s="21"/>
      <c r="AQ2402" s="22"/>
      <c r="AR2402" s="21"/>
      <c r="AS2402" s="21"/>
      <c r="AT2402" s="21"/>
      <c r="AU2402" s="21"/>
      <c r="AV2402" s="21"/>
      <c r="AW2402" s="21"/>
      <c r="AX2402" s="22"/>
      <c r="AY2402" s="21"/>
      <c r="AZ2402" s="22"/>
      <c r="BA2402" s="21"/>
      <c r="BB2402" s="21"/>
      <c r="BC2402" s="21"/>
      <c r="BD2402" s="21"/>
      <c r="BE2402" s="26"/>
      <c r="BF2402" s="26"/>
      <c r="BG2402" s="62"/>
    </row>
    <row r="2403" spans="1:59" ht="13.5" customHeight="1" x14ac:dyDescent="0.35">
      <c r="A2403" s="49"/>
      <c r="B2403" s="49"/>
      <c r="C2403" s="39"/>
      <c r="D2403" s="1"/>
      <c r="E2403" s="149"/>
      <c r="F2403" s="153"/>
      <c r="G2403" s="10"/>
      <c r="H2403" s="17"/>
      <c r="I2403" s="17"/>
      <c r="J2403" s="17"/>
      <c r="K2403" s="30"/>
      <c r="L2403" s="30"/>
      <c r="M2403" s="30"/>
      <c r="N2403" s="30"/>
      <c r="O2403" s="30"/>
      <c r="P2403" s="30"/>
      <c r="Q2403" s="30"/>
      <c r="R2403" s="30"/>
      <c r="S2403" s="30"/>
      <c r="T2403" s="30"/>
      <c r="U2403" s="30"/>
      <c r="V2403" s="30"/>
      <c r="W2403" s="29"/>
      <c r="X2403" s="15"/>
      <c r="Y2403" s="30"/>
      <c r="Z2403" s="30"/>
      <c r="AA2403" s="30"/>
      <c r="AB2403" s="30"/>
      <c r="AC2403" s="17"/>
      <c r="AD2403" s="17"/>
      <c r="AE2403" s="17"/>
      <c r="AF2403" s="17"/>
      <c r="AG2403" s="21"/>
      <c r="AH2403" s="21"/>
      <c r="AI2403" s="21"/>
      <c r="AJ2403" s="21"/>
      <c r="AK2403" s="21"/>
      <c r="AL2403" s="21"/>
      <c r="AM2403" s="21"/>
      <c r="AN2403" s="21"/>
      <c r="AO2403" s="22"/>
      <c r="AP2403" s="21"/>
      <c r="AQ2403" s="22"/>
      <c r="AR2403" s="21"/>
      <c r="AS2403" s="21"/>
      <c r="AT2403" s="21"/>
      <c r="AU2403" s="21"/>
      <c r="AV2403" s="21"/>
      <c r="AW2403" s="21"/>
      <c r="AX2403" s="22"/>
      <c r="AY2403" s="21"/>
      <c r="AZ2403" s="22"/>
      <c r="BA2403" s="21"/>
      <c r="BB2403" s="21"/>
      <c r="BC2403" s="21"/>
      <c r="BD2403" s="21"/>
      <c r="BE2403" s="26"/>
      <c r="BF2403" s="26"/>
      <c r="BG2403" s="62"/>
    </row>
    <row r="2404" spans="1:59" x14ac:dyDescent="0.3">
      <c r="A2404" s="63"/>
      <c r="B2404" s="63"/>
      <c r="C2404" s="39"/>
      <c r="D2404" s="6"/>
      <c r="E2404" s="149"/>
      <c r="F2404" s="153"/>
      <c r="G2404" s="10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5"/>
      <c r="V2404" s="5"/>
      <c r="W2404" s="13"/>
      <c r="X2404" s="4"/>
      <c r="Y2404" s="4"/>
      <c r="Z2404" s="4"/>
      <c r="AA2404" s="6"/>
      <c r="AB2404" s="5"/>
      <c r="AC2404" s="9"/>
      <c r="AD2404" s="9"/>
      <c r="AE2404" s="9"/>
      <c r="AF2404" s="9"/>
      <c r="AG2404" s="64"/>
      <c r="AH2404" s="3"/>
      <c r="AI2404" s="2"/>
      <c r="AJ2404" s="2"/>
      <c r="AK2404" s="2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</row>
    <row r="2405" spans="1:59" x14ac:dyDescent="0.3">
      <c r="A2405" s="63"/>
      <c r="B2405" s="63"/>
      <c r="C2405" s="39"/>
      <c r="D2405" s="6"/>
      <c r="E2405" s="149"/>
      <c r="F2405" s="153"/>
      <c r="G2405" s="10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5"/>
      <c r="V2405" s="5"/>
      <c r="W2405" s="13"/>
      <c r="X2405" s="4"/>
      <c r="Y2405" s="4"/>
      <c r="Z2405" s="4"/>
      <c r="AA2405" s="6"/>
      <c r="AB2405" s="5"/>
      <c r="AC2405" s="9"/>
      <c r="AD2405" s="9"/>
      <c r="AE2405" s="9"/>
      <c r="AF2405" s="9"/>
      <c r="AG2405" s="64"/>
      <c r="AH2405" s="3"/>
      <c r="AI2405" s="2"/>
      <c r="AJ2405" s="2"/>
      <c r="AK2405" s="2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</row>
    <row r="2406" spans="1:59" x14ac:dyDescent="0.3">
      <c r="A2406" s="63"/>
      <c r="B2406" s="63"/>
      <c r="C2406" s="39"/>
      <c r="D2406" s="6"/>
      <c r="E2406" s="149"/>
      <c r="F2406" s="153"/>
      <c r="G2406" s="10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5"/>
      <c r="V2406" s="5"/>
      <c r="W2406" s="13"/>
      <c r="X2406" s="4"/>
      <c r="Y2406" s="4"/>
      <c r="Z2406" s="4"/>
      <c r="AA2406" s="6"/>
      <c r="AB2406" s="5"/>
      <c r="AC2406" s="9"/>
      <c r="AD2406" s="9"/>
      <c r="AE2406" s="9"/>
      <c r="AF2406" s="9"/>
      <c r="AG2406" s="64"/>
      <c r="AH2406" s="3"/>
      <c r="AI2406" s="2"/>
      <c r="AJ2406" s="2"/>
      <c r="AK2406" s="2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</row>
    <row r="2407" spans="1:59" x14ac:dyDescent="0.3">
      <c r="A2407" s="6"/>
      <c r="B2407" s="6"/>
      <c r="C2407" s="39"/>
      <c r="D2407" s="6"/>
      <c r="E2407" s="149"/>
      <c r="F2407" s="153"/>
      <c r="G2407" s="10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12"/>
      <c r="Y2407" s="6"/>
      <c r="Z2407" s="6"/>
      <c r="AA2407" s="6"/>
      <c r="AB2407" s="6"/>
      <c r="AC2407" s="9"/>
      <c r="AD2407" s="9"/>
      <c r="AE2407" s="9"/>
      <c r="AF2407" s="9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21"/>
      <c r="AS2407" s="21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</row>
    <row r="2408" spans="1:59" x14ac:dyDescent="0.3">
      <c r="A2408" s="6"/>
      <c r="B2408" s="6"/>
      <c r="C2408" s="39"/>
      <c r="D2408" s="6"/>
      <c r="E2408" s="149"/>
      <c r="F2408" s="153"/>
      <c r="G2408" s="10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5"/>
      <c r="V2408" s="5"/>
      <c r="W2408" s="13"/>
      <c r="X2408" s="4"/>
      <c r="Y2408" s="4"/>
      <c r="Z2408" s="4"/>
      <c r="AA2408" s="6"/>
      <c r="AB2408" s="5"/>
      <c r="AC2408" s="9"/>
      <c r="AD2408" s="9"/>
      <c r="AE2408" s="9"/>
      <c r="AF2408" s="9"/>
      <c r="AG2408" s="2"/>
      <c r="AH2408" s="3"/>
      <c r="AI2408" s="2"/>
      <c r="AJ2408" s="2"/>
      <c r="AK2408" s="2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</row>
    <row r="2409" spans="1:59" x14ac:dyDescent="0.3">
      <c r="A2409" s="6"/>
      <c r="B2409" s="6"/>
      <c r="C2409" s="39"/>
      <c r="D2409" s="6"/>
      <c r="E2409" s="149"/>
      <c r="F2409" s="153"/>
      <c r="G2409" s="10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12"/>
      <c r="Y2409" s="6"/>
      <c r="Z2409" s="6"/>
      <c r="AA2409" s="6"/>
      <c r="AB2409" s="6"/>
      <c r="AC2409" s="9"/>
      <c r="AD2409" s="9"/>
      <c r="AE2409" s="9"/>
      <c r="AF2409" s="9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21"/>
      <c r="AS2409" s="21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</row>
    <row r="2410" spans="1:59" x14ac:dyDescent="0.3">
      <c r="A2410" s="6"/>
      <c r="B2410" s="6"/>
      <c r="C2410" s="39"/>
      <c r="D2410" s="6"/>
      <c r="E2410" s="149"/>
      <c r="F2410" s="153"/>
      <c r="G2410" s="10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12"/>
      <c r="Y2410" s="6"/>
      <c r="Z2410" s="6"/>
      <c r="AA2410" s="6"/>
      <c r="AB2410" s="6"/>
      <c r="AC2410" s="9"/>
      <c r="AD2410" s="9"/>
      <c r="AE2410" s="9"/>
      <c r="AF2410" s="9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21"/>
      <c r="AS2410" s="21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</row>
    <row r="2411" spans="1:59" x14ac:dyDescent="0.3">
      <c r="A2411" s="6"/>
      <c r="B2411" s="6"/>
      <c r="C2411" s="39"/>
      <c r="D2411" s="6"/>
      <c r="E2411" s="149"/>
      <c r="F2411" s="153"/>
      <c r="G2411" s="10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12"/>
      <c r="Y2411" s="6"/>
      <c r="Z2411" s="6"/>
      <c r="AA2411" s="6"/>
      <c r="AB2411" s="6"/>
      <c r="AC2411" s="9"/>
      <c r="AD2411" s="9"/>
      <c r="AE2411" s="9"/>
      <c r="AF2411" s="9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</row>
    <row r="2412" spans="1:59" x14ac:dyDescent="0.3">
      <c r="A2412" s="6"/>
      <c r="B2412" s="6"/>
      <c r="C2412" s="39"/>
      <c r="D2412" s="6"/>
      <c r="E2412" s="149"/>
      <c r="F2412" s="153"/>
      <c r="G2412" s="10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12"/>
      <c r="Y2412" s="6"/>
      <c r="Z2412" s="6"/>
      <c r="AA2412" s="6"/>
      <c r="AB2412" s="6"/>
      <c r="AC2412" s="9"/>
      <c r="AD2412" s="9"/>
      <c r="AE2412" s="9"/>
      <c r="AF2412" s="9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</row>
    <row r="2413" spans="1:59" x14ac:dyDescent="0.3">
      <c r="A2413" s="63"/>
      <c r="B2413" s="63"/>
      <c r="C2413" s="39"/>
      <c r="D2413" s="6"/>
      <c r="E2413" s="149"/>
      <c r="F2413" s="153"/>
      <c r="G2413" s="10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5"/>
      <c r="V2413" s="5"/>
      <c r="W2413" s="13"/>
      <c r="X2413" s="4"/>
      <c r="Y2413" s="4"/>
      <c r="Z2413" s="4"/>
      <c r="AA2413" s="6"/>
      <c r="AB2413" s="5"/>
      <c r="AC2413" s="9"/>
      <c r="AD2413" s="9"/>
      <c r="AE2413" s="9"/>
      <c r="AF2413" s="9"/>
      <c r="AG2413" s="64"/>
      <c r="AH2413" s="3"/>
      <c r="AI2413" s="2"/>
      <c r="AJ2413" s="2"/>
      <c r="AK2413" s="2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</row>
    <row r="2414" spans="1:59" x14ac:dyDescent="0.3">
      <c r="A2414" s="6"/>
      <c r="B2414" s="6"/>
      <c r="C2414" s="39"/>
      <c r="D2414" s="6"/>
      <c r="E2414" s="149"/>
      <c r="F2414" s="153"/>
      <c r="G2414" s="10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12"/>
      <c r="Y2414" s="6"/>
      <c r="Z2414" s="6"/>
      <c r="AA2414" s="6"/>
      <c r="AB2414" s="6"/>
      <c r="AC2414" s="9"/>
      <c r="AD2414" s="9"/>
      <c r="AE2414" s="9"/>
      <c r="AF2414" s="9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21"/>
      <c r="AS2414" s="21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</row>
    <row r="2415" spans="1:59" x14ac:dyDescent="0.3">
      <c r="A2415" s="6"/>
      <c r="B2415" s="6"/>
      <c r="C2415" s="39"/>
      <c r="D2415" s="6"/>
      <c r="E2415" s="149"/>
      <c r="F2415" s="153"/>
      <c r="G2415" s="10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12"/>
      <c r="Y2415" s="6"/>
      <c r="Z2415" s="6"/>
      <c r="AA2415" s="6"/>
      <c r="AB2415" s="6"/>
      <c r="AC2415" s="9"/>
      <c r="AD2415" s="9"/>
      <c r="AE2415" s="9"/>
      <c r="AF2415" s="9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21"/>
      <c r="AS2415" s="21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</row>
    <row r="2416" spans="1:59" ht="13.5" customHeight="1" x14ac:dyDescent="0.35">
      <c r="A2416" s="49"/>
      <c r="B2416" s="49"/>
      <c r="C2416" s="39"/>
      <c r="D2416" s="1"/>
      <c r="E2416" s="149"/>
      <c r="F2416" s="153"/>
      <c r="G2416" s="10"/>
      <c r="H2416" s="17"/>
      <c r="I2416" s="17"/>
      <c r="J2416" s="17"/>
      <c r="K2416" s="30"/>
      <c r="L2416" s="30"/>
      <c r="M2416" s="30"/>
      <c r="N2416" s="30"/>
      <c r="O2416" s="30"/>
      <c r="P2416" s="30"/>
      <c r="Q2416" s="30"/>
      <c r="R2416" s="30"/>
      <c r="S2416" s="30"/>
      <c r="T2416" s="30"/>
      <c r="U2416" s="30"/>
      <c r="V2416" s="30"/>
      <c r="W2416" s="29"/>
      <c r="X2416" s="15"/>
      <c r="Y2416" s="30"/>
      <c r="Z2416" s="30"/>
      <c r="AA2416" s="30"/>
      <c r="AB2416" s="30"/>
      <c r="AC2416" s="17"/>
      <c r="AD2416" s="17"/>
      <c r="AE2416" s="17"/>
      <c r="AF2416" s="17"/>
      <c r="AG2416" s="21"/>
      <c r="AH2416" s="21"/>
      <c r="AI2416" s="21"/>
      <c r="AJ2416" s="21"/>
      <c r="AK2416" s="21"/>
      <c r="AL2416" s="21"/>
      <c r="AM2416" s="21"/>
      <c r="AN2416" s="21"/>
      <c r="AO2416" s="22"/>
      <c r="AP2416" s="21"/>
      <c r="AQ2416" s="22"/>
      <c r="AR2416" s="21"/>
      <c r="AS2416" s="21"/>
      <c r="AT2416" s="21"/>
      <c r="AU2416" s="21"/>
      <c r="AV2416" s="21"/>
      <c r="AW2416" s="21"/>
      <c r="AX2416" s="22"/>
      <c r="AY2416" s="21"/>
      <c r="AZ2416" s="22"/>
      <c r="BA2416" s="21"/>
      <c r="BB2416" s="21"/>
      <c r="BC2416" s="21"/>
      <c r="BD2416" s="21"/>
      <c r="BE2416" s="26"/>
      <c r="BF2416" s="26"/>
      <c r="BG2416" s="62"/>
    </row>
    <row r="2417" spans="1:59" ht="13.5" customHeight="1" x14ac:dyDescent="0.35">
      <c r="A2417" s="49"/>
      <c r="B2417" s="49"/>
      <c r="C2417" s="14"/>
      <c r="D2417" s="1"/>
      <c r="E2417" s="149"/>
      <c r="F2417" s="153"/>
      <c r="G2417" s="10"/>
      <c r="H2417" s="17"/>
      <c r="I2417" s="17"/>
      <c r="J2417" s="17"/>
      <c r="K2417" s="30"/>
      <c r="L2417" s="30"/>
      <c r="M2417" s="30"/>
      <c r="N2417" s="30"/>
      <c r="O2417" s="30"/>
      <c r="P2417" s="30"/>
      <c r="Q2417" s="30"/>
      <c r="R2417" s="30"/>
      <c r="S2417" s="30"/>
      <c r="T2417" s="30"/>
      <c r="U2417" s="30"/>
      <c r="V2417" s="30"/>
      <c r="W2417" s="29"/>
      <c r="X2417" s="15"/>
      <c r="Y2417" s="30"/>
      <c r="Z2417" s="30"/>
      <c r="AA2417" s="30"/>
      <c r="AB2417" s="30"/>
      <c r="AC2417" s="17"/>
      <c r="AD2417" s="17"/>
      <c r="AE2417" s="17"/>
      <c r="AF2417" s="17"/>
      <c r="AG2417" s="21"/>
      <c r="AH2417" s="21"/>
      <c r="AI2417" s="21"/>
      <c r="AJ2417" s="21"/>
      <c r="AK2417" s="21"/>
      <c r="AL2417" s="21"/>
      <c r="AM2417" s="21"/>
      <c r="AN2417" s="21"/>
      <c r="AO2417" s="22"/>
      <c r="AP2417" s="21"/>
      <c r="AQ2417" s="22"/>
      <c r="AR2417" s="21"/>
      <c r="AS2417" s="21"/>
      <c r="AT2417" s="21"/>
      <c r="AU2417" s="21"/>
      <c r="AV2417" s="21"/>
      <c r="AW2417" s="21"/>
      <c r="AX2417" s="22"/>
      <c r="AY2417" s="21"/>
      <c r="AZ2417" s="22"/>
      <c r="BA2417" s="21"/>
      <c r="BB2417" s="21"/>
      <c r="BC2417" s="21"/>
      <c r="BD2417" s="21"/>
      <c r="BE2417" s="26"/>
      <c r="BF2417" s="26"/>
      <c r="BG2417" s="62"/>
    </row>
    <row r="2418" spans="1:59" x14ac:dyDescent="0.3">
      <c r="A2418" s="6"/>
      <c r="B2418" s="6"/>
      <c r="C2418" s="39"/>
      <c r="D2418" s="6"/>
      <c r="E2418" s="149"/>
      <c r="F2418" s="153"/>
      <c r="G2418" s="10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12"/>
      <c r="Y2418" s="6"/>
      <c r="Z2418" s="6"/>
      <c r="AA2418" s="6"/>
      <c r="AB2418" s="6"/>
      <c r="AC2418" s="9"/>
      <c r="AD2418" s="9"/>
      <c r="AE2418" s="9"/>
      <c r="AF2418" s="9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21"/>
      <c r="AS2418" s="21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</row>
    <row r="2419" spans="1:59" x14ac:dyDescent="0.3">
      <c r="A2419" s="6"/>
      <c r="B2419" s="6"/>
      <c r="C2419" s="39"/>
      <c r="D2419" s="6"/>
      <c r="E2419" s="149"/>
      <c r="F2419" s="153"/>
      <c r="G2419" s="10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12"/>
      <c r="Y2419" s="6"/>
      <c r="Z2419" s="6"/>
      <c r="AA2419" s="6"/>
      <c r="AB2419" s="6"/>
      <c r="AC2419" s="9"/>
      <c r="AD2419" s="9"/>
      <c r="AE2419" s="9"/>
      <c r="AF2419" s="9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21"/>
      <c r="AS2419" s="21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</row>
    <row r="2420" spans="1:59" x14ac:dyDescent="0.3">
      <c r="A2420" s="6"/>
      <c r="B2420" s="6"/>
      <c r="C2420" s="39"/>
      <c r="D2420" s="6"/>
      <c r="E2420" s="149"/>
      <c r="F2420" s="153"/>
      <c r="G2420" s="10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5"/>
      <c r="V2420" s="5"/>
      <c r="W2420" s="13"/>
      <c r="X2420" s="4"/>
      <c r="Y2420" s="4"/>
      <c r="Z2420" s="4"/>
      <c r="AA2420" s="6"/>
      <c r="AB2420" s="5"/>
      <c r="AC2420" s="9"/>
      <c r="AD2420" s="9"/>
      <c r="AE2420" s="9"/>
      <c r="AF2420" s="9"/>
      <c r="AG2420" s="2"/>
      <c r="AH2420" s="3"/>
      <c r="AI2420" s="2"/>
      <c r="AJ2420" s="2"/>
      <c r="AK2420" s="2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</row>
    <row r="2421" spans="1:59" ht="13.5" customHeight="1" x14ac:dyDescent="0.35">
      <c r="A2421" s="49"/>
      <c r="B2421" s="49"/>
      <c r="C2421" s="39"/>
      <c r="D2421" s="1"/>
      <c r="E2421" s="149"/>
      <c r="F2421" s="153"/>
      <c r="G2421" s="10"/>
      <c r="H2421" s="17"/>
      <c r="I2421" s="17"/>
      <c r="J2421" s="17"/>
      <c r="K2421" s="30"/>
      <c r="L2421" s="30"/>
      <c r="M2421" s="30"/>
      <c r="N2421" s="30"/>
      <c r="O2421" s="30"/>
      <c r="P2421" s="30"/>
      <c r="Q2421" s="30"/>
      <c r="R2421" s="30"/>
      <c r="S2421" s="30"/>
      <c r="T2421" s="30"/>
      <c r="U2421" s="30"/>
      <c r="V2421" s="30"/>
      <c r="W2421" s="29"/>
      <c r="X2421" s="15"/>
      <c r="Y2421" s="30"/>
      <c r="Z2421" s="30"/>
      <c r="AA2421" s="30"/>
      <c r="AB2421" s="30"/>
      <c r="AC2421" s="17"/>
      <c r="AD2421" s="17"/>
      <c r="AE2421" s="17"/>
      <c r="AF2421" s="17"/>
      <c r="AG2421" s="21"/>
      <c r="AH2421" s="21"/>
      <c r="AI2421" s="21"/>
      <c r="AJ2421" s="21"/>
      <c r="AK2421" s="21"/>
      <c r="AL2421" s="21"/>
      <c r="AM2421" s="21"/>
      <c r="AN2421" s="21"/>
      <c r="AO2421" s="22"/>
      <c r="AP2421" s="21"/>
      <c r="AQ2421" s="22"/>
      <c r="AR2421" s="21"/>
      <c r="AS2421" s="21"/>
      <c r="AT2421" s="21"/>
      <c r="AU2421" s="21"/>
      <c r="AV2421" s="21"/>
      <c r="AW2421" s="21"/>
      <c r="AX2421" s="22"/>
      <c r="AY2421" s="21"/>
      <c r="AZ2421" s="22"/>
      <c r="BA2421" s="21"/>
      <c r="BB2421" s="21"/>
      <c r="BC2421" s="21"/>
      <c r="BD2421" s="21"/>
      <c r="BE2421" s="26"/>
      <c r="BF2421" s="26"/>
      <c r="BG2421" s="62"/>
    </row>
    <row r="2422" spans="1:59" ht="13.5" customHeight="1" x14ac:dyDescent="0.35">
      <c r="A2422" s="49"/>
      <c r="B2422" s="49"/>
      <c r="C2422" s="14"/>
      <c r="D2422" s="1"/>
      <c r="E2422" s="149"/>
      <c r="F2422" s="153"/>
      <c r="G2422" s="10"/>
      <c r="H2422" s="17"/>
      <c r="I2422" s="17"/>
      <c r="J2422" s="17"/>
      <c r="K2422" s="30"/>
      <c r="L2422" s="30"/>
      <c r="M2422" s="30"/>
      <c r="N2422" s="30"/>
      <c r="O2422" s="30"/>
      <c r="P2422" s="30"/>
      <c r="Q2422" s="30"/>
      <c r="R2422" s="30"/>
      <c r="S2422" s="30"/>
      <c r="T2422" s="30"/>
      <c r="U2422" s="30"/>
      <c r="V2422" s="30"/>
      <c r="W2422" s="29"/>
      <c r="X2422" s="15"/>
      <c r="Y2422" s="30"/>
      <c r="Z2422" s="30"/>
      <c r="AA2422" s="30"/>
      <c r="AB2422" s="30"/>
      <c r="AC2422" s="17"/>
      <c r="AD2422" s="17"/>
      <c r="AE2422" s="17"/>
      <c r="AF2422" s="17"/>
      <c r="AG2422" s="21"/>
      <c r="AH2422" s="21"/>
      <c r="AI2422" s="21"/>
      <c r="AJ2422" s="21"/>
      <c r="AK2422" s="21"/>
      <c r="AL2422" s="21"/>
      <c r="AM2422" s="21"/>
      <c r="AN2422" s="21"/>
      <c r="AO2422" s="22"/>
      <c r="AP2422" s="21"/>
      <c r="AQ2422" s="22"/>
      <c r="AR2422" s="21"/>
      <c r="AS2422" s="21"/>
      <c r="AT2422" s="21"/>
      <c r="AU2422" s="21"/>
      <c r="AV2422" s="21"/>
      <c r="AW2422" s="21"/>
      <c r="AX2422" s="22"/>
      <c r="AY2422" s="21"/>
      <c r="AZ2422" s="22"/>
      <c r="BA2422" s="21"/>
      <c r="BB2422" s="21"/>
      <c r="BC2422" s="21"/>
      <c r="BD2422" s="21"/>
      <c r="BE2422" s="26"/>
      <c r="BF2422" s="26"/>
      <c r="BG2422" s="62"/>
    </row>
    <row r="2423" spans="1:59" x14ac:dyDescent="0.3">
      <c r="A2423" s="6"/>
      <c r="B2423" s="6"/>
      <c r="C2423" s="39"/>
      <c r="D2423" s="6"/>
      <c r="E2423" s="149"/>
      <c r="F2423" s="153"/>
      <c r="G2423" s="10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12"/>
      <c r="Y2423" s="6"/>
      <c r="Z2423" s="6"/>
      <c r="AA2423" s="6"/>
      <c r="AB2423" s="6"/>
      <c r="AC2423" s="9"/>
      <c r="AD2423" s="9"/>
      <c r="AE2423" s="9"/>
      <c r="AF2423" s="9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21"/>
      <c r="AS2423" s="21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</row>
    <row r="2424" spans="1:59" x14ac:dyDescent="0.3">
      <c r="A2424" s="63"/>
      <c r="B2424" s="63"/>
      <c r="C2424" s="39"/>
      <c r="D2424" s="6"/>
      <c r="E2424" s="149"/>
      <c r="F2424" s="153"/>
      <c r="G2424" s="10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5"/>
      <c r="V2424" s="5"/>
      <c r="W2424" s="13"/>
      <c r="X2424" s="4"/>
      <c r="Y2424" s="4"/>
      <c r="Z2424" s="4"/>
      <c r="AA2424" s="6"/>
      <c r="AB2424" s="5"/>
      <c r="AC2424" s="9"/>
      <c r="AD2424" s="9"/>
      <c r="AE2424" s="9"/>
      <c r="AF2424" s="9"/>
      <c r="AG2424" s="64"/>
      <c r="AH2424" s="3"/>
      <c r="AI2424" s="2"/>
      <c r="AJ2424" s="2"/>
      <c r="AK2424" s="2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</row>
    <row r="2425" spans="1:59" x14ac:dyDescent="0.3">
      <c r="A2425" s="6"/>
      <c r="B2425" s="6"/>
      <c r="C2425" s="39"/>
      <c r="D2425" s="6"/>
      <c r="E2425" s="149"/>
      <c r="F2425" s="153"/>
      <c r="G2425" s="10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12"/>
      <c r="Y2425" s="6"/>
      <c r="Z2425" s="6"/>
      <c r="AA2425" s="6"/>
      <c r="AB2425" s="6"/>
      <c r="AC2425" s="9"/>
      <c r="AD2425" s="9"/>
      <c r="AE2425" s="9"/>
      <c r="AF2425" s="9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21"/>
      <c r="AS2425" s="21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</row>
    <row r="2426" spans="1:59" x14ac:dyDescent="0.3">
      <c r="A2426" s="6"/>
      <c r="B2426" s="6"/>
      <c r="C2426" s="39"/>
      <c r="D2426" s="6"/>
      <c r="E2426" s="149"/>
      <c r="F2426" s="153"/>
      <c r="G2426" s="10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5"/>
      <c r="V2426" s="5"/>
      <c r="W2426" s="13"/>
      <c r="X2426" s="4"/>
      <c r="Y2426" s="4"/>
      <c r="Z2426" s="4"/>
      <c r="AA2426" s="6"/>
      <c r="AB2426" s="5"/>
      <c r="AC2426" s="9"/>
      <c r="AD2426" s="9"/>
      <c r="AE2426" s="9"/>
      <c r="AF2426" s="9"/>
      <c r="AG2426" s="2"/>
      <c r="AH2426" s="3"/>
      <c r="AI2426" s="2"/>
      <c r="AJ2426" s="2"/>
      <c r="AK2426" s="2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</row>
    <row r="2427" spans="1:59" x14ac:dyDescent="0.3">
      <c r="A2427" s="63"/>
      <c r="B2427" s="63"/>
      <c r="C2427" s="39"/>
      <c r="D2427" s="6"/>
      <c r="E2427" s="149"/>
      <c r="F2427" s="153"/>
      <c r="G2427" s="10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5"/>
      <c r="V2427" s="5"/>
      <c r="W2427" s="13"/>
      <c r="X2427" s="4"/>
      <c r="Y2427" s="4"/>
      <c r="Z2427" s="4"/>
      <c r="AA2427" s="6"/>
      <c r="AB2427" s="5"/>
      <c r="AC2427" s="9"/>
      <c r="AD2427" s="9"/>
      <c r="AE2427" s="9"/>
      <c r="AF2427" s="9"/>
      <c r="AG2427" s="64"/>
      <c r="AH2427" s="3"/>
      <c r="AI2427" s="2"/>
      <c r="AJ2427" s="2"/>
      <c r="AK2427" s="2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</row>
    <row r="2428" spans="1:59" ht="13.5" customHeight="1" x14ac:dyDescent="0.35">
      <c r="A2428" s="49"/>
      <c r="B2428" s="49"/>
      <c r="C2428" s="14"/>
      <c r="D2428" s="1"/>
      <c r="E2428" s="149"/>
      <c r="F2428" s="153"/>
      <c r="G2428" s="10"/>
      <c r="H2428" s="17"/>
      <c r="I2428" s="17"/>
      <c r="J2428" s="17"/>
      <c r="K2428" s="30"/>
      <c r="L2428" s="30"/>
      <c r="M2428" s="30"/>
      <c r="N2428" s="30"/>
      <c r="O2428" s="30"/>
      <c r="P2428" s="30"/>
      <c r="Q2428" s="30"/>
      <c r="R2428" s="30"/>
      <c r="S2428" s="30"/>
      <c r="T2428" s="30"/>
      <c r="U2428" s="30"/>
      <c r="V2428" s="30"/>
      <c r="W2428" s="29"/>
      <c r="X2428" s="15"/>
      <c r="Y2428" s="30"/>
      <c r="Z2428" s="30"/>
      <c r="AA2428" s="30"/>
      <c r="AB2428" s="30"/>
      <c r="AC2428" s="17"/>
      <c r="AD2428" s="17"/>
      <c r="AE2428" s="17"/>
      <c r="AF2428" s="17"/>
      <c r="AG2428" s="21"/>
      <c r="AH2428" s="21"/>
      <c r="AI2428" s="21"/>
      <c r="AJ2428" s="21"/>
      <c r="AK2428" s="21"/>
      <c r="AL2428" s="21"/>
      <c r="AM2428" s="21"/>
      <c r="AN2428" s="21"/>
      <c r="AO2428" s="22"/>
      <c r="AP2428" s="21"/>
      <c r="AQ2428" s="22"/>
      <c r="AR2428" s="21"/>
      <c r="AS2428" s="21"/>
      <c r="AT2428" s="21"/>
      <c r="AU2428" s="21"/>
      <c r="AV2428" s="21"/>
      <c r="AW2428" s="21"/>
      <c r="AX2428" s="22"/>
      <c r="AY2428" s="21"/>
      <c r="AZ2428" s="22"/>
      <c r="BA2428" s="21"/>
      <c r="BB2428" s="21"/>
      <c r="BC2428" s="21"/>
      <c r="BD2428" s="21"/>
      <c r="BE2428" s="26"/>
      <c r="BF2428" s="26"/>
      <c r="BG2428" s="62"/>
    </row>
    <row r="2429" spans="1:59" ht="13.5" customHeight="1" x14ac:dyDescent="0.35">
      <c r="A2429" s="49"/>
      <c r="B2429" s="49"/>
      <c r="C2429" s="14"/>
      <c r="D2429" s="1"/>
      <c r="E2429" s="149"/>
      <c r="F2429" s="153"/>
      <c r="G2429" s="10"/>
      <c r="H2429" s="17"/>
      <c r="I2429" s="17"/>
      <c r="J2429" s="17"/>
      <c r="K2429" s="30"/>
      <c r="L2429" s="30"/>
      <c r="M2429" s="30"/>
      <c r="N2429" s="30"/>
      <c r="O2429" s="30"/>
      <c r="P2429" s="30"/>
      <c r="Q2429" s="30"/>
      <c r="R2429" s="30"/>
      <c r="S2429" s="30"/>
      <c r="T2429" s="30"/>
      <c r="U2429" s="30"/>
      <c r="V2429" s="30"/>
      <c r="W2429" s="29"/>
      <c r="X2429" s="15"/>
      <c r="Y2429" s="30"/>
      <c r="Z2429" s="30"/>
      <c r="AA2429" s="30"/>
      <c r="AB2429" s="30"/>
      <c r="AC2429" s="17"/>
      <c r="AD2429" s="17"/>
      <c r="AE2429" s="17"/>
      <c r="AF2429" s="17"/>
      <c r="AG2429" s="21"/>
      <c r="AH2429" s="21"/>
      <c r="AI2429" s="21"/>
      <c r="AJ2429" s="21"/>
      <c r="AK2429" s="21"/>
      <c r="AL2429" s="21"/>
      <c r="AM2429" s="21"/>
      <c r="AN2429" s="21"/>
      <c r="AO2429" s="22"/>
      <c r="AP2429" s="21"/>
      <c r="AQ2429" s="22"/>
      <c r="AR2429" s="21"/>
      <c r="AS2429" s="21"/>
      <c r="AT2429" s="21"/>
      <c r="AU2429" s="21"/>
      <c r="AV2429" s="21"/>
      <c r="AW2429" s="21"/>
      <c r="AX2429" s="22"/>
      <c r="AY2429" s="21"/>
      <c r="AZ2429" s="22"/>
      <c r="BA2429" s="21"/>
      <c r="BB2429" s="21"/>
      <c r="BC2429" s="21"/>
      <c r="BD2429" s="21"/>
      <c r="BE2429" s="26"/>
      <c r="BF2429" s="26"/>
      <c r="BG2429" s="62"/>
    </row>
    <row r="2430" spans="1:59" x14ac:dyDescent="0.3">
      <c r="A2430" s="6"/>
      <c r="B2430" s="6"/>
      <c r="C2430" s="39"/>
      <c r="D2430" s="6"/>
      <c r="E2430" s="149"/>
      <c r="F2430" s="153"/>
      <c r="G2430" s="10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5"/>
      <c r="V2430" s="5"/>
      <c r="W2430" s="13"/>
      <c r="X2430" s="4"/>
      <c r="Y2430" s="4"/>
      <c r="Z2430" s="4"/>
      <c r="AA2430" s="6"/>
      <c r="AB2430" s="5"/>
      <c r="AC2430" s="9"/>
      <c r="AD2430" s="9"/>
      <c r="AE2430" s="9"/>
      <c r="AF2430" s="9"/>
      <c r="AG2430" s="2"/>
      <c r="AH2430" s="3"/>
      <c r="AI2430" s="2"/>
      <c r="AJ2430" s="2"/>
      <c r="AK2430" s="2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</row>
    <row r="2431" spans="1:59" x14ac:dyDescent="0.3">
      <c r="A2431" s="63"/>
      <c r="B2431" s="63"/>
      <c r="C2431" s="39"/>
      <c r="D2431" s="6"/>
      <c r="E2431" s="149"/>
      <c r="F2431" s="153"/>
      <c r="G2431" s="10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5"/>
      <c r="V2431" s="5"/>
      <c r="W2431" s="13"/>
      <c r="X2431" s="4"/>
      <c r="Y2431" s="4"/>
      <c r="Z2431" s="4"/>
      <c r="AA2431" s="6"/>
      <c r="AB2431" s="5"/>
      <c r="AC2431" s="9"/>
      <c r="AD2431" s="9"/>
      <c r="AE2431" s="9"/>
      <c r="AF2431" s="9"/>
      <c r="AG2431" s="64"/>
      <c r="AH2431" s="3"/>
      <c r="AI2431" s="2"/>
      <c r="AJ2431" s="2"/>
      <c r="AK2431" s="2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</row>
    <row r="2432" spans="1:59" ht="15" x14ac:dyDescent="0.35">
      <c r="A2432" s="6"/>
      <c r="B2432" s="6"/>
      <c r="C2432" s="39"/>
      <c r="D2432" s="6"/>
      <c r="E2432" s="149"/>
      <c r="F2432" s="153"/>
      <c r="G2432" s="10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12"/>
      <c r="Y2432" s="6"/>
      <c r="Z2432" s="6"/>
      <c r="AA2432" s="6"/>
      <c r="AB2432" s="6"/>
      <c r="AC2432" s="9"/>
      <c r="AD2432" s="9"/>
      <c r="AE2432" s="9"/>
      <c r="AF2432" s="9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65"/>
    </row>
    <row r="2433" spans="1:59" x14ac:dyDescent="0.3">
      <c r="A2433" s="6"/>
      <c r="B2433" s="6"/>
      <c r="C2433" s="39"/>
      <c r="D2433" s="6"/>
      <c r="E2433" s="149"/>
      <c r="F2433" s="153"/>
      <c r="G2433" s="10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12"/>
      <c r="Y2433" s="6"/>
      <c r="Z2433" s="6"/>
      <c r="AA2433" s="6"/>
      <c r="AB2433" s="6"/>
      <c r="AC2433" s="9"/>
      <c r="AD2433" s="9"/>
      <c r="AE2433" s="9"/>
      <c r="AF2433" s="9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21"/>
      <c r="AS2433" s="21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</row>
    <row r="2434" spans="1:59" x14ac:dyDescent="0.3">
      <c r="A2434" s="6"/>
      <c r="B2434" s="6"/>
      <c r="C2434" s="39"/>
      <c r="D2434" s="6"/>
      <c r="E2434" s="149"/>
      <c r="F2434" s="153"/>
      <c r="G2434" s="10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12"/>
      <c r="Y2434" s="6"/>
      <c r="Z2434" s="6"/>
      <c r="AA2434" s="6"/>
      <c r="AB2434" s="6"/>
      <c r="AC2434" s="9"/>
      <c r="AD2434" s="9"/>
      <c r="AE2434" s="9"/>
      <c r="AF2434" s="9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21"/>
      <c r="AS2434" s="21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</row>
    <row r="2435" spans="1:59" ht="13.5" customHeight="1" x14ac:dyDescent="0.35">
      <c r="A2435" s="49"/>
      <c r="B2435" s="49"/>
      <c r="C2435" s="39"/>
      <c r="D2435" s="1"/>
      <c r="E2435" s="149"/>
      <c r="F2435" s="153"/>
      <c r="G2435" s="10"/>
      <c r="H2435" s="17"/>
      <c r="I2435" s="17"/>
      <c r="J2435" s="17"/>
      <c r="K2435" s="30"/>
      <c r="L2435" s="30"/>
      <c r="M2435" s="30"/>
      <c r="N2435" s="30"/>
      <c r="O2435" s="30"/>
      <c r="P2435" s="30"/>
      <c r="Q2435" s="30"/>
      <c r="R2435" s="30"/>
      <c r="S2435" s="30"/>
      <c r="T2435" s="30"/>
      <c r="U2435" s="30"/>
      <c r="V2435" s="30"/>
      <c r="W2435" s="29"/>
      <c r="X2435" s="15"/>
      <c r="Y2435" s="30"/>
      <c r="Z2435" s="30"/>
      <c r="AA2435" s="30"/>
      <c r="AB2435" s="30"/>
      <c r="AC2435" s="17"/>
      <c r="AD2435" s="17"/>
      <c r="AE2435" s="17"/>
      <c r="AF2435" s="17"/>
      <c r="AG2435" s="21"/>
      <c r="AH2435" s="21"/>
      <c r="AI2435" s="21"/>
      <c r="AJ2435" s="21"/>
      <c r="AK2435" s="21"/>
      <c r="AL2435" s="21"/>
      <c r="AM2435" s="21"/>
      <c r="AN2435" s="21"/>
      <c r="AO2435" s="22"/>
      <c r="AP2435" s="21"/>
      <c r="AQ2435" s="22"/>
      <c r="AR2435" s="21"/>
      <c r="AS2435" s="21"/>
      <c r="AT2435" s="21"/>
      <c r="AU2435" s="21"/>
      <c r="AV2435" s="21"/>
      <c r="AW2435" s="21"/>
      <c r="AX2435" s="22"/>
      <c r="AY2435" s="21"/>
      <c r="AZ2435" s="22"/>
      <c r="BA2435" s="21"/>
      <c r="BB2435" s="21"/>
      <c r="BC2435" s="21"/>
      <c r="BD2435" s="21"/>
      <c r="BE2435" s="26"/>
      <c r="BF2435" s="26"/>
      <c r="BG2435" s="62"/>
    </row>
    <row r="2436" spans="1:59" x14ac:dyDescent="0.3">
      <c r="A2436" s="6"/>
      <c r="B2436" s="6"/>
      <c r="C2436" s="39"/>
      <c r="D2436" s="6"/>
      <c r="E2436" s="149"/>
      <c r="F2436" s="153"/>
      <c r="G2436" s="10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12"/>
      <c r="Y2436" s="6"/>
      <c r="Z2436" s="6"/>
      <c r="AA2436" s="6"/>
      <c r="AB2436" s="6"/>
      <c r="AC2436" s="9"/>
      <c r="AD2436" s="9"/>
      <c r="AE2436" s="9"/>
      <c r="AF2436" s="9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</row>
    <row r="2437" spans="1:59" x14ac:dyDescent="0.3">
      <c r="A2437" s="6"/>
      <c r="B2437" s="6"/>
      <c r="C2437" s="39"/>
      <c r="D2437" s="6"/>
      <c r="E2437" s="149"/>
      <c r="F2437" s="153"/>
      <c r="G2437" s="10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12"/>
      <c r="Y2437" s="6"/>
      <c r="Z2437" s="6"/>
      <c r="AA2437" s="6"/>
      <c r="AB2437" s="6"/>
      <c r="AC2437" s="9"/>
      <c r="AD2437" s="9"/>
      <c r="AE2437" s="9"/>
      <c r="AF2437" s="9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21"/>
      <c r="AS2437" s="21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</row>
    <row r="2438" spans="1:59" x14ac:dyDescent="0.3">
      <c r="A2438" s="6"/>
      <c r="B2438" s="6"/>
      <c r="C2438" s="39"/>
      <c r="D2438" s="6"/>
      <c r="E2438" s="149"/>
      <c r="F2438" s="153"/>
      <c r="G2438" s="10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12"/>
      <c r="Y2438" s="6"/>
      <c r="Z2438" s="6"/>
      <c r="AA2438" s="6"/>
      <c r="AB2438" s="6"/>
      <c r="AC2438" s="9"/>
      <c r="AD2438" s="9"/>
      <c r="AE2438" s="9"/>
      <c r="AF2438" s="9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21"/>
      <c r="AS2438" s="21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</row>
    <row r="2439" spans="1:59" x14ac:dyDescent="0.3">
      <c r="A2439" s="6"/>
      <c r="B2439" s="6"/>
      <c r="C2439" s="39"/>
      <c r="D2439" s="6"/>
      <c r="E2439" s="149"/>
      <c r="F2439" s="153"/>
      <c r="G2439" s="10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12"/>
      <c r="Y2439" s="6"/>
      <c r="Z2439" s="6"/>
      <c r="AA2439" s="6"/>
      <c r="AB2439" s="6"/>
      <c r="AC2439" s="9"/>
      <c r="AD2439" s="9"/>
      <c r="AE2439" s="9"/>
      <c r="AF2439" s="9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</row>
    <row r="2440" spans="1:59" x14ac:dyDescent="0.3">
      <c r="A2440" s="63"/>
      <c r="B2440" s="63"/>
      <c r="C2440" s="39"/>
      <c r="D2440" s="6"/>
      <c r="E2440" s="149"/>
      <c r="F2440" s="153"/>
      <c r="G2440" s="10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5"/>
      <c r="V2440" s="5"/>
      <c r="W2440" s="13"/>
      <c r="X2440" s="4"/>
      <c r="Y2440" s="4"/>
      <c r="Z2440" s="4"/>
      <c r="AA2440" s="6"/>
      <c r="AB2440" s="5"/>
      <c r="AC2440" s="9"/>
      <c r="AD2440" s="9"/>
      <c r="AE2440" s="9"/>
      <c r="AF2440" s="9"/>
      <c r="AG2440" s="64"/>
      <c r="AH2440" s="3"/>
      <c r="AI2440" s="2"/>
      <c r="AJ2440" s="2"/>
      <c r="AK2440" s="2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</row>
    <row r="2441" spans="1:59" ht="13.5" customHeight="1" x14ac:dyDescent="0.3">
      <c r="A2441" s="63"/>
      <c r="B2441" s="63"/>
      <c r="C2441" s="39"/>
      <c r="D2441" s="6"/>
      <c r="E2441" s="149"/>
      <c r="F2441" s="153"/>
      <c r="G2441" s="10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5"/>
      <c r="V2441" s="5"/>
      <c r="W2441" s="13"/>
      <c r="X2441" s="4"/>
      <c r="Y2441" s="4"/>
      <c r="Z2441" s="4"/>
      <c r="AA2441" s="6"/>
      <c r="AB2441" s="5"/>
      <c r="AC2441" s="9"/>
      <c r="AD2441" s="9"/>
      <c r="AE2441" s="9"/>
      <c r="AF2441" s="9"/>
      <c r="AG2441" s="64"/>
      <c r="AH2441" s="3"/>
      <c r="AI2441" s="2"/>
      <c r="AJ2441" s="2"/>
      <c r="AK2441" s="2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</row>
    <row r="2442" spans="1:59" x14ac:dyDescent="0.3">
      <c r="A2442" s="63"/>
      <c r="B2442" s="63"/>
      <c r="C2442" s="39"/>
      <c r="D2442" s="6"/>
      <c r="E2442" s="149"/>
      <c r="F2442" s="153"/>
      <c r="G2442" s="10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5"/>
      <c r="V2442" s="5"/>
      <c r="W2442" s="13"/>
      <c r="X2442" s="4"/>
      <c r="Y2442" s="4"/>
      <c r="Z2442" s="4"/>
      <c r="AA2442" s="6"/>
      <c r="AB2442" s="5"/>
      <c r="AC2442" s="9"/>
      <c r="AD2442" s="9"/>
      <c r="AE2442" s="9"/>
      <c r="AF2442" s="9"/>
      <c r="AG2442" s="64"/>
      <c r="AH2442" s="3"/>
      <c r="AI2442" s="2"/>
      <c r="AJ2442" s="2"/>
      <c r="AK2442" s="2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</row>
    <row r="2443" spans="1:59" ht="15" x14ac:dyDescent="0.35">
      <c r="A2443" s="6"/>
      <c r="B2443" s="6"/>
      <c r="C2443" s="39"/>
      <c r="D2443" s="6"/>
      <c r="E2443" s="149"/>
      <c r="F2443" s="153"/>
      <c r="G2443" s="10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5"/>
      <c r="V2443" s="5"/>
      <c r="W2443" s="13"/>
      <c r="X2443" s="4"/>
      <c r="Y2443" s="4"/>
      <c r="Z2443" s="4"/>
      <c r="AA2443" s="6"/>
      <c r="AB2443" s="5"/>
      <c r="AC2443" s="9"/>
      <c r="AD2443" s="9"/>
      <c r="AE2443" s="9"/>
      <c r="AF2443" s="9"/>
      <c r="AG2443" s="2"/>
      <c r="AH2443" s="3"/>
      <c r="AI2443" s="2"/>
      <c r="AJ2443" s="2"/>
      <c r="AK2443" s="2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65"/>
    </row>
    <row r="2444" spans="1:59" x14ac:dyDescent="0.3">
      <c r="A2444" s="6"/>
      <c r="B2444" s="6"/>
      <c r="C2444" s="39"/>
      <c r="D2444" s="6"/>
      <c r="E2444" s="149"/>
      <c r="F2444" s="153"/>
      <c r="G2444" s="10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12"/>
      <c r="Y2444" s="6"/>
      <c r="Z2444" s="6"/>
      <c r="AA2444" s="6"/>
      <c r="AB2444" s="6"/>
      <c r="AC2444" s="9"/>
      <c r="AD2444" s="9"/>
      <c r="AE2444" s="9"/>
      <c r="AF2444" s="9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21"/>
      <c r="AS2444" s="21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</row>
    <row r="2445" spans="1:59" x14ac:dyDescent="0.3">
      <c r="A2445" s="6"/>
      <c r="B2445" s="6"/>
      <c r="C2445" s="39"/>
      <c r="D2445" s="6"/>
      <c r="E2445" s="149"/>
      <c r="F2445" s="153"/>
      <c r="G2445" s="10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12"/>
      <c r="Y2445" s="6"/>
      <c r="Z2445" s="6"/>
      <c r="AA2445" s="6"/>
      <c r="AB2445" s="6"/>
      <c r="AC2445" s="9"/>
      <c r="AD2445" s="9"/>
      <c r="AE2445" s="9"/>
      <c r="AF2445" s="9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</row>
    <row r="2446" spans="1:59" x14ac:dyDescent="0.3">
      <c r="A2446" s="6"/>
      <c r="B2446" s="6"/>
      <c r="C2446" s="39"/>
      <c r="D2446" s="6"/>
      <c r="E2446" s="149"/>
      <c r="F2446" s="153"/>
      <c r="G2446" s="10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12"/>
      <c r="Y2446" s="6"/>
      <c r="Z2446" s="6"/>
      <c r="AA2446" s="6"/>
      <c r="AB2446" s="6"/>
      <c r="AC2446" s="9"/>
      <c r="AD2446" s="9"/>
      <c r="AE2446" s="9"/>
      <c r="AF2446" s="9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21"/>
      <c r="AS2446" s="21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</row>
    <row r="2447" spans="1:59" x14ac:dyDescent="0.3">
      <c r="A2447" s="6"/>
      <c r="B2447" s="6"/>
      <c r="C2447" s="39"/>
      <c r="D2447" s="6"/>
      <c r="E2447" s="149"/>
      <c r="F2447" s="153"/>
      <c r="G2447" s="10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12"/>
      <c r="Y2447" s="6"/>
      <c r="Z2447" s="6"/>
      <c r="AA2447" s="6"/>
      <c r="AB2447" s="6"/>
      <c r="AC2447" s="9"/>
      <c r="AD2447" s="9"/>
      <c r="AE2447" s="9"/>
      <c r="AF2447" s="9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21"/>
      <c r="AS2447" s="21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</row>
    <row r="2448" spans="1:59" ht="13.5" customHeight="1" x14ac:dyDescent="0.35">
      <c r="A2448" s="49"/>
      <c r="B2448" s="49"/>
      <c r="C2448" s="39"/>
      <c r="D2448" s="1"/>
      <c r="E2448" s="149"/>
      <c r="F2448" s="153"/>
      <c r="G2448" s="10"/>
      <c r="H2448" s="17"/>
      <c r="I2448" s="17"/>
      <c r="J2448" s="17"/>
      <c r="K2448" s="30"/>
      <c r="L2448" s="30"/>
      <c r="M2448" s="30"/>
      <c r="N2448" s="30"/>
      <c r="O2448" s="30"/>
      <c r="P2448" s="30"/>
      <c r="Q2448" s="30"/>
      <c r="R2448" s="30"/>
      <c r="S2448" s="30"/>
      <c r="T2448" s="30"/>
      <c r="U2448" s="30"/>
      <c r="V2448" s="30"/>
      <c r="W2448" s="29"/>
      <c r="X2448" s="15"/>
      <c r="Y2448" s="30"/>
      <c r="Z2448" s="30"/>
      <c r="AA2448" s="30"/>
      <c r="AB2448" s="30"/>
      <c r="AC2448" s="17"/>
      <c r="AD2448" s="17"/>
      <c r="AE2448" s="17"/>
      <c r="AF2448" s="17"/>
      <c r="AG2448" s="21"/>
      <c r="AH2448" s="21"/>
      <c r="AI2448" s="21"/>
      <c r="AJ2448" s="21"/>
      <c r="AK2448" s="21"/>
      <c r="AL2448" s="21"/>
      <c r="AM2448" s="21"/>
      <c r="AN2448" s="21"/>
      <c r="AO2448" s="22"/>
      <c r="AP2448" s="21"/>
      <c r="AQ2448" s="22"/>
      <c r="AR2448" s="21"/>
      <c r="AS2448" s="21"/>
      <c r="AT2448" s="21"/>
      <c r="AU2448" s="21"/>
      <c r="AV2448" s="21"/>
      <c r="AW2448" s="21"/>
      <c r="AX2448" s="22"/>
      <c r="AY2448" s="21"/>
      <c r="AZ2448" s="22"/>
      <c r="BA2448" s="21"/>
      <c r="BB2448" s="21"/>
      <c r="BC2448" s="21"/>
      <c r="BD2448" s="21"/>
      <c r="BE2448" s="26"/>
      <c r="BF2448" s="26"/>
      <c r="BG2448" s="62"/>
    </row>
    <row r="2449" spans="1:59" ht="13.5" customHeight="1" x14ac:dyDescent="0.35">
      <c r="A2449" s="49"/>
      <c r="B2449" s="49"/>
      <c r="C2449" s="14"/>
      <c r="D2449" s="1"/>
      <c r="E2449" s="149"/>
      <c r="F2449" s="153"/>
      <c r="G2449" s="10"/>
      <c r="H2449" s="17"/>
      <c r="I2449" s="17"/>
      <c r="J2449" s="17"/>
      <c r="K2449" s="30"/>
      <c r="L2449" s="30"/>
      <c r="M2449" s="30"/>
      <c r="N2449" s="30"/>
      <c r="O2449" s="30"/>
      <c r="P2449" s="30"/>
      <c r="Q2449" s="30"/>
      <c r="R2449" s="30"/>
      <c r="S2449" s="30"/>
      <c r="T2449" s="30"/>
      <c r="U2449" s="30"/>
      <c r="V2449" s="30"/>
      <c r="W2449" s="29"/>
      <c r="X2449" s="15"/>
      <c r="Y2449" s="30"/>
      <c r="Z2449" s="30"/>
      <c r="AA2449" s="30"/>
      <c r="AB2449" s="30"/>
      <c r="AC2449" s="17"/>
      <c r="AD2449" s="17"/>
      <c r="AE2449" s="17"/>
      <c r="AF2449" s="17"/>
      <c r="AG2449" s="21"/>
      <c r="AH2449" s="21"/>
      <c r="AI2449" s="21"/>
      <c r="AJ2449" s="21"/>
      <c r="AK2449" s="21"/>
      <c r="AL2449" s="21"/>
      <c r="AM2449" s="21"/>
      <c r="AN2449" s="21"/>
      <c r="AO2449" s="22"/>
      <c r="AP2449" s="21"/>
      <c r="AQ2449" s="22"/>
      <c r="AR2449" s="21"/>
      <c r="AS2449" s="21"/>
      <c r="AT2449" s="21"/>
      <c r="AU2449" s="21"/>
      <c r="AV2449" s="21"/>
      <c r="AW2449" s="21"/>
      <c r="AX2449" s="22"/>
      <c r="AY2449" s="21"/>
      <c r="AZ2449" s="22"/>
      <c r="BA2449" s="21"/>
      <c r="BB2449" s="21"/>
      <c r="BC2449" s="21"/>
      <c r="BD2449" s="21"/>
      <c r="BE2449" s="26"/>
      <c r="BF2449" s="26"/>
      <c r="BG2449" s="62"/>
    </row>
    <row r="2450" spans="1:59" x14ac:dyDescent="0.3">
      <c r="A2450" s="6"/>
      <c r="B2450" s="6"/>
      <c r="C2450" s="39"/>
      <c r="D2450" s="6"/>
      <c r="E2450" s="149"/>
      <c r="F2450" s="153"/>
      <c r="G2450" s="10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12"/>
      <c r="Y2450" s="6"/>
      <c r="Z2450" s="6"/>
      <c r="AA2450" s="6"/>
      <c r="AB2450" s="6"/>
      <c r="AC2450" s="9"/>
      <c r="AD2450" s="9"/>
      <c r="AE2450" s="9"/>
      <c r="AF2450" s="9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21"/>
      <c r="AS2450" s="21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</row>
    <row r="2451" spans="1:59" x14ac:dyDescent="0.3">
      <c r="A2451" s="6"/>
      <c r="B2451" s="6"/>
      <c r="C2451" s="39"/>
      <c r="D2451" s="6"/>
      <c r="E2451" s="149"/>
      <c r="F2451" s="153"/>
      <c r="G2451" s="10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12"/>
      <c r="Y2451" s="6"/>
      <c r="Z2451" s="6"/>
      <c r="AA2451" s="6"/>
      <c r="AB2451" s="6"/>
      <c r="AC2451" s="9"/>
      <c r="AD2451" s="9"/>
      <c r="AE2451" s="9"/>
      <c r="AF2451" s="9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21"/>
      <c r="AS2451" s="21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</row>
    <row r="2452" spans="1:59" ht="13.5" customHeight="1" x14ac:dyDescent="0.35">
      <c r="A2452" s="49"/>
      <c r="B2452" s="49"/>
      <c r="C2452" s="14"/>
      <c r="D2452" s="1"/>
      <c r="E2452" s="149"/>
      <c r="F2452" s="153"/>
      <c r="G2452" s="10"/>
      <c r="H2452" s="17"/>
      <c r="I2452" s="17"/>
      <c r="J2452" s="17"/>
      <c r="K2452" s="30"/>
      <c r="L2452" s="30"/>
      <c r="M2452" s="30"/>
      <c r="N2452" s="30"/>
      <c r="O2452" s="30"/>
      <c r="P2452" s="30"/>
      <c r="Q2452" s="30"/>
      <c r="R2452" s="30"/>
      <c r="S2452" s="30"/>
      <c r="T2452" s="30"/>
      <c r="U2452" s="30"/>
      <c r="V2452" s="30"/>
      <c r="W2452" s="29"/>
      <c r="X2452" s="15"/>
      <c r="Y2452" s="30"/>
      <c r="Z2452" s="30"/>
      <c r="AA2452" s="30"/>
      <c r="AB2452" s="30"/>
      <c r="AC2452" s="17"/>
      <c r="AD2452" s="17"/>
      <c r="AE2452" s="17"/>
      <c r="AF2452" s="17"/>
      <c r="AG2452" s="21"/>
      <c r="AH2452" s="21"/>
      <c r="AI2452" s="21"/>
      <c r="AJ2452" s="21"/>
      <c r="AK2452" s="21"/>
      <c r="AL2452" s="21"/>
      <c r="AM2452" s="21"/>
      <c r="AN2452" s="21"/>
      <c r="AO2452" s="22"/>
      <c r="AP2452" s="21"/>
      <c r="AQ2452" s="22"/>
      <c r="AR2452" s="21"/>
      <c r="AS2452" s="21"/>
      <c r="AT2452" s="21"/>
      <c r="AU2452" s="21"/>
      <c r="AV2452" s="21"/>
      <c r="AW2452" s="21"/>
      <c r="AX2452" s="22"/>
      <c r="AY2452" s="21"/>
      <c r="AZ2452" s="22"/>
      <c r="BA2452" s="21"/>
      <c r="BB2452" s="21"/>
      <c r="BC2452" s="21"/>
      <c r="BD2452" s="21"/>
      <c r="BE2452" s="26"/>
      <c r="BF2452" s="26"/>
      <c r="BG2452" s="62"/>
    </row>
    <row r="2453" spans="1:59" ht="13.5" customHeight="1" x14ac:dyDescent="0.35">
      <c r="A2453" s="49"/>
      <c r="B2453" s="49"/>
      <c r="C2453" s="14"/>
      <c r="D2453" s="1"/>
      <c r="E2453" s="149"/>
      <c r="F2453" s="153"/>
      <c r="G2453" s="10"/>
      <c r="H2453" s="17"/>
      <c r="I2453" s="17"/>
      <c r="J2453" s="17"/>
      <c r="K2453" s="30"/>
      <c r="L2453" s="30"/>
      <c r="M2453" s="30"/>
      <c r="N2453" s="30"/>
      <c r="O2453" s="30"/>
      <c r="P2453" s="30"/>
      <c r="Q2453" s="30"/>
      <c r="R2453" s="30"/>
      <c r="S2453" s="30"/>
      <c r="T2453" s="30"/>
      <c r="U2453" s="30"/>
      <c r="V2453" s="30"/>
      <c r="W2453" s="29"/>
      <c r="X2453" s="15"/>
      <c r="Y2453" s="30"/>
      <c r="Z2453" s="30"/>
      <c r="AA2453" s="30"/>
      <c r="AB2453" s="30"/>
      <c r="AC2453" s="17"/>
      <c r="AD2453" s="17"/>
      <c r="AE2453" s="17"/>
      <c r="AF2453" s="17"/>
      <c r="AG2453" s="21"/>
      <c r="AH2453" s="21"/>
      <c r="AI2453" s="21"/>
      <c r="AJ2453" s="21"/>
      <c r="AK2453" s="21"/>
      <c r="AL2453" s="21"/>
      <c r="AM2453" s="21"/>
      <c r="AN2453" s="21"/>
      <c r="AO2453" s="22"/>
      <c r="AP2453" s="21"/>
      <c r="AQ2453" s="22"/>
      <c r="AR2453" s="21"/>
      <c r="AS2453" s="21"/>
      <c r="AT2453" s="21"/>
      <c r="AU2453" s="21"/>
      <c r="AV2453" s="21"/>
      <c r="AW2453" s="21"/>
      <c r="AX2453" s="22"/>
      <c r="AY2453" s="21"/>
      <c r="AZ2453" s="22"/>
      <c r="BA2453" s="21"/>
      <c r="BB2453" s="21"/>
      <c r="BC2453" s="21"/>
      <c r="BD2453" s="21"/>
      <c r="BE2453" s="26"/>
      <c r="BF2453" s="26"/>
      <c r="BG2453" s="62"/>
    </row>
    <row r="2454" spans="1:59" ht="13.5" customHeight="1" x14ac:dyDescent="0.35">
      <c r="A2454" s="49"/>
      <c r="B2454" s="49"/>
      <c r="C2454" s="14"/>
      <c r="D2454" s="1"/>
      <c r="E2454" s="149"/>
      <c r="F2454" s="153"/>
      <c r="G2454" s="10"/>
      <c r="H2454" s="17"/>
      <c r="I2454" s="17"/>
      <c r="J2454" s="17"/>
      <c r="K2454" s="30"/>
      <c r="L2454" s="30"/>
      <c r="M2454" s="30"/>
      <c r="N2454" s="30"/>
      <c r="O2454" s="30"/>
      <c r="P2454" s="30"/>
      <c r="Q2454" s="30"/>
      <c r="R2454" s="30"/>
      <c r="S2454" s="30"/>
      <c r="T2454" s="30"/>
      <c r="U2454" s="30"/>
      <c r="V2454" s="30"/>
      <c r="W2454" s="29"/>
      <c r="X2454" s="15"/>
      <c r="Y2454" s="30"/>
      <c r="Z2454" s="30"/>
      <c r="AA2454" s="30"/>
      <c r="AB2454" s="30"/>
      <c r="AC2454" s="17"/>
      <c r="AD2454" s="17"/>
      <c r="AE2454" s="17"/>
      <c r="AF2454" s="17"/>
      <c r="AG2454" s="21"/>
      <c r="AH2454" s="21"/>
      <c r="AI2454" s="21"/>
      <c r="AJ2454" s="21"/>
      <c r="AK2454" s="21"/>
      <c r="AL2454" s="21"/>
      <c r="AM2454" s="21"/>
      <c r="AN2454" s="21"/>
      <c r="AO2454" s="22"/>
      <c r="AP2454" s="21"/>
      <c r="AQ2454" s="22"/>
      <c r="AR2454" s="21"/>
      <c r="AS2454" s="21"/>
      <c r="AT2454" s="21"/>
      <c r="AU2454" s="21"/>
      <c r="AV2454" s="21"/>
      <c r="AW2454" s="21"/>
      <c r="AX2454" s="22"/>
      <c r="AY2454" s="21"/>
      <c r="AZ2454" s="22"/>
      <c r="BA2454" s="21"/>
      <c r="BB2454" s="21"/>
      <c r="BC2454" s="21"/>
      <c r="BD2454" s="21"/>
      <c r="BE2454" s="26"/>
      <c r="BF2454" s="26"/>
      <c r="BG2454" s="62"/>
    </row>
    <row r="2455" spans="1:59" x14ac:dyDescent="0.3">
      <c r="A2455" s="6"/>
      <c r="B2455" s="6"/>
      <c r="C2455" s="39"/>
      <c r="D2455" s="6"/>
      <c r="E2455" s="149"/>
      <c r="F2455" s="153"/>
      <c r="G2455" s="10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12"/>
      <c r="Y2455" s="6"/>
      <c r="Z2455" s="6"/>
      <c r="AA2455" s="6"/>
      <c r="AB2455" s="6"/>
      <c r="AC2455" s="9"/>
      <c r="AD2455" s="9"/>
      <c r="AE2455" s="9"/>
      <c r="AF2455" s="9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21"/>
      <c r="AS2455" s="21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</row>
    <row r="2456" spans="1:59" ht="13.5" customHeight="1" x14ac:dyDescent="0.35">
      <c r="A2456" s="49"/>
      <c r="B2456" s="49"/>
      <c r="C2456" s="39"/>
      <c r="D2456" s="1"/>
      <c r="E2456" s="149"/>
      <c r="F2456" s="153"/>
      <c r="G2456" s="10"/>
      <c r="H2456" s="17"/>
      <c r="I2456" s="17"/>
      <c r="J2456" s="17"/>
      <c r="K2456" s="30"/>
      <c r="L2456" s="30"/>
      <c r="M2456" s="30"/>
      <c r="N2456" s="30"/>
      <c r="O2456" s="30"/>
      <c r="P2456" s="30"/>
      <c r="Q2456" s="30"/>
      <c r="R2456" s="30"/>
      <c r="S2456" s="30"/>
      <c r="T2456" s="30"/>
      <c r="U2456" s="30"/>
      <c r="V2456" s="30"/>
      <c r="W2456" s="29"/>
      <c r="X2456" s="15"/>
      <c r="Y2456" s="30"/>
      <c r="Z2456" s="30"/>
      <c r="AA2456" s="30"/>
      <c r="AB2456" s="30"/>
      <c r="AC2456" s="17"/>
      <c r="AD2456" s="17"/>
      <c r="AE2456" s="17"/>
      <c r="AF2456" s="17"/>
      <c r="AG2456" s="21"/>
      <c r="AH2456" s="21"/>
      <c r="AI2456" s="21"/>
      <c r="AJ2456" s="21"/>
      <c r="AK2456" s="21"/>
      <c r="AL2456" s="21"/>
      <c r="AM2456" s="21"/>
      <c r="AN2456" s="21"/>
      <c r="AO2456" s="22"/>
      <c r="AP2456" s="21"/>
      <c r="AQ2456" s="22"/>
      <c r="AR2456" s="21"/>
      <c r="AS2456" s="21"/>
      <c r="AT2456" s="21"/>
      <c r="AU2456" s="21"/>
      <c r="AV2456" s="21"/>
      <c r="AW2456" s="21"/>
      <c r="AX2456" s="22"/>
      <c r="AY2456" s="21"/>
      <c r="AZ2456" s="22"/>
      <c r="BA2456" s="21"/>
      <c r="BB2456" s="21"/>
      <c r="BC2456" s="21"/>
      <c r="BD2456" s="21"/>
      <c r="BE2456" s="26"/>
      <c r="BF2456" s="26"/>
      <c r="BG2456" s="62"/>
    </row>
    <row r="2457" spans="1:59" x14ac:dyDescent="0.3">
      <c r="A2457" s="6"/>
      <c r="B2457" s="6"/>
      <c r="C2457" s="39"/>
      <c r="D2457" s="6"/>
      <c r="E2457" s="149"/>
      <c r="F2457" s="153"/>
      <c r="G2457" s="10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12"/>
      <c r="Y2457" s="6"/>
      <c r="Z2457" s="6"/>
      <c r="AA2457" s="6"/>
      <c r="AB2457" s="6"/>
      <c r="AC2457" s="9"/>
      <c r="AD2457" s="9"/>
      <c r="AE2457" s="9"/>
      <c r="AF2457" s="9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21"/>
      <c r="AS2457" s="21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</row>
    <row r="2458" spans="1:59" x14ac:dyDescent="0.3">
      <c r="A2458" s="6"/>
      <c r="B2458" s="6"/>
      <c r="C2458" s="39"/>
      <c r="D2458" s="6"/>
      <c r="E2458" s="149"/>
      <c r="F2458" s="153"/>
      <c r="G2458" s="10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12"/>
      <c r="Y2458" s="6"/>
      <c r="Z2458" s="6"/>
      <c r="AA2458" s="6"/>
      <c r="AB2458" s="6"/>
      <c r="AC2458" s="9"/>
      <c r="AD2458" s="9"/>
      <c r="AE2458" s="9"/>
      <c r="AF2458" s="9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21"/>
      <c r="AS2458" s="21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</row>
    <row r="2459" spans="1:59" x14ac:dyDescent="0.3">
      <c r="A2459" s="63"/>
      <c r="B2459" s="63"/>
      <c r="C2459" s="39"/>
      <c r="D2459" s="6"/>
      <c r="E2459" s="149"/>
      <c r="F2459" s="153"/>
      <c r="G2459" s="10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5"/>
      <c r="V2459" s="5"/>
      <c r="W2459" s="13"/>
      <c r="X2459" s="4"/>
      <c r="Y2459" s="4"/>
      <c r="Z2459" s="4"/>
      <c r="AA2459" s="6"/>
      <c r="AB2459" s="5"/>
      <c r="AC2459" s="9"/>
      <c r="AD2459" s="9"/>
      <c r="AE2459" s="9"/>
      <c r="AF2459" s="9"/>
      <c r="AG2459" s="64"/>
      <c r="AH2459" s="3"/>
      <c r="AI2459" s="2"/>
      <c r="AJ2459" s="2"/>
      <c r="AK2459" s="2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</row>
    <row r="2460" spans="1:59" ht="13.5" customHeight="1" x14ac:dyDescent="0.35">
      <c r="A2460" s="49"/>
      <c r="B2460" s="49"/>
      <c r="C2460" s="14"/>
      <c r="D2460" s="1"/>
      <c r="E2460" s="149"/>
      <c r="F2460" s="153"/>
      <c r="G2460" s="10"/>
      <c r="H2460" s="17"/>
      <c r="I2460" s="17"/>
      <c r="J2460" s="17"/>
      <c r="K2460" s="30"/>
      <c r="L2460" s="30"/>
      <c r="M2460" s="30"/>
      <c r="N2460" s="30"/>
      <c r="O2460" s="30"/>
      <c r="P2460" s="30"/>
      <c r="Q2460" s="30"/>
      <c r="R2460" s="30"/>
      <c r="S2460" s="30"/>
      <c r="T2460" s="30"/>
      <c r="U2460" s="30"/>
      <c r="V2460" s="30"/>
      <c r="W2460" s="29"/>
      <c r="X2460" s="15"/>
      <c r="Y2460" s="30"/>
      <c r="Z2460" s="30"/>
      <c r="AA2460" s="30"/>
      <c r="AB2460" s="30"/>
      <c r="AC2460" s="17"/>
      <c r="AD2460" s="17"/>
      <c r="AE2460" s="17"/>
      <c r="AF2460" s="17"/>
      <c r="AG2460" s="21"/>
      <c r="AH2460" s="21"/>
      <c r="AI2460" s="21"/>
      <c r="AJ2460" s="21"/>
      <c r="AK2460" s="21"/>
      <c r="AL2460" s="21"/>
      <c r="AM2460" s="21"/>
      <c r="AN2460" s="21"/>
      <c r="AO2460" s="22"/>
      <c r="AP2460" s="21"/>
      <c r="AQ2460" s="22"/>
      <c r="AR2460" s="21"/>
      <c r="AS2460" s="21"/>
      <c r="AT2460" s="21"/>
      <c r="AU2460" s="21"/>
      <c r="AV2460" s="21"/>
      <c r="AW2460" s="21"/>
      <c r="AX2460" s="22"/>
      <c r="AY2460" s="21"/>
      <c r="AZ2460" s="22"/>
      <c r="BA2460" s="21"/>
      <c r="BB2460" s="21"/>
      <c r="BC2460" s="21"/>
      <c r="BD2460" s="21"/>
      <c r="BE2460" s="26"/>
      <c r="BF2460" s="26"/>
      <c r="BG2460" s="62"/>
    </row>
    <row r="2461" spans="1:59" x14ac:dyDescent="0.3">
      <c r="A2461" s="6"/>
      <c r="B2461" s="6"/>
      <c r="C2461" s="39"/>
      <c r="D2461" s="6"/>
      <c r="E2461" s="149"/>
      <c r="F2461" s="153"/>
      <c r="G2461" s="10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5"/>
      <c r="V2461" s="5"/>
      <c r="W2461" s="13"/>
      <c r="X2461" s="4"/>
      <c r="Y2461" s="4"/>
      <c r="Z2461" s="4"/>
      <c r="AA2461" s="6"/>
      <c r="AB2461" s="5"/>
      <c r="AC2461" s="9"/>
      <c r="AD2461" s="9"/>
      <c r="AE2461" s="9"/>
      <c r="AF2461" s="9"/>
      <c r="AG2461" s="2"/>
      <c r="AH2461" s="3"/>
      <c r="AI2461" s="2"/>
      <c r="AJ2461" s="2"/>
      <c r="AK2461" s="2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</row>
    <row r="2462" spans="1:59" ht="13.5" customHeight="1" x14ac:dyDescent="0.35">
      <c r="A2462" s="49"/>
      <c r="B2462" s="49"/>
      <c r="C2462" s="39"/>
      <c r="D2462" s="1"/>
      <c r="E2462" s="149"/>
      <c r="F2462" s="153"/>
      <c r="G2462" s="10"/>
      <c r="H2462" s="17"/>
      <c r="I2462" s="17"/>
      <c r="J2462" s="17"/>
      <c r="K2462" s="30"/>
      <c r="L2462" s="30"/>
      <c r="M2462" s="30"/>
      <c r="N2462" s="30"/>
      <c r="O2462" s="30"/>
      <c r="P2462" s="30"/>
      <c r="Q2462" s="30"/>
      <c r="R2462" s="30"/>
      <c r="S2462" s="30"/>
      <c r="T2462" s="30"/>
      <c r="U2462" s="30"/>
      <c r="V2462" s="30"/>
      <c r="W2462" s="29"/>
      <c r="X2462" s="15"/>
      <c r="Y2462" s="30"/>
      <c r="Z2462" s="30"/>
      <c r="AA2462" s="30"/>
      <c r="AB2462" s="30"/>
      <c r="AC2462" s="17"/>
      <c r="AD2462" s="17"/>
      <c r="AE2462" s="17"/>
      <c r="AF2462" s="17"/>
      <c r="AG2462" s="21"/>
      <c r="AH2462" s="21"/>
      <c r="AI2462" s="21"/>
      <c r="AJ2462" s="21"/>
      <c r="AK2462" s="21"/>
      <c r="AL2462" s="21"/>
      <c r="AM2462" s="21"/>
      <c r="AN2462" s="21"/>
      <c r="AO2462" s="22"/>
      <c r="AP2462" s="21"/>
      <c r="AQ2462" s="22"/>
      <c r="AR2462" s="21"/>
      <c r="AS2462" s="21"/>
      <c r="AT2462" s="21"/>
      <c r="AU2462" s="21"/>
      <c r="AV2462" s="21"/>
      <c r="AW2462" s="21"/>
      <c r="AX2462" s="22"/>
      <c r="AY2462" s="21"/>
      <c r="AZ2462" s="22"/>
      <c r="BA2462" s="21"/>
      <c r="BB2462" s="21"/>
      <c r="BC2462" s="21"/>
      <c r="BD2462" s="21"/>
      <c r="BE2462" s="26"/>
      <c r="BF2462" s="26"/>
      <c r="BG2462" s="62"/>
    </row>
    <row r="2463" spans="1:59" x14ac:dyDescent="0.3">
      <c r="A2463" s="6"/>
      <c r="B2463" s="6"/>
      <c r="C2463" s="39"/>
      <c r="D2463" s="6"/>
      <c r="E2463" s="149"/>
      <c r="F2463" s="153"/>
      <c r="G2463" s="10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12"/>
      <c r="Y2463" s="6"/>
      <c r="Z2463" s="6"/>
      <c r="AA2463" s="6"/>
      <c r="AB2463" s="6"/>
      <c r="AC2463" s="9"/>
      <c r="AD2463" s="9"/>
      <c r="AE2463" s="9"/>
      <c r="AF2463" s="9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21"/>
      <c r="AS2463" s="21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</row>
    <row r="2464" spans="1:59" x14ac:dyDescent="0.3">
      <c r="A2464" s="6"/>
      <c r="B2464" s="6"/>
      <c r="C2464" s="39"/>
      <c r="D2464" s="6"/>
      <c r="E2464" s="149"/>
      <c r="F2464" s="153"/>
      <c r="G2464" s="10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12"/>
      <c r="Y2464" s="6"/>
      <c r="Z2464" s="6"/>
      <c r="AA2464" s="6"/>
      <c r="AB2464" s="6"/>
      <c r="AC2464" s="9"/>
      <c r="AD2464" s="9"/>
      <c r="AE2464" s="9"/>
      <c r="AF2464" s="9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21"/>
      <c r="AS2464" s="21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</row>
    <row r="2465" spans="1:59" ht="13.5" customHeight="1" x14ac:dyDescent="0.35">
      <c r="A2465" s="49"/>
      <c r="B2465" s="49"/>
      <c r="C2465" s="14"/>
      <c r="D2465" s="1"/>
      <c r="E2465" s="149"/>
      <c r="F2465" s="153"/>
      <c r="G2465" s="10"/>
      <c r="H2465" s="17"/>
      <c r="I2465" s="17"/>
      <c r="J2465" s="17"/>
      <c r="K2465" s="30"/>
      <c r="L2465" s="30"/>
      <c r="M2465" s="30"/>
      <c r="N2465" s="30"/>
      <c r="O2465" s="30"/>
      <c r="P2465" s="30"/>
      <c r="Q2465" s="30"/>
      <c r="R2465" s="30"/>
      <c r="S2465" s="30"/>
      <c r="T2465" s="30"/>
      <c r="U2465" s="30"/>
      <c r="V2465" s="30"/>
      <c r="W2465" s="29"/>
      <c r="X2465" s="15"/>
      <c r="Y2465" s="30"/>
      <c r="Z2465" s="30"/>
      <c r="AA2465" s="30"/>
      <c r="AB2465" s="30"/>
      <c r="AC2465" s="17"/>
      <c r="AD2465" s="17"/>
      <c r="AE2465" s="17"/>
      <c r="AF2465" s="17"/>
      <c r="AG2465" s="21"/>
      <c r="AH2465" s="21"/>
      <c r="AI2465" s="21"/>
      <c r="AJ2465" s="21"/>
      <c r="AK2465" s="21"/>
      <c r="AL2465" s="21"/>
      <c r="AM2465" s="21"/>
      <c r="AN2465" s="21"/>
      <c r="AO2465" s="22"/>
      <c r="AP2465" s="21"/>
      <c r="AQ2465" s="22"/>
      <c r="AR2465" s="21"/>
      <c r="AS2465" s="21"/>
      <c r="AT2465" s="21"/>
      <c r="AU2465" s="21"/>
      <c r="AV2465" s="21"/>
      <c r="AW2465" s="21"/>
      <c r="AX2465" s="22"/>
      <c r="AY2465" s="21"/>
      <c r="AZ2465" s="22"/>
      <c r="BA2465" s="21"/>
      <c r="BB2465" s="21"/>
      <c r="BC2465" s="21"/>
      <c r="BD2465" s="21"/>
      <c r="BE2465" s="26"/>
      <c r="BF2465" s="26"/>
      <c r="BG2465" s="62"/>
    </row>
    <row r="2466" spans="1:59" x14ac:dyDescent="0.3">
      <c r="A2466" s="63"/>
      <c r="B2466" s="63"/>
      <c r="C2466" s="39"/>
      <c r="D2466" s="6"/>
      <c r="E2466" s="149"/>
      <c r="F2466" s="153"/>
      <c r="G2466" s="10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5"/>
      <c r="V2466" s="5"/>
      <c r="W2466" s="13"/>
      <c r="X2466" s="4"/>
      <c r="Y2466" s="4"/>
      <c r="Z2466" s="4"/>
      <c r="AA2466" s="6"/>
      <c r="AB2466" s="5"/>
      <c r="AC2466" s="9"/>
      <c r="AD2466" s="9"/>
      <c r="AE2466" s="9"/>
      <c r="AF2466" s="9"/>
      <c r="AG2466" s="64"/>
      <c r="AH2466" s="3"/>
      <c r="AI2466" s="2"/>
      <c r="AJ2466" s="2"/>
      <c r="AK2466" s="2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</row>
    <row r="2467" spans="1:59" x14ac:dyDescent="0.3">
      <c r="A2467" s="63"/>
      <c r="B2467" s="63"/>
      <c r="C2467" s="39"/>
      <c r="D2467" s="6"/>
      <c r="E2467" s="149"/>
      <c r="F2467" s="153"/>
      <c r="G2467" s="10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5"/>
      <c r="V2467" s="5"/>
      <c r="W2467" s="13"/>
      <c r="X2467" s="4"/>
      <c r="Y2467" s="4"/>
      <c r="Z2467" s="4"/>
      <c r="AA2467" s="6"/>
      <c r="AB2467" s="5"/>
      <c r="AC2467" s="9"/>
      <c r="AD2467" s="9"/>
      <c r="AE2467" s="9"/>
      <c r="AF2467" s="9"/>
      <c r="AG2467" s="64"/>
      <c r="AH2467" s="3"/>
      <c r="AI2467" s="2"/>
      <c r="AJ2467" s="2"/>
      <c r="AK2467" s="2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</row>
    <row r="2468" spans="1:59" ht="15" x14ac:dyDescent="0.35">
      <c r="A2468" s="6"/>
      <c r="B2468" s="6"/>
      <c r="C2468" s="39"/>
      <c r="D2468" s="6"/>
      <c r="E2468" s="149"/>
      <c r="F2468" s="153"/>
      <c r="G2468" s="10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5"/>
      <c r="V2468" s="5"/>
      <c r="W2468" s="13"/>
      <c r="X2468" s="4"/>
      <c r="Y2468" s="4"/>
      <c r="Z2468" s="4"/>
      <c r="AA2468" s="6"/>
      <c r="AB2468" s="5"/>
      <c r="AC2468" s="9"/>
      <c r="AD2468" s="9"/>
      <c r="AE2468" s="9"/>
      <c r="AF2468" s="9"/>
      <c r="AG2468" s="2"/>
      <c r="AH2468" s="3"/>
      <c r="AI2468" s="2"/>
      <c r="AJ2468" s="2"/>
      <c r="AK2468" s="2"/>
      <c r="AL2468" s="3"/>
      <c r="AM2468" s="3"/>
      <c r="AN2468" s="3"/>
      <c r="AO2468" s="3"/>
      <c r="AP2468" s="3"/>
      <c r="AQ2468" s="3"/>
      <c r="AR2468" s="21"/>
      <c r="AS2468" s="21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65"/>
    </row>
    <row r="2469" spans="1:59" x14ac:dyDescent="0.3">
      <c r="A2469" s="6"/>
      <c r="B2469" s="6"/>
      <c r="C2469" s="39"/>
      <c r="D2469" s="6"/>
      <c r="E2469" s="149"/>
      <c r="F2469" s="153"/>
      <c r="G2469" s="10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12"/>
      <c r="Y2469" s="6"/>
      <c r="Z2469" s="6"/>
      <c r="AA2469" s="6"/>
      <c r="AB2469" s="6"/>
      <c r="AC2469" s="9"/>
      <c r="AD2469" s="9"/>
      <c r="AE2469" s="9"/>
      <c r="AF2469" s="9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21"/>
      <c r="AS2469" s="21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</row>
    <row r="2470" spans="1:59" x14ac:dyDescent="0.3">
      <c r="A2470" s="63"/>
      <c r="B2470" s="63"/>
      <c r="C2470" s="39"/>
      <c r="D2470" s="6"/>
      <c r="E2470" s="149"/>
      <c r="F2470" s="153"/>
      <c r="G2470" s="10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5"/>
      <c r="V2470" s="5"/>
      <c r="W2470" s="13"/>
      <c r="X2470" s="4"/>
      <c r="Y2470" s="4"/>
      <c r="Z2470" s="4"/>
      <c r="AA2470" s="6"/>
      <c r="AB2470" s="5"/>
      <c r="AC2470" s="9"/>
      <c r="AD2470" s="9"/>
      <c r="AE2470" s="9"/>
      <c r="AF2470" s="9"/>
      <c r="AG2470" s="64"/>
      <c r="AH2470" s="3"/>
      <c r="AI2470" s="2"/>
      <c r="AJ2470" s="2"/>
      <c r="AK2470" s="2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</row>
    <row r="2471" spans="1:59" ht="13.5" customHeight="1" x14ac:dyDescent="0.35">
      <c r="A2471" s="49"/>
      <c r="B2471" s="49"/>
      <c r="C2471" s="39"/>
      <c r="D2471" s="1"/>
      <c r="E2471" s="149"/>
      <c r="F2471" s="153"/>
      <c r="G2471" s="10"/>
      <c r="H2471" s="17"/>
      <c r="I2471" s="17"/>
      <c r="J2471" s="17"/>
      <c r="K2471" s="30"/>
      <c r="L2471" s="30"/>
      <c r="M2471" s="30"/>
      <c r="N2471" s="30"/>
      <c r="O2471" s="30"/>
      <c r="P2471" s="30"/>
      <c r="Q2471" s="30"/>
      <c r="R2471" s="30"/>
      <c r="S2471" s="30"/>
      <c r="T2471" s="30"/>
      <c r="U2471" s="30"/>
      <c r="V2471" s="30"/>
      <c r="W2471" s="29"/>
      <c r="X2471" s="15"/>
      <c r="Y2471" s="30"/>
      <c r="Z2471" s="30"/>
      <c r="AA2471" s="30"/>
      <c r="AB2471" s="30"/>
      <c r="AC2471" s="17"/>
      <c r="AD2471" s="17"/>
      <c r="AE2471" s="17"/>
      <c r="AF2471" s="17"/>
      <c r="AG2471" s="21"/>
      <c r="AH2471" s="21"/>
      <c r="AI2471" s="21"/>
      <c r="AJ2471" s="21"/>
      <c r="AK2471" s="21"/>
      <c r="AL2471" s="21"/>
      <c r="AM2471" s="21"/>
      <c r="AN2471" s="21"/>
      <c r="AO2471" s="22"/>
      <c r="AP2471" s="21"/>
      <c r="AQ2471" s="22"/>
      <c r="AR2471" s="21"/>
      <c r="AS2471" s="21"/>
      <c r="AT2471" s="21"/>
      <c r="AU2471" s="21"/>
      <c r="AV2471" s="21"/>
      <c r="AW2471" s="21"/>
      <c r="AX2471" s="22"/>
      <c r="AY2471" s="21"/>
      <c r="AZ2471" s="22"/>
      <c r="BA2471" s="21"/>
      <c r="BB2471" s="21"/>
      <c r="BC2471" s="21"/>
      <c r="BD2471" s="21"/>
      <c r="BE2471" s="26"/>
      <c r="BF2471" s="26"/>
      <c r="BG2471" s="62"/>
    </row>
    <row r="2472" spans="1:59" ht="13.5" customHeight="1" x14ac:dyDescent="0.35">
      <c r="A2472" s="49"/>
      <c r="B2472" s="49"/>
      <c r="C2472" s="39"/>
      <c r="D2472" s="1"/>
      <c r="E2472" s="149"/>
      <c r="F2472" s="153"/>
      <c r="G2472" s="10"/>
      <c r="H2472" s="17"/>
      <c r="I2472" s="17"/>
      <c r="J2472" s="17"/>
      <c r="K2472" s="30"/>
      <c r="L2472" s="30"/>
      <c r="M2472" s="30"/>
      <c r="N2472" s="30"/>
      <c r="O2472" s="30"/>
      <c r="P2472" s="30"/>
      <c r="Q2472" s="30"/>
      <c r="R2472" s="30"/>
      <c r="S2472" s="30"/>
      <c r="T2472" s="30"/>
      <c r="U2472" s="30"/>
      <c r="V2472" s="30"/>
      <c r="W2472" s="29"/>
      <c r="X2472" s="15"/>
      <c r="Y2472" s="30"/>
      <c r="Z2472" s="30"/>
      <c r="AA2472" s="30"/>
      <c r="AB2472" s="30"/>
      <c r="AC2472" s="17"/>
      <c r="AD2472" s="17"/>
      <c r="AE2472" s="17"/>
      <c r="AF2472" s="17"/>
      <c r="AG2472" s="21"/>
      <c r="AH2472" s="21"/>
      <c r="AI2472" s="21"/>
      <c r="AJ2472" s="21"/>
      <c r="AK2472" s="21"/>
      <c r="AL2472" s="21"/>
      <c r="AM2472" s="21"/>
      <c r="AN2472" s="21"/>
      <c r="AO2472" s="22"/>
      <c r="AP2472" s="21"/>
      <c r="AQ2472" s="22"/>
      <c r="AR2472" s="21"/>
      <c r="AS2472" s="21"/>
      <c r="AT2472" s="21"/>
      <c r="AU2472" s="21"/>
      <c r="AV2472" s="21"/>
      <c r="AW2472" s="21"/>
      <c r="AX2472" s="22"/>
      <c r="AY2472" s="21"/>
      <c r="AZ2472" s="22"/>
      <c r="BA2472" s="21"/>
      <c r="BB2472" s="21"/>
      <c r="BC2472" s="21"/>
      <c r="BD2472" s="21"/>
      <c r="BE2472" s="26"/>
      <c r="BF2472" s="26"/>
      <c r="BG2472" s="62"/>
    </row>
    <row r="2473" spans="1:59" x14ac:dyDescent="0.3">
      <c r="A2473" s="6"/>
      <c r="B2473" s="6"/>
      <c r="C2473" s="39"/>
      <c r="D2473" s="6"/>
      <c r="E2473" s="149"/>
      <c r="F2473" s="153"/>
      <c r="G2473" s="10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12"/>
      <c r="Y2473" s="6"/>
      <c r="Z2473" s="6"/>
      <c r="AA2473" s="6"/>
      <c r="AB2473" s="6"/>
      <c r="AC2473" s="9"/>
      <c r="AD2473" s="9"/>
      <c r="AE2473" s="9"/>
      <c r="AF2473" s="9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</row>
    <row r="2474" spans="1:59" ht="13.5" customHeight="1" x14ac:dyDescent="0.35">
      <c r="A2474" s="49"/>
      <c r="B2474" s="49"/>
      <c r="C2474" s="14"/>
      <c r="D2474" s="1"/>
      <c r="E2474" s="149"/>
      <c r="F2474" s="153"/>
      <c r="G2474" s="10"/>
      <c r="H2474" s="17"/>
      <c r="I2474" s="17"/>
      <c r="J2474" s="17"/>
      <c r="K2474" s="30"/>
      <c r="L2474" s="30"/>
      <c r="M2474" s="30"/>
      <c r="N2474" s="30"/>
      <c r="O2474" s="30"/>
      <c r="P2474" s="30"/>
      <c r="Q2474" s="30"/>
      <c r="R2474" s="30"/>
      <c r="S2474" s="30"/>
      <c r="T2474" s="30"/>
      <c r="U2474" s="30"/>
      <c r="V2474" s="30"/>
      <c r="W2474" s="29"/>
      <c r="X2474" s="15"/>
      <c r="Y2474" s="30"/>
      <c r="Z2474" s="30"/>
      <c r="AA2474" s="30"/>
      <c r="AB2474" s="30"/>
      <c r="AC2474" s="17"/>
      <c r="AD2474" s="17"/>
      <c r="AE2474" s="17"/>
      <c r="AF2474" s="17"/>
      <c r="AG2474" s="21"/>
      <c r="AH2474" s="21"/>
      <c r="AI2474" s="21"/>
      <c r="AJ2474" s="21"/>
      <c r="AK2474" s="21"/>
      <c r="AL2474" s="21"/>
      <c r="AM2474" s="21"/>
      <c r="AN2474" s="21"/>
      <c r="AO2474" s="22"/>
      <c r="AP2474" s="21"/>
      <c r="AQ2474" s="22"/>
      <c r="AR2474" s="21"/>
      <c r="AS2474" s="21"/>
      <c r="AT2474" s="21"/>
      <c r="AU2474" s="21"/>
      <c r="AV2474" s="21"/>
      <c r="AW2474" s="21"/>
      <c r="AX2474" s="22"/>
      <c r="AY2474" s="21"/>
      <c r="AZ2474" s="22"/>
      <c r="BA2474" s="21"/>
      <c r="BB2474" s="21"/>
      <c r="BC2474" s="21"/>
      <c r="BD2474" s="21"/>
      <c r="BE2474" s="26"/>
      <c r="BF2474" s="26"/>
      <c r="BG2474" s="62"/>
    </row>
    <row r="2475" spans="1:59" ht="13.5" customHeight="1" x14ac:dyDescent="0.35">
      <c r="A2475" s="49"/>
      <c r="B2475" s="49"/>
      <c r="C2475" s="14"/>
      <c r="D2475" s="1"/>
      <c r="E2475" s="149"/>
      <c r="F2475" s="153"/>
      <c r="G2475" s="10"/>
      <c r="H2475" s="17"/>
      <c r="I2475" s="17"/>
      <c r="J2475" s="17"/>
      <c r="K2475" s="30"/>
      <c r="L2475" s="30"/>
      <c r="M2475" s="30"/>
      <c r="N2475" s="30"/>
      <c r="O2475" s="30"/>
      <c r="P2475" s="30"/>
      <c r="Q2475" s="30"/>
      <c r="R2475" s="30"/>
      <c r="S2475" s="30"/>
      <c r="T2475" s="30"/>
      <c r="U2475" s="30"/>
      <c r="V2475" s="30"/>
      <c r="W2475" s="29"/>
      <c r="X2475" s="15"/>
      <c r="Y2475" s="30"/>
      <c r="Z2475" s="30"/>
      <c r="AA2475" s="30"/>
      <c r="AB2475" s="30"/>
      <c r="AC2475" s="17"/>
      <c r="AD2475" s="17"/>
      <c r="AE2475" s="17"/>
      <c r="AF2475" s="17"/>
      <c r="AG2475" s="21"/>
      <c r="AH2475" s="21"/>
      <c r="AI2475" s="21"/>
      <c r="AJ2475" s="21"/>
      <c r="AK2475" s="21"/>
      <c r="AL2475" s="21"/>
      <c r="AM2475" s="21"/>
      <c r="AN2475" s="21"/>
      <c r="AO2475" s="22"/>
      <c r="AP2475" s="21"/>
      <c r="AQ2475" s="22"/>
      <c r="AR2475" s="21"/>
      <c r="AS2475" s="21"/>
      <c r="AT2475" s="21"/>
      <c r="AU2475" s="21"/>
      <c r="AV2475" s="21"/>
      <c r="AW2475" s="21"/>
      <c r="AX2475" s="22"/>
      <c r="AY2475" s="21"/>
      <c r="AZ2475" s="22"/>
      <c r="BA2475" s="21"/>
      <c r="BB2475" s="21"/>
      <c r="BC2475" s="21"/>
      <c r="BD2475" s="21"/>
      <c r="BE2475" s="26"/>
      <c r="BF2475" s="26"/>
      <c r="BG2475" s="62"/>
    </row>
    <row r="2476" spans="1:59" x14ac:dyDescent="0.3">
      <c r="A2476" s="6"/>
      <c r="B2476" s="6"/>
      <c r="C2476" s="39"/>
      <c r="D2476" s="6"/>
      <c r="E2476" s="149"/>
      <c r="F2476" s="153"/>
      <c r="G2476" s="10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5"/>
      <c r="V2476" s="5"/>
      <c r="W2476" s="13"/>
      <c r="X2476" s="4"/>
      <c r="Y2476" s="4"/>
      <c r="Z2476" s="4"/>
      <c r="AA2476" s="6"/>
      <c r="AB2476" s="5"/>
      <c r="AC2476" s="9"/>
      <c r="AD2476" s="9"/>
      <c r="AE2476" s="9"/>
      <c r="AF2476" s="9"/>
      <c r="AG2476" s="2"/>
      <c r="AH2476" s="3"/>
      <c r="AI2476" s="2"/>
      <c r="AJ2476" s="2"/>
      <c r="AK2476" s="2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</row>
    <row r="2477" spans="1:59" x14ac:dyDescent="0.3">
      <c r="A2477" s="6"/>
      <c r="B2477" s="6"/>
      <c r="C2477" s="39"/>
      <c r="D2477" s="6"/>
      <c r="E2477" s="149"/>
      <c r="F2477" s="153"/>
      <c r="G2477" s="10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5"/>
      <c r="V2477" s="5"/>
      <c r="W2477" s="13"/>
      <c r="X2477" s="4"/>
      <c r="Y2477" s="4"/>
      <c r="Z2477" s="4"/>
      <c r="AA2477" s="6"/>
      <c r="AB2477" s="5"/>
      <c r="AC2477" s="9"/>
      <c r="AD2477" s="9"/>
      <c r="AE2477" s="9"/>
      <c r="AF2477" s="9"/>
      <c r="AG2477" s="2"/>
      <c r="AH2477" s="3"/>
      <c r="AI2477" s="2"/>
      <c r="AJ2477" s="2"/>
      <c r="AK2477" s="2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</row>
    <row r="2478" spans="1:59" x14ac:dyDescent="0.3">
      <c r="A2478" s="63"/>
      <c r="B2478" s="63"/>
      <c r="C2478" s="39"/>
      <c r="D2478" s="6"/>
      <c r="E2478" s="149"/>
      <c r="F2478" s="153"/>
      <c r="G2478" s="10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5"/>
      <c r="V2478" s="5"/>
      <c r="W2478" s="13"/>
      <c r="X2478" s="4"/>
      <c r="Y2478" s="4"/>
      <c r="Z2478" s="4"/>
      <c r="AA2478" s="6"/>
      <c r="AB2478" s="5"/>
      <c r="AC2478" s="9"/>
      <c r="AD2478" s="9"/>
      <c r="AE2478" s="9"/>
      <c r="AF2478" s="9"/>
      <c r="AG2478" s="64"/>
      <c r="AH2478" s="3"/>
      <c r="AI2478" s="2"/>
      <c r="AJ2478" s="2"/>
      <c r="AK2478" s="2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</row>
    <row r="2479" spans="1:59" ht="13.5" customHeight="1" x14ac:dyDescent="0.35">
      <c r="A2479" s="49"/>
      <c r="B2479" s="49"/>
      <c r="C2479" s="14"/>
      <c r="D2479" s="1"/>
      <c r="E2479" s="149"/>
      <c r="F2479" s="153"/>
      <c r="G2479" s="10"/>
      <c r="H2479" s="17"/>
      <c r="I2479" s="17"/>
      <c r="J2479" s="17"/>
      <c r="K2479" s="30"/>
      <c r="L2479" s="30"/>
      <c r="M2479" s="30"/>
      <c r="N2479" s="30"/>
      <c r="O2479" s="30"/>
      <c r="P2479" s="30"/>
      <c r="Q2479" s="30"/>
      <c r="R2479" s="30"/>
      <c r="S2479" s="30"/>
      <c r="T2479" s="30"/>
      <c r="U2479" s="30"/>
      <c r="V2479" s="30"/>
      <c r="W2479" s="29"/>
      <c r="X2479" s="15"/>
      <c r="Y2479" s="30"/>
      <c r="Z2479" s="30"/>
      <c r="AA2479" s="30"/>
      <c r="AB2479" s="30"/>
      <c r="AC2479" s="17"/>
      <c r="AD2479" s="17"/>
      <c r="AE2479" s="17"/>
      <c r="AF2479" s="17"/>
      <c r="AG2479" s="21"/>
      <c r="AH2479" s="21"/>
      <c r="AI2479" s="21"/>
      <c r="AJ2479" s="21"/>
      <c r="AK2479" s="21"/>
      <c r="AL2479" s="21"/>
      <c r="AM2479" s="21"/>
      <c r="AN2479" s="21"/>
      <c r="AO2479" s="22"/>
      <c r="AP2479" s="21"/>
      <c r="AQ2479" s="22"/>
      <c r="AR2479" s="21"/>
      <c r="AS2479" s="21"/>
      <c r="AT2479" s="21"/>
      <c r="AU2479" s="21"/>
      <c r="AV2479" s="21"/>
      <c r="AW2479" s="21"/>
      <c r="AX2479" s="22"/>
      <c r="AY2479" s="21"/>
      <c r="AZ2479" s="22"/>
      <c r="BA2479" s="21"/>
      <c r="BB2479" s="21"/>
      <c r="BC2479" s="21"/>
      <c r="BD2479" s="21"/>
      <c r="BE2479" s="26"/>
      <c r="BF2479" s="26"/>
      <c r="BG2479" s="62"/>
    </row>
    <row r="2480" spans="1:59" x14ac:dyDescent="0.3">
      <c r="A2480" s="6"/>
      <c r="B2480" s="6"/>
      <c r="C2480" s="39"/>
      <c r="D2480" s="6"/>
      <c r="E2480" s="149"/>
      <c r="F2480" s="153"/>
      <c r="G2480" s="10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12"/>
      <c r="Y2480" s="6"/>
      <c r="Z2480" s="6"/>
      <c r="AA2480" s="6"/>
      <c r="AB2480" s="6"/>
      <c r="AC2480" s="9"/>
      <c r="AD2480" s="9"/>
      <c r="AE2480" s="9"/>
      <c r="AF2480" s="9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21"/>
      <c r="AS2480" s="21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</row>
    <row r="2481" spans="1:59" x14ac:dyDescent="0.3">
      <c r="A2481" s="63"/>
      <c r="B2481" s="63"/>
      <c r="C2481" s="39"/>
      <c r="D2481" s="6"/>
      <c r="E2481" s="149"/>
      <c r="F2481" s="153"/>
      <c r="G2481" s="10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5"/>
      <c r="V2481" s="5"/>
      <c r="W2481" s="13"/>
      <c r="X2481" s="4"/>
      <c r="Y2481" s="4"/>
      <c r="Z2481" s="4"/>
      <c r="AA2481" s="6"/>
      <c r="AB2481" s="5"/>
      <c r="AC2481" s="9"/>
      <c r="AD2481" s="9"/>
      <c r="AE2481" s="9"/>
      <c r="AF2481" s="9"/>
      <c r="AG2481" s="64"/>
      <c r="AH2481" s="3"/>
      <c r="AI2481" s="2"/>
      <c r="AJ2481" s="2"/>
      <c r="AK2481" s="2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</row>
    <row r="2482" spans="1:59" ht="13.5" customHeight="1" x14ac:dyDescent="0.35">
      <c r="A2482" s="49"/>
      <c r="B2482" s="49"/>
      <c r="C2482" s="14"/>
      <c r="D2482" s="1"/>
      <c r="E2482" s="149"/>
      <c r="F2482" s="153"/>
      <c r="G2482" s="10"/>
      <c r="H2482" s="17"/>
      <c r="I2482" s="17"/>
      <c r="J2482" s="17"/>
      <c r="K2482" s="30"/>
      <c r="L2482" s="30"/>
      <c r="M2482" s="30"/>
      <c r="N2482" s="30"/>
      <c r="O2482" s="30"/>
      <c r="P2482" s="30"/>
      <c r="Q2482" s="30"/>
      <c r="R2482" s="30"/>
      <c r="S2482" s="30"/>
      <c r="T2482" s="30"/>
      <c r="U2482" s="30"/>
      <c r="V2482" s="30"/>
      <c r="W2482" s="29"/>
      <c r="X2482" s="15"/>
      <c r="Y2482" s="30"/>
      <c r="Z2482" s="30"/>
      <c r="AA2482" s="30"/>
      <c r="AB2482" s="30"/>
      <c r="AC2482" s="17"/>
      <c r="AD2482" s="17"/>
      <c r="AE2482" s="17"/>
      <c r="AF2482" s="17"/>
      <c r="AG2482" s="21"/>
      <c r="AH2482" s="21"/>
      <c r="AI2482" s="21"/>
      <c r="AJ2482" s="21"/>
      <c r="AK2482" s="21"/>
      <c r="AL2482" s="21"/>
      <c r="AM2482" s="21"/>
      <c r="AN2482" s="21"/>
      <c r="AO2482" s="22"/>
      <c r="AP2482" s="21"/>
      <c r="AQ2482" s="22"/>
      <c r="AR2482" s="21"/>
      <c r="AS2482" s="21"/>
      <c r="AT2482" s="21"/>
      <c r="AU2482" s="21"/>
      <c r="AV2482" s="21"/>
      <c r="AW2482" s="21"/>
      <c r="AX2482" s="22"/>
      <c r="AY2482" s="21"/>
      <c r="AZ2482" s="22"/>
      <c r="BA2482" s="21"/>
      <c r="BB2482" s="21"/>
      <c r="BC2482" s="21"/>
      <c r="BD2482" s="21"/>
      <c r="BE2482" s="26"/>
      <c r="BF2482" s="26"/>
      <c r="BG2482" s="62"/>
    </row>
    <row r="2483" spans="1:59" x14ac:dyDescent="0.3">
      <c r="A2483" s="63"/>
      <c r="B2483" s="63"/>
      <c r="C2483" s="39"/>
      <c r="D2483" s="6"/>
      <c r="E2483" s="149"/>
      <c r="F2483" s="153"/>
      <c r="G2483" s="10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5"/>
      <c r="V2483" s="5"/>
      <c r="W2483" s="13"/>
      <c r="X2483" s="4"/>
      <c r="Y2483" s="4"/>
      <c r="Z2483" s="4"/>
      <c r="AA2483" s="6"/>
      <c r="AB2483" s="5"/>
      <c r="AC2483" s="9"/>
      <c r="AD2483" s="9"/>
      <c r="AE2483" s="9"/>
      <c r="AF2483" s="9"/>
      <c r="AG2483" s="64"/>
      <c r="AH2483" s="3"/>
      <c r="AI2483" s="2"/>
      <c r="AJ2483" s="2"/>
      <c r="AK2483" s="2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</row>
    <row r="2484" spans="1:59" x14ac:dyDescent="0.3">
      <c r="A2484" s="63"/>
      <c r="B2484" s="63"/>
      <c r="C2484" s="39"/>
      <c r="D2484" s="6"/>
      <c r="E2484" s="149"/>
      <c r="F2484" s="153"/>
      <c r="G2484" s="10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5"/>
      <c r="V2484" s="5"/>
      <c r="W2484" s="13"/>
      <c r="X2484" s="4"/>
      <c r="Y2484" s="4"/>
      <c r="Z2484" s="4"/>
      <c r="AA2484" s="6"/>
      <c r="AB2484" s="5"/>
      <c r="AC2484" s="9"/>
      <c r="AD2484" s="9"/>
      <c r="AE2484" s="9"/>
      <c r="AF2484" s="9"/>
      <c r="AG2484" s="64"/>
      <c r="AH2484" s="3"/>
      <c r="AI2484" s="2"/>
      <c r="AJ2484" s="2"/>
      <c r="AK2484" s="2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</row>
    <row r="2485" spans="1:59" ht="13.5" customHeight="1" x14ac:dyDescent="0.35">
      <c r="A2485" s="49"/>
      <c r="B2485" s="49"/>
      <c r="C2485" s="39"/>
      <c r="D2485" s="1"/>
      <c r="E2485" s="149"/>
      <c r="F2485" s="153"/>
      <c r="G2485" s="10"/>
      <c r="H2485" s="17"/>
      <c r="I2485" s="17"/>
      <c r="J2485" s="17"/>
      <c r="K2485" s="30"/>
      <c r="L2485" s="30"/>
      <c r="M2485" s="30"/>
      <c r="N2485" s="30"/>
      <c r="O2485" s="30"/>
      <c r="P2485" s="30"/>
      <c r="Q2485" s="30"/>
      <c r="R2485" s="30"/>
      <c r="S2485" s="30"/>
      <c r="T2485" s="30"/>
      <c r="U2485" s="30"/>
      <c r="V2485" s="30"/>
      <c r="W2485" s="29"/>
      <c r="X2485" s="15"/>
      <c r="Y2485" s="30"/>
      <c r="Z2485" s="30"/>
      <c r="AA2485" s="30"/>
      <c r="AB2485" s="30"/>
      <c r="AC2485" s="17"/>
      <c r="AD2485" s="17"/>
      <c r="AE2485" s="17"/>
      <c r="AF2485" s="17"/>
      <c r="AG2485" s="21"/>
      <c r="AH2485" s="21"/>
      <c r="AI2485" s="21"/>
      <c r="AJ2485" s="21"/>
      <c r="AK2485" s="21"/>
      <c r="AL2485" s="21"/>
      <c r="AM2485" s="21"/>
      <c r="AN2485" s="21"/>
      <c r="AO2485" s="22"/>
      <c r="AP2485" s="21"/>
      <c r="AQ2485" s="22"/>
      <c r="AR2485" s="21"/>
      <c r="AS2485" s="21"/>
      <c r="AT2485" s="21"/>
      <c r="AU2485" s="21"/>
      <c r="AV2485" s="21"/>
      <c r="AW2485" s="21"/>
      <c r="AX2485" s="22"/>
      <c r="AY2485" s="21"/>
      <c r="AZ2485" s="22"/>
      <c r="BA2485" s="21"/>
      <c r="BB2485" s="21"/>
      <c r="BC2485" s="21"/>
      <c r="BD2485" s="21"/>
      <c r="BE2485" s="26"/>
      <c r="BF2485" s="26"/>
      <c r="BG2485" s="62"/>
    </row>
    <row r="2486" spans="1:59" x14ac:dyDescent="0.3">
      <c r="A2486" s="6"/>
      <c r="B2486" s="6"/>
      <c r="C2486" s="39"/>
      <c r="D2486" s="6"/>
      <c r="E2486" s="149"/>
      <c r="F2486" s="153"/>
      <c r="G2486" s="10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12"/>
      <c r="Y2486" s="6"/>
      <c r="Z2486" s="6"/>
      <c r="AA2486" s="6"/>
      <c r="AB2486" s="6"/>
      <c r="AC2486" s="9"/>
      <c r="AD2486" s="9"/>
      <c r="AE2486" s="9"/>
      <c r="AF2486" s="9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21"/>
      <c r="AS2486" s="21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</row>
    <row r="2487" spans="1:59" x14ac:dyDescent="0.3">
      <c r="A2487" s="63"/>
      <c r="B2487" s="63"/>
      <c r="C2487" s="39"/>
      <c r="D2487" s="6"/>
      <c r="E2487" s="149"/>
      <c r="F2487" s="153"/>
      <c r="G2487" s="10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5"/>
      <c r="V2487" s="5"/>
      <c r="W2487" s="13"/>
      <c r="X2487" s="4"/>
      <c r="Y2487" s="4"/>
      <c r="Z2487" s="4"/>
      <c r="AA2487" s="6"/>
      <c r="AB2487" s="5"/>
      <c r="AC2487" s="9"/>
      <c r="AD2487" s="9"/>
      <c r="AE2487" s="9"/>
      <c r="AF2487" s="9"/>
      <c r="AG2487" s="64"/>
      <c r="AH2487" s="3"/>
      <c r="AI2487" s="2"/>
      <c r="AJ2487" s="2"/>
      <c r="AK2487" s="2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</row>
    <row r="2488" spans="1:59" ht="13.5" customHeight="1" x14ac:dyDescent="0.35">
      <c r="A2488" s="49"/>
      <c r="B2488" s="49"/>
      <c r="C2488" s="39"/>
      <c r="D2488" s="1"/>
      <c r="E2488" s="149"/>
      <c r="F2488" s="153"/>
      <c r="G2488" s="10"/>
      <c r="H2488" s="17"/>
      <c r="I2488" s="17"/>
      <c r="J2488" s="17"/>
      <c r="K2488" s="30"/>
      <c r="L2488" s="30"/>
      <c r="M2488" s="30"/>
      <c r="N2488" s="30"/>
      <c r="O2488" s="30"/>
      <c r="P2488" s="30"/>
      <c r="Q2488" s="30"/>
      <c r="R2488" s="30"/>
      <c r="S2488" s="30"/>
      <c r="T2488" s="30"/>
      <c r="U2488" s="30"/>
      <c r="V2488" s="30"/>
      <c r="W2488" s="29"/>
      <c r="X2488" s="15"/>
      <c r="Y2488" s="30"/>
      <c r="Z2488" s="30"/>
      <c r="AA2488" s="30"/>
      <c r="AB2488" s="30"/>
      <c r="AC2488" s="17"/>
      <c r="AD2488" s="17"/>
      <c r="AE2488" s="17"/>
      <c r="AF2488" s="17"/>
      <c r="AG2488" s="21"/>
      <c r="AH2488" s="21"/>
      <c r="AI2488" s="21"/>
      <c r="AJ2488" s="21"/>
      <c r="AK2488" s="21"/>
      <c r="AL2488" s="21"/>
      <c r="AM2488" s="21"/>
      <c r="AN2488" s="21"/>
      <c r="AO2488" s="22"/>
      <c r="AP2488" s="21"/>
      <c r="AQ2488" s="22"/>
      <c r="AR2488" s="21"/>
      <c r="AS2488" s="21"/>
      <c r="AT2488" s="21"/>
      <c r="AU2488" s="21"/>
      <c r="AV2488" s="21"/>
      <c r="AW2488" s="21"/>
      <c r="AX2488" s="22"/>
      <c r="AY2488" s="21"/>
      <c r="AZ2488" s="22"/>
      <c r="BA2488" s="21"/>
      <c r="BB2488" s="21"/>
      <c r="BC2488" s="21"/>
      <c r="BD2488" s="21"/>
      <c r="BE2488" s="26"/>
      <c r="BF2488" s="26"/>
      <c r="BG2488" s="62"/>
    </row>
    <row r="2489" spans="1:59" x14ac:dyDescent="0.3">
      <c r="A2489" s="6"/>
      <c r="B2489" s="6"/>
      <c r="C2489" s="39"/>
      <c r="D2489" s="6"/>
      <c r="E2489" s="149"/>
      <c r="F2489" s="153"/>
      <c r="G2489" s="10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5"/>
      <c r="V2489" s="5"/>
      <c r="W2489" s="13"/>
      <c r="X2489" s="4"/>
      <c r="Y2489" s="4"/>
      <c r="Z2489" s="4"/>
      <c r="AA2489" s="6"/>
      <c r="AB2489" s="5"/>
      <c r="AC2489" s="9"/>
      <c r="AD2489" s="9"/>
      <c r="AE2489" s="9"/>
      <c r="AF2489" s="9"/>
      <c r="AG2489" s="2"/>
      <c r="AH2489" s="3"/>
      <c r="AI2489" s="2"/>
      <c r="AJ2489" s="2"/>
      <c r="AK2489" s="2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</row>
    <row r="2490" spans="1:59" x14ac:dyDescent="0.3">
      <c r="A2490" s="63"/>
      <c r="B2490" s="63"/>
      <c r="C2490" s="39"/>
      <c r="D2490" s="6"/>
      <c r="E2490" s="149"/>
      <c r="F2490" s="153"/>
      <c r="G2490" s="10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5"/>
      <c r="V2490" s="5"/>
      <c r="W2490" s="13"/>
      <c r="X2490" s="4"/>
      <c r="Y2490" s="4"/>
      <c r="Z2490" s="4"/>
      <c r="AA2490" s="6"/>
      <c r="AB2490" s="5"/>
      <c r="AC2490" s="9"/>
      <c r="AD2490" s="9"/>
      <c r="AE2490" s="9"/>
      <c r="AF2490" s="9"/>
      <c r="AG2490" s="64"/>
      <c r="AH2490" s="3"/>
      <c r="AI2490" s="2"/>
      <c r="AJ2490" s="2"/>
      <c r="AK2490" s="2"/>
      <c r="AL2490" s="3"/>
      <c r="AM2490" s="3"/>
      <c r="AN2490" s="3"/>
      <c r="AO2490" s="3"/>
      <c r="AP2490" s="3"/>
      <c r="AQ2490" s="3"/>
      <c r="AR2490" s="21"/>
      <c r="AS2490" s="21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</row>
    <row r="2491" spans="1:59" ht="13.5" customHeight="1" x14ac:dyDescent="0.35">
      <c r="A2491" s="49"/>
      <c r="B2491" s="49"/>
      <c r="C2491" s="14"/>
      <c r="D2491" s="1"/>
      <c r="E2491" s="149"/>
      <c r="F2491" s="153"/>
      <c r="G2491" s="10"/>
      <c r="H2491" s="17"/>
      <c r="I2491" s="17"/>
      <c r="J2491" s="17"/>
      <c r="K2491" s="30"/>
      <c r="L2491" s="30"/>
      <c r="M2491" s="30"/>
      <c r="N2491" s="30"/>
      <c r="O2491" s="30"/>
      <c r="P2491" s="30"/>
      <c r="Q2491" s="30"/>
      <c r="R2491" s="30"/>
      <c r="S2491" s="30"/>
      <c r="T2491" s="30"/>
      <c r="U2491" s="30"/>
      <c r="V2491" s="30"/>
      <c r="W2491" s="29"/>
      <c r="X2491" s="15"/>
      <c r="Y2491" s="30"/>
      <c r="Z2491" s="30"/>
      <c r="AA2491" s="30"/>
      <c r="AB2491" s="30"/>
      <c r="AC2491" s="17"/>
      <c r="AD2491" s="17"/>
      <c r="AE2491" s="17"/>
      <c r="AF2491" s="17"/>
      <c r="AG2491" s="21"/>
      <c r="AH2491" s="21"/>
      <c r="AI2491" s="21"/>
      <c r="AJ2491" s="21"/>
      <c r="AK2491" s="21"/>
      <c r="AL2491" s="21"/>
      <c r="AM2491" s="21"/>
      <c r="AN2491" s="21"/>
      <c r="AO2491" s="22"/>
      <c r="AP2491" s="21"/>
      <c r="AQ2491" s="22"/>
      <c r="AR2491" s="21"/>
      <c r="AS2491" s="21"/>
      <c r="AT2491" s="21"/>
      <c r="AU2491" s="21"/>
      <c r="AV2491" s="21"/>
      <c r="AW2491" s="21"/>
      <c r="AX2491" s="22"/>
      <c r="AY2491" s="21"/>
      <c r="AZ2491" s="22"/>
      <c r="BA2491" s="21"/>
      <c r="BB2491" s="21"/>
      <c r="BC2491" s="21"/>
      <c r="BD2491" s="21"/>
      <c r="BE2491" s="26"/>
      <c r="BF2491" s="26"/>
      <c r="BG2491" s="62"/>
    </row>
    <row r="2492" spans="1:59" x14ac:dyDescent="0.3">
      <c r="A2492" s="6"/>
      <c r="B2492" s="6"/>
      <c r="C2492" s="39"/>
      <c r="D2492" s="6"/>
      <c r="E2492" s="149"/>
      <c r="F2492" s="153"/>
      <c r="G2492" s="10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12"/>
      <c r="Y2492" s="6"/>
      <c r="Z2492" s="6"/>
      <c r="AA2492" s="6"/>
      <c r="AB2492" s="6"/>
      <c r="AC2492" s="9"/>
      <c r="AD2492" s="9"/>
      <c r="AE2492" s="9"/>
      <c r="AF2492" s="9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21"/>
      <c r="AS2492" s="21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</row>
    <row r="2493" spans="1:59" x14ac:dyDescent="0.3">
      <c r="A2493" s="6"/>
      <c r="B2493" s="6"/>
      <c r="C2493" s="39"/>
      <c r="D2493" s="6"/>
      <c r="E2493" s="149"/>
      <c r="F2493" s="153"/>
      <c r="G2493" s="10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12"/>
      <c r="Y2493" s="6"/>
      <c r="Z2493" s="6"/>
      <c r="AA2493" s="6"/>
      <c r="AB2493" s="6"/>
      <c r="AC2493" s="9"/>
      <c r="AD2493" s="9"/>
      <c r="AE2493" s="9"/>
      <c r="AF2493" s="9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21"/>
      <c r="AS2493" s="21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</row>
    <row r="2494" spans="1:59" x14ac:dyDescent="0.3">
      <c r="A2494" s="6"/>
      <c r="B2494" s="6"/>
      <c r="C2494" s="39"/>
      <c r="D2494" s="6"/>
      <c r="E2494" s="149"/>
      <c r="F2494" s="153"/>
      <c r="G2494" s="10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12"/>
      <c r="Y2494" s="6"/>
      <c r="Z2494" s="6"/>
      <c r="AA2494" s="6"/>
      <c r="AB2494" s="6"/>
      <c r="AC2494" s="9"/>
      <c r="AD2494" s="9"/>
      <c r="AE2494" s="9"/>
      <c r="AF2494" s="9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</row>
    <row r="2495" spans="1:59" ht="13.5" customHeight="1" x14ac:dyDescent="0.35">
      <c r="A2495" s="49"/>
      <c r="B2495" s="49"/>
      <c r="C2495" s="14"/>
      <c r="D2495" s="1"/>
      <c r="E2495" s="149"/>
      <c r="F2495" s="153"/>
      <c r="G2495" s="10"/>
      <c r="H2495" s="17"/>
      <c r="I2495" s="17"/>
      <c r="J2495" s="17"/>
      <c r="K2495" s="30"/>
      <c r="L2495" s="30"/>
      <c r="M2495" s="30"/>
      <c r="N2495" s="30"/>
      <c r="O2495" s="30"/>
      <c r="P2495" s="30"/>
      <c r="Q2495" s="30"/>
      <c r="R2495" s="30"/>
      <c r="S2495" s="30"/>
      <c r="T2495" s="30"/>
      <c r="U2495" s="30"/>
      <c r="V2495" s="30"/>
      <c r="W2495" s="29"/>
      <c r="X2495" s="15"/>
      <c r="Y2495" s="30"/>
      <c r="Z2495" s="30"/>
      <c r="AA2495" s="30"/>
      <c r="AB2495" s="30"/>
      <c r="AC2495" s="17"/>
      <c r="AD2495" s="17"/>
      <c r="AE2495" s="17"/>
      <c r="AF2495" s="17"/>
      <c r="AG2495" s="21"/>
      <c r="AH2495" s="21"/>
      <c r="AI2495" s="21"/>
      <c r="AJ2495" s="21"/>
      <c r="AK2495" s="21"/>
      <c r="AL2495" s="21"/>
      <c r="AM2495" s="21"/>
      <c r="AN2495" s="21"/>
      <c r="AO2495" s="22"/>
      <c r="AP2495" s="21"/>
      <c r="AQ2495" s="22"/>
      <c r="AR2495" s="21"/>
      <c r="AS2495" s="21"/>
      <c r="AT2495" s="21"/>
      <c r="AU2495" s="21"/>
      <c r="AV2495" s="21"/>
      <c r="AW2495" s="21"/>
      <c r="AX2495" s="22"/>
      <c r="AY2495" s="21"/>
      <c r="AZ2495" s="22"/>
      <c r="BA2495" s="21"/>
      <c r="BB2495" s="21"/>
      <c r="BC2495" s="21"/>
      <c r="BD2495" s="21"/>
      <c r="BE2495" s="26"/>
      <c r="BF2495" s="26"/>
      <c r="BG2495" s="62"/>
    </row>
    <row r="2496" spans="1:59" ht="13.5" customHeight="1" x14ac:dyDescent="0.35">
      <c r="A2496" s="49"/>
      <c r="B2496" s="49"/>
      <c r="C2496" s="14"/>
      <c r="D2496" s="1"/>
      <c r="E2496" s="149"/>
      <c r="F2496" s="153"/>
      <c r="G2496" s="10"/>
      <c r="H2496" s="17"/>
      <c r="I2496" s="17"/>
      <c r="J2496" s="17"/>
      <c r="K2496" s="30"/>
      <c r="L2496" s="30"/>
      <c r="M2496" s="30"/>
      <c r="N2496" s="30"/>
      <c r="O2496" s="30"/>
      <c r="P2496" s="30"/>
      <c r="Q2496" s="30"/>
      <c r="R2496" s="30"/>
      <c r="S2496" s="30"/>
      <c r="T2496" s="30"/>
      <c r="U2496" s="30"/>
      <c r="V2496" s="30"/>
      <c r="W2496" s="29"/>
      <c r="X2496" s="15"/>
      <c r="Y2496" s="30"/>
      <c r="Z2496" s="30"/>
      <c r="AA2496" s="30"/>
      <c r="AB2496" s="30"/>
      <c r="AC2496" s="17"/>
      <c r="AD2496" s="17"/>
      <c r="AE2496" s="17"/>
      <c r="AF2496" s="17"/>
      <c r="AG2496" s="21"/>
      <c r="AH2496" s="21"/>
      <c r="AI2496" s="21"/>
      <c r="AJ2496" s="21"/>
      <c r="AK2496" s="21"/>
      <c r="AL2496" s="21"/>
      <c r="AM2496" s="21"/>
      <c r="AN2496" s="21"/>
      <c r="AO2496" s="22"/>
      <c r="AP2496" s="21"/>
      <c r="AQ2496" s="22"/>
      <c r="AR2496" s="21"/>
      <c r="AS2496" s="21"/>
      <c r="AT2496" s="21"/>
      <c r="AU2496" s="21"/>
      <c r="AV2496" s="21"/>
      <c r="AW2496" s="21"/>
      <c r="AX2496" s="22"/>
      <c r="AY2496" s="21"/>
      <c r="AZ2496" s="22"/>
      <c r="BA2496" s="21"/>
      <c r="BB2496" s="21"/>
      <c r="BC2496" s="21"/>
      <c r="BD2496" s="21"/>
      <c r="BE2496" s="26"/>
      <c r="BF2496" s="26"/>
      <c r="BG2496" s="65"/>
    </row>
    <row r="2497" spans="1:59" x14ac:dyDescent="0.3">
      <c r="A2497" s="6"/>
      <c r="B2497" s="6"/>
      <c r="C2497" s="39"/>
      <c r="D2497" s="6"/>
      <c r="E2497" s="149"/>
      <c r="F2497" s="153"/>
      <c r="G2497" s="10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12"/>
      <c r="Y2497" s="6"/>
      <c r="Z2497" s="6"/>
      <c r="AA2497" s="6"/>
      <c r="AB2497" s="6"/>
      <c r="AC2497" s="9"/>
      <c r="AD2497" s="9"/>
      <c r="AE2497" s="9"/>
      <c r="AF2497" s="9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21"/>
      <c r="AS2497" s="21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</row>
    <row r="2498" spans="1:59" x14ac:dyDescent="0.3">
      <c r="A2498" s="6"/>
      <c r="B2498" s="6"/>
      <c r="C2498" s="39"/>
      <c r="D2498" s="6"/>
      <c r="E2498" s="149"/>
      <c r="F2498" s="153"/>
      <c r="G2498" s="10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12"/>
      <c r="Y2498" s="6"/>
      <c r="Z2498" s="6"/>
      <c r="AA2498" s="6"/>
      <c r="AB2498" s="6"/>
      <c r="AC2498" s="9"/>
      <c r="AD2498" s="9"/>
      <c r="AE2498" s="9"/>
      <c r="AF2498" s="9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21"/>
      <c r="AS2498" s="21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</row>
    <row r="2499" spans="1:59" x14ac:dyDescent="0.3">
      <c r="A2499" s="63"/>
      <c r="B2499" s="63"/>
      <c r="C2499" s="39"/>
      <c r="D2499" s="6"/>
      <c r="E2499" s="149"/>
      <c r="F2499" s="153"/>
      <c r="G2499" s="10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5"/>
      <c r="V2499" s="5"/>
      <c r="W2499" s="13"/>
      <c r="X2499" s="4"/>
      <c r="Y2499" s="4"/>
      <c r="Z2499" s="4"/>
      <c r="AA2499" s="6"/>
      <c r="AB2499" s="5"/>
      <c r="AC2499" s="9"/>
      <c r="AD2499" s="9"/>
      <c r="AE2499" s="9"/>
      <c r="AF2499" s="9"/>
      <c r="AG2499" s="64"/>
      <c r="AH2499" s="3"/>
      <c r="AI2499" s="2"/>
      <c r="AJ2499" s="2"/>
      <c r="AK2499" s="2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</row>
    <row r="2500" spans="1:59" x14ac:dyDescent="0.3">
      <c r="A2500" s="63"/>
      <c r="B2500" s="63"/>
      <c r="C2500" s="39"/>
      <c r="D2500" s="6"/>
      <c r="E2500" s="149"/>
      <c r="F2500" s="153"/>
      <c r="G2500" s="10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5"/>
      <c r="V2500" s="5"/>
      <c r="W2500" s="13"/>
      <c r="X2500" s="4"/>
      <c r="Y2500" s="4"/>
      <c r="Z2500" s="4"/>
      <c r="AA2500" s="6"/>
      <c r="AB2500" s="5"/>
      <c r="AC2500" s="9"/>
      <c r="AD2500" s="9"/>
      <c r="AE2500" s="9"/>
      <c r="AF2500" s="9"/>
      <c r="AG2500" s="64"/>
      <c r="AH2500" s="3"/>
      <c r="AI2500" s="2"/>
      <c r="AJ2500" s="2"/>
      <c r="AK2500" s="2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</row>
    <row r="2501" spans="1:59" x14ac:dyDescent="0.3">
      <c r="A2501" s="63"/>
      <c r="B2501" s="63"/>
      <c r="C2501" s="39"/>
      <c r="D2501" s="6"/>
      <c r="E2501" s="149"/>
      <c r="F2501" s="153"/>
      <c r="G2501" s="10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5"/>
      <c r="V2501" s="5"/>
      <c r="W2501" s="13"/>
      <c r="X2501" s="4"/>
      <c r="Y2501" s="4"/>
      <c r="Z2501" s="4"/>
      <c r="AA2501" s="6"/>
      <c r="AB2501" s="5"/>
      <c r="AC2501" s="9"/>
      <c r="AD2501" s="9"/>
      <c r="AE2501" s="9"/>
      <c r="AF2501" s="9"/>
      <c r="AG2501" s="64"/>
      <c r="AH2501" s="3"/>
      <c r="AI2501" s="2"/>
      <c r="AJ2501" s="2"/>
      <c r="AK2501" s="2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</row>
    <row r="2502" spans="1:59" x14ac:dyDescent="0.3">
      <c r="A2502" s="6"/>
      <c r="B2502" s="6"/>
      <c r="C2502" s="39"/>
      <c r="D2502" s="6"/>
      <c r="E2502" s="149"/>
      <c r="F2502" s="153"/>
      <c r="G2502" s="10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5"/>
      <c r="V2502" s="5"/>
      <c r="W2502" s="13"/>
      <c r="X2502" s="4"/>
      <c r="Y2502" s="4"/>
      <c r="Z2502" s="4"/>
      <c r="AA2502" s="6"/>
      <c r="AB2502" s="5"/>
      <c r="AC2502" s="9"/>
      <c r="AD2502" s="9"/>
      <c r="AE2502" s="9"/>
      <c r="AF2502" s="9"/>
      <c r="AG2502" s="2"/>
      <c r="AH2502" s="3"/>
      <c r="AI2502" s="2"/>
      <c r="AJ2502" s="2"/>
      <c r="AK2502" s="2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</row>
    <row r="2503" spans="1:59" x14ac:dyDescent="0.3">
      <c r="A2503" s="6"/>
      <c r="B2503" s="6"/>
      <c r="C2503" s="39"/>
      <c r="D2503" s="6"/>
      <c r="E2503" s="149"/>
      <c r="F2503" s="153"/>
      <c r="G2503" s="10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12"/>
      <c r="Y2503" s="6"/>
      <c r="Z2503" s="6"/>
      <c r="AA2503" s="6"/>
      <c r="AB2503" s="6"/>
      <c r="AC2503" s="9"/>
      <c r="AD2503" s="9"/>
      <c r="AE2503" s="9"/>
      <c r="AF2503" s="9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21"/>
      <c r="AS2503" s="21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</row>
    <row r="2504" spans="1:59" ht="13.5" customHeight="1" x14ac:dyDescent="0.35">
      <c r="A2504" s="49"/>
      <c r="B2504" s="49"/>
      <c r="C2504" s="14"/>
      <c r="D2504" s="1"/>
      <c r="E2504" s="149"/>
      <c r="F2504" s="153"/>
      <c r="G2504" s="10"/>
      <c r="H2504" s="17"/>
      <c r="I2504" s="17"/>
      <c r="J2504" s="17"/>
      <c r="K2504" s="30"/>
      <c r="L2504" s="30"/>
      <c r="M2504" s="30"/>
      <c r="N2504" s="30"/>
      <c r="O2504" s="30"/>
      <c r="P2504" s="30"/>
      <c r="Q2504" s="30"/>
      <c r="R2504" s="30"/>
      <c r="S2504" s="30"/>
      <c r="T2504" s="30"/>
      <c r="U2504" s="30"/>
      <c r="V2504" s="30"/>
      <c r="W2504" s="29"/>
      <c r="X2504" s="15"/>
      <c r="Y2504" s="30"/>
      <c r="Z2504" s="30"/>
      <c r="AA2504" s="30"/>
      <c r="AB2504" s="30"/>
      <c r="AC2504" s="17"/>
      <c r="AD2504" s="17"/>
      <c r="AE2504" s="17"/>
      <c r="AF2504" s="17"/>
      <c r="AG2504" s="21"/>
      <c r="AH2504" s="21"/>
      <c r="AI2504" s="21"/>
      <c r="AJ2504" s="21"/>
      <c r="AK2504" s="21"/>
      <c r="AL2504" s="21"/>
      <c r="AM2504" s="21"/>
      <c r="AN2504" s="21"/>
      <c r="AO2504" s="22"/>
      <c r="AP2504" s="21"/>
      <c r="AQ2504" s="22"/>
      <c r="AR2504" s="21"/>
      <c r="AS2504" s="21"/>
      <c r="AT2504" s="21"/>
      <c r="AU2504" s="21"/>
      <c r="AV2504" s="21"/>
      <c r="AW2504" s="21"/>
      <c r="AX2504" s="22"/>
      <c r="AY2504" s="21"/>
      <c r="AZ2504" s="22"/>
      <c r="BA2504" s="21"/>
      <c r="BB2504" s="21"/>
      <c r="BC2504" s="21"/>
      <c r="BD2504" s="21"/>
      <c r="BE2504" s="26"/>
      <c r="BF2504" s="26"/>
      <c r="BG2504" s="62"/>
    </row>
    <row r="2505" spans="1:59" x14ac:dyDescent="0.3">
      <c r="A2505" s="6"/>
      <c r="B2505" s="6"/>
      <c r="C2505" s="39"/>
      <c r="D2505" s="6"/>
      <c r="E2505" s="149"/>
      <c r="F2505" s="153"/>
      <c r="G2505" s="10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12"/>
      <c r="Y2505" s="6"/>
      <c r="Z2505" s="6"/>
      <c r="AA2505" s="6"/>
      <c r="AB2505" s="6"/>
      <c r="AC2505" s="9"/>
      <c r="AD2505" s="9"/>
      <c r="AE2505" s="9"/>
      <c r="AF2505" s="9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21"/>
      <c r="AS2505" s="21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</row>
    <row r="2506" spans="1:59" x14ac:dyDescent="0.3">
      <c r="A2506" s="6"/>
      <c r="B2506" s="6"/>
      <c r="C2506" s="39"/>
      <c r="D2506" s="6"/>
      <c r="E2506" s="149"/>
      <c r="F2506" s="153"/>
      <c r="G2506" s="10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5"/>
      <c r="V2506" s="5"/>
      <c r="W2506" s="13"/>
      <c r="X2506" s="4"/>
      <c r="Y2506" s="4"/>
      <c r="Z2506" s="4"/>
      <c r="AA2506" s="6"/>
      <c r="AB2506" s="5"/>
      <c r="AC2506" s="9"/>
      <c r="AD2506" s="9"/>
      <c r="AE2506" s="9"/>
      <c r="AF2506" s="9"/>
      <c r="AG2506" s="2"/>
      <c r="AH2506" s="3"/>
      <c r="AI2506" s="2"/>
      <c r="AJ2506" s="2"/>
      <c r="AK2506" s="2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</row>
    <row r="2507" spans="1:59" x14ac:dyDescent="0.3">
      <c r="A2507" s="6"/>
      <c r="B2507" s="6"/>
      <c r="C2507" s="39"/>
      <c r="D2507" s="6"/>
      <c r="E2507" s="149"/>
      <c r="F2507" s="153"/>
      <c r="G2507" s="10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12"/>
      <c r="Y2507" s="6"/>
      <c r="Z2507" s="6"/>
      <c r="AA2507" s="6"/>
      <c r="AB2507" s="6"/>
      <c r="AC2507" s="9"/>
      <c r="AD2507" s="9"/>
      <c r="AE2507" s="9"/>
      <c r="AF2507" s="9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21"/>
      <c r="AS2507" s="21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</row>
    <row r="2508" spans="1:59" ht="13.5" customHeight="1" x14ac:dyDescent="0.35">
      <c r="A2508" s="49"/>
      <c r="B2508" s="49"/>
      <c r="C2508" s="39"/>
      <c r="D2508" s="1"/>
      <c r="E2508" s="149"/>
      <c r="F2508" s="153"/>
      <c r="G2508" s="10"/>
      <c r="H2508" s="17"/>
      <c r="I2508" s="17"/>
      <c r="J2508" s="17"/>
      <c r="K2508" s="30"/>
      <c r="L2508" s="30"/>
      <c r="M2508" s="30"/>
      <c r="N2508" s="30"/>
      <c r="O2508" s="30"/>
      <c r="P2508" s="30"/>
      <c r="Q2508" s="30"/>
      <c r="R2508" s="30"/>
      <c r="S2508" s="30"/>
      <c r="T2508" s="30"/>
      <c r="U2508" s="30"/>
      <c r="V2508" s="30"/>
      <c r="W2508" s="29"/>
      <c r="X2508" s="15"/>
      <c r="Y2508" s="30"/>
      <c r="Z2508" s="30"/>
      <c r="AA2508" s="30"/>
      <c r="AB2508" s="30"/>
      <c r="AC2508" s="17"/>
      <c r="AD2508" s="17"/>
      <c r="AE2508" s="17"/>
      <c r="AF2508" s="17"/>
      <c r="AG2508" s="21"/>
      <c r="AH2508" s="21"/>
      <c r="AI2508" s="21"/>
      <c r="AJ2508" s="21"/>
      <c r="AK2508" s="21"/>
      <c r="AL2508" s="21"/>
      <c r="AM2508" s="21"/>
      <c r="AN2508" s="21"/>
      <c r="AO2508" s="22"/>
      <c r="AP2508" s="21"/>
      <c r="AQ2508" s="22"/>
      <c r="AR2508" s="21"/>
      <c r="AS2508" s="21"/>
      <c r="AT2508" s="21"/>
      <c r="AU2508" s="21"/>
      <c r="AV2508" s="21"/>
      <c r="AW2508" s="21"/>
      <c r="AX2508" s="22"/>
      <c r="AY2508" s="21"/>
      <c r="AZ2508" s="22"/>
      <c r="BA2508" s="21"/>
      <c r="BB2508" s="21"/>
      <c r="BC2508" s="21"/>
      <c r="BD2508" s="21"/>
      <c r="BE2508" s="26"/>
      <c r="BF2508" s="26"/>
      <c r="BG2508" s="62"/>
    </row>
    <row r="2509" spans="1:59" ht="13.5" customHeight="1" x14ac:dyDescent="0.35">
      <c r="A2509" s="52"/>
      <c r="B2509" s="52"/>
      <c r="C2509" s="39"/>
      <c r="D2509" s="1"/>
      <c r="E2509" s="149"/>
      <c r="F2509" s="153"/>
      <c r="G2509" s="10"/>
      <c r="H2509" s="17"/>
      <c r="I2509" s="17"/>
      <c r="J2509" s="17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29"/>
      <c r="X2509" s="15"/>
      <c r="Y2509" s="30"/>
      <c r="Z2509" s="30"/>
      <c r="AA2509" s="30"/>
      <c r="AB2509" s="30"/>
      <c r="AC2509" s="17"/>
      <c r="AD2509" s="17"/>
      <c r="AE2509" s="17"/>
      <c r="AF2509" s="17"/>
      <c r="AG2509" s="21"/>
      <c r="AH2509" s="21"/>
      <c r="AI2509" s="21"/>
      <c r="AJ2509" s="21"/>
      <c r="AK2509" s="21"/>
      <c r="AL2509" s="21"/>
      <c r="AM2509" s="21"/>
      <c r="AN2509" s="21"/>
      <c r="AO2509" s="22"/>
      <c r="AP2509" s="21"/>
      <c r="AQ2509" s="22"/>
      <c r="AR2509" s="21"/>
      <c r="AS2509" s="21"/>
      <c r="AT2509" s="21"/>
      <c r="AU2509" s="21"/>
      <c r="AV2509" s="21"/>
      <c r="AW2509" s="21"/>
      <c r="AX2509" s="22"/>
      <c r="AY2509" s="21"/>
      <c r="AZ2509" s="22"/>
      <c r="BA2509" s="21"/>
      <c r="BB2509" s="21"/>
      <c r="BC2509" s="21"/>
      <c r="BD2509" s="21"/>
      <c r="BE2509" s="26"/>
      <c r="BF2509" s="26"/>
      <c r="BG2509" s="62"/>
    </row>
    <row r="2510" spans="1:59" x14ac:dyDescent="0.3">
      <c r="A2510" s="6"/>
      <c r="B2510" s="6"/>
      <c r="C2510" s="39"/>
      <c r="D2510" s="6"/>
      <c r="E2510" s="149"/>
      <c r="F2510" s="153"/>
      <c r="G2510" s="10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5"/>
      <c r="V2510" s="5"/>
      <c r="W2510" s="13"/>
      <c r="X2510" s="4"/>
      <c r="Y2510" s="4"/>
      <c r="Z2510" s="4"/>
      <c r="AA2510" s="6"/>
      <c r="AB2510" s="5"/>
      <c r="AC2510" s="9"/>
      <c r="AD2510" s="9"/>
      <c r="AE2510" s="9"/>
      <c r="AF2510" s="9"/>
      <c r="AG2510" s="2"/>
      <c r="AH2510" s="3"/>
      <c r="AI2510" s="2"/>
      <c r="AJ2510" s="2"/>
      <c r="AK2510" s="2"/>
      <c r="AL2510" s="3"/>
      <c r="AM2510" s="3"/>
      <c r="AN2510" s="3"/>
      <c r="AO2510" s="3"/>
      <c r="AP2510" s="3"/>
      <c r="AQ2510" s="3"/>
      <c r="AR2510" s="21"/>
      <c r="AS2510" s="21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</row>
    <row r="2511" spans="1:59" x14ac:dyDescent="0.3">
      <c r="A2511" s="6"/>
      <c r="B2511" s="6"/>
      <c r="C2511" s="39"/>
      <c r="D2511" s="6"/>
      <c r="E2511" s="149"/>
      <c r="F2511" s="153"/>
      <c r="G2511" s="10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12"/>
      <c r="Y2511" s="6"/>
      <c r="Z2511" s="6"/>
      <c r="AA2511" s="6"/>
      <c r="AB2511" s="6"/>
      <c r="AC2511" s="9"/>
      <c r="AD2511" s="9"/>
      <c r="AE2511" s="9"/>
      <c r="AF2511" s="9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21"/>
      <c r="AS2511" s="21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</row>
    <row r="2512" spans="1:59" ht="13.5" customHeight="1" x14ac:dyDescent="0.3">
      <c r="A2512" s="49"/>
      <c r="B2512" s="49"/>
      <c r="C2512" s="14"/>
      <c r="D2512" s="6"/>
      <c r="E2512" s="149"/>
      <c r="F2512" s="153"/>
      <c r="G2512" s="10"/>
      <c r="H2512" s="17"/>
      <c r="I2512" s="17"/>
      <c r="J2512" s="17"/>
      <c r="K2512" s="30"/>
      <c r="L2512" s="30"/>
      <c r="M2512" s="30"/>
      <c r="N2512" s="30"/>
      <c r="O2512" s="30"/>
      <c r="P2512" s="30"/>
      <c r="Q2512" s="30"/>
      <c r="R2512" s="30"/>
      <c r="S2512" s="30"/>
      <c r="T2512" s="30"/>
      <c r="U2512" s="30"/>
      <c r="V2512" s="30"/>
      <c r="W2512" s="29"/>
      <c r="X2512" s="15"/>
      <c r="Y2512" s="30"/>
      <c r="Z2512" s="30"/>
      <c r="AA2512" s="30"/>
      <c r="AB2512" s="30"/>
      <c r="AC2512" s="17"/>
      <c r="AD2512" s="17"/>
      <c r="AE2512" s="17"/>
      <c r="AF2512" s="17"/>
      <c r="AG2512" s="21"/>
      <c r="AH2512" s="21"/>
      <c r="AI2512" s="21"/>
      <c r="AJ2512" s="21"/>
      <c r="AK2512" s="21"/>
      <c r="AL2512" s="21"/>
      <c r="AM2512" s="21"/>
      <c r="AN2512" s="21"/>
      <c r="AO2512" s="22"/>
      <c r="AP2512" s="21"/>
      <c r="AQ2512" s="22"/>
      <c r="AR2512" s="21"/>
      <c r="AS2512" s="21"/>
      <c r="AT2512" s="21"/>
      <c r="AU2512" s="21"/>
      <c r="AV2512" s="21"/>
      <c r="AW2512" s="21"/>
      <c r="AX2512" s="22"/>
      <c r="AY2512" s="21"/>
      <c r="AZ2512" s="22"/>
      <c r="BA2512" s="21"/>
      <c r="BB2512" s="21"/>
      <c r="BC2512" s="21"/>
      <c r="BD2512" s="21"/>
      <c r="BE2512" s="26"/>
      <c r="BF2512" s="26"/>
      <c r="BG2512" s="62"/>
    </row>
    <row r="2513" spans="1:59" ht="13.5" customHeight="1" x14ac:dyDescent="0.35">
      <c r="A2513" s="49"/>
      <c r="B2513" s="49"/>
      <c r="C2513" s="14"/>
      <c r="D2513" s="1"/>
      <c r="E2513" s="149"/>
      <c r="F2513" s="153"/>
      <c r="G2513" s="10"/>
      <c r="H2513" s="17"/>
      <c r="I2513" s="17"/>
      <c r="J2513" s="17"/>
      <c r="K2513" s="30"/>
      <c r="L2513" s="30"/>
      <c r="M2513" s="30"/>
      <c r="N2513" s="30"/>
      <c r="O2513" s="30"/>
      <c r="P2513" s="30"/>
      <c r="Q2513" s="30"/>
      <c r="R2513" s="30"/>
      <c r="S2513" s="30"/>
      <c r="T2513" s="30"/>
      <c r="U2513" s="30"/>
      <c r="V2513" s="30"/>
      <c r="W2513" s="29"/>
      <c r="X2513" s="15"/>
      <c r="Y2513" s="30"/>
      <c r="Z2513" s="30"/>
      <c r="AA2513" s="30"/>
      <c r="AB2513" s="30"/>
      <c r="AC2513" s="17"/>
      <c r="AD2513" s="17"/>
      <c r="AE2513" s="17"/>
      <c r="AF2513" s="17"/>
      <c r="AG2513" s="21"/>
      <c r="AH2513" s="21"/>
      <c r="AI2513" s="21"/>
      <c r="AJ2513" s="21"/>
      <c r="AK2513" s="21"/>
      <c r="AL2513" s="21"/>
      <c r="AM2513" s="21"/>
      <c r="AN2513" s="21"/>
      <c r="AO2513" s="22"/>
      <c r="AP2513" s="21"/>
      <c r="AQ2513" s="22"/>
      <c r="AR2513" s="21"/>
      <c r="AS2513" s="21"/>
      <c r="AT2513" s="21"/>
      <c r="AU2513" s="21"/>
      <c r="AV2513" s="21"/>
      <c r="AW2513" s="21"/>
      <c r="AX2513" s="22"/>
      <c r="AY2513" s="21"/>
      <c r="AZ2513" s="22"/>
      <c r="BA2513" s="21"/>
      <c r="BB2513" s="21"/>
      <c r="BC2513" s="21"/>
      <c r="BD2513" s="21"/>
      <c r="BE2513" s="26"/>
      <c r="BF2513" s="26"/>
      <c r="BG2513" s="62"/>
    </row>
    <row r="2514" spans="1:59" x14ac:dyDescent="0.3">
      <c r="A2514" s="6"/>
      <c r="B2514" s="6"/>
      <c r="C2514" s="39"/>
      <c r="D2514" s="6"/>
      <c r="E2514" s="149"/>
      <c r="F2514" s="153"/>
      <c r="G2514" s="10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12"/>
      <c r="Y2514" s="6"/>
      <c r="Z2514" s="6"/>
      <c r="AA2514" s="6"/>
      <c r="AB2514" s="6"/>
      <c r="AC2514" s="9"/>
      <c r="AD2514" s="9"/>
      <c r="AE2514" s="9"/>
      <c r="AF2514" s="9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21"/>
      <c r="AS2514" s="21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</row>
    <row r="2515" spans="1:59" x14ac:dyDescent="0.3">
      <c r="A2515" s="6"/>
      <c r="B2515" s="6"/>
      <c r="C2515" s="39"/>
      <c r="D2515" s="6"/>
      <c r="E2515" s="149"/>
      <c r="F2515" s="153"/>
      <c r="G2515" s="10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12"/>
      <c r="Y2515" s="6"/>
      <c r="Z2515" s="6"/>
      <c r="AA2515" s="6"/>
      <c r="AB2515" s="6"/>
      <c r="AC2515" s="9"/>
      <c r="AD2515" s="9"/>
      <c r="AE2515" s="9"/>
      <c r="AF2515" s="9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</row>
    <row r="2516" spans="1:59" ht="13.5" customHeight="1" x14ac:dyDescent="0.35">
      <c r="A2516" s="49"/>
      <c r="B2516" s="49"/>
      <c r="C2516" s="14"/>
      <c r="D2516" s="1"/>
      <c r="E2516" s="149"/>
      <c r="F2516" s="153"/>
      <c r="G2516" s="10"/>
      <c r="H2516" s="17"/>
      <c r="I2516" s="17"/>
      <c r="J2516" s="17"/>
      <c r="K2516" s="30"/>
      <c r="L2516" s="30"/>
      <c r="M2516" s="30"/>
      <c r="N2516" s="30"/>
      <c r="O2516" s="30"/>
      <c r="P2516" s="30"/>
      <c r="Q2516" s="30"/>
      <c r="R2516" s="30"/>
      <c r="S2516" s="30"/>
      <c r="T2516" s="30"/>
      <c r="U2516" s="30"/>
      <c r="V2516" s="30"/>
      <c r="W2516" s="29"/>
      <c r="X2516" s="15"/>
      <c r="Y2516" s="30"/>
      <c r="Z2516" s="30"/>
      <c r="AA2516" s="30"/>
      <c r="AB2516" s="30"/>
      <c r="AC2516" s="17"/>
      <c r="AD2516" s="17"/>
      <c r="AE2516" s="17"/>
      <c r="AF2516" s="17"/>
      <c r="AG2516" s="21"/>
      <c r="AH2516" s="21"/>
      <c r="AI2516" s="21"/>
      <c r="AJ2516" s="21"/>
      <c r="AK2516" s="21"/>
      <c r="AL2516" s="21"/>
      <c r="AM2516" s="21"/>
      <c r="AN2516" s="21"/>
      <c r="AO2516" s="22"/>
      <c r="AP2516" s="21"/>
      <c r="AQ2516" s="22"/>
      <c r="AR2516" s="21"/>
      <c r="AS2516" s="21"/>
      <c r="AT2516" s="21"/>
      <c r="AU2516" s="21"/>
      <c r="AV2516" s="21"/>
      <c r="AW2516" s="21"/>
      <c r="AX2516" s="22"/>
      <c r="AY2516" s="21"/>
      <c r="AZ2516" s="22"/>
      <c r="BA2516" s="21"/>
      <c r="BB2516" s="21"/>
      <c r="BC2516" s="21"/>
      <c r="BD2516" s="21"/>
      <c r="BE2516" s="26"/>
      <c r="BF2516" s="26"/>
      <c r="BG2516" s="62"/>
    </row>
    <row r="2517" spans="1:59" ht="13.5" customHeight="1" x14ac:dyDescent="0.35">
      <c r="A2517" s="49"/>
      <c r="B2517" s="49"/>
      <c r="C2517" s="14"/>
      <c r="D2517" s="1"/>
      <c r="E2517" s="149"/>
      <c r="F2517" s="153"/>
      <c r="G2517" s="10"/>
      <c r="H2517" s="17"/>
      <c r="I2517" s="17"/>
      <c r="J2517" s="17"/>
      <c r="K2517" s="30"/>
      <c r="L2517" s="30"/>
      <c r="M2517" s="30"/>
      <c r="N2517" s="30"/>
      <c r="O2517" s="30"/>
      <c r="P2517" s="30"/>
      <c r="Q2517" s="30"/>
      <c r="R2517" s="30"/>
      <c r="S2517" s="30"/>
      <c r="T2517" s="30"/>
      <c r="U2517" s="30"/>
      <c r="V2517" s="30"/>
      <c r="W2517" s="29"/>
      <c r="X2517" s="15"/>
      <c r="Y2517" s="30"/>
      <c r="Z2517" s="30"/>
      <c r="AA2517" s="30"/>
      <c r="AB2517" s="30"/>
      <c r="AC2517" s="17"/>
      <c r="AD2517" s="17"/>
      <c r="AE2517" s="17"/>
      <c r="AF2517" s="17"/>
      <c r="AG2517" s="21"/>
      <c r="AH2517" s="21"/>
      <c r="AI2517" s="21"/>
      <c r="AJ2517" s="21"/>
      <c r="AK2517" s="21"/>
      <c r="AL2517" s="21"/>
      <c r="AM2517" s="21"/>
      <c r="AN2517" s="21"/>
      <c r="AO2517" s="22"/>
      <c r="AP2517" s="21"/>
      <c r="AQ2517" s="22"/>
      <c r="AR2517" s="21"/>
      <c r="AS2517" s="21"/>
      <c r="AT2517" s="21"/>
      <c r="AU2517" s="21"/>
      <c r="AV2517" s="21"/>
      <c r="AW2517" s="21"/>
      <c r="AX2517" s="22"/>
      <c r="AY2517" s="21"/>
      <c r="AZ2517" s="22"/>
      <c r="BA2517" s="21"/>
      <c r="BB2517" s="21"/>
      <c r="BC2517" s="21"/>
      <c r="BD2517" s="21"/>
      <c r="BE2517" s="26"/>
      <c r="BF2517" s="26"/>
      <c r="BG2517" s="62"/>
    </row>
    <row r="2518" spans="1:59" ht="13.5" customHeight="1" x14ac:dyDescent="0.35">
      <c r="A2518" s="49"/>
      <c r="B2518" s="49"/>
      <c r="C2518" s="14"/>
      <c r="D2518" s="1"/>
      <c r="E2518" s="149"/>
      <c r="F2518" s="153"/>
      <c r="G2518" s="10"/>
      <c r="H2518" s="17"/>
      <c r="I2518" s="17"/>
      <c r="J2518" s="17"/>
      <c r="K2518" s="30"/>
      <c r="L2518" s="30"/>
      <c r="M2518" s="30"/>
      <c r="N2518" s="30"/>
      <c r="O2518" s="30"/>
      <c r="P2518" s="30"/>
      <c r="Q2518" s="30"/>
      <c r="R2518" s="30"/>
      <c r="S2518" s="30"/>
      <c r="T2518" s="30"/>
      <c r="U2518" s="30"/>
      <c r="V2518" s="30"/>
      <c r="W2518" s="29"/>
      <c r="X2518" s="15"/>
      <c r="Y2518" s="30"/>
      <c r="Z2518" s="30"/>
      <c r="AA2518" s="30"/>
      <c r="AB2518" s="30"/>
      <c r="AC2518" s="17"/>
      <c r="AD2518" s="17"/>
      <c r="AE2518" s="17"/>
      <c r="AF2518" s="17"/>
      <c r="AG2518" s="21"/>
      <c r="AH2518" s="21"/>
      <c r="AI2518" s="21"/>
      <c r="AJ2518" s="21"/>
      <c r="AK2518" s="21"/>
      <c r="AL2518" s="21"/>
      <c r="AM2518" s="21"/>
      <c r="AN2518" s="21"/>
      <c r="AO2518" s="22"/>
      <c r="AP2518" s="21"/>
      <c r="AQ2518" s="22"/>
      <c r="AR2518" s="21"/>
      <c r="AS2518" s="21"/>
      <c r="AT2518" s="21"/>
      <c r="AU2518" s="21"/>
      <c r="AV2518" s="21"/>
      <c r="AW2518" s="21"/>
      <c r="AX2518" s="22"/>
      <c r="AY2518" s="21"/>
      <c r="AZ2518" s="22"/>
      <c r="BA2518" s="21"/>
      <c r="BB2518" s="21"/>
      <c r="BC2518" s="21"/>
      <c r="BD2518" s="21"/>
      <c r="BE2518" s="26"/>
      <c r="BF2518" s="26"/>
      <c r="BG2518" s="62"/>
    </row>
    <row r="2519" spans="1:59" ht="13.5" customHeight="1" x14ac:dyDescent="0.35">
      <c r="A2519" s="49"/>
      <c r="B2519" s="49"/>
      <c r="C2519" s="14"/>
      <c r="D2519" s="1"/>
      <c r="E2519" s="149"/>
      <c r="F2519" s="153"/>
      <c r="G2519" s="10"/>
      <c r="H2519" s="17"/>
      <c r="I2519" s="17"/>
      <c r="J2519" s="17"/>
      <c r="K2519" s="30"/>
      <c r="L2519" s="30"/>
      <c r="M2519" s="30"/>
      <c r="N2519" s="30"/>
      <c r="O2519" s="30"/>
      <c r="P2519" s="30"/>
      <c r="Q2519" s="30"/>
      <c r="R2519" s="30"/>
      <c r="S2519" s="30"/>
      <c r="T2519" s="30"/>
      <c r="U2519" s="30"/>
      <c r="V2519" s="30"/>
      <c r="W2519" s="29"/>
      <c r="X2519" s="15"/>
      <c r="Y2519" s="30"/>
      <c r="Z2519" s="30"/>
      <c r="AA2519" s="30"/>
      <c r="AB2519" s="30"/>
      <c r="AC2519" s="17"/>
      <c r="AD2519" s="17"/>
      <c r="AE2519" s="17"/>
      <c r="AF2519" s="17"/>
      <c r="AG2519" s="21"/>
      <c r="AH2519" s="21"/>
      <c r="AI2519" s="21"/>
      <c r="AJ2519" s="21"/>
      <c r="AK2519" s="21"/>
      <c r="AL2519" s="21"/>
      <c r="AM2519" s="21"/>
      <c r="AN2519" s="21"/>
      <c r="AO2519" s="22"/>
      <c r="AP2519" s="21"/>
      <c r="AQ2519" s="22"/>
      <c r="AR2519" s="21"/>
      <c r="AS2519" s="21"/>
      <c r="AT2519" s="21"/>
      <c r="AU2519" s="21"/>
      <c r="AV2519" s="21"/>
      <c r="AW2519" s="21"/>
      <c r="AX2519" s="22"/>
      <c r="AY2519" s="21"/>
      <c r="AZ2519" s="22"/>
      <c r="BA2519" s="21"/>
      <c r="BB2519" s="21"/>
      <c r="BC2519" s="21"/>
      <c r="BD2519" s="21"/>
      <c r="BE2519" s="26"/>
      <c r="BF2519" s="26"/>
      <c r="BG2519" s="62"/>
    </row>
    <row r="2520" spans="1:59" x14ac:dyDescent="0.3">
      <c r="A2520" s="63"/>
      <c r="B2520" s="63"/>
      <c r="C2520" s="39"/>
      <c r="D2520" s="6"/>
      <c r="E2520" s="149"/>
      <c r="F2520" s="153"/>
      <c r="G2520" s="10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5"/>
      <c r="V2520" s="5"/>
      <c r="W2520" s="13"/>
      <c r="X2520" s="4"/>
      <c r="Y2520" s="4"/>
      <c r="Z2520" s="4"/>
      <c r="AA2520" s="6"/>
      <c r="AB2520" s="5"/>
      <c r="AC2520" s="9"/>
      <c r="AD2520" s="9"/>
      <c r="AE2520" s="9"/>
      <c r="AF2520" s="9"/>
      <c r="AG2520" s="64"/>
      <c r="AH2520" s="3"/>
      <c r="AI2520" s="2"/>
      <c r="AJ2520" s="2"/>
      <c r="AK2520" s="2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</row>
    <row r="2521" spans="1:59" ht="15" x14ac:dyDescent="0.35">
      <c r="A2521" s="6"/>
      <c r="B2521" s="6"/>
      <c r="C2521" s="39"/>
      <c r="D2521" s="6"/>
      <c r="E2521" s="149"/>
      <c r="F2521" s="153"/>
      <c r="G2521" s="10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12"/>
      <c r="Y2521" s="6"/>
      <c r="Z2521" s="6"/>
      <c r="AA2521" s="6"/>
      <c r="AB2521" s="6"/>
      <c r="AC2521" s="9"/>
      <c r="AD2521" s="9"/>
      <c r="AE2521" s="9"/>
      <c r="AF2521" s="9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21"/>
      <c r="AS2521" s="21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65"/>
    </row>
    <row r="2522" spans="1:59" x14ac:dyDescent="0.3">
      <c r="A2522" s="6"/>
      <c r="B2522" s="6"/>
      <c r="C2522" s="39"/>
      <c r="D2522" s="6"/>
      <c r="E2522" s="149"/>
      <c r="F2522" s="153"/>
      <c r="G2522" s="10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12"/>
      <c r="Y2522" s="6"/>
      <c r="Z2522" s="6"/>
      <c r="AA2522" s="6"/>
      <c r="AB2522" s="6"/>
      <c r="AC2522" s="9"/>
      <c r="AD2522" s="9"/>
      <c r="AE2522" s="9"/>
      <c r="AF2522" s="9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21"/>
      <c r="AS2522" s="21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</row>
    <row r="2523" spans="1:59" x14ac:dyDescent="0.3">
      <c r="A2523" s="6"/>
      <c r="B2523" s="6"/>
      <c r="C2523" s="39"/>
      <c r="D2523" s="6"/>
      <c r="E2523" s="149"/>
      <c r="F2523" s="153"/>
      <c r="G2523" s="10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5"/>
      <c r="V2523" s="5"/>
      <c r="W2523" s="13"/>
      <c r="X2523" s="4"/>
      <c r="Y2523" s="4"/>
      <c r="Z2523" s="4"/>
      <c r="AA2523" s="6"/>
      <c r="AB2523" s="5"/>
      <c r="AC2523" s="9"/>
      <c r="AD2523" s="9"/>
      <c r="AE2523" s="9"/>
      <c r="AF2523" s="9"/>
      <c r="AG2523" s="2"/>
      <c r="AH2523" s="3"/>
      <c r="AI2523" s="2"/>
      <c r="AJ2523" s="2"/>
      <c r="AK2523" s="2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</row>
    <row r="2524" spans="1:59" x14ac:dyDescent="0.3">
      <c r="A2524" s="6"/>
      <c r="B2524" s="6"/>
      <c r="C2524" s="39"/>
      <c r="D2524" s="6"/>
      <c r="E2524" s="149"/>
      <c r="F2524" s="153"/>
      <c r="G2524" s="10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12"/>
      <c r="Y2524" s="6"/>
      <c r="Z2524" s="6"/>
      <c r="AA2524" s="6"/>
      <c r="AB2524" s="6"/>
      <c r="AC2524" s="9"/>
      <c r="AD2524" s="9"/>
      <c r="AE2524" s="9"/>
      <c r="AF2524" s="9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</row>
    <row r="2525" spans="1:59" x14ac:dyDescent="0.3">
      <c r="A2525" s="63"/>
      <c r="B2525" s="63"/>
      <c r="C2525" s="39"/>
      <c r="D2525" s="6"/>
      <c r="E2525" s="149"/>
      <c r="F2525" s="153"/>
      <c r="G2525" s="10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5"/>
      <c r="V2525" s="5"/>
      <c r="W2525" s="13"/>
      <c r="X2525" s="4"/>
      <c r="Y2525" s="4"/>
      <c r="Z2525" s="4"/>
      <c r="AA2525" s="6"/>
      <c r="AB2525" s="5"/>
      <c r="AC2525" s="9"/>
      <c r="AD2525" s="9"/>
      <c r="AE2525" s="9"/>
      <c r="AF2525" s="9"/>
      <c r="AG2525" s="64"/>
      <c r="AH2525" s="3"/>
      <c r="AI2525" s="2"/>
      <c r="AJ2525" s="2"/>
      <c r="AK2525" s="2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</row>
    <row r="2526" spans="1:59" x14ac:dyDescent="0.3">
      <c r="A2526" s="63"/>
      <c r="B2526" s="63"/>
      <c r="C2526" s="39"/>
      <c r="D2526" s="6"/>
      <c r="E2526" s="149"/>
      <c r="F2526" s="153"/>
      <c r="G2526" s="10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5"/>
      <c r="V2526" s="5"/>
      <c r="W2526" s="13"/>
      <c r="X2526" s="4"/>
      <c r="Y2526" s="4"/>
      <c r="Z2526" s="4"/>
      <c r="AA2526" s="6"/>
      <c r="AB2526" s="5"/>
      <c r="AC2526" s="9"/>
      <c r="AD2526" s="9"/>
      <c r="AE2526" s="9"/>
      <c r="AF2526" s="9"/>
      <c r="AG2526" s="64"/>
      <c r="AH2526" s="3"/>
      <c r="AI2526" s="2"/>
      <c r="AJ2526" s="2"/>
      <c r="AK2526" s="2"/>
      <c r="AL2526" s="3"/>
      <c r="AM2526" s="3"/>
      <c r="AN2526" s="3"/>
      <c r="AO2526" s="3"/>
      <c r="AP2526" s="3"/>
      <c r="AQ2526" s="3"/>
      <c r="AR2526" s="21"/>
      <c r="AS2526" s="21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</row>
    <row r="2527" spans="1:59" x14ac:dyDescent="0.3">
      <c r="A2527" s="6"/>
      <c r="B2527" s="6"/>
      <c r="C2527" s="39"/>
      <c r="D2527" s="6"/>
      <c r="E2527" s="149"/>
      <c r="F2527" s="153"/>
      <c r="G2527" s="10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5"/>
      <c r="V2527" s="5"/>
      <c r="W2527" s="13"/>
      <c r="X2527" s="4"/>
      <c r="Y2527" s="4"/>
      <c r="Z2527" s="4"/>
      <c r="AA2527" s="6"/>
      <c r="AB2527" s="5"/>
      <c r="AC2527" s="9"/>
      <c r="AD2527" s="9"/>
      <c r="AE2527" s="9"/>
      <c r="AF2527" s="9"/>
      <c r="AG2527" s="2"/>
      <c r="AH2527" s="3"/>
      <c r="AI2527" s="2"/>
      <c r="AJ2527" s="2"/>
      <c r="AK2527" s="2"/>
      <c r="AL2527" s="3"/>
      <c r="AM2527" s="3"/>
      <c r="AN2527" s="3"/>
      <c r="AO2527" s="3"/>
      <c r="AP2527" s="3"/>
      <c r="AQ2527" s="3"/>
      <c r="AR2527" s="21"/>
      <c r="AS2527" s="21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</row>
    <row r="2528" spans="1:59" x14ac:dyDescent="0.3">
      <c r="A2528" s="6"/>
      <c r="B2528" s="6"/>
      <c r="C2528" s="39"/>
      <c r="D2528" s="6"/>
      <c r="E2528" s="149"/>
      <c r="F2528" s="153"/>
      <c r="G2528" s="10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5"/>
      <c r="V2528" s="5"/>
      <c r="W2528" s="13"/>
      <c r="X2528" s="4"/>
      <c r="Y2528" s="4"/>
      <c r="Z2528" s="4"/>
      <c r="AA2528" s="6"/>
      <c r="AB2528" s="5"/>
      <c r="AC2528" s="9"/>
      <c r="AD2528" s="9"/>
      <c r="AE2528" s="9"/>
      <c r="AF2528" s="9"/>
      <c r="AG2528" s="2"/>
      <c r="AH2528" s="3"/>
      <c r="AI2528" s="2"/>
      <c r="AJ2528" s="2"/>
      <c r="AK2528" s="2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</row>
    <row r="2529" spans="1:59" x14ac:dyDescent="0.3">
      <c r="A2529" s="6"/>
      <c r="B2529" s="6"/>
      <c r="C2529" s="39"/>
      <c r="D2529" s="6"/>
      <c r="E2529" s="149"/>
      <c r="F2529" s="153"/>
      <c r="G2529" s="10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12"/>
      <c r="Y2529" s="6"/>
      <c r="Z2529" s="6"/>
      <c r="AA2529" s="6"/>
      <c r="AB2529" s="6"/>
      <c r="AC2529" s="9"/>
      <c r="AD2529" s="9"/>
      <c r="AE2529" s="9"/>
      <c r="AF2529" s="9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21"/>
      <c r="AS2529" s="21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</row>
    <row r="2530" spans="1:59" x14ac:dyDescent="0.3">
      <c r="A2530" s="6"/>
      <c r="B2530" s="6"/>
      <c r="C2530" s="39"/>
      <c r="D2530" s="6"/>
      <c r="E2530" s="149"/>
      <c r="F2530" s="153"/>
      <c r="G2530" s="10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12"/>
      <c r="Y2530" s="6"/>
      <c r="Z2530" s="6"/>
      <c r="AA2530" s="6"/>
      <c r="AB2530" s="6"/>
      <c r="AC2530" s="9"/>
      <c r="AD2530" s="9"/>
      <c r="AE2530" s="9"/>
      <c r="AF2530" s="9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21"/>
      <c r="AS2530" s="21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</row>
    <row r="2531" spans="1:59" x14ac:dyDescent="0.3">
      <c r="A2531" s="6"/>
      <c r="B2531" s="6"/>
      <c r="C2531" s="39"/>
      <c r="D2531" s="6"/>
      <c r="E2531" s="149"/>
      <c r="F2531" s="153"/>
      <c r="G2531" s="10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5"/>
      <c r="V2531" s="5"/>
      <c r="W2531" s="13"/>
      <c r="X2531" s="4"/>
      <c r="Y2531" s="4"/>
      <c r="Z2531" s="4"/>
      <c r="AA2531" s="6"/>
      <c r="AB2531" s="5"/>
      <c r="AC2531" s="9"/>
      <c r="AD2531" s="9"/>
      <c r="AE2531" s="9"/>
      <c r="AF2531" s="9"/>
      <c r="AG2531" s="2"/>
      <c r="AH2531" s="3"/>
      <c r="AI2531" s="2"/>
      <c r="AJ2531" s="2"/>
      <c r="AK2531" s="2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</row>
    <row r="2532" spans="1:59" x14ac:dyDescent="0.3">
      <c r="A2532" s="6"/>
      <c r="B2532" s="6"/>
      <c r="C2532" s="39"/>
      <c r="D2532" s="6"/>
      <c r="E2532" s="149"/>
      <c r="F2532" s="153"/>
      <c r="G2532" s="10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5"/>
      <c r="V2532" s="5"/>
      <c r="W2532" s="13"/>
      <c r="X2532" s="4"/>
      <c r="Y2532" s="4"/>
      <c r="Z2532" s="4"/>
      <c r="AA2532" s="6"/>
      <c r="AB2532" s="5"/>
      <c r="AC2532" s="9"/>
      <c r="AD2532" s="9"/>
      <c r="AE2532" s="9"/>
      <c r="AF2532" s="9"/>
      <c r="AG2532" s="2"/>
      <c r="AH2532" s="3"/>
      <c r="AI2532" s="2"/>
      <c r="AJ2532" s="2"/>
      <c r="AK2532" s="2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</row>
    <row r="2533" spans="1:59" ht="13.5" customHeight="1" x14ac:dyDescent="0.35">
      <c r="A2533" s="49"/>
      <c r="B2533" s="49"/>
      <c r="C2533" s="39"/>
      <c r="D2533" s="1"/>
      <c r="E2533" s="149"/>
      <c r="F2533" s="153"/>
      <c r="G2533" s="10"/>
      <c r="H2533" s="17"/>
      <c r="I2533" s="17"/>
      <c r="J2533" s="17"/>
      <c r="K2533" s="30"/>
      <c r="L2533" s="30"/>
      <c r="M2533" s="30"/>
      <c r="N2533" s="30"/>
      <c r="O2533" s="30"/>
      <c r="P2533" s="30"/>
      <c r="Q2533" s="30"/>
      <c r="R2533" s="30"/>
      <c r="S2533" s="30"/>
      <c r="T2533" s="30"/>
      <c r="U2533" s="30"/>
      <c r="V2533" s="30"/>
      <c r="W2533" s="29"/>
      <c r="X2533" s="15"/>
      <c r="Y2533" s="30"/>
      <c r="Z2533" s="30"/>
      <c r="AA2533" s="30"/>
      <c r="AB2533" s="30"/>
      <c r="AC2533" s="17"/>
      <c r="AD2533" s="17"/>
      <c r="AE2533" s="17"/>
      <c r="AF2533" s="17"/>
      <c r="AG2533" s="21"/>
      <c r="AH2533" s="21"/>
      <c r="AI2533" s="21"/>
      <c r="AJ2533" s="21"/>
      <c r="AK2533" s="21"/>
      <c r="AL2533" s="21"/>
      <c r="AM2533" s="21"/>
      <c r="AN2533" s="21"/>
      <c r="AO2533" s="22"/>
      <c r="AP2533" s="21"/>
      <c r="AQ2533" s="22"/>
      <c r="AR2533" s="21"/>
      <c r="AS2533" s="21"/>
      <c r="AT2533" s="21"/>
      <c r="AU2533" s="21"/>
      <c r="AV2533" s="21"/>
      <c r="AW2533" s="21"/>
      <c r="AX2533" s="22"/>
      <c r="AY2533" s="21"/>
      <c r="AZ2533" s="22"/>
      <c r="BA2533" s="21"/>
      <c r="BB2533" s="21"/>
      <c r="BC2533" s="21"/>
      <c r="BD2533" s="21"/>
      <c r="BE2533" s="26"/>
      <c r="BF2533" s="26"/>
      <c r="BG2533" s="62"/>
    </row>
    <row r="2534" spans="1:59" ht="13.5" customHeight="1" x14ac:dyDescent="0.35">
      <c r="A2534" s="49"/>
      <c r="B2534" s="49"/>
      <c r="C2534" s="14"/>
      <c r="D2534" s="1"/>
      <c r="E2534" s="149"/>
      <c r="F2534" s="153"/>
      <c r="G2534" s="10"/>
      <c r="H2534" s="17"/>
      <c r="I2534" s="17"/>
      <c r="J2534" s="17"/>
      <c r="K2534" s="30"/>
      <c r="L2534" s="30"/>
      <c r="M2534" s="30"/>
      <c r="N2534" s="30"/>
      <c r="O2534" s="30"/>
      <c r="P2534" s="30"/>
      <c r="Q2534" s="30"/>
      <c r="R2534" s="30"/>
      <c r="S2534" s="30"/>
      <c r="T2534" s="30"/>
      <c r="U2534" s="30"/>
      <c r="V2534" s="30"/>
      <c r="W2534" s="29"/>
      <c r="X2534" s="15"/>
      <c r="Y2534" s="30"/>
      <c r="Z2534" s="30"/>
      <c r="AA2534" s="30"/>
      <c r="AB2534" s="30"/>
      <c r="AC2534" s="17"/>
      <c r="AD2534" s="17"/>
      <c r="AE2534" s="17"/>
      <c r="AF2534" s="17"/>
      <c r="AG2534" s="21"/>
      <c r="AH2534" s="21"/>
      <c r="AI2534" s="21"/>
      <c r="AJ2534" s="21"/>
      <c r="AK2534" s="21"/>
      <c r="AL2534" s="21"/>
      <c r="AM2534" s="21"/>
      <c r="AN2534" s="21"/>
      <c r="AO2534" s="22"/>
      <c r="AP2534" s="21"/>
      <c r="AQ2534" s="22"/>
      <c r="AR2534" s="21"/>
      <c r="AS2534" s="21"/>
      <c r="AT2534" s="21"/>
      <c r="AU2534" s="21"/>
      <c r="AV2534" s="21"/>
      <c r="AW2534" s="21"/>
      <c r="AX2534" s="22"/>
      <c r="AY2534" s="21"/>
      <c r="AZ2534" s="22"/>
      <c r="BA2534" s="21"/>
      <c r="BB2534" s="21"/>
      <c r="BC2534" s="21"/>
      <c r="BD2534" s="21"/>
      <c r="BE2534" s="26"/>
      <c r="BF2534" s="26"/>
      <c r="BG2534" s="62"/>
    </row>
    <row r="2535" spans="1:59" x14ac:dyDescent="0.3">
      <c r="A2535" s="6"/>
      <c r="B2535" s="6"/>
      <c r="C2535" s="39"/>
      <c r="D2535" s="6"/>
      <c r="E2535" s="149"/>
      <c r="F2535" s="153"/>
      <c r="G2535" s="10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12"/>
      <c r="Y2535" s="6"/>
      <c r="Z2535" s="6"/>
      <c r="AA2535" s="6"/>
      <c r="AB2535" s="6"/>
      <c r="AC2535" s="9"/>
      <c r="AD2535" s="9"/>
      <c r="AE2535" s="9"/>
      <c r="AF2535" s="9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21"/>
      <c r="AS2535" s="21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</row>
    <row r="2536" spans="1:59" ht="13.5" customHeight="1" x14ac:dyDescent="0.35">
      <c r="A2536" s="49"/>
      <c r="B2536" s="49"/>
      <c r="C2536" s="39"/>
      <c r="D2536" s="1"/>
      <c r="E2536" s="149"/>
      <c r="F2536" s="153"/>
      <c r="G2536" s="10"/>
      <c r="H2536" s="17"/>
      <c r="I2536" s="17"/>
      <c r="J2536" s="17"/>
      <c r="K2536" s="30"/>
      <c r="L2536" s="30"/>
      <c r="M2536" s="30"/>
      <c r="N2536" s="30"/>
      <c r="O2536" s="30"/>
      <c r="P2536" s="30"/>
      <c r="Q2536" s="30"/>
      <c r="R2536" s="30"/>
      <c r="S2536" s="30"/>
      <c r="T2536" s="30"/>
      <c r="U2536" s="30"/>
      <c r="V2536" s="30"/>
      <c r="W2536" s="29"/>
      <c r="X2536" s="15"/>
      <c r="Y2536" s="30"/>
      <c r="Z2536" s="30"/>
      <c r="AA2536" s="30"/>
      <c r="AB2536" s="30"/>
      <c r="AC2536" s="17"/>
      <c r="AD2536" s="17"/>
      <c r="AE2536" s="17"/>
      <c r="AF2536" s="17"/>
      <c r="AG2536" s="21"/>
      <c r="AH2536" s="21"/>
      <c r="AI2536" s="21"/>
      <c r="AJ2536" s="21"/>
      <c r="AK2536" s="21"/>
      <c r="AL2536" s="21"/>
      <c r="AM2536" s="21"/>
      <c r="AN2536" s="21"/>
      <c r="AO2536" s="22"/>
      <c r="AP2536" s="21"/>
      <c r="AQ2536" s="22"/>
      <c r="AR2536" s="21"/>
      <c r="AS2536" s="21"/>
      <c r="AT2536" s="21"/>
      <c r="AU2536" s="21"/>
      <c r="AV2536" s="21"/>
      <c r="AW2536" s="21"/>
      <c r="AX2536" s="22"/>
      <c r="AY2536" s="21"/>
      <c r="AZ2536" s="22"/>
      <c r="BA2536" s="21"/>
      <c r="BB2536" s="21"/>
      <c r="BC2536" s="21"/>
      <c r="BD2536" s="21"/>
      <c r="BE2536" s="26"/>
      <c r="BF2536" s="26"/>
      <c r="BG2536" s="62"/>
    </row>
    <row r="2537" spans="1:59" x14ac:dyDescent="0.3">
      <c r="A2537" s="6"/>
      <c r="B2537" s="6"/>
      <c r="C2537" s="39"/>
      <c r="D2537" s="6"/>
      <c r="E2537" s="149"/>
      <c r="F2537" s="153"/>
      <c r="G2537" s="10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5"/>
      <c r="V2537" s="5"/>
      <c r="W2537" s="13"/>
      <c r="X2537" s="4"/>
      <c r="Y2537" s="4"/>
      <c r="Z2537" s="4"/>
      <c r="AA2537" s="6"/>
      <c r="AB2537" s="5"/>
      <c r="AC2537" s="9"/>
      <c r="AD2537" s="9"/>
      <c r="AE2537" s="9"/>
      <c r="AF2537" s="9"/>
      <c r="AG2537" s="2"/>
      <c r="AH2537" s="3"/>
      <c r="AI2537" s="2"/>
      <c r="AJ2537" s="2"/>
      <c r="AK2537" s="2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</row>
    <row r="2538" spans="1:59" x14ac:dyDescent="0.3">
      <c r="A2538" s="6"/>
      <c r="B2538" s="6"/>
      <c r="C2538" s="39"/>
      <c r="D2538" s="6"/>
      <c r="E2538" s="149"/>
      <c r="F2538" s="153"/>
      <c r="G2538" s="10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12"/>
      <c r="Y2538" s="6"/>
      <c r="Z2538" s="6"/>
      <c r="AA2538" s="6"/>
      <c r="AB2538" s="6"/>
      <c r="AC2538" s="9"/>
      <c r="AD2538" s="9"/>
      <c r="AE2538" s="9"/>
      <c r="AF2538" s="9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21"/>
      <c r="AS2538" s="21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</row>
    <row r="2539" spans="1:59" x14ac:dyDescent="0.3">
      <c r="A2539" s="6"/>
      <c r="B2539" s="6"/>
      <c r="C2539" s="39"/>
      <c r="D2539" s="6"/>
      <c r="E2539" s="149"/>
      <c r="F2539" s="153"/>
      <c r="G2539" s="10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12"/>
      <c r="Y2539" s="6"/>
      <c r="Z2539" s="6"/>
      <c r="AA2539" s="6"/>
      <c r="AB2539" s="6"/>
      <c r="AC2539" s="9"/>
      <c r="AD2539" s="9"/>
      <c r="AE2539" s="9"/>
      <c r="AF2539" s="9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21"/>
      <c r="AS2539" s="21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</row>
    <row r="2540" spans="1:59" ht="13.5" customHeight="1" x14ac:dyDescent="0.35">
      <c r="A2540" s="49"/>
      <c r="B2540" s="49"/>
      <c r="C2540" s="14"/>
      <c r="D2540" s="1"/>
      <c r="E2540" s="149"/>
      <c r="F2540" s="153"/>
      <c r="G2540" s="10"/>
      <c r="H2540" s="17"/>
      <c r="I2540" s="17"/>
      <c r="J2540" s="17"/>
      <c r="K2540" s="30"/>
      <c r="L2540" s="30"/>
      <c r="M2540" s="30"/>
      <c r="N2540" s="30"/>
      <c r="O2540" s="30"/>
      <c r="P2540" s="30"/>
      <c r="Q2540" s="30"/>
      <c r="R2540" s="30"/>
      <c r="S2540" s="30"/>
      <c r="T2540" s="30"/>
      <c r="U2540" s="30"/>
      <c r="V2540" s="30"/>
      <c r="W2540" s="29"/>
      <c r="X2540" s="15"/>
      <c r="Y2540" s="30"/>
      <c r="Z2540" s="30"/>
      <c r="AA2540" s="30"/>
      <c r="AB2540" s="30"/>
      <c r="AC2540" s="17"/>
      <c r="AD2540" s="17"/>
      <c r="AE2540" s="17"/>
      <c r="AF2540" s="17"/>
      <c r="AG2540" s="21"/>
      <c r="AH2540" s="21"/>
      <c r="AI2540" s="21"/>
      <c r="AJ2540" s="21"/>
      <c r="AK2540" s="21"/>
      <c r="AL2540" s="21"/>
      <c r="AM2540" s="21"/>
      <c r="AN2540" s="21"/>
      <c r="AO2540" s="22"/>
      <c r="AP2540" s="21"/>
      <c r="AQ2540" s="22"/>
      <c r="AR2540" s="21"/>
      <c r="AS2540" s="21"/>
      <c r="AT2540" s="21"/>
      <c r="AU2540" s="21"/>
      <c r="AV2540" s="21"/>
      <c r="AW2540" s="21"/>
      <c r="AX2540" s="22"/>
      <c r="AY2540" s="21"/>
      <c r="AZ2540" s="22"/>
      <c r="BA2540" s="21"/>
      <c r="BB2540" s="21"/>
      <c r="BC2540" s="21"/>
      <c r="BD2540" s="21"/>
      <c r="BE2540" s="26"/>
      <c r="BF2540" s="26"/>
      <c r="BG2540" s="62"/>
    </row>
    <row r="2541" spans="1:59" x14ac:dyDescent="0.3">
      <c r="A2541" s="6"/>
      <c r="B2541" s="6"/>
      <c r="C2541" s="39"/>
      <c r="D2541" s="6"/>
      <c r="E2541" s="149"/>
      <c r="F2541" s="153"/>
      <c r="G2541" s="10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5"/>
      <c r="V2541" s="5"/>
      <c r="W2541" s="13"/>
      <c r="X2541" s="4"/>
      <c r="Y2541" s="4"/>
      <c r="Z2541" s="4"/>
      <c r="AA2541" s="6"/>
      <c r="AB2541" s="5"/>
      <c r="AC2541" s="9"/>
      <c r="AD2541" s="9"/>
      <c r="AE2541" s="9"/>
      <c r="AF2541" s="9"/>
      <c r="AG2541" s="2"/>
      <c r="AH2541" s="3"/>
      <c r="AI2541" s="2"/>
      <c r="AJ2541" s="2"/>
      <c r="AK2541" s="2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</row>
    <row r="2542" spans="1:59" ht="13.5" customHeight="1" x14ac:dyDescent="0.35">
      <c r="A2542" s="49"/>
      <c r="B2542" s="49"/>
      <c r="C2542" s="14"/>
      <c r="D2542" s="1"/>
      <c r="E2542" s="149"/>
      <c r="F2542" s="153"/>
      <c r="G2542" s="10"/>
      <c r="H2542" s="17"/>
      <c r="I2542" s="17"/>
      <c r="J2542" s="17"/>
      <c r="K2542" s="30"/>
      <c r="L2542" s="30"/>
      <c r="M2542" s="30"/>
      <c r="N2542" s="30"/>
      <c r="O2542" s="30"/>
      <c r="P2542" s="30"/>
      <c r="Q2542" s="30"/>
      <c r="R2542" s="30"/>
      <c r="S2542" s="30"/>
      <c r="T2542" s="30"/>
      <c r="U2542" s="30"/>
      <c r="V2542" s="30"/>
      <c r="W2542" s="29"/>
      <c r="X2542" s="15"/>
      <c r="Y2542" s="30"/>
      <c r="Z2542" s="30"/>
      <c r="AA2542" s="30"/>
      <c r="AB2542" s="30"/>
      <c r="AC2542" s="17"/>
      <c r="AD2542" s="17"/>
      <c r="AE2542" s="17"/>
      <c r="AF2542" s="17"/>
      <c r="AG2542" s="21"/>
      <c r="AH2542" s="21"/>
      <c r="AI2542" s="21"/>
      <c r="AJ2542" s="21"/>
      <c r="AK2542" s="21"/>
      <c r="AL2542" s="21"/>
      <c r="AM2542" s="21"/>
      <c r="AN2542" s="21"/>
      <c r="AO2542" s="22"/>
      <c r="AP2542" s="21"/>
      <c r="AQ2542" s="22"/>
      <c r="AR2542" s="21"/>
      <c r="AS2542" s="21"/>
      <c r="AT2542" s="21"/>
      <c r="AU2542" s="21"/>
      <c r="AV2542" s="21"/>
      <c r="AW2542" s="21"/>
      <c r="AX2542" s="22"/>
      <c r="AY2542" s="21"/>
      <c r="AZ2542" s="22"/>
      <c r="BA2542" s="21"/>
      <c r="BB2542" s="21"/>
      <c r="BC2542" s="21"/>
      <c r="BD2542" s="21"/>
      <c r="BE2542" s="26"/>
      <c r="BF2542" s="26"/>
      <c r="BG2542" s="62"/>
    </row>
    <row r="2543" spans="1:59" x14ac:dyDescent="0.3">
      <c r="A2543" s="63"/>
      <c r="B2543" s="63"/>
      <c r="C2543" s="39"/>
      <c r="D2543" s="6"/>
      <c r="E2543" s="149"/>
      <c r="F2543" s="153"/>
      <c r="G2543" s="10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5"/>
      <c r="V2543" s="5"/>
      <c r="W2543" s="13"/>
      <c r="X2543" s="4"/>
      <c r="Y2543" s="4"/>
      <c r="Z2543" s="4"/>
      <c r="AA2543" s="6"/>
      <c r="AB2543" s="5"/>
      <c r="AC2543" s="9"/>
      <c r="AD2543" s="9"/>
      <c r="AE2543" s="9"/>
      <c r="AF2543" s="9"/>
      <c r="AG2543" s="64"/>
      <c r="AH2543" s="3"/>
      <c r="AI2543" s="2"/>
      <c r="AJ2543" s="2"/>
      <c r="AK2543" s="2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</row>
    <row r="2544" spans="1:59" ht="13.5" customHeight="1" x14ac:dyDescent="0.35">
      <c r="A2544" s="49"/>
      <c r="B2544" s="49"/>
      <c r="C2544" s="39"/>
      <c r="D2544" s="1"/>
      <c r="E2544" s="149"/>
      <c r="F2544" s="153"/>
      <c r="G2544" s="10"/>
      <c r="H2544" s="17"/>
      <c r="I2544" s="17"/>
      <c r="J2544" s="17"/>
      <c r="K2544" s="30"/>
      <c r="L2544" s="30"/>
      <c r="M2544" s="30"/>
      <c r="N2544" s="30"/>
      <c r="O2544" s="30"/>
      <c r="P2544" s="30"/>
      <c r="Q2544" s="30"/>
      <c r="R2544" s="30"/>
      <c r="S2544" s="30"/>
      <c r="T2544" s="30"/>
      <c r="U2544" s="30"/>
      <c r="V2544" s="30"/>
      <c r="W2544" s="29"/>
      <c r="X2544" s="15"/>
      <c r="Y2544" s="30"/>
      <c r="Z2544" s="30"/>
      <c r="AA2544" s="30"/>
      <c r="AB2544" s="30"/>
      <c r="AC2544" s="17"/>
      <c r="AD2544" s="17"/>
      <c r="AE2544" s="17"/>
      <c r="AF2544" s="17"/>
      <c r="AG2544" s="21"/>
      <c r="AH2544" s="21"/>
      <c r="AI2544" s="21"/>
      <c r="AJ2544" s="21"/>
      <c r="AK2544" s="21"/>
      <c r="AL2544" s="21"/>
      <c r="AM2544" s="21"/>
      <c r="AN2544" s="21"/>
      <c r="AO2544" s="22"/>
      <c r="AP2544" s="21"/>
      <c r="AQ2544" s="22"/>
      <c r="AR2544" s="21"/>
      <c r="AS2544" s="21"/>
      <c r="AT2544" s="21"/>
      <c r="AU2544" s="21"/>
      <c r="AV2544" s="21"/>
      <c r="AW2544" s="21"/>
      <c r="AX2544" s="22"/>
      <c r="AY2544" s="21"/>
      <c r="AZ2544" s="22"/>
      <c r="BA2544" s="21"/>
      <c r="BB2544" s="21"/>
      <c r="BC2544" s="21"/>
      <c r="BD2544" s="21"/>
      <c r="BE2544" s="26"/>
      <c r="BF2544" s="26"/>
      <c r="BG2544" s="62"/>
    </row>
    <row r="2545" spans="1:59" x14ac:dyDescent="0.3">
      <c r="A2545" s="6"/>
      <c r="B2545" s="6"/>
      <c r="C2545" s="39"/>
      <c r="D2545" s="6"/>
      <c r="E2545" s="149"/>
      <c r="F2545" s="153"/>
      <c r="G2545" s="10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12"/>
      <c r="Y2545" s="6"/>
      <c r="Z2545" s="6"/>
      <c r="AA2545" s="6"/>
      <c r="AB2545" s="6"/>
      <c r="AC2545" s="9"/>
      <c r="AD2545" s="9"/>
      <c r="AE2545" s="9"/>
      <c r="AF2545" s="9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21"/>
      <c r="AS2545" s="21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</row>
    <row r="2546" spans="1:59" ht="13.5" customHeight="1" x14ac:dyDescent="0.35">
      <c r="A2546" s="49"/>
      <c r="B2546" s="49"/>
      <c r="C2546" s="14"/>
      <c r="D2546" s="1"/>
      <c r="E2546" s="149"/>
      <c r="F2546" s="153"/>
      <c r="G2546" s="10"/>
      <c r="H2546" s="17"/>
      <c r="I2546" s="17"/>
      <c r="J2546" s="17"/>
      <c r="K2546" s="30"/>
      <c r="L2546" s="30"/>
      <c r="M2546" s="30"/>
      <c r="N2546" s="30"/>
      <c r="O2546" s="30"/>
      <c r="P2546" s="30"/>
      <c r="Q2546" s="30"/>
      <c r="R2546" s="30"/>
      <c r="S2546" s="30"/>
      <c r="T2546" s="30"/>
      <c r="U2546" s="30"/>
      <c r="V2546" s="30"/>
      <c r="W2546" s="29"/>
      <c r="X2546" s="15"/>
      <c r="Y2546" s="30"/>
      <c r="Z2546" s="30"/>
      <c r="AA2546" s="30"/>
      <c r="AB2546" s="30"/>
      <c r="AC2546" s="17"/>
      <c r="AD2546" s="17"/>
      <c r="AE2546" s="17"/>
      <c r="AF2546" s="17"/>
      <c r="AG2546" s="21"/>
      <c r="AH2546" s="21"/>
      <c r="AI2546" s="21"/>
      <c r="AJ2546" s="21"/>
      <c r="AK2546" s="21"/>
      <c r="AL2546" s="21"/>
      <c r="AM2546" s="21"/>
      <c r="AN2546" s="21"/>
      <c r="AO2546" s="22"/>
      <c r="AP2546" s="21"/>
      <c r="AQ2546" s="22"/>
      <c r="AR2546" s="21"/>
      <c r="AS2546" s="21"/>
      <c r="AT2546" s="21"/>
      <c r="AU2546" s="21"/>
      <c r="AV2546" s="21"/>
      <c r="AW2546" s="21"/>
      <c r="AX2546" s="22"/>
      <c r="AY2546" s="21"/>
      <c r="AZ2546" s="22"/>
      <c r="BA2546" s="21"/>
      <c r="BB2546" s="21"/>
      <c r="BC2546" s="21"/>
      <c r="BD2546" s="21"/>
      <c r="BE2546" s="26"/>
      <c r="BF2546" s="26"/>
      <c r="BG2546" s="62"/>
    </row>
    <row r="2547" spans="1:59" x14ac:dyDescent="0.3">
      <c r="A2547" s="6"/>
      <c r="B2547" s="6"/>
      <c r="C2547" s="39"/>
      <c r="D2547" s="6"/>
      <c r="E2547" s="149"/>
      <c r="F2547" s="153"/>
      <c r="G2547" s="10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5"/>
      <c r="V2547" s="5"/>
      <c r="W2547" s="13"/>
      <c r="X2547" s="4"/>
      <c r="Y2547" s="4"/>
      <c r="Z2547" s="4"/>
      <c r="AA2547" s="6"/>
      <c r="AB2547" s="5"/>
      <c r="AC2547" s="9"/>
      <c r="AD2547" s="9"/>
      <c r="AE2547" s="9"/>
      <c r="AF2547" s="9"/>
      <c r="AG2547" s="2"/>
      <c r="AH2547" s="3"/>
      <c r="AI2547" s="2"/>
      <c r="AJ2547" s="2"/>
      <c r="AK2547" s="2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</row>
    <row r="2548" spans="1:59" x14ac:dyDescent="0.3">
      <c r="A2548" s="6"/>
      <c r="B2548" s="6"/>
      <c r="C2548" s="39"/>
      <c r="D2548" s="6"/>
      <c r="E2548" s="149"/>
      <c r="F2548" s="153"/>
      <c r="G2548" s="10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12"/>
      <c r="Y2548" s="6"/>
      <c r="Z2548" s="6"/>
      <c r="AA2548" s="6"/>
      <c r="AB2548" s="6"/>
      <c r="AC2548" s="9"/>
      <c r="AD2548" s="9"/>
      <c r="AE2548" s="9"/>
      <c r="AF2548" s="9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21"/>
      <c r="AS2548" s="21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</row>
    <row r="2549" spans="1:59" x14ac:dyDescent="0.3">
      <c r="A2549" s="6"/>
      <c r="B2549" s="6"/>
      <c r="C2549" s="39"/>
      <c r="D2549" s="6"/>
      <c r="E2549" s="149"/>
      <c r="F2549" s="153"/>
      <c r="G2549" s="10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12"/>
      <c r="Y2549" s="6"/>
      <c r="Z2549" s="6"/>
      <c r="AA2549" s="6"/>
      <c r="AB2549" s="6"/>
      <c r="AC2549" s="9"/>
      <c r="AD2549" s="9"/>
      <c r="AE2549" s="9"/>
      <c r="AF2549" s="9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</row>
    <row r="2550" spans="1:59" ht="13.5" customHeight="1" x14ac:dyDescent="0.35">
      <c r="A2550" s="49"/>
      <c r="B2550" s="49"/>
      <c r="C2550" s="14"/>
      <c r="D2550" s="1"/>
      <c r="E2550" s="149"/>
      <c r="F2550" s="153"/>
      <c r="G2550" s="10"/>
      <c r="H2550" s="17"/>
      <c r="I2550" s="17"/>
      <c r="J2550" s="17"/>
      <c r="K2550" s="30"/>
      <c r="L2550" s="30"/>
      <c r="M2550" s="30"/>
      <c r="N2550" s="30"/>
      <c r="O2550" s="30"/>
      <c r="P2550" s="30"/>
      <c r="Q2550" s="30"/>
      <c r="R2550" s="30"/>
      <c r="S2550" s="30"/>
      <c r="T2550" s="30"/>
      <c r="U2550" s="30"/>
      <c r="V2550" s="30"/>
      <c r="W2550" s="29"/>
      <c r="X2550" s="15"/>
      <c r="Y2550" s="30"/>
      <c r="Z2550" s="30"/>
      <c r="AA2550" s="30"/>
      <c r="AB2550" s="30"/>
      <c r="AC2550" s="17"/>
      <c r="AD2550" s="17"/>
      <c r="AE2550" s="17"/>
      <c r="AF2550" s="17"/>
      <c r="AG2550" s="21"/>
      <c r="AH2550" s="21"/>
      <c r="AI2550" s="21"/>
      <c r="AJ2550" s="21"/>
      <c r="AK2550" s="21"/>
      <c r="AL2550" s="21"/>
      <c r="AM2550" s="21"/>
      <c r="AN2550" s="21"/>
      <c r="AO2550" s="22"/>
      <c r="AP2550" s="21"/>
      <c r="AQ2550" s="22"/>
      <c r="AR2550" s="21"/>
      <c r="AS2550" s="21"/>
      <c r="AT2550" s="21"/>
      <c r="AU2550" s="21"/>
      <c r="AV2550" s="21"/>
      <c r="AW2550" s="21"/>
      <c r="AX2550" s="22"/>
      <c r="AY2550" s="21"/>
      <c r="AZ2550" s="22"/>
      <c r="BA2550" s="21"/>
      <c r="BB2550" s="21"/>
      <c r="BC2550" s="21"/>
      <c r="BD2550" s="21"/>
      <c r="BE2550" s="26"/>
      <c r="BF2550" s="26"/>
      <c r="BG2550" s="62"/>
    </row>
    <row r="2551" spans="1:59" ht="13.5" customHeight="1" x14ac:dyDescent="0.35">
      <c r="A2551" s="49"/>
      <c r="B2551" s="49"/>
      <c r="C2551" s="39"/>
      <c r="D2551" s="1"/>
      <c r="E2551" s="149"/>
      <c r="F2551" s="153"/>
      <c r="G2551" s="10"/>
      <c r="H2551" s="17"/>
      <c r="I2551" s="17"/>
      <c r="J2551" s="17"/>
      <c r="K2551" s="30"/>
      <c r="L2551" s="30"/>
      <c r="M2551" s="30"/>
      <c r="N2551" s="30"/>
      <c r="O2551" s="30"/>
      <c r="P2551" s="30"/>
      <c r="Q2551" s="30"/>
      <c r="R2551" s="30"/>
      <c r="S2551" s="30"/>
      <c r="T2551" s="30"/>
      <c r="U2551" s="30"/>
      <c r="V2551" s="30"/>
      <c r="W2551" s="29"/>
      <c r="X2551" s="15"/>
      <c r="Y2551" s="30"/>
      <c r="Z2551" s="30"/>
      <c r="AA2551" s="30"/>
      <c r="AB2551" s="30"/>
      <c r="AC2551" s="17"/>
      <c r="AD2551" s="17"/>
      <c r="AE2551" s="17"/>
      <c r="AF2551" s="17"/>
      <c r="AG2551" s="21"/>
      <c r="AH2551" s="21"/>
      <c r="AI2551" s="21"/>
      <c r="AJ2551" s="21"/>
      <c r="AK2551" s="21"/>
      <c r="AL2551" s="21"/>
      <c r="AM2551" s="21"/>
      <c r="AN2551" s="21"/>
      <c r="AO2551" s="22"/>
      <c r="AP2551" s="21"/>
      <c r="AQ2551" s="22"/>
      <c r="AR2551" s="21"/>
      <c r="AS2551" s="21"/>
      <c r="AT2551" s="21"/>
      <c r="AU2551" s="21"/>
      <c r="AV2551" s="21"/>
      <c r="AW2551" s="21"/>
      <c r="AX2551" s="22"/>
      <c r="AY2551" s="21"/>
      <c r="AZ2551" s="22"/>
      <c r="BA2551" s="21"/>
      <c r="BB2551" s="21"/>
      <c r="BC2551" s="21"/>
      <c r="BD2551" s="21"/>
      <c r="BE2551" s="26"/>
      <c r="BF2551" s="26"/>
      <c r="BG2551" s="62"/>
    </row>
    <row r="2552" spans="1:59" x14ac:dyDescent="0.3">
      <c r="A2552" s="63"/>
      <c r="B2552" s="63"/>
      <c r="C2552" s="39"/>
      <c r="D2552" s="6"/>
      <c r="E2552" s="149"/>
      <c r="F2552" s="153"/>
      <c r="G2552" s="10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5"/>
      <c r="V2552" s="5"/>
      <c r="W2552" s="13"/>
      <c r="X2552" s="4"/>
      <c r="Y2552" s="4"/>
      <c r="Z2552" s="4"/>
      <c r="AA2552" s="6"/>
      <c r="AB2552" s="5"/>
      <c r="AC2552" s="9"/>
      <c r="AD2552" s="9"/>
      <c r="AE2552" s="9"/>
      <c r="AF2552" s="9"/>
      <c r="AG2552" s="64"/>
      <c r="AH2552" s="3"/>
      <c r="AI2552" s="2"/>
      <c r="AJ2552" s="2"/>
      <c r="AK2552" s="2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</row>
    <row r="2553" spans="1:59" x14ac:dyDescent="0.3">
      <c r="A2553" s="6"/>
      <c r="B2553" s="6"/>
      <c r="C2553" s="39"/>
      <c r="D2553" s="6"/>
      <c r="E2553" s="149"/>
      <c r="F2553" s="153"/>
      <c r="G2553" s="10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12"/>
      <c r="Y2553" s="6"/>
      <c r="Z2553" s="6"/>
      <c r="AA2553" s="6"/>
      <c r="AB2553" s="6"/>
      <c r="AC2553" s="9"/>
      <c r="AD2553" s="9"/>
      <c r="AE2553" s="9"/>
      <c r="AF2553" s="9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21"/>
      <c r="AS2553" s="21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</row>
    <row r="2554" spans="1:59" x14ac:dyDescent="0.3">
      <c r="A2554" s="6"/>
      <c r="B2554" s="6"/>
      <c r="C2554" s="39"/>
      <c r="D2554" s="6"/>
      <c r="E2554" s="149"/>
      <c r="F2554" s="153"/>
      <c r="G2554" s="10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5"/>
      <c r="V2554" s="5"/>
      <c r="W2554" s="13"/>
      <c r="X2554" s="4"/>
      <c r="Y2554" s="4"/>
      <c r="Z2554" s="4"/>
      <c r="AA2554" s="6"/>
      <c r="AB2554" s="5"/>
      <c r="AC2554" s="9"/>
      <c r="AD2554" s="9"/>
      <c r="AE2554" s="9"/>
      <c r="AF2554" s="9"/>
      <c r="AG2554" s="2"/>
      <c r="AH2554" s="3"/>
      <c r="AI2554" s="2"/>
      <c r="AJ2554" s="2"/>
      <c r="AK2554" s="2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</row>
    <row r="2555" spans="1:59" x14ac:dyDescent="0.3">
      <c r="A2555" s="63"/>
      <c r="B2555" s="63"/>
      <c r="C2555" s="39"/>
      <c r="D2555" s="6"/>
      <c r="E2555" s="149"/>
      <c r="F2555" s="153"/>
      <c r="G2555" s="10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5"/>
      <c r="V2555" s="5"/>
      <c r="W2555" s="13"/>
      <c r="X2555" s="4"/>
      <c r="Y2555" s="4"/>
      <c r="Z2555" s="4"/>
      <c r="AA2555" s="6"/>
      <c r="AB2555" s="5"/>
      <c r="AC2555" s="9"/>
      <c r="AD2555" s="9"/>
      <c r="AE2555" s="9"/>
      <c r="AF2555" s="9"/>
      <c r="AG2555" s="64"/>
      <c r="AH2555" s="3"/>
      <c r="AI2555" s="2"/>
      <c r="AJ2555" s="2"/>
      <c r="AK2555" s="2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</row>
    <row r="2556" spans="1:59" x14ac:dyDescent="0.3">
      <c r="A2556" s="63"/>
      <c r="B2556" s="63"/>
      <c r="C2556" s="39"/>
      <c r="D2556" s="6"/>
      <c r="E2556" s="149"/>
      <c r="F2556" s="153"/>
      <c r="G2556" s="10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5"/>
      <c r="V2556" s="5"/>
      <c r="W2556" s="13"/>
      <c r="X2556" s="4"/>
      <c r="Y2556" s="4"/>
      <c r="Z2556" s="4"/>
      <c r="AA2556" s="6"/>
      <c r="AB2556" s="5"/>
      <c r="AC2556" s="9"/>
      <c r="AD2556" s="9"/>
      <c r="AE2556" s="9"/>
      <c r="AF2556" s="9"/>
      <c r="AG2556" s="64"/>
      <c r="AH2556" s="3"/>
      <c r="AI2556" s="2"/>
      <c r="AJ2556" s="2"/>
      <c r="AK2556" s="2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</row>
    <row r="2557" spans="1:59" ht="13.5" customHeight="1" x14ac:dyDescent="0.35">
      <c r="A2557" s="49"/>
      <c r="B2557" s="49"/>
      <c r="C2557" s="39"/>
      <c r="D2557" s="1"/>
      <c r="E2557" s="149"/>
      <c r="F2557" s="153"/>
      <c r="G2557" s="10"/>
      <c r="H2557" s="17"/>
      <c r="I2557" s="17"/>
      <c r="J2557" s="17"/>
      <c r="K2557" s="30"/>
      <c r="L2557" s="30"/>
      <c r="M2557" s="30"/>
      <c r="N2557" s="30"/>
      <c r="O2557" s="30"/>
      <c r="P2557" s="30"/>
      <c r="Q2557" s="30"/>
      <c r="R2557" s="30"/>
      <c r="S2557" s="30"/>
      <c r="T2557" s="30"/>
      <c r="U2557" s="30"/>
      <c r="V2557" s="30"/>
      <c r="W2557" s="29"/>
      <c r="X2557" s="15"/>
      <c r="Y2557" s="30"/>
      <c r="Z2557" s="30"/>
      <c r="AA2557" s="30"/>
      <c r="AB2557" s="30"/>
      <c r="AC2557" s="17"/>
      <c r="AD2557" s="17"/>
      <c r="AE2557" s="17"/>
      <c r="AF2557" s="17"/>
      <c r="AG2557" s="21"/>
      <c r="AH2557" s="21"/>
      <c r="AI2557" s="21"/>
      <c r="AJ2557" s="21"/>
      <c r="AK2557" s="21"/>
      <c r="AL2557" s="21"/>
      <c r="AM2557" s="21"/>
      <c r="AN2557" s="21"/>
      <c r="AO2557" s="22"/>
      <c r="AP2557" s="21"/>
      <c r="AQ2557" s="22"/>
      <c r="AR2557" s="21"/>
      <c r="AS2557" s="21"/>
      <c r="AT2557" s="21"/>
      <c r="AU2557" s="21"/>
      <c r="AV2557" s="21"/>
      <c r="AW2557" s="21"/>
      <c r="AX2557" s="22"/>
      <c r="AY2557" s="21"/>
      <c r="AZ2557" s="22"/>
      <c r="BA2557" s="21"/>
      <c r="BB2557" s="21"/>
      <c r="BC2557" s="21"/>
      <c r="BD2557" s="21"/>
      <c r="BE2557" s="26"/>
      <c r="BF2557" s="26"/>
      <c r="BG2557" s="62"/>
    </row>
    <row r="2558" spans="1:59" ht="13.5" customHeight="1" x14ac:dyDescent="0.3">
      <c r="A2558" s="6"/>
      <c r="B2558" s="6"/>
      <c r="C2558" s="39"/>
      <c r="D2558" s="6"/>
      <c r="E2558" s="149"/>
      <c r="F2558" s="153"/>
      <c r="G2558" s="10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12"/>
      <c r="Y2558" s="6"/>
      <c r="Z2558" s="6"/>
      <c r="AA2558" s="6"/>
      <c r="AB2558" s="6"/>
      <c r="AC2558" s="9"/>
      <c r="AD2558" s="9"/>
      <c r="AE2558" s="9"/>
      <c r="AF2558" s="9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21"/>
      <c r="AS2558" s="21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</row>
    <row r="2559" spans="1:59" ht="13.5" customHeight="1" x14ac:dyDescent="0.35">
      <c r="A2559" s="49"/>
      <c r="B2559" s="49"/>
      <c r="C2559" s="14"/>
      <c r="D2559" s="1"/>
      <c r="E2559" s="149"/>
      <c r="F2559" s="153"/>
      <c r="G2559" s="10"/>
      <c r="H2559" s="17"/>
      <c r="I2559" s="17"/>
      <c r="J2559" s="17"/>
      <c r="K2559" s="30"/>
      <c r="L2559" s="30"/>
      <c r="M2559" s="30"/>
      <c r="N2559" s="30"/>
      <c r="O2559" s="30"/>
      <c r="P2559" s="30"/>
      <c r="Q2559" s="30"/>
      <c r="R2559" s="30"/>
      <c r="S2559" s="30"/>
      <c r="T2559" s="30"/>
      <c r="U2559" s="30"/>
      <c r="V2559" s="30"/>
      <c r="W2559" s="29"/>
      <c r="X2559" s="15"/>
      <c r="Y2559" s="30"/>
      <c r="Z2559" s="30"/>
      <c r="AA2559" s="30"/>
      <c r="AB2559" s="30"/>
      <c r="AC2559" s="17"/>
      <c r="AD2559" s="17"/>
      <c r="AE2559" s="17"/>
      <c r="AF2559" s="17"/>
      <c r="AG2559" s="21"/>
      <c r="AH2559" s="21"/>
      <c r="AI2559" s="21"/>
      <c r="AJ2559" s="21"/>
      <c r="AK2559" s="21"/>
      <c r="AL2559" s="21"/>
      <c r="AM2559" s="21"/>
      <c r="AN2559" s="21"/>
      <c r="AO2559" s="22"/>
      <c r="AP2559" s="21"/>
      <c r="AQ2559" s="22"/>
      <c r="AR2559" s="21"/>
      <c r="AS2559" s="21"/>
      <c r="AT2559" s="21"/>
      <c r="AU2559" s="21"/>
      <c r="AV2559" s="21"/>
      <c r="AW2559" s="21"/>
      <c r="AX2559" s="22"/>
      <c r="AY2559" s="21"/>
      <c r="AZ2559" s="22"/>
      <c r="BA2559" s="21"/>
      <c r="BB2559" s="21"/>
      <c r="BC2559" s="21"/>
      <c r="BD2559" s="21"/>
      <c r="BE2559" s="26"/>
      <c r="BF2559" s="26"/>
      <c r="BG2559" s="62"/>
    </row>
    <row r="2560" spans="1:59" x14ac:dyDescent="0.3">
      <c r="A2560" s="6"/>
      <c r="B2560" s="6"/>
      <c r="C2560" s="39"/>
      <c r="D2560" s="6"/>
      <c r="E2560" s="149"/>
      <c r="F2560" s="153"/>
      <c r="G2560" s="10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12"/>
      <c r="Y2560" s="6"/>
      <c r="Z2560" s="6"/>
      <c r="AA2560" s="6"/>
      <c r="AB2560" s="6"/>
      <c r="AC2560" s="9"/>
      <c r="AD2560" s="9"/>
      <c r="AE2560" s="9"/>
      <c r="AF2560" s="9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</row>
    <row r="2561" spans="1:59" ht="13.5" customHeight="1" x14ac:dyDescent="0.35">
      <c r="A2561" s="63"/>
      <c r="B2561" s="63"/>
      <c r="C2561" s="39"/>
      <c r="D2561" s="6"/>
      <c r="E2561" s="149"/>
      <c r="F2561" s="153"/>
      <c r="G2561" s="10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5"/>
      <c r="V2561" s="5"/>
      <c r="W2561" s="13"/>
      <c r="X2561" s="4"/>
      <c r="Y2561" s="4"/>
      <c r="Z2561" s="4"/>
      <c r="AA2561" s="6"/>
      <c r="AB2561" s="5"/>
      <c r="AC2561" s="9"/>
      <c r="AD2561" s="9"/>
      <c r="AE2561" s="9"/>
      <c r="AF2561" s="9"/>
      <c r="AG2561" s="64"/>
      <c r="AH2561" s="3"/>
      <c r="AI2561" s="2"/>
      <c r="AJ2561" s="2"/>
      <c r="AK2561" s="2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65"/>
    </row>
    <row r="2562" spans="1:59" ht="13.5" customHeight="1" x14ac:dyDescent="0.35">
      <c r="A2562" s="49"/>
      <c r="B2562" s="49"/>
      <c r="C2562" s="39"/>
      <c r="D2562" s="1"/>
      <c r="E2562" s="149"/>
      <c r="F2562" s="153"/>
      <c r="G2562" s="10"/>
      <c r="H2562" s="17"/>
      <c r="I2562" s="17"/>
      <c r="J2562" s="17"/>
      <c r="K2562" s="30"/>
      <c r="L2562" s="30"/>
      <c r="M2562" s="30"/>
      <c r="N2562" s="30"/>
      <c r="O2562" s="30"/>
      <c r="P2562" s="30"/>
      <c r="Q2562" s="30"/>
      <c r="R2562" s="30"/>
      <c r="S2562" s="30"/>
      <c r="T2562" s="30"/>
      <c r="U2562" s="30"/>
      <c r="V2562" s="30"/>
      <c r="W2562" s="29"/>
      <c r="X2562" s="15"/>
      <c r="Y2562" s="30"/>
      <c r="Z2562" s="30"/>
      <c r="AA2562" s="30"/>
      <c r="AB2562" s="30"/>
      <c r="AC2562" s="17"/>
      <c r="AD2562" s="17"/>
      <c r="AE2562" s="17"/>
      <c r="AF2562" s="17"/>
      <c r="AG2562" s="21"/>
      <c r="AH2562" s="21"/>
      <c r="AI2562" s="21"/>
      <c r="AJ2562" s="21"/>
      <c r="AK2562" s="21"/>
      <c r="AL2562" s="21"/>
      <c r="AM2562" s="21"/>
      <c r="AN2562" s="21"/>
      <c r="AO2562" s="22"/>
      <c r="AP2562" s="21"/>
      <c r="AQ2562" s="22"/>
      <c r="AR2562" s="21"/>
      <c r="AS2562" s="21"/>
      <c r="AT2562" s="21"/>
      <c r="AU2562" s="21"/>
      <c r="AV2562" s="21"/>
      <c r="AW2562" s="21"/>
      <c r="AX2562" s="22"/>
      <c r="AY2562" s="21"/>
      <c r="AZ2562" s="22"/>
      <c r="BA2562" s="21"/>
      <c r="BB2562" s="21"/>
      <c r="BC2562" s="21"/>
      <c r="BD2562" s="21"/>
      <c r="BE2562" s="26"/>
      <c r="BF2562" s="26"/>
      <c r="BG2562" s="62"/>
    </row>
    <row r="2563" spans="1:59" ht="13.5" customHeight="1" x14ac:dyDescent="0.35">
      <c r="A2563" s="49"/>
      <c r="B2563" s="49"/>
      <c r="C2563" s="14"/>
      <c r="D2563" s="1"/>
      <c r="E2563" s="149"/>
      <c r="F2563" s="153"/>
      <c r="G2563" s="10"/>
      <c r="H2563" s="17"/>
      <c r="I2563" s="17"/>
      <c r="J2563" s="17"/>
      <c r="K2563" s="30"/>
      <c r="L2563" s="30"/>
      <c r="M2563" s="30"/>
      <c r="N2563" s="30"/>
      <c r="O2563" s="30"/>
      <c r="P2563" s="30"/>
      <c r="Q2563" s="30"/>
      <c r="R2563" s="30"/>
      <c r="S2563" s="30"/>
      <c r="T2563" s="30"/>
      <c r="U2563" s="30"/>
      <c r="V2563" s="30"/>
      <c r="W2563" s="29"/>
      <c r="X2563" s="15"/>
      <c r="Y2563" s="30"/>
      <c r="Z2563" s="30"/>
      <c r="AA2563" s="30"/>
      <c r="AB2563" s="30"/>
      <c r="AC2563" s="17"/>
      <c r="AD2563" s="17"/>
      <c r="AE2563" s="17"/>
      <c r="AF2563" s="17"/>
      <c r="AG2563" s="21"/>
      <c r="AH2563" s="21"/>
      <c r="AI2563" s="21"/>
      <c r="AJ2563" s="21"/>
      <c r="AK2563" s="21"/>
      <c r="AL2563" s="21"/>
      <c r="AM2563" s="21"/>
      <c r="AN2563" s="21"/>
      <c r="AO2563" s="22"/>
      <c r="AP2563" s="21"/>
      <c r="AQ2563" s="22"/>
      <c r="AR2563" s="21"/>
      <c r="AS2563" s="21"/>
      <c r="AT2563" s="21"/>
      <c r="AU2563" s="21"/>
      <c r="AV2563" s="21"/>
      <c r="AW2563" s="21"/>
      <c r="AX2563" s="22"/>
      <c r="AY2563" s="21"/>
      <c r="AZ2563" s="22"/>
      <c r="BA2563" s="21"/>
      <c r="BB2563" s="21"/>
      <c r="BC2563" s="21"/>
      <c r="BD2563" s="21"/>
      <c r="BE2563" s="26"/>
      <c r="BF2563" s="26"/>
      <c r="BG2563" s="62"/>
    </row>
    <row r="2564" spans="1:59" ht="13.5" customHeight="1" x14ac:dyDescent="0.35">
      <c r="A2564" s="49"/>
      <c r="B2564" s="49"/>
      <c r="C2564" s="39"/>
      <c r="D2564" s="1"/>
      <c r="E2564" s="149"/>
      <c r="F2564" s="153"/>
      <c r="G2564" s="10"/>
      <c r="H2564" s="17"/>
      <c r="I2564" s="17"/>
      <c r="J2564" s="17"/>
      <c r="K2564" s="30"/>
      <c r="L2564" s="30"/>
      <c r="M2564" s="30"/>
      <c r="N2564" s="30"/>
      <c r="O2564" s="30"/>
      <c r="P2564" s="30"/>
      <c r="Q2564" s="30"/>
      <c r="R2564" s="30"/>
      <c r="S2564" s="30"/>
      <c r="T2564" s="30"/>
      <c r="U2564" s="30"/>
      <c r="V2564" s="30"/>
      <c r="W2564" s="29"/>
      <c r="X2564" s="15"/>
      <c r="Y2564" s="30"/>
      <c r="Z2564" s="30"/>
      <c r="AA2564" s="30"/>
      <c r="AB2564" s="30"/>
      <c r="AC2564" s="17"/>
      <c r="AD2564" s="17"/>
      <c r="AE2564" s="17"/>
      <c r="AF2564" s="17"/>
      <c r="AG2564" s="21"/>
      <c r="AH2564" s="21"/>
      <c r="AI2564" s="21"/>
      <c r="AJ2564" s="21"/>
      <c r="AK2564" s="21"/>
      <c r="AL2564" s="21"/>
      <c r="AM2564" s="21"/>
      <c r="AN2564" s="21"/>
      <c r="AO2564" s="22"/>
      <c r="AP2564" s="21"/>
      <c r="AQ2564" s="22"/>
      <c r="AR2564" s="21"/>
      <c r="AS2564" s="21"/>
      <c r="AT2564" s="21"/>
      <c r="AU2564" s="21"/>
      <c r="AV2564" s="21"/>
      <c r="AW2564" s="21"/>
      <c r="AX2564" s="22"/>
      <c r="AY2564" s="21"/>
      <c r="AZ2564" s="22"/>
      <c r="BA2564" s="21"/>
      <c r="BB2564" s="21"/>
      <c r="BC2564" s="21"/>
      <c r="BD2564" s="21"/>
      <c r="BE2564" s="26"/>
      <c r="BF2564" s="26"/>
      <c r="BG2564" s="62"/>
    </row>
    <row r="2565" spans="1:59" ht="13.5" customHeight="1" x14ac:dyDescent="0.35">
      <c r="A2565" s="49"/>
      <c r="B2565" s="49"/>
      <c r="C2565" s="39"/>
      <c r="D2565" s="1"/>
      <c r="E2565" s="149"/>
      <c r="F2565" s="153"/>
      <c r="G2565" s="10"/>
      <c r="H2565" s="17"/>
      <c r="I2565" s="17"/>
      <c r="J2565" s="17"/>
      <c r="K2565" s="30"/>
      <c r="L2565" s="30"/>
      <c r="M2565" s="30"/>
      <c r="N2565" s="30"/>
      <c r="O2565" s="30"/>
      <c r="P2565" s="30"/>
      <c r="Q2565" s="30"/>
      <c r="R2565" s="30"/>
      <c r="S2565" s="30"/>
      <c r="T2565" s="30"/>
      <c r="U2565" s="30"/>
      <c r="V2565" s="30"/>
      <c r="W2565" s="29"/>
      <c r="X2565" s="15"/>
      <c r="Y2565" s="30"/>
      <c r="Z2565" s="30"/>
      <c r="AA2565" s="30"/>
      <c r="AB2565" s="30"/>
      <c r="AC2565" s="17"/>
      <c r="AD2565" s="17"/>
      <c r="AE2565" s="17"/>
      <c r="AF2565" s="17"/>
      <c r="AG2565" s="21"/>
      <c r="AH2565" s="21"/>
      <c r="AI2565" s="21"/>
      <c r="AJ2565" s="21"/>
      <c r="AK2565" s="21"/>
      <c r="AL2565" s="21"/>
      <c r="AM2565" s="21"/>
      <c r="AN2565" s="21"/>
      <c r="AO2565" s="22"/>
      <c r="AP2565" s="21"/>
      <c r="AQ2565" s="22"/>
      <c r="AR2565" s="21"/>
      <c r="AS2565" s="21"/>
      <c r="AT2565" s="21"/>
      <c r="AU2565" s="21"/>
      <c r="AV2565" s="21"/>
      <c r="AW2565" s="21"/>
      <c r="AX2565" s="22"/>
      <c r="AY2565" s="21"/>
      <c r="AZ2565" s="22"/>
      <c r="BA2565" s="21"/>
      <c r="BB2565" s="21"/>
      <c r="BC2565" s="21"/>
      <c r="BD2565" s="21"/>
      <c r="BE2565" s="26"/>
      <c r="BF2565" s="26"/>
      <c r="BG2565" s="62"/>
    </row>
    <row r="2566" spans="1:59" ht="15" x14ac:dyDescent="0.35">
      <c r="A2566" s="6"/>
      <c r="B2566" s="6"/>
      <c r="C2566" s="39"/>
      <c r="D2566" s="6"/>
      <c r="E2566" s="149"/>
      <c r="F2566" s="153"/>
      <c r="G2566" s="10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5"/>
      <c r="V2566" s="5"/>
      <c r="W2566" s="13"/>
      <c r="X2566" s="4"/>
      <c r="Y2566" s="4"/>
      <c r="Z2566" s="4"/>
      <c r="AA2566" s="6"/>
      <c r="AB2566" s="5"/>
      <c r="AC2566" s="9"/>
      <c r="AD2566" s="9"/>
      <c r="AE2566" s="9"/>
      <c r="AF2566" s="9"/>
      <c r="AG2566" s="2"/>
      <c r="AH2566" s="3"/>
      <c r="AI2566" s="2"/>
      <c r="AJ2566" s="2"/>
      <c r="AK2566" s="2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65"/>
    </row>
    <row r="2567" spans="1:59" x14ac:dyDescent="0.3">
      <c r="A2567" s="6"/>
      <c r="B2567" s="6"/>
      <c r="C2567" s="39"/>
      <c r="D2567" s="6"/>
      <c r="E2567" s="149"/>
      <c r="F2567" s="153"/>
      <c r="G2567" s="10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12"/>
      <c r="Y2567" s="6"/>
      <c r="Z2567" s="6"/>
      <c r="AA2567" s="6"/>
      <c r="AB2567" s="6"/>
      <c r="AC2567" s="9"/>
      <c r="AD2567" s="9"/>
      <c r="AE2567" s="9"/>
      <c r="AF2567" s="9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21"/>
      <c r="AS2567" s="21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</row>
    <row r="2568" spans="1:59" x14ac:dyDescent="0.3">
      <c r="A2568" s="63"/>
      <c r="B2568" s="63"/>
      <c r="C2568" s="39"/>
      <c r="D2568" s="6"/>
      <c r="E2568" s="149"/>
      <c r="F2568" s="153"/>
      <c r="G2568" s="10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5"/>
      <c r="V2568" s="5"/>
      <c r="W2568" s="13"/>
      <c r="X2568" s="4"/>
      <c r="Y2568" s="4"/>
      <c r="Z2568" s="4"/>
      <c r="AA2568" s="6"/>
      <c r="AB2568" s="5"/>
      <c r="AC2568" s="9"/>
      <c r="AD2568" s="9"/>
      <c r="AE2568" s="9"/>
      <c r="AF2568" s="9"/>
      <c r="AG2568" s="64"/>
      <c r="AH2568" s="3"/>
      <c r="AI2568" s="2"/>
      <c r="AJ2568" s="2"/>
      <c r="AK2568" s="2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</row>
    <row r="2569" spans="1:59" x14ac:dyDescent="0.3">
      <c r="A2569" s="6"/>
      <c r="B2569" s="6"/>
      <c r="C2569" s="39"/>
      <c r="D2569" s="6"/>
      <c r="E2569" s="149"/>
      <c r="F2569" s="153"/>
      <c r="G2569" s="10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12"/>
      <c r="Y2569" s="6"/>
      <c r="Z2569" s="6"/>
      <c r="AA2569" s="6"/>
      <c r="AB2569" s="6"/>
      <c r="AC2569" s="9"/>
      <c r="AD2569" s="9"/>
      <c r="AE2569" s="9"/>
      <c r="AF2569" s="9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21"/>
      <c r="AS2569" s="21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</row>
    <row r="2570" spans="1:59" x14ac:dyDescent="0.3">
      <c r="A2570" s="6"/>
      <c r="B2570" s="6"/>
      <c r="C2570" s="39"/>
      <c r="D2570" s="6"/>
      <c r="E2570" s="149"/>
      <c r="F2570" s="153"/>
      <c r="G2570" s="10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12"/>
      <c r="Y2570" s="6"/>
      <c r="Z2570" s="6"/>
      <c r="AA2570" s="6"/>
      <c r="AB2570" s="6"/>
      <c r="AC2570" s="9"/>
      <c r="AD2570" s="9"/>
      <c r="AE2570" s="9"/>
      <c r="AF2570" s="9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21"/>
      <c r="AS2570" s="21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</row>
    <row r="2571" spans="1:59" x14ac:dyDescent="0.3">
      <c r="A2571" s="6"/>
      <c r="B2571" s="6"/>
      <c r="C2571" s="39"/>
      <c r="D2571" s="6"/>
      <c r="E2571" s="149"/>
      <c r="F2571" s="153"/>
      <c r="G2571" s="10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12"/>
      <c r="Y2571" s="6"/>
      <c r="Z2571" s="6"/>
      <c r="AA2571" s="6"/>
      <c r="AB2571" s="6"/>
      <c r="AC2571" s="9"/>
      <c r="AD2571" s="9"/>
      <c r="AE2571" s="9"/>
      <c r="AF2571" s="9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21"/>
      <c r="AS2571" s="21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</row>
    <row r="2572" spans="1:59" x14ac:dyDescent="0.3">
      <c r="A2572" s="6"/>
      <c r="B2572" s="6"/>
      <c r="C2572" s="39"/>
      <c r="D2572" s="6"/>
      <c r="E2572" s="149"/>
      <c r="F2572" s="153"/>
      <c r="G2572" s="10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12"/>
      <c r="Y2572" s="6"/>
      <c r="Z2572" s="6"/>
      <c r="AA2572" s="6"/>
      <c r="AB2572" s="6"/>
      <c r="AC2572" s="9"/>
      <c r="AD2572" s="9"/>
      <c r="AE2572" s="9"/>
      <c r="AF2572" s="9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</row>
    <row r="2573" spans="1:59" x14ac:dyDescent="0.3">
      <c r="A2573" s="63"/>
      <c r="B2573" s="63"/>
      <c r="C2573" s="39"/>
      <c r="D2573" s="6"/>
      <c r="E2573" s="149"/>
      <c r="F2573" s="153"/>
      <c r="G2573" s="10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5"/>
      <c r="V2573" s="5"/>
      <c r="W2573" s="13"/>
      <c r="X2573" s="4"/>
      <c r="Y2573" s="4"/>
      <c r="Z2573" s="4"/>
      <c r="AA2573" s="6"/>
      <c r="AB2573" s="5"/>
      <c r="AC2573" s="9"/>
      <c r="AD2573" s="9"/>
      <c r="AE2573" s="9"/>
      <c r="AF2573" s="9"/>
      <c r="AG2573" s="64"/>
      <c r="AH2573" s="3"/>
      <c r="AI2573" s="2"/>
      <c r="AJ2573" s="2"/>
      <c r="AK2573" s="2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</row>
    <row r="2574" spans="1:59" ht="13.5" customHeight="1" x14ac:dyDescent="0.35">
      <c r="A2574" s="49"/>
      <c r="B2574" s="49"/>
      <c r="C2574" s="39"/>
      <c r="D2574" s="1"/>
      <c r="E2574" s="149"/>
      <c r="F2574" s="153"/>
      <c r="G2574" s="10"/>
      <c r="H2574" s="17"/>
      <c r="I2574" s="17"/>
      <c r="J2574" s="17"/>
      <c r="K2574" s="30"/>
      <c r="L2574" s="30"/>
      <c r="M2574" s="30"/>
      <c r="N2574" s="30"/>
      <c r="O2574" s="30"/>
      <c r="P2574" s="30"/>
      <c r="Q2574" s="30"/>
      <c r="R2574" s="30"/>
      <c r="S2574" s="30"/>
      <c r="T2574" s="30"/>
      <c r="U2574" s="30"/>
      <c r="V2574" s="30"/>
      <c r="W2574" s="29"/>
      <c r="X2574" s="15"/>
      <c r="Y2574" s="30"/>
      <c r="Z2574" s="30"/>
      <c r="AA2574" s="30"/>
      <c r="AB2574" s="30"/>
      <c r="AC2574" s="17"/>
      <c r="AD2574" s="17"/>
      <c r="AE2574" s="17"/>
      <c r="AF2574" s="17"/>
      <c r="AG2574" s="21"/>
      <c r="AH2574" s="21"/>
      <c r="AI2574" s="21"/>
      <c r="AJ2574" s="21"/>
      <c r="AK2574" s="21"/>
      <c r="AL2574" s="21"/>
      <c r="AM2574" s="21"/>
      <c r="AN2574" s="21"/>
      <c r="AO2574" s="22"/>
      <c r="AP2574" s="21"/>
      <c r="AQ2574" s="22"/>
      <c r="AR2574" s="21"/>
      <c r="AS2574" s="21"/>
      <c r="AT2574" s="21"/>
      <c r="AU2574" s="21"/>
      <c r="AV2574" s="21"/>
      <c r="AW2574" s="21"/>
      <c r="AX2574" s="22"/>
      <c r="AY2574" s="21"/>
      <c r="AZ2574" s="22"/>
      <c r="BA2574" s="21"/>
      <c r="BB2574" s="21"/>
      <c r="BC2574" s="21"/>
      <c r="BD2574" s="21"/>
      <c r="BE2574" s="26"/>
      <c r="BF2574" s="26"/>
      <c r="BG2574" s="62"/>
    </row>
    <row r="2575" spans="1:59" x14ac:dyDescent="0.3">
      <c r="A2575" s="63"/>
      <c r="B2575" s="63"/>
      <c r="C2575" s="39"/>
      <c r="D2575" s="6"/>
      <c r="E2575" s="149"/>
      <c r="F2575" s="153"/>
      <c r="G2575" s="10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5"/>
      <c r="V2575" s="5"/>
      <c r="W2575" s="13"/>
      <c r="X2575" s="4"/>
      <c r="Y2575" s="4"/>
      <c r="Z2575" s="4"/>
      <c r="AA2575" s="6"/>
      <c r="AB2575" s="5"/>
      <c r="AC2575" s="9"/>
      <c r="AD2575" s="9"/>
      <c r="AE2575" s="9"/>
      <c r="AF2575" s="9"/>
      <c r="AG2575" s="64"/>
      <c r="AH2575" s="3"/>
      <c r="AI2575" s="2"/>
      <c r="AJ2575" s="2"/>
      <c r="AK2575" s="2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</row>
    <row r="2576" spans="1:59" x14ac:dyDescent="0.3">
      <c r="A2576" s="6"/>
      <c r="B2576" s="6"/>
      <c r="C2576" s="39"/>
      <c r="D2576" s="6"/>
      <c r="E2576" s="149"/>
      <c r="F2576" s="153"/>
      <c r="G2576" s="10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12"/>
      <c r="Y2576" s="6"/>
      <c r="Z2576" s="6"/>
      <c r="AA2576" s="6"/>
      <c r="AB2576" s="6"/>
      <c r="AC2576" s="9"/>
      <c r="AD2576" s="9"/>
      <c r="AE2576" s="9"/>
      <c r="AF2576" s="9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21"/>
      <c r="AS2576" s="21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</row>
    <row r="2577" spans="1:59" x14ac:dyDescent="0.3">
      <c r="A2577" s="6"/>
      <c r="B2577" s="6"/>
      <c r="C2577" s="39"/>
      <c r="D2577" s="6"/>
      <c r="E2577" s="149"/>
      <c r="F2577" s="153"/>
      <c r="G2577" s="10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12"/>
      <c r="Y2577" s="6"/>
      <c r="Z2577" s="6"/>
      <c r="AA2577" s="6"/>
      <c r="AB2577" s="6"/>
      <c r="AC2577" s="9"/>
      <c r="AD2577" s="9"/>
      <c r="AE2577" s="9"/>
      <c r="AF2577" s="9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21"/>
      <c r="AS2577" s="21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</row>
    <row r="2578" spans="1:59" x14ac:dyDescent="0.3">
      <c r="A2578" s="63"/>
      <c r="B2578" s="63"/>
      <c r="C2578" s="39"/>
      <c r="D2578" s="6"/>
      <c r="E2578" s="149"/>
      <c r="F2578" s="153"/>
      <c r="G2578" s="10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5"/>
      <c r="V2578" s="5"/>
      <c r="W2578" s="13"/>
      <c r="X2578" s="4"/>
      <c r="Y2578" s="4"/>
      <c r="Z2578" s="4"/>
      <c r="AA2578" s="6"/>
      <c r="AB2578" s="5"/>
      <c r="AC2578" s="9"/>
      <c r="AD2578" s="9"/>
      <c r="AE2578" s="9"/>
      <c r="AF2578" s="9"/>
      <c r="AG2578" s="64"/>
      <c r="AH2578" s="3"/>
      <c r="AI2578" s="2"/>
      <c r="AJ2578" s="2"/>
      <c r="AK2578" s="2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</row>
    <row r="2579" spans="1:59" x14ac:dyDescent="0.3">
      <c r="A2579" s="6"/>
      <c r="B2579" s="6"/>
      <c r="C2579" s="39"/>
      <c r="D2579" s="6"/>
      <c r="E2579" s="149"/>
      <c r="F2579" s="153"/>
      <c r="G2579" s="10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5"/>
      <c r="V2579" s="5"/>
      <c r="W2579" s="13"/>
      <c r="X2579" s="4"/>
      <c r="Y2579" s="4"/>
      <c r="Z2579" s="4"/>
      <c r="AA2579" s="6"/>
      <c r="AB2579" s="5"/>
      <c r="AC2579" s="9"/>
      <c r="AD2579" s="9"/>
      <c r="AE2579" s="9"/>
      <c r="AF2579" s="9"/>
      <c r="AG2579" s="2"/>
      <c r="AH2579" s="3"/>
      <c r="AI2579" s="2"/>
      <c r="AJ2579" s="2"/>
      <c r="AK2579" s="2"/>
      <c r="AL2579" s="3"/>
      <c r="AM2579" s="3"/>
      <c r="AN2579" s="3"/>
      <c r="AO2579" s="3"/>
      <c r="AP2579" s="3"/>
      <c r="AQ2579" s="3"/>
      <c r="AR2579" s="21"/>
      <c r="AS2579" s="21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</row>
    <row r="2580" spans="1:59" x14ac:dyDescent="0.3">
      <c r="A2580" s="63"/>
      <c r="B2580" s="63"/>
      <c r="C2580" s="39"/>
      <c r="D2580" s="6"/>
      <c r="E2580" s="149"/>
      <c r="F2580" s="153"/>
      <c r="G2580" s="10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5"/>
      <c r="V2580" s="5"/>
      <c r="W2580" s="13"/>
      <c r="X2580" s="4"/>
      <c r="Y2580" s="4"/>
      <c r="Z2580" s="4"/>
      <c r="AA2580" s="6"/>
      <c r="AB2580" s="5"/>
      <c r="AC2580" s="9"/>
      <c r="AD2580" s="9"/>
      <c r="AE2580" s="9"/>
      <c r="AF2580" s="9"/>
      <c r="AG2580" s="64"/>
      <c r="AH2580" s="3"/>
      <c r="AI2580" s="2"/>
      <c r="AJ2580" s="2"/>
      <c r="AK2580" s="2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</row>
    <row r="2581" spans="1:59" x14ac:dyDescent="0.3">
      <c r="A2581" s="63"/>
      <c r="B2581" s="63"/>
      <c r="C2581" s="39"/>
      <c r="D2581" s="6"/>
      <c r="E2581" s="149"/>
      <c r="F2581" s="153"/>
      <c r="G2581" s="10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5"/>
      <c r="V2581" s="5"/>
      <c r="W2581" s="13"/>
      <c r="X2581" s="4"/>
      <c r="Y2581" s="4"/>
      <c r="Z2581" s="4"/>
      <c r="AA2581" s="6"/>
      <c r="AB2581" s="5"/>
      <c r="AC2581" s="9"/>
      <c r="AD2581" s="9"/>
      <c r="AE2581" s="9"/>
      <c r="AF2581" s="9"/>
      <c r="AG2581" s="64"/>
      <c r="AH2581" s="3"/>
      <c r="AI2581" s="2"/>
      <c r="AJ2581" s="2"/>
      <c r="AK2581" s="2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</row>
    <row r="2582" spans="1:59" x14ac:dyDescent="0.3">
      <c r="A2582" s="6"/>
      <c r="B2582" s="6"/>
      <c r="C2582" s="39"/>
      <c r="D2582" s="6"/>
      <c r="E2582" s="149"/>
      <c r="F2582" s="153"/>
      <c r="G2582" s="10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12"/>
      <c r="Y2582" s="6"/>
      <c r="Z2582" s="6"/>
      <c r="AA2582" s="6"/>
      <c r="AB2582" s="6"/>
      <c r="AC2582" s="9"/>
      <c r="AD2582" s="9"/>
      <c r="AE2582" s="9"/>
      <c r="AF2582" s="9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21"/>
      <c r="AS2582" s="21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</row>
    <row r="2583" spans="1:59" x14ac:dyDescent="0.3">
      <c r="A2583" s="6"/>
      <c r="B2583" s="6"/>
      <c r="C2583" s="39"/>
      <c r="D2583" s="6"/>
      <c r="E2583" s="149"/>
      <c r="F2583" s="153"/>
      <c r="G2583" s="10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12"/>
      <c r="Y2583" s="6"/>
      <c r="Z2583" s="6"/>
      <c r="AA2583" s="6"/>
      <c r="AB2583" s="6"/>
      <c r="AC2583" s="9"/>
      <c r="AD2583" s="9"/>
      <c r="AE2583" s="9"/>
      <c r="AF2583" s="9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21"/>
      <c r="AS2583" s="21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</row>
    <row r="2584" spans="1:59" x14ac:dyDescent="0.3">
      <c r="A2584" s="63"/>
      <c r="B2584" s="63"/>
      <c r="C2584" s="39"/>
      <c r="D2584" s="6"/>
      <c r="E2584" s="149"/>
      <c r="F2584" s="153"/>
      <c r="G2584" s="10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5"/>
      <c r="V2584" s="5"/>
      <c r="W2584" s="13"/>
      <c r="X2584" s="4"/>
      <c r="Y2584" s="4"/>
      <c r="Z2584" s="4"/>
      <c r="AA2584" s="6"/>
      <c r="AB2584" s="5"/>
      <c r="AC2584" s="9"/>
      <c r="AD2584" s="9"/>
      <c r="AE2584" s="9"/>
      <c r="AF2584" s="9"/>
      <c r="AG2584" s="64"/>
      <c r="AH2584" s="3"/>
      <c r="AI2584" s="2"/>
      <c r="AJ2584" s="2"/>
      <c r="AK2584" s="2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</row>
    <row r="2585" spans="1:59" x14ac:dyDescent="0.3">
      <c r="A2585" s="6"/>
      <c r="B2585" s="6"/>
      <c r="C2585" s="39"/>
      <c r="D2585" s="6"/>
      <c r="E2585" s="149"/>
      <c r="F2585" s="153"/>
      <c r="G2585" s="10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12"/>
      <c r="Y2585" s="6"/>
      <c r="Z2585" s="6"/>
      <c r="AA2585" s="6"/>
      <c r="AB2585" s="6"/>
      <c r="AC2585" s="9"/>
      <c r="AD2585" s="9"/>
      <c r="AE2585" s="9"/>
      <c r="AF2585" s="9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21"/>
      <c r="AS2585" s="21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</row>
    <row r="2586" spans="1:59" x14ac:dyDescent="0.3">
      <c r="A2586" s="63"/>
      <c r="B2586" s="63"/>
      <c r="C2586" s="39"/>
      <c r="D2586" s="6"/>
      <c r="E2586" s="149"/>
      <c r="F2586" s="153"/>
      <c r="G2586" s="10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5"/>
      <c r="V2586" s="5"/>
      <c r="W2586" s="13"/>
      <c r="X2586" s="4"/>
      <c r="Y2586" s="4"/>
      <c r="Z2586" s="4"/>
      <c r="AA2586" s="6"/>
      <c r="AB2586" s="5"/>
      <c r="AC2586" s="9"/>
      <c r="AD2586" s="9"/>
      <c r="AE2586" s="9"/>
      <c r="AF2586" s="9"/>
      <c r="AG2586" s="64"/>
      <c r="AH2586" s="3"/>
      <c r="AI2586" s="2"/>
      <c r="AJ2586" s="2"/>
      <c r="AK2586" s="2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</row>
    <row r="2587" spans="1:59" ht="13.5" customHeight="1" x14ac:dyDescent="0.35">
      <c r="A2587" s="49"/>
      <c r="B2587" s="49"/>
      <c r="C2587" s="39"/>
      <c r="D2587" s="1"/>
      <c r="E2587" s="149"/>
      <c r="F2587" s="153"/>
      <c r="G2587" s="10"/>
      <c r="H2587" s="17"/>
      <c r="I2587" s="17"/>
      <c r="J2587" s="17"/>
      <c r="K2587" s="30"/>
      <c r="L2587" s="30"/>
      <c r="M2587" s="30"/>
      <c r="N2587" s="30"/>
      <c r="O2587" s="30"/>
      <c r="P2587" s="30"/>
      <c r="Q2587" s="30"/>
      <c r="R2587" s="30"/>
      <c r="S2587" s="30"/>
      <c r="T2587" s="30"/>
      <c r="U2587" s="30"/>
      <c r="V2587" s="30"/>
      <c r="W2587" s="29"/>
      <c r="X2587" s="15"/>
      <c r="Y2587" s="30"/>
      <c r="Z2587" s="30"/>
      <c r="AA2587" s="30"/>
      <c r="AB2587" s="30"/>
      <c r="AC2587" s="17"/>
      <c r="AD2587" s="17"/>
      <c r="AE2587" s="17"/>
      <c r="AF2587" s="17"/>
      <c r="AG2587" s="21"/>
      <c r="AH2587" s="21"/>
      <c r="AI2587" s="21"/>
      <c r="AJ2587" s="21"/>
      <c r="AK2587" s="21"/>
      <c r="AL2587" s="21"/>
      <c r="AM2587" s="21"/>
      <c r="AN2587" s="21"/>
      <c r="AO2587" s="22"/>
      <c r="AP2587" s="21"/>
      <c r="AQ2587" s="22"/>
      <c r="AR2587" s="21"/>
      <c r="AS2587" s="21"/>
      <c r="AT2587" s="21"/>
      <c r="AU2587" s="21"/>
      <c r="AV2587" s="21"/>
      <c r="AW2587" s="21"/>
      <c r="AX2587" s="22"/>
      <c r="AY2587" s="21"/>
      <c r="AZ2587" s="22"/>
      <c r="BA2587" s="21"/>
      <c r="BB2587" s="21"/>
      <c r="BC2587" s="21"/>
      <c r="BD2587" s="21"/>
      <c r="BE2587" s="26"/>
      <c r="BF2587" s="26"/>
      <c r="BG2587" s="62"/>
    </row>
    <row r="2588" spans="1:59" ht="13.5" customHeight="1" x14ac:dyDescent="0.35">
      <c r="A2588" s="49"/>
      <c r="B2588" s="49"/>
      <c r="C2588" s="39"/>
      <c r="D2588" s="1"/>
      <c r="E2588" s="149"/>
      <c r="F2588" s="153"/>
      <c r="G2588" s="10"/>
      <c r="H2588" s="17"/>
      <c r="I2588" s="17"/>
      <c r="J2588" s="17"/>
      <c r="K2588" s="30"/>
      <c r="L2588" s="30"/>
      <c r="M2588" s="30"/>
      <c r="N2588" s="30"/>
      <c r="O2588" s="30"/>
      <c r="P2588" s="30"/>
      <c r="Q2588" s="30"/>
      <c r="R2588" s="30"/>
      <c r="S2588" s="30"/>
      <c r="T2588" s="30"/>
      <c r="U2588" s="30"/>
      <c r="V2588" s="30"/>
      <c r="W2588" s="29"/>
      <c r="X2588" s="15"/>
      <c r="Y2588" s="30"/>
      <c r="Z2588" s="30"/>
      <c r="AA2588" s="30"/>
      <c r="AB2588" s="30"/>
      <c r="AC2588" s="17"/>
      <c r="AD2588" s="17"/>
      <c r="AE2588" s="17"/>
      <c r="AF2588" s="17"/>
      <c r="AG2588" s="21"/>
      <c r="AH2588" s="21"/>
      <c r="AI2588" s="21"/>
      <c r="AJ2588" s="21"/>
      <c r="AK2588" s="21"/>
      <c r="AL2588" s="21"/>
      <c r="AM2588" s="21"/>
      <c r="AN2588" s="21"/>
      <c r="AO2588" s="22"/>
      <c r="AP2588" s="21"/>
      <c r="AQ2588" s="22"/>
      <c r="AR2588" s="21"/>
      <c r="AS2588" s="21"/>
      <c r="AT2588" s="21"/>
      <c r="AU2588" s="21"/>
      <c r="AV2588" s="21"/>
      <c r="AW2588" s="21"/>
      <c r="AX2588" s="22"/>
      <c r="AY2588" s="21"/>
      <c r="AZ2588" s="22"/>
      <c r="BA2588" s="21"/>
      <c r="BB2588" s="21"/>
      <c r="BC2588" s="21"/>
      <c r="BD2588" s="21"/>
      <c r="BE2588" s="26"/>
      <c r="BF2588" s="26"/>
      <c r="BG2588" s="62"/>
    </row>
    <row r="2589" spans="1:59" x14ac:dyDescent="0.3">
      <c r="A2589" s="6"/>
      <c r="B2589" s="6"/>
      <c r="C2589" s="39"/>
      <c r="D2589" s="6"/>
      <c r="E2589" s="149"/>
      <c r="F2589" s="153"/>
      <c r="G2589" s="10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5"/>
      <c r="V2589" s="5"/>
      <c r="W2589" s="13"/>
      <c r="X2589" s="4"/>
      <c r="Y2589" s="4"/>
      <c r="Z2589" s="4"/>
      <c r="AA2589" s="6"/>
      <c r="AB2589" s="5"/>
      <c r="AC2589" s="9"/>
      <c r="AD2589" s="9"/>
      <c r="AE2589" s="9"/>
      <c r="AF2589" s="9"/>
      <c r="AG2589" s="2"/>
      <c r="AH2589" s="3"/>
      <c r="AI2589" s="2"/>
      <c r="AJ2589" s="2"/>
      <c r="AK2589" s="2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</row>
    <row r="2590" spans="1:59" ht="13.5" customHeight="1" x14ac:dyDescent="0.35">
      <c r="A2590" s="49"/>
      <c r="B2590" s="49"/>
      <c r="C2590" s="14"/>
      <c r="D2590" s="1"/>
      <c r="E2590" s="149"/>
      <c r="F2590" s="153"/>
      <c r="G2590" s="10"/>
      <c r="H2590" s="17"/>
      <c r="I2590" s="17"/>
      <c r="J2590" s="17"/>
      <c r="K2590" s="30"/>
      <c r="L2590" s="30"/>
      <c r="M2590" s="30"/>
      <c r="N2590" s="30"/>
      <c r="O2590" s="30"/>
      <c r="P2590" s="30"/>
      <c r="Q2590" s="30"/>
      <c r="R2590" s="30"/>
      <c r="S2590" s="30"/>
      <c r="T2590" s="30"/>
      <c r="U2590" s="30"/>
      <c r="V2590" s="30"/>
      <c r="W2590" s="29"/>
      <c r="X2590" s="15"/>
      <c r="Y2590" s="30"/>
      <c r="Z2590" s="30"/>
      <c r="AA2590" s="30"/>
      <c r="AB2590" s="30"/>
      <c r="AC2590" s="17"/>
      <c r="AD2590" s="17"/>
      <c r="AE2590" s="17"/>
      <c r="AF2590" s="17"/>
      <c r="AG2590" s="21"/>
      <c r="AH2590" s="21"/>
      <c r="AI2590" s="21"/>
      <c r="AJ2590" s="21"/>
      <c r="AK2590" s="21"/>
      <c r="AL2590" s="21"/>
      <c r="AM2590" s="21"/>
      <c r="AN2590" s="21"/>
      <c r="AO2590" s="22"/>
      <c r="AP2590" s="21"/>
      <c r="AQ2590" s="22"/>
      <c r="AR2590" s="21"/>
      <c r="AS2590" s="21"/>
      <c r="AT2590" s="21"/>
      <c r="AU2590" s="21"/>
      <c r="AV2590" s="21"/>
      <c r="AW2590" s="21"/>
      <c r="AX2590" s="22"/>
      <c r="AY2590" s="21"/>
      <c r="AZ2590" s="22"/>
      <c r="BA2590" s="21"/>
      <c r="BB2590" s="21"/>
      <c r="BC2590" s="21"/>
      <c r="BD2590" s="21"/>
      <c r="BE2590" s="26"/>
      <c r="BF2590" s="26"/>
      <c r="BG2590" s="62"/>
    </row>
    <row r="2591" spans="1:59" x14ac:dyDescent="0.3">
      <c r="A2591" s="63"/>
      <c r="B2591" s="63"/>
      <c r="C2591" s="39"/>
      <c r="D2591" s="6"/>
      <c r="E2591" s="149"/>
      <c r="F2591" s="153"/>
      <c r="G2591" s="10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5"/>
      <c r="V2591" s="5"/>
      <c r="W2591" s="13"/>
      <c r="X2591" s="4"/>
      <c r="Y2591" s="4"/>
      <c r="Z2591" s="4"/>
      <c r="AA2591" s="6"/>
      <c r="AB2591" s="5"/>
      <c r="AC2591" s="9"/>
      <c r="AD2591" s="9"/>
      <c r="AE2591" s="9"/>
      <c r="AF2591" s="9"/>
      <c r="AG2591" s="64"/>
      <c r="AH2591" s="3"/>
      <c r="AI2591" s="2"/>
      <c r="AJ2591" s="2"/>
      <c r="AK2591" s="2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</row>
    <row r="2592" spans="1:59" x14ac:dyDescent="0.3">
      <c r="A2592" s="6"/>
      <c r="B2592" s="6"/>
      <c r="C2592" s="39"/>
      <c r="D2592" s="6"/>
      <c r="E2592" s="149"/>
      <c r="F2592" s="153"/>
      <c r="G2592" s="10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12"/>
      <c r="Y2592" s="6"/>
      <c r="Z2592" s="6"/>
      <c r="AA2592" s="6"/>
      <c r="AB2592" s="6"/>
      <c r="AC2592" s="9"/>
      <c r="AD2592" s="9"/>
      <c r="AE2592" s="9"/>
      <c r="AF2592" s="9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21"/>
      <c r="AS2592" s="21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</row>
    <row r="2593" spans="1:59" ht="13.5" customHeight="1" x14ac:dyDescent="0.35">
      <c r="A2593" s="49"/>
      <c r="B2593" s="49"/>
      <c r="C2593" s="39"/>
      <c r="D2593" s="1"/>
      <c r="E2593" s="149"/>
      <c r="F2593" s="153"/>
      <c r="G2593" s="10"/>
      <c r="H2593" s="17"/>
      <c r="I2593" s="17"/>
      <c r="J2593" s="17"/>
      <c r="K2593" s="30"/>
      <c r="L2593" s="30"/>
      <c r="M2593" s="30"/>
      <c r="N2593" s="30"/>
      <c r="O2593" s="30"/>
      <c r="P2593" s="30"/>
      <c r="Q2593" s="30"/>
      <c r="R2593" s="30"/>
      <c r="S2593" s="30"/>
      <c r="T2593" s="30"/>
      <c r="U2593" s="30"/>
      <c r="V2593" s="30"/>
      <c r="W2593" s="29"/>
      <c r="X2593" s="15"/>
      <c r="Y2593" s="30"/>
      <c r="Z2593" s="30"/>
      <c r="AA2593" s="30"/>
      <c r="AB2593" s="30"/>
      <c r="AC2593" s="17"/>
      <c r="AD2593" s="17"/>
      <c r="AE2593" s="17"/>
      <c r="AF2593" s="17"/>
      <c r="AG2593" s="21"/>
      <c r="AH2593" s="21"/>
      <c r="AI2593" s="21"/>
      <c r="AJ2593" s="21"/>
      <c r="AK2593" s="21"/>
      <c r="AL2593" s="21"/>
      <c r="AM2593" s="21"/>
      <c r="AN2593" s="21"/>
      <c r="AO2593" s="22"/>
      <c r="AP2593" s="21"/>
      <c r="AQ2593" s="22"/>
      <c r="AR2593" s="21"/>
      <c r="AS2593" s="21"/>
      <c r="AT2593" s="21"/>
      <c r="AU2593" s="21"/>
      <c r="AV2593" s="21"/>
      <c r="AW2593" s="21"/>
      <c r="AX2593" s="22"/>
      <c r="AY2593" s="21"/>
      <c r="AZ2593" s="22"/>
      <c r="BA2593" s="21"/>
      <c r="BB2593" s="21"/>
      <c r="BC2593" s="21"/>
      <c r="BD2593" s="21"/>
      <c r="BE2593" s="26"/>
      <c r="BF2593" s="26"/>
      <c r="BG2593" s="62"/>
    </row>
    <row r="2594" spans="1:59" ht="13.5" customHeight="1" x14ac:dyDescent="0.35">
      <c r="A2594" s="49"/>
      <c r="B2594" s="49"/>
      <c r="C2594" s="39"/>
      <c r="D2594" s="1"/>
      <c r="E2594" s="149"/>
      <c r="F2594" s="153"/>
      <c r="G2594" s="10"/>
      <c r="H2594" s="17"/>
      <c r="I2594" s="17"/>
      <c r="J2594" s="17"/>
      <c r="K2594" s="30"/>
      <c r="L2594" s="30"/>
      <c r="M2594" s="30"/>
      <c r="N2594" s="30"/>
      <c r="O2594" s="30"/>
      <c r="P2594" s="30"/>
      <c r="Q2594" s="30"/>
      <c r="R2594" s="30"/>
      <c r="S2594" s="30"/>
      <c r="T2594" s="30"/>
      <c r="U2594" s="30"/>
      <c r="V2594" s="30"/>
      <c r="W2594" s="29"/>
      <c r="X2594" s="15"/>
      <c r="Y2594" s="30"/>
      <c r="Z2594" s="30"/>
      <c r="AA2594" s="30"/>
      <c r="AB2594" s="30"/>
      <c r="AC2594" s="17"/>
      <c r="AD2594" s="17"/>
      <c r="AE2594" s="17"/>
      <c r="AF2594" s="17"/>
      <c r="AG2594" s="21"/>
      <c r="AH2594" s="21"/>
      <c r="AI2594" s="21"/>
      <c r="AJ2594" s="21"/>
      <c r="AK2594" s="21"/>
      <c r="AL2594" s="21"/>
      <c r="AM2594" s="21"/>
      <c r="AN2594" s="21"/>
      <c r="AO2594" s="22"/>
      <c r="AP2594" s="21"/>
      <c r="AQ2594" s="22"/>
      <c r="AR2594" s="21"/>
      <c r="AS2594" s="21"/>
      <c r="AT2594" s="21"/>
      <c r="AU2594" s="21"/>
      <c r="AV2594" s="21"/>
      <c r="AW2594" s="21"/>
      <c r="AX2594" s="22"/>
      <c r="AY2594" s="21"/>
      <c r="AZ2594" s="22"/>
      <c r="BA2594" s="21"/>
      <c r="BB2594" s="21"/>
      <c r="BC2594" s="21"/>
      <c r="BD2594" s="21"/>
      <c r="BE2594" s="26"/>
      <c r="BF2594" s="26"/>
      <c r="BG2594" s="62"/>
    </row>
    <row r="2595" spans="1:59" x14ac:dyDescent="0.3">
      <c r="A2595" s="6"/>
      <c r="B2595" s="6"/>
      <c r="C2595" s="39"/>
      <c r="D2595" s="6"/>
      <c r="E2595" s="149"/>
      <c r="F2595" s="153"/>
      <c r="G2595" s="10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5"/>
      <c r="V2595" s="5"/>
      <c r="W2595" s="13"/>
      <c r="X2595" s="4"/>
      <c r="Y2595" s="4"/>
      <c r="Z2595" s="4"/>
      <c r="AA2595" s="6"/>
      <c r="AB2595" s="5"/>
      <c r="AC2595" s="9"/>
      <c r="AD2595" s="9"/>
      <c r="AE2595" s="9"/>
      <c r="AF2595" s="9"/>
      <c r="AG2595" s="2"/>
      <c r="AH2595" s="3"/>
      <c r="AI2595" s="2"/>
      <c r="AJ2595" s="2"/>
      <c r="AK2595" s="2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</row>
    <row r="2596" spans="1:59" x14ac:dyDescent="0.3">
      <c r="A2596" s="6"/>
      <c r="B2596" s="6"/>
      <c r="C2596" s="39"/>
      <c r="D2596" s="6"/>
      <c r="E2596" s="149"/>
      <c r="F2596" s="153"/>
      <c r="G2596" s="10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12"/>
      <c r="Y2596" s="6"/>
      <c r="Z2596" s="6"/>
      <c r="AA2596" s="6"/>
      <c r="AB2596" s="6"/>
      <c r="AC2596" s="9"/>
      <c r="AD2596" s="9"/>
      <c r="AE2596" s="9"/>
      <c r="AF2596" s="9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21"/>
      <c r="AS2596" s="21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</row>
    <row r="2597" spans="1:59" x14ac:dyDescent="0.3">
      <c r="A2597" s="6"/>
      <c r="B2597" s="6"/>
      <c r="C2597" s="39"/>
      <c r="D2597" s="6"/>
      <c r="E2597" s="149"/>
      <c r="F2597" s="153"/>
      <c r="G2597" s="10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5"/>
      <c r="V2597" s="5"/>
      <c r="W2597" s="13"/>
      <c r="X2597" s="4"/>
      <c r="Y2597" s="4"/>
      <c r="Z2597" s="4"/>
      <c r="AA2597" s="6"/>
      <c r="AB2597" s="5"/>
      <c r="AC2597" s="9"/>
      <c r="AD2597" s="9"/>
      <c r="AE2597" s="9"/>
      <c r="AF2597" s="9"/>
      <c r="AG2597" s="2"/>
      <c r="AH2597" s="3"/>
      <c r="AI2597" s="2"/>
      <c r="AJ2597" s="2"/>
      <c r="AK2597" s="2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</row>
    <row r="2598" spans="1:59" x14ac:dyDescent="0.3">
      <c r="A2598" s="63"/>
      <c r="B2598" s="63"/>
      <c r="C2598" s="39"/>
      <c r="D2598" s="6"/>
      <c r="E2598" s="149"/>
      <c r="F2598" s="153"/>
      <c r="G2598" s="10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5"/>
      <c r="V2598" s="5"/>
      <c r="W2598" s="13"/>
      <c r="X2598" s="4"/>
      <c r="Y2598" s="4"/>
      <c r="Z2598" s="4"/>
      <c r="AA2598" s="6"/>
      <c r="AB2598" s="5"/>
      <c r="AC2598" s="9"/>
      <c r="AD2598" s="9"/>
      <c r="AE2598" s="9"/>
      <c r="AF2598" s="9"/>
      <c r="AG2598" s="64"/>
      <c r="AH2598" s="3"/>
      <c r="AI2598" s="2"/>
      <c r="AJ2598" s="2"/>
      <c r="AK2598" s="2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</row>
    <row r="2599" spans="1:59" ht="13.5" customHeight="1" x14ac:dyDescent="0.35">
      <c r="A2599" s="49"/>
      <c r="B2599" s="49"/>
      <c r="C2599" s="39"/>
      <c r="D2599" s="1"/>
      <c r="E2599" s="149"/>
      <c r="F2599" s="153"/>
      <c r="G2599" s="10"/>
      <c r="H2599" s="17"/>
      <c r="I2599" s="17"/>
      <c r="J2599" s="17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29"/>
      <c r="X2599" s="15"/>
      <c r="Y2599" s="30"/>
      <c r="Z2599" s="30"/>
      <c r="AA2599" s="30"/>
      <c r="AB2599" s="30"/>
      <c r="AC2599" s="17"/>
      <c r="AD2599" s="17"/>
      <c r="AE2599" s="17"/>
      <c r="AF2599" s="17"/>
      <c r="AG2599" s="21"/>
      <c r="AH2599" s="21"/>
      <c r="AI2599" s="21"/>
      <c r="AJ2599" s="21"/>
      <c r="AK2599" s="21"/>
      <c r="AL2599" s="21"/>
      <c r="AM2599" s="21"/>
      <c r="AN2599" s="21"/>
      <c r="AO2599" s="22"/>
      <c r="AP2599" s="21"/>
      <c r="AQ2599" s="22"/>
      <c r="AR2599" s="21"/>
      <c r="AS2599" s="21"/>
      <c r="AT2599" s="21"/>
      <c r="AU2599" s="21"/>
      <c r="AV2599" s="21"/>
      <c r="AW2599" s="21"/>
      <c r="AX2599" s="22"/>
      <c r="AY2599" s="21"/>
      <c r="AZ2599" s="22"/>
      <c r="BA2599" s="21"/>
      <c r="BB2599" s="21"/>
      <c r="BC2599" s="21"/>
      <c r="BD2599" s="21"/>
      <c r="BE2599" s="26"/>
      <c r="BF2599" s="26"/>
      <c r="BG2599" s="65"/>
    </row>
    <row r="2600" spans="1:59" x14ac:dyDescent="0.3">
      <c r="A2600" s="6"/>
      <c r="B2600" s="6"/>
      <c r="C2600" s="39"/>
      <c r="D2600" s="6"/>
      <c r="E2600" s="149"/>
      <c r="F2600" s="153"/>
      <c r="G2600" s="10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12"/>
      <c r="Y2600" s="6"/>
      <c r="Z2600" s="6"/>
      <c r="AA2600" s="6"/>
      <c r="AB2600" s="6"/>
      <c r="AC2600" s="9"/>
      <c r="AD2600" s="9"/>
      <c r="AE2600" s="9"/>
      <c r="AF2600" s="9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21"/>
      <c r="AS2600" s="21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</row>
    <row r="2601" spans="1:59" ht="13.5" customHeight="1" x14ac:dyDescent="0.35">
      <c r="A2601" s="49"/>
      <c r="B2601" s="49"/>
      <c r="C2601" s="14"/>
      <c r="D2601" s="1"/>
      <c r="E2601" s="149"/>
      <c r="F2601" s="153"/>
      <c r="G2601" s="10"/>
      <c r="H2601" s="17"/>
      <c r="I2601" s="17"/>
      <c r="J2601" s="17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29"/>
      <c r="X2601" s="15"/>
      <c r="Y2601" s="30"/>
      <c r="Z2601" s="30"/>
      <c r="AA2601" s="30"/>
      <c r="AB2601" s="30"/>
      <c r="AC2601" s="17"/>
      <c r="AD2601" s="17"/>
      <c r="AE2601" s="17"/>
      <c r="AF2601" s="17"/>
      <c r="AG2601" s="21"/>
      <c r="AH2601" s="21"/>
      <c r="AI2601" s="21"/>
      <c r="AJ2601" s="21"/>
      <c r="AK2601" s="21"/>
      <c r="AL2601" s="21"/>
      <c r="AM2601" s="21"/>
      <c r="AN2601" s="21"/>
      <c r="AO2601" s="22"/>
      <c r="AP2601" s="21"/>
      <c r="AQ2601" s="22"/>
      <c r="AR2601" s="21"/>
      <c r="AS2601" s="21"/>
      <c r="AT2601" s="21"/>
      <c r="AU2601" s="21"/>
      <c r="AV2601" s="21"/>
      <c r="AW2601" s="21"/>
      <c r="AX2601" s="22"/>
      <c r="AY2601" s="21"/>
      <c r="AZ2601" s="22"/>
      <c r="BA2601" s="21"/>
      <c r="BB2601" s="21"/>
      <c r="BC2601" s="21"/>
      <c r="BD2601" s="21"/>
      <c r="BE2601" s="26"/>
      <c r="BF2601" s="26"/>
      <c r="BG2601" s="62"/>
    </row>
    <row r="2602" spans="1:59" x14ac:dyDescent="0.3">
      <c r="A2602" s="6"/>
      <c r="B2602" s="6"/>
      <c r="C2602" s="39"/>
      <c r="D2602" s="6"/>
      <c r="E2602" s="149"/>
      <c r="F2602" s="153"/>
      <c r="G2602" s="10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5"/>
      <c r="V2602" s="5"/>
      <c r="W2602" s="13"/>
      <c r="X2602" s="4"/>
      <c r="Y2602" s="4"/>
      <c r="Z2602" s="4"/>
      <c r="AA2602" s="6"/>
      <c r="AB2602" s="5"/>
      <c r="AC2602" s="9"/>
      <c r="AD2602" s="9"/>
      <c r="AE2602" s="9"/>
      <c r="AF2602" s="9"/>
      <c r="AG2602" s="2"/>
      <c r="AH2602" s="3"/>
      <c r="AI2602" s="2"/>
      <c r="AJ2602" s="2"/>
      <c r="AK2602" s="2"/>
      <c r="AL2602" s="3"/>
      <c r="AM2602" s="3"/>
      <c r="AN2602" s="3"/>
      <c r="AO2602" s="3"/>
      <c r="AP2602" s="3"/>
      <c r="AQ2602" s="3"/>
      <c r="AR2602" s="21"/>
      <c r="AS2602" s="21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</row>
    <row r="2603" spans="1:59" ht="13.5" customHeight="1" x14ac:dyDescent="0.35">
      <c r="A2603" s="49"/>
      <c r="B2603" s="49"/>
      <c r="C2603" s="14"/>
      <c r="D2603" s="1"/>
      <c r="E2603" s="149"/>
      <c r="F2603" s="153"/>
      <c r="G2603" s="10"/>
      <c r="H2603" s="17"/>
      <c r="I2603" s="17"/>
      <c r="J2603" s="17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29"/>
      <c r="X2603" s="15"/>
      <c r="Y2603" s="30"/>
      <c r="Z2603" s="30"/>
      <c r="AA2603" s="30"/>
      <c r="AB2603" s="30"/>
      <c r="AC2603" s="17"/>
      <c r="AD2603" s="17"/>
      <c r="AE2603" s="17"/>
      <c r="AF2603" s="17"/>
      <c r="AG2603" s="21"/>
      <c r="AH2603" s="21"/>
      <c r="AI2603" s="21"/>
      <c r="AJ2603" s="21"/>
      <c r="AK2603" s="21"/>
      <c r="AL2603" s="21"/>
      <c r="AM2603" s="21"/>
      <c r="AN2603" s="21"/>
      <c r="AO2603" s="22"/>
      <c r="AP2603" s="21"/>
      <c r="AQ2603" s="22"/>
      <c r="AR2603" s="21"/>
      <c r="AS2603" s="21"/>
      <c r="AT2603" s="21"/>
      <c r="AU2603" s="21"/>
      <c r="AV2603" s="21"/>
      <c r="AW2603" s="21"/>
      <c r="AX2603" s="22"/>
      <c r="AY2603" s="21"/>
      <c r="AZ2603" s="22"/>
      <c r="BA2603" s="21"/>
      <c r="BB2603" s="21"/>
      <c r="BC2603" s="21"/>
      <c r="BD2603" s="21"/>
      <c r="BE2603" s="26"/>
      <c r="BF2603" s="26"/>
      <c r="BG2603" s="62"/>
    </row>
    <row r="2604" spans="1:59" x14ac:dyDescent="0.3">
      <c r="A2604" s="6"/>
      <c r="B2604" s="6"/>
      <c r="C2604" s="39"/>
      <c r="D2604" s="6"/>
      <c r="E2604" s="149"/>
      <c r="F2604" s="153"/>
      <c r="G2604" s="10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5"/>
      <c r="V2604" s="5"/>
      <c r="W2604" s="13"/>
      <c r="X2604" s="4"/>
      <c r="Y2604" s="4"/>
      <c r="Z2604" s="4"/>
      <c r="AA2604" s="6"/>
      <c r="AB2604" s="5"/>
      <c r="AC2604" s="9"/>
      <c r="AD2604" s="9"/>
      <c r="AE2604" s="9"/>
      <c r="AF2604" s="9"/>
      <c r="AG2604" s="2"/>
      <c r="AH2604" s="3"/>
      <c r="AI2604" s="2"/>
      <c r="AJ2604" s="2"/>
      <c r="AK2604" s="2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</row>
    <row r="2605" spans="1:59" x14ac:dyDescent="0.3">
      <c r="A2605" s="63"/>
      <c r="B2605" s="63"/>
      <c r="C2605" s="39"/>
      <c r="D2605" s="6"/>
      <c r="E2605" s="149"/>
      <c r="F2605" s="153"/>
      <c r="G2605" s="10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5"/>
      <c r="V2605" s="5"/>
      <c r="W2605" s="13"/>
      <c r="X2605" s="4"/>
      <c r="Y2605" s="4"/>
      <c r="Z2605" s="4"/>
      <c r="AA2605" s="6"/>
      <c r="AB2605" s="5"/>
      <c r="AC2605" s="9"/>
      <c r="AD2605" s="9"/>
      <c r="AE2605" s="9"/>
      <c r="AF2605" s="9"/>
      <c r="AG2605" s="64"/>
      <c r="AH2605" s="3"/>
      <c r="AI2605" s="2"/>
      <c r="AJ2605" s="2"/>
      <c r="AK2605" s="2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</row>
    <row r="2606" spans="1:59" ht="13.5" customHeight="1" x14ac:dyDescent="0.3">
      <c r="A2606" s="6"/>
      <c r="B2606" s="6"/>
      <c r="C2606" s="39"/>
      <c r="D2606" s="6"/>
      <c r="E2606" s="149"/>
      <c r="F2606" s="153"/>
      <c r="G2606" s="10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12"/>
      <c r="Y2606" s="6"/>
      <c r="Z2606" s="6"/>
      <c r="AA2606" s="6"/>
      <c r="AB2606" s="6"/>
      <c r="AC2606" s="9"/>
      <c r="AD2606" s="9"/>
      <c r="AE2606" s="9"/>
      <c r="AF2606" s="9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21"/>
      <c r="AS2606" s="21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</row>
    <row r="2607" spans="1:59" x14ac:dyDescent="0.3">
      <c r="A2607" s="6"/>
      <c r="B2607" s="6"/>
      <c r="C2607" s="39"/>
      <c r="D2607" s="6"/>
      <c r="E2607" s="149"/>
      <c r="F2607" s="153"/>
      <c r="G2607" s="10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12"/>
      <c r="Y2607" s="6"/>
      <c r="Z2607" s="6"/>
      <c r="AA2607" s="6"/>
      <c r="AB2607" s="6"/>
      <c r="AC2607" s="9"/>
      <c r="AD2607" s="9"/>
      <c r="AE2607" s="9"/>
      <c r="AF2607" s="9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21"/>
      <c r="AS2607" s="21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</row>
    <row r="2608" spans="1:59" x14ac:dyDescent="0.3">
      <c r="A2608" s="6"/>
      <c r="B2608" s="6"/>
      <c r="C2608" s="39"/>
      <c r="D2608" s="6"/>
      <c r="E2608" s="149"/>
      <c r="F2608" s="153"/>
      <c r="G2608" s="10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5"/>
      <c r="V2608" s="5"/>
      <c r="W2608" s="13"/>
      <c r="X2608" s="4"/>
      <c r="Y2608" s="4"/>
      <c r="Z2608" s="4"/>
      <c r="AA2608" s="6"/>
      <c r="AB2608" s="5"/>
      <c r="AC2608" s="9"/>
      <c r="AD2608" s="9"/>
      <c r="AE2608" s="9"/>
      <c r="AF2608" s="9"/>
      <c r="AG2608" s="2"/>
      <c r="AH2608" s="3"/>
      <c r="AI2608" s="2"/>
      <c r="AJ2608" s="2"/>
      <c r="AK2608" s="2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</row>
    <row r="2609" spans="1:59" x14ac:dyDescent="0.3">
      <c r="A2609" s="6"/>
      <c r="B2609" s="6"/>
      <c r="C2609" s="39"/>
      <c r="D2609" s="6"/>
      <c r="E2609" s="149"/>
      <c r="F2609" s="153"/>
      <c r="G2609" s="10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5"/>
      <c r="V2609" s="5"/>
      <c r="W2609" s="13"/>
      <c r="X2609" s="4"/>
      <c r="Y2609" s="4"/>
      <c r="Z2609" s="4"/>
      <c r="AA2609" s="6"/>
      <c r="AB2609" s="5"/>
      <c r="AC2609" s="9"/>
      <c r="AD2609" s="9"/>
      <c r="AE2609" s="9"/>
      <c r="AF2609" s="9"/>
      <c r="AG2609" s="2"/>
      <c r="AH2609" s="3"/>
      <c r="AI2609" s="2"/>
      <c r="AJ2609" s="2"/>
      <c r="AK2609" s="2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</row>
    <row r="2610" spans="1:59" ht="13.5" customHeight="1" x14ac:dyDescent="0.35">
      <c r="A2610" s="49"/>
      <c r="B2610" s="49"/>
      <c r="C2610" s="39"/>
      <c r="D2610" s="1"/>
      <c r="E2610" s="149"/>
      <c r="F2610" s="153"/>
      <c r="G2610" s="10"/>
      <c r="H2610" s="17"/>
      <c r="I2610" s="17"/>
      <c r="J2610" s="17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29"/>
      <c r="X2610" s="15"/>
      <c r="Y2610" s="30"/>
      <c r="Z2610" s="30"/>
      <c r="AA2610" s="30"/>
      <c r="AB2610" s="30"/>
      <c r="AC2610" s="17"/>
      <c r="AD2610" s="17"/>
      <c r="AE2610" s="17"/>
      <c r="AF2610" s="17"/>
      <c r="AG2610" s="21"/>
      <c r="AH2610" s="21"/>
      <c r="AI2610" s="21"/>
      <c r="AJ2610" s="21"/>
      <c r="AK2610" s="21"/>
      <c r="AL2610" s="21"/>
      <c r="AM2610" s="21"/>
      <c r="AN2610" s="21"/>
      <c r="AO2610" s="22"/>
      <c r="AP2610" s="21"/>
      <c r="AQ2610" s="22"/>
      <c r="AR2610" s="21"/>
      <c r="AS2610" s="21"/>
      <c r="AT2610" s="21"/>
      <c r="AU2610" s="21"/>
      <c r="AV2610" s="21"/>
      <c r="AW2610" s="21"/>
      <c r="AX2610" s="22"/>
      <c r="AY2610" s="21"/>
      <c r="AZ2610" s="22"/>
      <c r="BA2610" s="21"/>
      <c r="BB2610" s="21"/>
      <c r="BC2610" s="21"/>
      <c r="BD2610" s="21"/>
      <c r="BE2610" s="26"/>
      <c r="BF2610" s="26"/>
      <c r="BG2610" s="62"/>
    </row>
    <row r="2611" spans="1:59" ht="15" x14ac:dyDescent="0.35">
      <c r="A2611" s="6"/>
      <c r="B2611" s="6"/>
      <c r="C2611" s="39"/>
      <c r="D2611" s="6"/>
      <c r="E2611" s="149"/>
      <c r="F2611" s="153"/>
      <c r="G2611" s="10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5"/>
      <c r="V2611" s="5"/>
      <c r="W2611" s="13"/>
      <c r="X2611" s="4"/>
      <c r="Y2611" s="4"/>
      <c r="Z2611" s="4"/>
      <c r="AA2611" s="6"/>
      <c r="AB2611" s="5"/>
      <c r="AC2611" s="9"/>
      <c r="AD2611" s="9"/>
      <c r="AE2611" s="9"/>
      <c r="AF2611" s="9"/>
      <c r="AG2611" s="2"/>
      <c r="AH2611" s="3"/>
      <c r="AI2611" s="2"/>
      <c r="AJ2611" s="2"/>
      <c r="AK2611" s="2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65"/>
    </row>
    <row r="2612" spans="1:59" ht="13.5" customHeight="1" x14ac:dyDescent="0.35">
      <c r="A2612" s="49"/>
      <c r="B2612" s="49"/>
      <c r="C2612" s="39"/>
      <c r="D2612" s="1"/>
      <c r="E2612" s="149"/>
      <c r="F2612" s="153"/>
      <c r="G2612" s="10"/>
      <c r="H2612" s="17"/>
      <c r="I2612" s="17"/>
      <c r="J2612" s="17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29"/>
      <c r="X2612" s="15"/>
      <c r="Y2612" s="30"/>
      <c r="Z2612" s="30"/>
      <c r="AA2612" s="30"/>
      <c r="AB2612" s="30"/>
      <c r="AC2612" s="17"/>
      <c r="AD2612" s="17"/>
      <c r="AE2612" s="17"/>
      <c r="AF2612" s="17"/>
      <c r="AG2612" s="21"/>
      <c r="AH2612" s="21"/>
      <c r="AI2612" s="21"/>
      <c r="AJ2612" s="21"/>
      <c r="AK2612" s="21"/>
      <c r="AL2612" s="21"/>
      <c r="AM2612" s="21"/>
      <c r="AN2612" s="21"/>
      <c r="AO2612" s="22"/>
      <c r="AP2612" s="21"/>
      <c r="AQ2612" s="22"/>
      <c r="AR2612" s="21"/>
      <c r="AS2612" s="21"/>
      <c r="AT2612" s="21"/>
      <c r="AU2612" s="21"/>
      <c r="AV2612" s="21"/>
      <c r="AW2612" s="21"/>
      <c r="AX2612" s="22"/>
      <c r="AY2612" s="21"/>
      <c r="AZ2612" s="22"/>
      <c r="BA2612" s="21"/>
      <c r="BB2612" s="21"/>
      <c r="BC2612" s="21"/>
      <c r="BD2612" s="21"/>
      <c r="BE2612" s="26"/>
      <c r="BF2612" s="26"/>
      <c r="BG2612" s="62"/>
    </row>
    <row r="2613" spans="1:59" x14ac:dyDescent="0.3">
      <c r="A2613" s="6"/>
      <c r="B2613" s="6"/>
      <c r="C2613" s="39"/>
      <c r="D2613" s="6"/>
      <c r="E2613" s="149"/>
      <c r="F2613" s="153"/>
      <c r="G2613" s="10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5"/>
      <c r="V2613" s="5"/>
      <c r="W2613" s="13"/>
      <c r="X2613" s="4"/>
      <c r="Y2613" s="4"/>
      <c r="Z2613" s="4"/>
      <c r="AA2613" s="6"/>
      <c r="AB2613" s="5"/>
      <c r="AC2613" s="9"/>
      <c r="AD2613" s="9"/>
      <c r="AE2613" s="9"/>
      <c r="AF2613" s="9"/>
      <c r="AG2613" s="2"/>
      <c r="AH2613" s="3"/>
      <c r="AI2613" s="2"/>
      <c r="AJ2613" s="2"/>
      <c r="AK2613" s="2"/>
      <c r="AL2613" s="3"/>
      <c r="AM2613" s="3"/>
      <c r="AN2613" s="3"/>
      <c r="AO2613" s="3"/>
      <c r="AP2613" s="3"/>
      <c r="AQ2613" s="3"/>
      <c r="AR2613" s="21"/>
      <c r="AS2613" s="21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</row>
    <row r="2614" spans="1:59" x14ac:dyDescent="0.3">
      <c r="A2614" s="63"/>
      <c r="B2614" s="63"/>
      <c r="C2614" s="39"/>
      <c r="D2614" s="6"/>
      <c r="E2614" s="149"/>
      <c r="F2614" s="153"/>
      <c r="G2614" s="10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5"/>
      <c r="V2614" s="5"/>
      <c r="W2614" s="13"/>
      <c r="X2614" s="4"/>
      <c r="Y2614" s="4"/>
      <c r="Z2614" s="4"/>
      <c r="AA2614" s="6"/>
      <c r="AB2614" s="5"/>
      <c r="AC2614" s="9"/>
      <c r="AD2614" s="9"/>
      <c r="AE2614" s="9"/>
      <c r="AF2614" s="9"/>
      <c r="AG2614" s="64"/>
      <c r="AH2614" s="3"/>
      <c r="AI2614" s="2"/>
      <c r="AJ2614" s="2"/>
      <c r="AK2614" s="2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</row>
    <row r="2615" spans="1:59" x14ac:dyDescent="0.3">
      <c r="A2615" s="6"/>
      <c r="B2615" s="6"/>
      <c r="C2615" s="39"/>
      <c r="D2615" s="6"/>
      <c r="E2615" s="149"/>
      <c r="F2615" s="153"/>
      <c r="G2615" s="10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5"/>
      <c r="V2615" s="5"/>
      <c r="W2615" s="13"/>
      <c r="X2615" s="4"/>
      <c r="Y2615" s="4"/>
      <c r="Z2615" s="4"/>
      <c r="AA2615" s="6"/>
      <c r="AB2615" s="5"/>
      <c r="AC2615" s="9"/>
      <c r="AD2615" s="9"/>
      <c r="AE2615" s="9"/>
      <c r="AF2615" s="9"/>
      <c r="AG2615" s="2"/>
      <c r="AH2615" s="3"/>
      <c r="AI2615" s="2"/>
      <c r="AJ2615" s="2"/>
      <c r="AK2615" s="2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</row>
    <row r="2616" spans="1:59" ht="13.5" customHeight="1" x14ac:dyDescent="0.35">
      <c r="A2616" s="49"/>
      <c r="B2616" s="49"/>
      <c r="C2616" s="14"/>
      <c r="D2616" s="1"/>
      <c r="E2616" s="149"/>
      <c r="F2616" s="153"/>
      <c r="G2616" s="10"/>
      <c r="H2616" s="17"/>
      <c r="I2616" s="17"/>
      <c r="J2616" s="17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29"/>
      <c r="X2616" s="15"/>
      <c r="Y2616" s="30"/>
      <c r="Z2616" s="30"/>
      <c r="AA2616" s="30"/>
      <c r="AB2616" s="30"/>
      <c r="AC2616" s="17"/>
      <c r="AD2616" s="17"/>
      <c r="AE2616" s="17"/>
      <c r="AF2616" s="17"/>
      <c r="AG2616" s="21"/>
      <c r="AH2616" s="21"/>
      <c r="AI2616" s="21"/>
      <c r="AJ2616" s="21"/>
      <c r="AK2616" s="21"/>
      <c r="AL2616" s="21"/>
      <c r="AM2616" s="21"/>
      <c r="AN2616" s="21"/>
      <c r="AO2616" s="22"/>
      <c r="AP2616" s="21"/>
      <c r="AQ2616" s="22"/>
      <c r="AR2616" s="21"/>
      <c r="AS2616" s="21"/>
      <c r="AT2616" s="21"/>
      <c r="AU2616" s="21"/>
      <c r="AV2616" s="21"/>
      <c r="AW2616" s="21"/>
      <c r="AX2616" s="22"/>
      <c r="AY2616" s="21"/>
      <c r="AZ2616" s="22"/>
      <c r="BA2616" s="21"/>
      <c r="BB2616" s="21"/>
      <c r="BC2616" s="21"/>
      <c r="BD2616" s="21"/>
      <c r="BE2616" s="26"/>
      <c r="BF2616" s="26"/>
      <c r="BG2616" s="62"/>
    </row>
    <row r="2617" spans="1:59" ht="13.5" customHeight="1" x14ac:dyDescent="0.35">
      <c r="A2617" s="49"/>
      <c r="B2617" s="49"/>
      <c r="C2617" s="14"/>
      <c r="D2617" s="1"/>
      <c r="E2617" s="149"/>
      <c r="F2617" s="153"/>
      <c r="G2617" s="10"/>
      <c r="H2617" s="17"/>
      <c r="I2617" s="17"/>
      <c r="J2617" s="17"/>
      <c r="K2617" s="30"/>
      <c r="L2617" s="30"/>
      <c r="M2617" s="30"/>
      <c r="N2617" s="30"/>
      <c r="O2617" s="30"/>
      <c r="P2617" s="30"/>
      <c r="Q2617" s="30"/>
      <c r="R2617" s="30"/>
      <c r="S2617" s="30"/>
      <c r="T2617" s="30"/>
      <c r="U2617" s="30"/>
      <c r="V2617" s="30"/>
      <c r="W2617" s="29"/>
      <c r="X2617" s="15"/>
      <c r="Y2617" s="30"/>
      <c r="Z2617" s="30"/>
      <c r="AA2617" s="30"/>
      <c r="AB2617" s="30"/>
      <c r="AC2617" s="17"/>
      <c r="AD2617" s="17"/>
      <c r="AE2617" s="17"/>
      <c r="AF2617" s="17"/>
      <c r="AG2617" s="21"/>
      <c r="AH2617" s="21"/>
      <c r="AI2617" s="21"/>
      <c r="AJ2617" s="21"/>
      <c r="AK2617" s="21"/>
      <c r="AL2617" s="21"/>
      <c r="AM2617" s="21"/>
      <c r="AN2617" s="21"/>
      <c r="AO2617" s="22"/>
      <c r="AP2617" s="21"/>
      <c r="AQ2617" s="22"/>
      <c r="AR2617" s="21"/>
      <c r="AS2617" s="21"/>
      <c r="AT2617" s="21"/>
      <c r="AU2617" s="21"/>
      <c r="AV2617" s="21"/>
      <c r="AW2617" s="21"/>
      <c r="AX2617" s="22"/>
      <c r="AY2617" s="21"/>
      <c r="AZ2617" s="22"/>
      <c r="BA2617" s="21"/>
      <c r="BB2617" s="21"/>
      <c r="BC2617" s="21"/>
      <c r="BD2617" s="21"/>
      <c r="BE2617" s="26"/>
      <c r="BF2617" s="26"/>
      <c r="BG2617" s="65"/>
    </row>
    <row r="2618" spans="1:59" x14ac:dyDescent="0.3">
      <c r="A2618" s="6"/>
      <c r="B2618" s="6"/>
      <c r="C2618" s="39"/>
      <c r="D2618" s="6"/>
      <c r="E2618" s="149"/>
      <c r="F2618" s="153"/>
      <c r="G2618" s="10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12"/>
      <c r="Y2618" s="6"/>
      <c r="Z2618" s="6"/>
      <c r="AA2618" s="6"/>
      <c r="AB2618" s="6"/>
      <c r="AC2618" s="9"/>
      <c r="AD2618" s="9"/>
      <c r="AE2618" s="9"/>
      <c r="AF2618" s="9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21"/>
      <c r="AS2618" s="21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</row>
    <row r="2619" spans="1:59" x14ac:dyDescent="0.3">
      <c r="A2619" s="6"/>
      <c r="B2619" s="6"/>
      <c r="C2619" s="39"/>
      <c r="D2619" s="6"/>
      <c r="E2619" s="149"/>
      <c r="F2619" s="153"/>
      <c r="G2619" s="10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12"/>
      <c r="Y2619" s="6"/>
      <c r="Z2619" s="6"/>
      <c r="AA2619" s="6"/>
      <c r="AB2619" s="6"/>
      <c r="AC2619" s="9"/>
      <c r="AD2619" s="9"/>
      <c r="AE2619" s="9"/>
      <c r="AF2619" s="9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</row>
    <row r="2620" spans="1:59" ht="13.5" customHeight="1" x14ac:dyDescent="0.35">
      <c r="A2620" s="49"/>
      <c r="B2620" s="49"/>
      <c r="C2620" s="14"/>
      <c r="D2620" s="1"/>
      <c r="E2620" s="149"/>
      <c r="F2620" s="153"/>
      <c r="G2620" s="10"/>
      <c r="H2620" s="17"/>
      <c r="I2620" s="17"/>
      <c r="J2620" s="17"/>
      <c r="K2620" s="30"/>
      <c r="L2620" s="30"/>
      <c r="M2620" s="30"/>
      <c r="N2620" s="30"/>
      <c r="O2620" s="30"/>
      <c r="P2620" s="30"/>
      <c r="Q2620" s="30"/>
      <c r="R2620" s="30"/>
      <c r="S2620" s="30"/>
      <c r="T2620" s="30"/>
      <c r="U2620" s="30"/>
      <c r="V2620" s="30"/>
      <c r="W2620" s="29"/>
      <c r="X2620" s="15"/>
      <c r="Y2620" s="30"/>
      <c r="Z2620" s="30"/>
      <c r="AA2620" s="30"/>
      <c r="AB2620" s="30"/>
      <c r="AC2620" s="17"/>
      <c r="AD2620" s="17"/>
      <c r="AE2620" s="17"/>
      <c r="AF2620" s="17"/>
      <c r="AG2620" s="21"/>
      <c r="AH2620" s="21"/>
      <c r="AI2620" s="21"/>
      <c r="AJ2620" s="21"/>
      <c r="AK2620" s="21"/>
      <c r="AL2620" s="21"/>
      <c r="AM2620" s="21"/>
      <c r="AN2620" s="21"/>
      <c r="AO2620" s="22"/>
      <c r="AP2620" s="21"/>
      <c r="AQ2620" s="22"/>
      <c r="AR2620" s="21"/>
      <c r="AS2620" s="21"/>
      <c r="AT2620" s="21"/>
      <c r="AU2620" s="21"/>
      <c r="AV2620" s="21"/>
      <c r="AW2620" s="21"/>
      <c r="AX2620" s="22"/>
      <c r="AY2620" s="21"/>
      <c r="AZ2620" s="22"/>
      <c r="BA2620" s="21"/>
      <c r="BB2620" s="21"/>
      <c r="BC2620" s="21"/>
      <c r="BD2620" s="21"/>
      <c r="BE2620" s="26"/>
      <c r="BF2620" s="26"/>
      <c r="BG2620" s="65"/>
    </row>
    <row r="2621" spans="1:59" ht="13.5" customHeight="1" x14ac:dyDescent="0.35">
      <c r="A2621" s="49"/>
      <c r="B2621" s="49"/>
      <c r="C2621" s="39"/>
      <c r="D2621" s="1"/>
      <c r="E2621" s="149"/>
      <c r="F2621" s="153"/>
      <c r="G2621" s="10"/>
      <c r="H2621" s="17"/>
      <c r="I2621" s="17"/>
      <c r="J2621" s="17"/>
      <c r="K2621" s="30"/>
      <c r="L2621" s="30"/>
      <c r="M2621" s="30"/>
      <c r="N2621" s="30"/>
      <c r="O2621" s="30"/>
      <c r="P2621" s="30"/>
      <c r="Q2621" s="30"/>
      <c r="R2621" s="30"/>
      <c r="S2621" s="30"/>
      <c r="T2621" s="30"/>
      <c r="U2621" s="30"/>
      <c r="V2621" s="30"/>
      <c r="W2621" s="29"/>
      <c r="X2621" s="15"/>
      <c r="Y2621" s="30"/>
      <c r="Z2621" s="30"/>
      <c r="AA2621" s="30"/>
      <c r="AB2621" s="30"/>
      <c r="AC2621" s="17"/>
      <c r="AD2621" s="17"/>
      <c r="AE2621" s="17"/>
      <c r="AF2621" s="17"/>
      <c r="AG2621" s="21"/>
      <c r="AH2621" s="21"/>
      <c r="AI2621" s="21"/>
      <c r="AJ2621" s="21"/>
      <c r="AK2621" s="21"/>
      <c r="AL2621" s="21"/>
      <c r="AM2621" s="21"/>
      <c r="AN2621" s="21"/>
      <c r="AO2621" s="22"/>
      <c r="AP2621" s="21"/>
      <c r="AQ2621" s="22"/>
      <c r="AR2621" s="21"/>
      <c r="AS2621" s="21"/>
      <c r="AT2621" s="21"/>
      <c r="AU2621" s="21"/>
      <c r="AV2621" s="21"/>
      <c r="AW2621" s="21"/>
      <c r="AX2621" s="22"/>
      <c r="AY2621" s="21"/>
      <c r="AZ2621" s="22"/>
      <c r="BA2621" s="21"/>
      <c r="BB2621" s="21"/>
      <c r="BC2621" s="21"/>
      <c r="BD2621" s="21"/>
      <c r="BE2621" s="26"/>
      <c r="BF2621" s="26"/>
      <c r="BG2621" s="62"/>
    </row>
    <row r="2622" spans="1:59" x14ac:dyDescent="0.3">
      <c r="A2622" s="63"/>
      <c r="B2622" s="63"/>
      <c r="C2622" s="39"/>
      <c r="D2622" s="6"/>
      <c r="E2622" s="149"/>
      <c r="F2622" s="153"/>
      <c r="G2622" s="10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5"/>
      <c r="V2622" s="5"/>
      <c r="W2622" s="13"/>
      <c r="X2622" s="4"/>
      <c r="Y2622" s="4"/>
      <c r="Z2622" s="4"/>
      <c r="AA2622" s="6"/>
      <c r="AB2622" s="5"/>
      <c r="AC2622" s="9"/>
      <c r="AD2622" s="9"/>
      <c r="AE2622" s="9"/>
      <c r="AF2622" s="9"/>
      <c r="AG2622" s="64"/>
      <c r="AH2622" s="3"/>
      <c r="AI2622" s="2"/>
      <c r="AJ2622" s="2"/>
      <c r="AK2622" s="2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</row>
    <row r="2623" spans="1:59" ht="13.5" customHeight="1" x14ac:dyDescent="0.35">
      <c r="A2623" s="49"/>
      <c r="B2623" s="49"/>
      <c r="C2623" s="14"/>
      <c r="D2623" s="1"/>
      <c r="E2623" s="149"/>
      <c r="F2623" s="153"/>
      <c r="G2623" s="10"/>
      <c r="H2623" s="17"/>
      <c r="I2623" s="17"/>
      <c r="J2623" s="17"/>
      <c r="K2623" s="30"/>
      <c r="L2623" s="30"/>
      <c r="M2623" s="30"/>
      <c r="N2623" s="30"/>
      <c r="O2623" s="30"/>
      <c r="P2623" s="30"/>
      <c r="Q2623" s="30"/>
      <c r="R2623" s="30"/>
      <c r="S2623" s="30"/>
      <c r="T2623" s="30"/>
      <c r="U2623" s="30"/>
      <c r="V2623" s="30"/>
      <c r="W2623" s="29"/>
      <c r="X2623" s="15"/>
      <c r="Y2623" s="30"/>
      <c r="Z2623" s="30"/>
      <c r="AA2623" s="30"/>
      <c r="AB2623" s="30"/>
      <c r="AC2623" s="17"/>
      <c r="AD2623" s="17"/>
      <c r="AE2623" s="17"/>
      <c r="AF2623" s="17"/>
      <c r="AG2623" s="21"/>
      <c r="AH2623" s="21"/>
      <c r="AI2623" s="21"/>
      <c r="AJ2623" s="21"/>
      <c r="AK2623" s="21"/>
      <c r="AL2623" s="21"/>
      <c r="AM2623" s="21"/>
      <c r="AN2623" s="21"/>
      <c r="AO2623" s="22"/>
      <c r="AP2623" s="21"/>
      <c r="AQ2623" s="22"/>
      <c r="AR2623" s="21"/>
      <c r="AS2623" s="21"/>
      <c r="AT2623" s="21"/>
      <c r="AU2623" s="21"/>
      <c r="AV2623" s="21"/>
      <c r="AW2623" s="21"/>
      <c r="AX2623" s="22"/>
      <c r="AY2623" s="21"/>
      <c r="AZ2623" s="22"/>
      <c r="BA2623" s="21"/>
      <c r="BB2623" s="21"/>
      <c r="BC2623" s="21"/>
      <c r="BD2623" s="21"/>
      <c r="BE2623" s="26"/>
      <c r="BF2623" s="26"/>
      <c r="BG2623" s="62"/>
    </row>
    <row r="2624" spans="1:59" ht="15" x14ac:dyDescent="0.35">
      <c r="A2624" s="6"/>
      <c r="B2624" s="6"/>
      <c r="C2624" s="39"/>
      <c r="D2624" s="6"/>
      <c r="E2624" s="149"/>
      <c r="F2624" s="153"/>
      <c r="G2624" s="10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12"/>
      <c r="Y2624" s="6"/>
      <c r="Z2624" s="6"/>
      <c r="AA2624" s="6"/>
      <c r="AB2624" s="6"/>
      <c r="AC2624" s="9"/>
      <c r="AD2624" s="9"/>
      <c r="AE2624" s="9"/>
      <c r="AF2624" s="9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21"/>
      <c r="AS2624" s="21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65"/>
    </row>
    <row r="2625" spans="1:59" ht="13.5" customHeight="1" x14ac:dyDescent="0.35">
      <c r="A2625" s="49"/>
      <c r="B2625" s="49"/>
      <c r="C2625" s="39"/>
      <c r="D2625" s="1"/>
      <c r="E2625" s="149"/>
      <c r="F2625" s="153"/>
      <c r="G2625" s="10"/>
      <c r="H2625" s="17"/>
      <c r="I2625" s="17"/>
      <c r="J2625" s="17"/>
      <c r="K2625" s="30"/>
      <c r="L2625" s="30"/>
      <c r="M2625" s="30"/>
      <c r="N2625" s="30"/>
      <c r="O2625" s="30"/>
      <c r="P2625" s="30"/>
      <c r="Q2625" s="30"/>
      <c r="R2625" s="30"/>
      <c r="S2625" s="30"/>
      <c r="T2625" s="30"/>
      <c r="U2625" s="30"/>
      <c r="V2625" s="30"/>
      <c r="W2625" s="29"/>
      <c r="X2625" s="15"/>
      <c r="Y2625" s="30"/>
      <c r="Z2625" s="30"/>
      <c r="AA2625" s="30"/>
      <c r="AB2625" s="30"/>
      <c r="AC2625" s="17"/>
      <c r="AD2625" s="17"/>
      <c r="AE2625" s="17"/>
      <c r="AF2625" s="17"/>
      <c r="AG2625" s="21"/>
      <c r="AH2625" s="21"/>
      <c r="AI2625" s="21"/>
      <c r="AJ2625" s="21"/>
      <c r="AK2625" s="21"/>
      <c r="AL2625" s="21"/>
      <c r="AM2625" s="21"/>
      <c r="AN2625" s="21"/>
      <c r="AO2625" s="22"/>
      <c r="AP2625" s="21"/>
      <c r="AQ2625" s="22"/>
      <c r="AR2625" s="21"/>
      <c r="AS2625" s="21"/>
      <c r="AT2625" s="21"/>
      <c r="AU2625" s="21"/>
      <c r="AV2625" s="21"/>
      <c r="AW2625" s="21"/>
      <c r="AX2625" s="22"/>
      <c r="AY2625" s="21"/>
      <c r="AZ2625" s="22"/>
      <c r="BA2625" s="21"/>
      <c r="BB2625" s="21"/>
      <c r="BC2625" s="21"/>
      <c r="BD2625" s="21"/>
      <c r="BE2625" s="26"/>
      <c r="BF2625" s="26"/>
      <c r="BG2625" s="62"/>
    </row>
    <row r="2626" spans="1:59" x14ac:dyDescent="0.3">
      <c r="A2626" s="6"/>
      <c r="B2626" s="6"/>
      <c r="C2626" s="39"/>
      <c r="D2626" s="6"/>
      <c r="E2626" s="149"/>
      <c r="F2626" s="153"/>
      <c r="G2626" s="10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12"/>
      <c r="Y2626" s="6"/>
      <c r="Z2626" s="6"/>
      <c r="AA2626" s="6"/>
      <c r="AB2626" s="6"/>
      <c r="AC2626" s="9"/>
      <c r="AD2626" s="9"/>
      <c r="AE2626" s="9"/>
      <c r="AF2626" s="9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21"/>
      <c r="AS2626" s="21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</row>
    <row r="2627" spans="1:59" ht="13.5" customHeight="1" x14ac:dyDescent="0.35">
      <c r="A2627" s="49"/>
      <c r="B2627" s="49"/>
      <c r="C2627" s="14"/>
      <c r="D2627" s="1"/>
      <c r="E2627" s="149"/>
      <c r="F2627" s="153"/>
      <c r="G2627" s="10"/>
      <c r="H2627" s="17"/>
      <c r="I2627" s="17"/>
      <c r="J2627" s="17"/>
      <c r="K2627" s="30"/>
      <c r="L2627" s="30"/>
      <c r="M2627" s="30"/>
      <c r="N2627" s="30"/>
      <c r="O2627" s="30"/>
      <c r="P2627" s="30"/>
      <c r="Q2627" s="30"/>
      <c r="R2627" s="30"/>
      <c r="S2627" s="30"/>
      <c r="T2627" s="30"/>
      <c r="U2627" s="30"/>
      <c r="V2627" s="30"/>
      <c r="W2627" s="29"/>
      <c r="X2627" s="15"/>
      <c r="Y2627" s="30"/>
      <c r="Z2627" s="30"/>
      <c r="AA2627" s="30"/>
      <c r="AB2627" s="30"/>
      <c r="AC2627" s="17"/>
      <c r="AD2627" s="17"/>
      <c r="AE2627" s="17"/>
      <c r="AF2627" s="17"/>
      <c r="AG2627" s="21"/>
      <c r="AH2627" s="21"/>
      <c r="AI2627" s="21"/>
      <c r="AJ2627" s="21"/>
      <c r="AK2627" s="21"/>
      <c r="AL2627" s="21"/>
      <c r="AM2627" s="21"/>
      <c r="AN2627" s="21"/>
      <c r="AO2627" s="22"/>
      <c r="AP2627" s="21"/>
      <c r="AQ2627" s="22"/>
      <c r="AR2627" s="21"/>
      <c r="AS2627" s="21"/>
      <c r="AT2627" s="21"/>
      <c r="AU2627" s="21"/>
      <c r="AV2627" s="21"/>
      <c r="AW2627" s="21"/>
      <c r="AX2627" s="22"/>
      <c r="AY2627" s="21"/>
      <c r="AZ2627" s="22"/>
      <c r="BA2627" s="21"/>
      <c r="BB2627" s="21"/>
      <c r="BC2627" s="21"/>
      <c r="BD2627" s="21"/>
      <c r="BE2627" s="26"/>
      <c r="BF2627" s="26"/>
      <c r="BG2627" s="62"/>
    </row>
    <row r="2628" spans="1:59" x14ac:dyDescent="0.3">
      <c r="A2628" s="6"/>
      <c r="B2628" s="6"/>
      <c r="C2628" s="39"/>
      <c r="D2628" s="6"/>
      <c r="E2628" s="149"/>
      <c r="F2628" s="153"/>
      <c r="G2628" s="10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12"/>
      <c r="Y2628" s="6"/>
      <c r="Z2628" s="6"/>
      <c r="AA2628" s="6"/>
      <c r="AB2628" s="6"/>
      <c r="AC2628" s="9"/>
      <c r="AD2628" s="9"/>
      <c r="AE2628" s="9"/>
      <c r="AF2628" s="9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</row>
    <row r="2629" spans="1:59" x14ac:dyDescent="0.3">
      <c r="A2629" s="63"/>
      <c r="B2629" s="63"/>
      <c r="C2629" s="39"/>
      <c r="D2629" s="6"/>
      <c r="E2629" s="149"/>
      <c r="F2629" s="153"/>
      <c r="G2629" s="10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5"/>
      <c r="V2629" s="5"/>
      <c r="W2629" s="13"/>
      <c r="X2629" s="4"/>
      <c r="Y2629" s="4"/>
      <c r="Z2629" s="4"/>
      <c r="AA2629" s="6"/>
      <c r="AB2629" s="5"/>
      <c r="AC2629" s="9"/>
      <c r="AD2629" s="9"/>
      <c r="AE2629" s="9"/>
      <c r="AF2629" s="9"/>
      <c r="AG2629" s="64"/>
      <c r="AH2629" s="3"/>
      <c r="AI2629" s="2"/>
      <c r="AJ2629" s="2"/>
      <c r="AK2629" s="2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</row>
    <row r="2630" spans="1:59" x14ac:dyDescent="0.3">
      <c r="A2630" s="6"/>
      <c r="B2630" s="6"/>
      <c r="C2630" s="39"/>
      <c r="D2630" s="6"/>
      <c r="E2630" s="149"/>
      <c r="F2630" s="153"/>
      <c r="G2630" s="10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5"/>
      <c r="V2630" s="5"/>
      <c r="W2630" s="13"/>
      <c r="X2630" s="4"/>
      <c r="Y2630" s="4"/>
      <c r="Z2630" s="4"/>
      <c r="AA2630" s="6"/>
      <c r="AB2630" s="5"/>
      <c r="AC2630" s="9"/>
      <c r="AD2630" s="9"/>
      <c r="AE2630" s="9"/>
      <c r="AF2630" s="9"/>
      <c r="AG2630" s="2"/>
      <c r="AH2630" s="3"/>
      <c r="AI2630" s="2"/>
      <c r="AJ2630" s="2"/>
      <c r="AK2630" s="2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</row>
    <row r="2631" spans="1:59" ht="13.5" customHeight="1" x14ac:dyDescent="0.35">
      <c r="A2631" s="49"/>
      <c r="B2631" s="49"/>
      <c r="C2631" s="39"/>
      <c r="D2631" s="1"/>
      <c r="E2631" s="149"/>
      <c r="F2631" s="153"/>
      <c r="G2631" s="10"/>
      <c r="H2631" s="17"/>
      <c r="I2631" s="17"/>
      <c r="J2631" s="17"/>
      <c r="K2631" s="30"/>
      <c r="L2631" s="30"/>
      <c r="M2631" s="30"/>
      <c r="N2631" s="30"/>
      <c r="O2631" s="30"/>
      <c r="P2631" s="30"/>
      <c r="Q2631" s="30"/>
      <c r="R2631" s="30"/>
      <c r="S2631" s="30"/>
      <c r="T2631" s="30"/>
      <c r="U2631" s="30"/>
      <c r="V2631" s="30"/>
      <c r="W2631" s="29"/>
      <c r="X2631" s="15"/>
      <c r="Y2631" s="30"/>
      <c r="Z2631" s="30"/>
      <c r="AA2631" s="30"/>
      <c r="AB2631" s="30"/>
      <c r="AC2631" s="17"/>
      <c r="AD2631" s="17"/>
      <c r="AE2631" s="17"/>
      <c r="AF2631" s="17"/>
      <c r="AG2631" s="21"/>
      <c r="AH2631" s="21"/>
      <c r="AI2631" s="21"/>
      <c r="AJ2631" s="21"/>
      <c r="AK2631" s="21"/>
      <c r="AL2631" s="21"/>
      <c r="AM2631" s="21"/>
      <c r="AN2631" s="21"/>
      <c r="AO2631" s="22"/>
      <c r="AP2631" s="21"/>
      <c r="AQ2631" s="22"/>
      <c r="AR2631" s="21"/>
      <c r="AS2631" s="21"/>
      <c r="AT2631" s="21"/>
      <c r="AU2631" s="21"/>
      <c r="AV2631" s="21"/>
      <c r="AW2631" s="21"/>
      <c r="AX2631" s="22"/>
      <c r="AY2631" s="21"/>
      <c r="AZ2631" s="22"/>
      <c r="BA2631" s="21"/>
      <c r="BB2631" s="21"/>
      <c r="BC2631" s="21"/>
      <c r="BD2631" s="21"/>
      <c r="BE2631" s="26"/>
      <c r="BF2631" s="26"/>
      <c r="BG2631" s="62"/>
    </row>
    <row r="2632" spans="1:59" ht="13.5" customHeight="1" x14ac:dyDescent="0.35">
      <c r="A2632" s="49"/>
      <c r="B2632" s="49"/>
      <c r="C2632" s="39"/>
      <c r="D2632" s="1"/>
      <c r="E2632" s="149"/>
      <c r="F2632" s="153"/>
      <c r="G2632" s="10"/>
      <c r="H2632" s="17"/>
      <c r="I2632" s="17"/>
      <c r="J2632" s="17"/>
      <c r="K2632" s="30"/>
      <c r="L2632" s="30"/>
      <c r="M2632" s="30"/>
      <c r="N2632" s="30"/>
      <c r="O2632" s="30"/>
      <c r="P2632" s="30"/>
      <c r="Q2632" s="30"/>
      <c r="R2632" s="30"/>
      <c r="S2632" s="30"/>
      <c r="T2632" s="30"/>
      <c r="U2632" s="30"/>
      <c r="V2632" s="30"/>
      <c r="W2632" s="29"/>
      <c r="X2632" s="15"/>
      <c r="Y2632" s="30"/>
      <c r="Z2632" s="30"/>
      <c r="AA2632" s="30"/>
      <c r="AB2632" s="30"/>
      <c r="AC2632" s="17"/>
      <c r="AD2632" s="17"/>
      <c r="AE2632" s="17"/>
      <c r="AF2632" s="17"/>
      <c r="AG2632" s="21"/>
      <c r="AH2632" s="21"/>
      <c r="AI2632" s="21"/>
      <c r="AJ2632" s="21"/>
      <c r="AK2632" s="21"/>
      <c r="AL2632" s="21"/>
      <c r="AM2632" s="21"/>
      <c r="AN2632" s="21"/>
      <c r="AO2632" s="22"/>
      <c r="AP2632" s="21"/>
      <c r="AQ2632" s="22"/>
      <c r="AR2632" s="21"/>
      <c r="AS2632" s="21"/>
      <c r="AT2632" s="21"/>
      <c r="AU2632" s="21"/>
      <c r="AV2632" s="21"/>
      <c r="AW2632" s="21"/>
      <c r="AX2632" s="22"/>
      <c r="AY2632" s="21"/>
      <c r="AZ2632" s="22"/>
      <c r="BA2632" s="21"/>
      <c r="BB2632" s="21"/>
      <c r="BC2632" s="21"/>
      <c r="BD2632" s="21"/>
      <c r="BE2632" s="26"/>
      <c r="BF2632" s="26"/>
      <c r="BG2632" s="62"/>
    </row>
    <row r="2633" spans="1:59" ht="13.5" customHeight="1" x14ac:dyDescent="0.35">
      <c r="A2633" s="49"/>
      <c r="B2633" s="49"/>
      <c r="C2633" s="39"/>
      <c r="D2633" s="1"/>
      <c r="E2633" s="149"/>
      <c r="F2633" s="153"/>
      <c r="G2633" s="10"/>
      <c r="H2633" s="17"/>
      <c r="I2633" s="17"/>
      <c r="J2633" s="17"/>
      <c r="K2633" s="30"/>
      <c r="L2633" s="30"/>
      <c r="M2633" s="30"/>
      <c r="N2633" s="30"/>
      <c r="O2633" s="30"/>
      <c r="P2633" s="30"/>
      <c r="Q2633" s="30"/>
      <c r="R2633" s="30"/>
      <c r="S2633" s="30"/>
      <c r="T2633" s="30"/>
      <c r="U2633" s="30"/>
      <c r="V2633" s="30"/>
      <c r="W2633" s="29"/>
      <c r="X2633" s="15"/>
      <c r="Y2633" s="30"/>
      <c r="Z2633" s="30"/>
      <c r="AA2633" s="30"/>
      <c r="AB2633" s="30"/>
      <c r="AC2633" s="17"/>
      <c r="AD2633" s="17"/>
      <c r="AE2633" s="17"/>
      <c r="AF2633" s="17"/>
      <c r="AG2633" s="21"/>
      <c r="AH2633" s="21"/>
      <c r="AI2633" s="21"/>
      <c r="AJ2633" s="21"/>
      <c r="AK2633" s="21"/>
      <c r="AL2633" s="21"/>
      <c r="AM2633" s="21"/>
      <c r="AN2633" s="21"/>
      <c r="AO2633" s="22"/>
      <c r="AP2633" s="21"/>
      <c r="AQ2633" s="22"/>
      <c r="AR2633" s="21"/>
      <c r="AS2633" s="21"/>
      <c r="AT2633" s="21"/>
      <c r="AU2633" s="21"/>
      <c r="AV2633" s="21"/>
      <c r="AW2633" s="21"/>
      <c r="AX2633" s="22"/>
      <c r="AY2633" s="21"/>
      <c r="AZ2633" s="22"/>
      <c r="BA2633" s="21"/>
      <c r="BB2633" s="21"/>
      <c r="BC2633" s="21"/>
      <c r="BD2633" s="21"/>
      <c r="BE2633" s="26"/>
      <c r="BF2633" s="26"/>
      <c r="BG2633" s="62"/>
    </row>
    <row r="2634" spans="1:59" x14ac:dyDescent="0.3">
      <c r="A2634" s="63"/>
      <c r="B2634" s="63"/>
      <c r="C2634" s="39"/>
      <c r="D2634" s="6"/>
      <c r="E2634" s="149"/>
      <c r="F2634" s="153"/>
      <c r="G2634" s="10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12"/>
      <c r="Y2634" s="6"/>
      <c r="Z2634" s="6"/>
      <c r="AA2634" s="6"/>
      <c r="AB2634" s="6"/>
      <c r="AC2634" s="9"/>
      <c r="AD2634" s="9"/>
      <c r="AE2634" s="9"/>
      <c r="AF2634" s="9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21"/>
      <c r="AS2634" s="21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</row>
    <row r="2635" spans="1:59" x14ac:dyDescent="0.3">
      <c r="A2635" s="6"/>
      <c r="B2635" s="6"/>
      <c r="C2635" s="39"/>
      <c r="D2635" s="6"/>
      <c r="E2635" s="149"/>
      <c r="F2635" s="153"/>
      <c r="G2635" s="10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12"/>
      <c r="Y2635" s="6"/>
      <c r="Z2635" s="6"/>
      <c r="AA2635" s="6"/>
      <c r="AB2635" s="6"/>
      <c r="AC2635" s="9"/>
      <c r="AD2635" s="9"/>
      <c r="AE2635" s="9"/>
      <c r="AF2635" s="9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21"/>
      <c r="AS2635" s="21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</row>
    <row r="2636" spans="1:59" ht="13.5" customHeight="1" x14ac:dyDescent="0.35">
      <c r="A2636" s="49"/>
      <c r="B2636" s="49"/>
      <c r="C2636" s="14"/>
      <c r="D2636" s="1"/>
      <c r="E2636" s="149"/>
      <c r="F2636" s="153"/>
      <c r="G2636" s="10"/>
      <c r="H2636" s="17"/>
      <c r="I2636" s="17"/>
      <c r="J2636" s="17"/>
      <c r="K2636" s="30"/>
      <c r="L2636" s="30"/>
      <c r="M2636" s="30"/>
      <c r="N2636" s="30"/>
      <c r="O2636" s="30"/>
      <c r="P2636" s="30"/>
      <c r="Q2636" s="30"/>
      <c r="R2636" s="30"/>
      <c r="S2636" s="30"/>
      <c r="T2636" s="30"/>
      <c r="U2636" s="30"/>
      <c r="V2636" s="30"/>
      <c r="W2636" s="29"/>
      <c r="X2636" s="15"/>
      <c r="Y2636" s="30"/>
      <c r="Z2636" s="30"/>
      <c r="AA2636" s="30"/>
      <c r="AB2636" s="30"/>
      <c r="AC2636" s="17"/>
      <c r="AD2636" s="17"/>
      <c r="AE2636" s="17"/>
      <c r="AF2636" s="17"/>
      <c r="AG2636" s="21"/>
      <c r="AH2636" s="21"/>
      <c r="AI2636" s="21"/>
      <c r="AJ2636" s="21"/>
      <c r="AK2636" s="21"/>
      <c r="AL2636" s="21"/>
      <c r="AM2636" s="21"/>
      <c r="AN2636" s="21"/>
      <c r="AO2636" s="22"/>
      <c r="AP2636" s="21"/>
      <c r="AQ2636" s="22"/>
      <c r="AR2636" s="21"/>
      <c r="AS2636" s="21"/>
      <c r="AT2636" s="21"/>
      <c r="AU2636" s="21"/>
      <c r="AV2636" s="21"/>
      <c r="AW2636" s="21"/>
      <c r="AX2636" s="22"/>
      <c r="AY2636" s="21"/>
      <c r="AZ2636" s="22"/>
      <c r="BA2636" s="21"/>
      <c r="BB2636" s="21"/>
      <c r="BC2636" s="21"/>
      <c r="BD2636" s="21"/>
      <c r="BE2636" s="26"/>
      <c r="BF2636" s="26"/>
      <c r="BG2636" s="62"/>
    </row>
    <row r="2637" spans="1:59" x14ac:dyDescent="0.3">
      <c r="A2637" s="6"/>
      <c r="B2637" s="6"/>
      <c r="C2637" s="39"/>
      <c r="D2637" s="6"/>
      <c r="E2637" s="149"/>
      <c r="F2637" s="153"/>
      <c r="G2637" s="10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12"/>
      <c r="Y2637" s="6"/>
      <c r="Z2637" s="6"/>
      <c r="AA2637" s="6"/>
      <c r="AB2637" s="6"/>
      <c r="AC2637" s="9"/>
      <c r="AD2637" s="9"/>
      <c r="AE2637" s="9"/>
      <c r="AF2637" s="9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21"/>
      <c r="AS2637" s="21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</row>
    <row r="2638" spans="1:59" ht="13.5" customHeight="1" x14ac:dyDescent="0.3">
      <c r="A2638" s="6"/>
      <c r="B2638" s="6"/>
      <c r="C2638" s="39"/>
      <c r="D2638" s="6"/>
      <c r="E2638" s="149"/>
      <c r="F2638" s="153"/>
      <c r="G2638" s="10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5"/>
      <c r="V2638" s="5"/>
      <c r="W2638" s="13"/>
      <c r="X2638" s="4"/>
      <c r="Y2638" s="4"/>
      <c r="Z2638" s="4"/>
      <c r="AA2638" s="6"/>
      <c r="AB2638" s="5"/>
      <c r="AC2638" s="9"/>
      <c r="AD2638" s="9"/>
      <c r="AE2638" s="9"/>
      <c r="AF2638" s="9"/>
      <c r="AG2638" s="2"/>
      <c r="AH2638" s="3"/>
      <c r="AI2638" s="2"/>
      <c r="AJ2638" s="2"/>
      <c r="AK2638" s="2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</row>
    <row r="2639" spans="1:59" ht="13.5" customHeight="1" x14ac:dyDescent="0.35">
      <c r="A2639" s="49"/>
      <c r="B2639" s="49"/>
      <c r="C2639" s="14"/>
      <c r="D2639" s="1"/>
      <c r="E2639" s="149"/>
      <c r="F2639" s="153"/>
      <c r="G2639" s="10"/>
      <c r="H2639" s="17"/>
      <c r="I2639" s="17"/>
      <c r="J2639" s="17"/>
      <c r="K2639" s="30"/>
      <c r="L2639" s="30"/>
      <c r="M2639" s="30"/>
      <c r="N2639" s="30"/>
      <c r="O2639" s="30"/>
      <c r="P2639" s="30"/>
      <c r="Q2639" s="30"/>
      <c r="R2639" s="30"/>
      <c r="S2639" s="30"/>
      <c r="T2639" s="30"/>
      <c r="U2639" s="30"/>
      <c r="V2639" s="30"/>
      <c r="W2639" s="29"/>
      <c r="X2639" s="15"/>
      <c r="Y2639" s="30"/>
      <c r="Z2639" s="30"/>
      <c r="AA2639" s="30"/>
      <c r="AB2639" s="30"/>
      <c r="AC2639" s="17"/>
      <c r="AD2639" s="17"/>
      <c r="AE2639" s="17"/>
      <c r="AF2639" s="17"/>
      <c r="AG2639" s="21"/>
      <c r="AH2639" s="21"/>
      <c r="AI2639" s="21"/>
      <c r="AJ2639" s="21"/>
      <c r="AK2639" s="21"/>
      <c r="AL2639" s="21"/>
      <c r="AM2639" s="21"/>
      <c r="AN2639" s="21"/>
      <c r="AO2639" s="22"/>
      <c r="AP2639" s="21"/>
      <c r="AQ2639" s="22"/>
      <c r="AR2639" s="21"/>
      <c r="AS2639" s="21"/>
      <c r="AT2639" s="21"/>
      <c r="AU2639" s="21"/>
      <c r="AV2639" s="21"/>
      <c r="AW2639" s="21"/>
      <c r="AX2639" s="22"/>
      <c r="AY2639" s="21"/>
      <c r="AZ2639" s="22"/>
      <c r="BA2639" s="21"/>
      <c r="BB2639" s="21"/>
      <c r="BC2639" s="21"/>
      <c r="BD2639" s="21"/>
      <c r="BE2639" s="26"/>
      <c r="BF2639" s="26"/>
      <c r="BG2639" s="62"/>
    </row>
    <row r="2640" spans="1:59" x14ac:dyDescent="0.3">
      <c r="A2640" s="63"/>
      <c r="B2640" s="63"/>
      <c r="C2640" s="39"/>
      <c r="D2640" s="6"/>
      <c r="E2640" s="149"/>
      <c r="F2640" s="153"/>
      <c r="G2640" s="10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5"/>
      <c r="V2640" s="5"/>
      <c r="W2640" s="13"/>
      <c r="X2640" s="4"/>
      <c r="Y2640" s="4"/>
      <c r="Z2640" s="4"/>
      <c r="AA2640" s="6"/>
      <c r="AB2640" s="5"/>
      <c r="AC2640" s="9"/>
      <c r="AD2640" s="9"/>
      <c r="AE2640" s="9"/>
      <c r="AF2640" s="9"/>
      <c r="AG2640" s="64"/>
      <c r="AH2640" s="3"/>
      <c r="AI2640" s="2"/>
      <c r="AJ2640" s="2"/>
      <c r="AK2640" s="2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</row>
    <row r="2641" spans="1:59" ht="13.5" customHeight="1" x14ac:dyDescent="0.35">
      <c r="A2641" s="49"/>
      <c r="B2641" s="49"/>
      <c r="C2641" s="14"/>
      <c r="D2641" s="1"/>
      <c r="E2641" s="149"/>
      <c r="F2641" s="153"/>
      <c r="G2641" s="10"/>
      <c r="H2641" s="17"/>
      <c r="I2641" s="17"/>
      <c r="J2641" s="17"/>
      <c r="K2641" s="30"/>
      <c r="L2641" s="30"/>
      <c r="M2641" s="30"/>
      <c r="N2641" s="30"/>
      <c r="O2641" s="30"/>
      <c r="P2641" s="30"/>
      <c r="Q2641" s="30"/>
      <c r="R2641" s="30"/>
      <c r="S2641" s="30"/>
      <c r="T2641" s="30"/>
      <c r="U2641" s="30"/>
      <c r="V2641" s="30"/>
      <c r="W2641" s="29"/>
      <c r="X2641" s="15"/>
      <c r="Y2641" s="30"/>
      <c r="Z2641" s="30"/>
      <c r="AA2641" s="30"/>
      <c r="AB2641" s="30"/>
      <c r="AC2641" s="17"/>
      <c r="AD2641" s="17"/>
      <c r="AE2641" s="17"/>
      <c r="AF2641" s="17"/>
      <c r="AG2641" s="21"/>
      <c r="AH2641" s="21"/>
      <c r="AI2641" s="21"/>
      <c r="AJ2641" s="21"/>
      <c r="AK2641" s="21"/>
      <c r="AL2641" s="21"/>
      <c r="AM2641" s="21"/>
      <c r="AN2641" s="21"/>
      <c r="AO2641" s="22"/>
      <c r="AP2641" s="21"/>
      <c r="AQ2641" s="22"/>
      <c r="AR2641" s="21"/>
      <c r="AS2641" s="21"/>
      <c r="AT2641" s="21"/>
      <c r="AU2641" s="21"/>
      <c r="AV2641" s="21"/>
      <c r="AW2641" s="21"/>
      <c r="AX2641" s="22"/>
      <c r="AY2641" s="21"/>
      <c r="AZ2641" s="22"/>
      <c r="BA2641" s="21"/>
      <c r="BB2641" s="21"/>
      <c r="BC2641" s="21"/>
      <c r="BD2641" s="21"/>
      <c r="BE2641" s="26"/>
      <c r="BF2641" s="26"/>
      <c r="BG2641" s="62"/>
    </row>
    <row r="2642" spans="1:59" x14ac:dyDescent="0.3">
      <c r="A2642" s="6"/>
      <c r="B2642" s="6"/>
      <c r="C2642" s="39"/>
      <c r="D2642" s="6"/>
      <c r="E2642" s="149"/>
      <c r="F2642" s="153"/>
      <c r="G2642" s="10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12"/>
      <c r="Y2642" s="6"/>
      <c r="Z2642" s="6"/>
      <c r="AA2642" s="6"/>
      <c r="AB2642" s="6"/>
      <c r="AC2642" s="9"/>
      <c r="AD2642" s="9"/>
      <c r="AE2642" s="9"/>
      <c r="AF2642" s="9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21"/>
      <c r="AS2642" s="21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</row>
    <row r="2643" spans="1:59" ht="13.5" customHeight="1" x14ac:dyDescent="0.35">
      <c r="A2643" s="49"/>
      <c r="B2643" s="49"/>
      <c r="C2643" s="14"/>
      <c r="D2643" s="1"/>
      <c r="E2643" s="149"/>
      <c r="F2643" s="153"/>
      <c r="G2643" s="10"/>
      <c r="H2643" s="17"/>
      <c r="I2643" s="17"/>
      <c r="J2643" s="17"/>
      <c r="K2643" s="30"/>
      <c r="L2643" s="30"/>
      <c r="M2643" s="30"/>
      <c r="N2643" s="30"/>
      <c r="O2643" s="30"/>
      <c r="P2643" s="30"/>
      <c r="Q2643" s="30"/>
      <c r="R2643" s="30"/>
      <c r="S2643" s="30"/>
      <c r="T2643" s="30"/>
      <c r="U2643" s="30"/>
      <c r="V2643" s="30"/>
      <c r="W2643" s="29"/>
      <c r="X2643" s="15"/>
      <c r="Y2643" s="30"/>
      <c r="Z2643" s="30"/>
      <c r="AA2643" s="30"/>
      <c r="AB2643" s="30"/>
      <c r="AC2643" s="17"/>
      <c r="AD2643" s="17"/>
      <c r="AE2643" s="17"/>
      <c r="AF2643" s="17"/>
      <c r="AG2643" s="21"/>
      <c r="AH2643" s="21"/>
      <c r="AI2643" s="21"/>
      <c r="AJ2643" s="21"/>
      <c r="AK2643" s="21"/>
      <c r="AL2643" s="21"/>
      <c r="AM2643" s="21"/>
      <c r="AN2643" s="21"/>
      <c r="AO2643" s="22"/>
      <c r="AP2643" s="21"/>
      <c r="AQ2643" s="22"/>
      <c r="AR2643" s="21"/>
      <c r="AS2643" s="21"/>
      <c r="AT2643" s="21"/>
      <c r="AU2643" s="21"/>
      <c r="AV2643" s="21"/>
      <c r="AW2643" s="21"/>
      <c r="AX2643" s="22"/>
      <c r="AY2643" s="21"/>
      <c r="AZ2643" s="22"/>
      <c r="BA2643" s="21"/>
      <c r="BB2643" s="21"/>
      <c r="BC2643" s="21"/>
      <c r="BD2643" s="21"/>
      <c r="BE2643" s="26"/>
      <c r="BF2643" s="26"/>
      <c r="BG2643" s="62"/>
    </row>
    <row r="2644" spans="1:59" x14ac:dyDescent="0.3">
      <c r="A2644" s="63"/>
      <c r="B2644" s="63"/>
      <c r="C2644" s="39"/>
      <c r="D2644" s="6"/>
      <c r="E2644" s="149"/>
      <c r="F2644" s="153"/>
      <c r="G2644" s="10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12"/>
      <c r="Y2644" s="6"/>
      <c r="Z2644" s="6"/>
      <c r="AA2644" s="6"/>
      <c r="AB2644" s="6"/>
      <c r="AC2644" s="9"/>
      <c r="AD2644" s="9"/>
      <c r="AE2644" s="9"/>
      <c r="AF2644" s="9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21"/>
      <c r="AS2644" s="21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</row>
    <row r="2645" spans="1:59" x14ac:dyDescent="0.3">
      <c r="A2645" s="6"/>
      <c r="B2645" s="6"/>
      <c r="C2645" s="39"/>
      <c r="D2645" s="6"/>
      <c r="E2645" s="149"/>
      <c r="F2645" s="153"/>
      <c r="G2645" s="10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12"/>
      <c r="Y2645" s="6"/>
      <c r="Z2645" s="6"/>
      <c r="AA2645" s="6"/>
      <c r="AB2645" s="6"/>
      <c r="AC2645" s="9"/>
      <c r="AD2645" s="9"/>
      <c r="AE2645" s="9"/>
      <c r="AF2645" s="9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21"/>
      <c r="AS2645" s="21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</row>
    <row r="2646" spans="1:59" x14ac:dyDescent="0.3">
      <c r="A2646" s="6"/>
      <c r="B2646" s="6"/>
      <c r="C2646" s="39"/>
      <c r="D2646" s="6"/>
      <c r="E2646" s="149"/>
      <c r="F2646" s="153"/>
      <c r="G2646" s="10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12"/>
      <c r="Y2646" s="6"/>
      <c r="Z2646" s="6"/>
      <c r="AA2646" s="6"/>
      <c r="AB2646" s="6"/>
      <c r="AC2646" s="9"/>
      <c r="AD2646" s="9"/>
      <c r="AE2646" s="9"/>
      <c r="AF2646" s="9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21"/>
      <c r="AS2646" s="21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</row>
    <row r="2647" spans="1:59" ht="13.5" customHeight="1" x14ac:dyDescent="0.35">
      <c r="A2647" s="49"/>
      <c r="B2647" s="49"/>
      <c r="C2647" s="14"/>
      <c r="D2647" s="1"/>
      <c r="E2647" s="149"/>
      <c r="F2647" s="153"/>
      <c r="G2647" s="10"/>
      <c r="H2647" s="17"/>
      <c r="I2647" s="17"/>
      <c r="J2647" s="17"/>
      <c r="K2647" s="30"/>
      <c r="L2647" s="30"/>
      <c r="M2647" s="30"/>
      <c r="N2647" s="30"/>
      <c r="O2647" s="30"/>
      <c r="P2647" s="30"/>
      <c r="Q2647" s="30"/>
      <c r="R2647" s="30"/>
      <c r="S2647" s="30"/>
      <c r="T2647" s="30"/>
      <c r="U2647" s="30"/>
      <c r="V2647" s="30"/>
      <c r="W2647" s="29"/>
      <c r="X2647" s="15"/>
      <c r="Y2647" s="30"/>
      <c r="Z2647" s="30"/>
      <c r="AA2647" s="30"/>
      <c r="AB2647" s="30"/>
      <c r="AC2647" s="17"/>
      <c r="AD2647" s="17"/>
      <c r="AE2647" s="17"/>
      <c r="AF2647" s="17"/>
      <c r="AG2647" s="21"/>
      <c r="AH2647" s="21"/>
      <c r="AI2647" s="21"/>
      <c r="AJ2647" s="21"/>
      <c r="AK2647" s="21"/>
      <c r="AL2647" s="21"/>
      <c r="AM2647" s="21"/>
      <c r="AN2647" s="21"/>
      <c r="AO2647" s="22"/>
      <c r="AP2647" s="21"/>
      <c r="AQ2647" s="22"/>
      <c r="AR2647" s="21"/>
      <c r="AS2647" s="21"/>
      <c r="AT2647" s="21"/>
      <c r="AU2647" s="21"/>
      <c r="AV2647" s="21"/>
      <c r="AW2647" s="21"/>
      <c r="AX2647" s="22"/>
      <c r="AY2647" s="21"/>
      <c r="AZ2647" s="22"/>
      <c r="BA2647" s="21"/>
      <c r="BB2647" s="21"/>
      <c r="BC2647" s="21"/>
      <c r="BD2647" s="21"/>
      <c r="BE2647" s="26"/>
      <c r="BF2647" s="26"/>
      <c r="BG2647" s="62"/>
    </row>
    <row r="2648" spans="1:59" x14ac:dyDescent="0.3">
      <c r="A2648" s="6"/>
      <c r="B2648" s="6"/>
      <c r="C2648" s="39"/>
      <c r="D2648" s="6"/>
      <c r="E2648" s="149"/>
      <c r="F2648" s="153"/>
      <c r="G2648" s="10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5"/>
      <c r="V2648" s="5"/>
      <c r="W2648" s="13"/>
      <c r="X2648" s="4"/>
      <c r="Y2648" s="4"/>
      <c r="Z2648" s="4"/>
      <c r="AA2648" s="6"/>
      <c r="AB2648" s="5"/>
      <c r="AC2648" s="9"/>
      <c r="AD2648" s="9"/>
      <c r="AE2648" s="9"/>
      <c r="AF2648" s="9"/>
      <c r="AG2648" s="2"/>
      <c r="AH2648" s="3"/>
      <c r="AI2648" s="2"/>
      <c r="AJ2648" s="2"/>
      <c r="AK2648" s="2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/>
      <c r="BA2648" s="3"/>
      <c r="BB2648" s="3"/>
      <c r="BC2648" s="3"/>
      <c r="BD2648" s="3"/>
      <c r="BE2648" s="3"/>
      <c r="BF2648" s="3"/>
      <c r="BG2648" s="3"/>
    </row>
    <row r="2649" spans="1:59" x14ac:dyDescent="0.3">
      <c r="A2649" s="6"/>
      <c r="B2649" s="6"/>
      <c r="C2649" s="39"/>
      <c r="D2649" s="6"/>
      <c r="E2649" s="149"/>
      <c r="F2649" s="153"/>
      <c r="G2649" s="10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5"/>
      <c r="V2649" s="5"/>
      <c r="W2649" s="13"/>
      <c r="X2649" s="4"/>
      <c r="Y2649" s="4"/>
      <c r="Z2649" s="4"/>
      <c r="AA2649" s="6"/>
      <c r="AB2649" s="5"/>
      <c r="AC2649" s="9"/>
      <c r="AD2649" s="9"/>
      <c r="AE2649" s="9"/>
      <c r="AF2649" s="9"/>
      <c r="AG2649" s="2"/>
      <c r="AH2649" s="3"/>
      <c r="AI2649" s="2"/>
      <c r="AJ2649" s="2"/>
      <c r="AK2649" s="2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</row>
    <row r="2650" spans="1:59" x14ac:dyDescent="0.3">
      <c r="A2650" s="6"/>
      <c r="B2650" s="6"/>
      <c r="C2650" s="39"/>
      <c r="D2650" s="6"/>
      <c r="E2650" s="149"/>
      <c r="F2650" s="153"/>
      <c r="G2650" s="10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12"/>
      <c r="Y2650" s="6"/>
      <c r="Z2650" s="6"/>
      <c r="AA2650" s="6"/>
      <c r="AB2650" s="6"/>
      <c r="AC2650" s="9"/>
      <c r="AD2650" s="9"/>
      <c r="AE2650" s="9"/>
      <c r="AF2650" s="9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21"/>
      <c r="AS2650" s="21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</row>
    <row r="2651" spans="1:59" ht="13.5" customHeight="1" x14ac:dyDescent="0.35">
      <c r="A2651" s="49"/>
      <c r="B2651" s="49"/>
      <c r="C2651" s="14"/>
      <c r="D2651" s="1"/>
      <c r="E2651" s="149"/>
      <c r="F2651" s="153"/>
      <c r="G2651" s="10"/>
      <c r="H2651" s="17"/>
      <c r="I2651" s="17"/>
      <c r="J2651" s="17"/>
      <c r="K2651" s="30"/>
      <c r="L2651" s="30"/>
      <c r="M2651" s="30"/>
      <c r="N2651" s="30"/>
      <c r="O2651" s="30"/>
      <c r="P2651" s="30"/>
      <c r="Q2651" s="30"/>
      <c r="R2651" s="30"/>
      <c r="S2651" s="30"/>
      <c r="T2651" s="30"/>
      <c r="U2651" s="30"/>
      <c r="V2651" s="30"/>
      <c r="W2651" s="29"/>
      <c r="X2651" s="15"/>
      <c r="Y2651" s="30"/>
      <c r="Z2651" s="30"/>
      <c r="AA2651" s="30"/>
      <c r="AB2651" s="30"/>
      <c r="AC2651" s="17"/>
      <c r="AD2651" s="17"/>
      <c r="AE2651" s="17"/>
      <c r="AF2651" s="17"/>
      <c r="AG2651" s="21"/>
      <c r="AH2651" s="21"/>
      <c r="AI2651" s="21"/>
      <c r="AJ2651" s="21"/>
      <c r="AK2651" s="21"/>
      <c r="AL2651" s="21"/>
      <c r="AM2651" s="21"/>
      <c r="AN2651" s="21"/>
      <c r="AO2651" s="22"/>
      <c r="AP2651" s="21"/>
      <c r="AQ2651" s="22"/>
      <c r="AR2651" s="21"/>
      <c r="AS2651" s="21"/>
      <c r="AT2651" s="21"/>
      <c r="AU2651" s="21"/>
      <c r="AV2651" s="21"/>
      <c r="AW2651" s="21"/>
      <c r="AX2651" s="22"/>
      <c r="AY2651" s="21"/>
      <c r="AZ2651" s="22"/>
      <c r="BA2651" s="21"/>
      <c r="BB2651" s="21"/>
      <c r="BC2651" s="21"/>
      <c r="BD2651" s="21"/>
      <c r="BE2651" s="26"/>
      <c r="BF2651" s="26"/>
      <c r="BG2651" s="62"/>
    </row>
    <row r="2652" spans="1:59" ht="13.5" customHeight="1" x14ac:dyDescent="0.35">
      <c r="A2652" s="49"/>
      <c r="B2652" s="49"/>
      <c r="C2652" s="14"/>
      <c r="D2652" s="1"/>
      <c r="E2652" s="149"/>
      <c r="F2652" s="153"/>
      <c r="G2652" s="10"/>
      <c r="H2652" s="17"/>
      <c r="I2652" s="17"/>
      <c r="J2652" s="17"/>
      <c r="K2652" s="30"/>
      <c r="L2652" s="30"/>
      <c r="M2652" s="30"/>
      <c r="N2652" s="30"/>
      <c r="O2652" s="30"/>
      <c r="P2652" s="30"/>
      <c r="Q2652" s="30"/>
      <c r="R2652" s="30"/>
      <c r="S2652" s="30"/>
      <c r="T2652" s="30"/>
      <c r="U2652" s="30"/>
      <c r="V2652" s="30"/>
      <c r="W2652" s="29"/>
      <c r="X2652" s="15"/>
      <c r="Y2652" s="30"/>
      <c r="Z2652" s="30"/>
      <c r="AA2652" s="30"/>
      <c r="AB2652" s="30"/>
      <c r="AC2652" s="17"/>
      <c r="AD2652" s="17"/>
      <c r="AE2652" s="17"/>
      <c r="AF2652" s="17"/>
      <c r="AG2652" s="21"/>
      <c r="AH2652" s="21"/>
      <c r="AI2652" s="21"/>
      <c r="AJ2652" s="21"/>
      <c r="AK2652" s="21"/>
      <c r="AL2652" s="21"/>
      <c r="AM2652" s="21"/>
      <c r="AN2652" s="21"/>
      <c r="AO2652" s="22"/>
      <c r="AP2652" s="21"/>
      <c r="AQ2652" s="22"/>
      <c r="AR2652" s="21"/>
      <c r="AS2652" s="21"/>
      <c r="AT2652" s="21"/>
      <c r="AU2652" s="21"/>
      <c r="AV2652" s="21"/>
      <c r="AW2652" s="21"/>
      <c r="AX2652" s="22"/>
      <c r="AY2652" s="21"/>
      <c r="AZ2652" s="22"/>
      <c r="BA2652" s="21"/>
      <c r="BB2652" s="21"/>
      <c r="BC2652" s="21"/>
      <c r="BD2652" s="21"/>
      <c r="BE2652" s="26"/>
      <c r="BF2652" s="26"/>
      <c r="BG2652" s="62"/>
    </row>
    <row r="2653" spans="1:59" x14ac:dyDescent="0.3">
      <c r="A2653" s="6"/>
      <c r="B2653" s="6"/>
      <c r="C2653" s="39"/>
      <c r="D2653" s="6"/>
      <c r="E2653" s="149"/>
      <c r="F2653" s="153"/>
      <c r="G2653" s="10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12"/>
      <c r="Y2653" s="6"/>
      <c r="Z2653" s="6"/>
      <c r="AA2653" s="6"/>
      <c r="AB2653" s="6"/>
      <c r="AC2653" s="9"/>
      <c r="AD2653" s="9"/>
      <c r="AE2653" s="9"/>
      <c r="AF2653" s="9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21"/>
      <c r="AS2653" s="21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</row>
    <row r="2654" spans="1:59" ht="15" x14ac:dyDescent="0.35">
      <c r="A2654" s="6"/>
      <c r="B2654" s="6"/>
      <c r="C2654" s="39"/>
      <c r="D2654" s="6"/>
      <c r="E2654" s="149"/>
      <c r="F2654" s="153"/>
      <c r="G2654" s="10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12"/>
      <c r="Y2654" s="6"/>
      <c r="Z2654" s="6"/>
      <c r="AA2654" s="6"/>
      <c r="AB2654" s="6"/>
      <c r="AC2654" s="9"/>
      <c r="AD2654" s="9"/>
      <c r="AE2654" s="9"/>
      <c r="AF2654" s="9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21"/>
      <c r="AS2654" s="21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65"/>
    </row>
    <row r="2655" spans="1:59" x14ac:dyDescent="0.3">
      <c r="A2655" s="6"/>
      <c r="B2655" s="6"/>
      <c r="C2655" s="39"/>
      <c r="D2655" s="6"/>
      <c r="E2655" s="149"/>
      <c r="F2655" s="153"/>
      <c r="G2655" s="10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12"/>
      <c r="Y2655" s="6"/>
      <c r="Z2655" s="6"/>
      <c r="AA2655" s="6"/>
      <c r="AB2655" s="6"/>
      <c r="AC2655" s="9"/>
      <c r="AD2655" s="9"/>
      <c r="AE2655" s="9"/>
      <c r="AF2655" s="9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21"/>
      <c r="AS2655" s="21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</row>
    <row r="2656" spans="1:59" x14ac:dyDescent="0.3">
      <c r="A2656" s="6"/>
      <c r="B2656" s="6"/>
      <c r="C2656" s="39"/>
      <c r="D2656" s="6"/>
      <c r="E2656" s="149"/>
      <c r="F2656" s="153"/>
      <c r="G2656" s="10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12"/>
      <c r="Y2656" s="6"/>
      <c r="Z2656" s="6"/>
      <c r="AA2656" s="6"/>
      <c r="AB2656" s="6"/>
      <c r="AC2656" s="9"/>
      <c r="AD2656" s="9"/>
      <c r="AE2656" s="9"/>
      <c r="AF2656" s="9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21"/>
      <c r="AS2656" s="21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</row>
    <row r="2657" spans="1:59" x14ac:dyDescent="0.3">
      <c r="A2657" s="6"/>
      <c r="B2657" s="6"/>
      <c r="C2657" s="39"/>
      <c r="D2657" s="6"/>
      <c r="E2657" s="149"/>
      <c r="F2657" s="153"/>
      <c r="G2657" s="10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5"/>
      <c r="V2657" s="5"/>
      <c r="W2657" s="13"/>
      <c r="X2657" s="4"/>
      <c r="Y2657" s="4"/>
      <c r="Z2657" s="4"/>
      <c r="AA2657" s="6"/>
      <c r="AB2657" s="5"/>
      <c r="AC2657" s="9"/>
      <c r="AD2657" s="9"/>
      <c r="AE2657" s="9"/>
      <c r="AF2657" s="9"/>
      <c r="AG2657" s="2"/>
      <c r="AH2657" s="3"/>
      <c r="AI2657" s="2"/>
      <c r="AJ2657" s="2"/>
      <c r="AK2657" s="2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</row>
    <row r="2658" spans="1:59" x14ac:dyDescent="0.3">
      <c r="A2658" s="6"/>
      <c r="B2658" s="6"/>
      <c r="C2658" s="39"/>
      <c r="D2658" s="6"/>
      <c r="E2658" s="149"/>
      <c r="F2658" s="153"/>
      <c r="G2658" s="10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12"/>
      <c r="Y2658" s="6"/>
      <c r="Z2658" s="6"/>
      <c r="AA2658" s="6"/>
      <c r="AB2658" s="6"/>
      <c r="AC2658" s="9"/>
      <c r="AD2658" s="9"/>
      <c r="AE2658" s="9"/>
      <c r="AF2658" s="9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21"/>
      <c r="AS2658" s="21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</row>
    <row r="2659" spans="1:59" x14ac:dyDescent="0.3">
      <c r="A2659" s="6"/>
      <c r="B2659" s="6"/>
      <c r="C2659" s="39"/>
      <c r="D2659" s="6"/>
      <c r="E2659" s="149"/>
      <c r="F2659" s="153"/>
      <c r="G2659" s="10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12"/>
      <c r="Y2659" s="6"/>
      <c r="Z2659" s="6"/>
      <c r="AA2659" s="6"/>
      <c r="AB2659" s="6"/>
      <c r="AC2659" s="9"/>
      <c r="AD2659" s="9"/>
      <c r="AE2659" s="9"/>
      <c r="AF2659" s="9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21"/>
      <c r="AS2659" s="21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</row>
    <row r="2660" spans="1:59" x14ac:dyDescent="0.3">
      <c r="A2660" s="63"/>
      <c r="B2660" s="63"/>
      <c r="C2660" s="39"/>
      <c r="D2660" s="6"/>
      <c r="E2660" s="149"/>
      <c r="F2660" s="153"/>
      <c r="G2660" s="10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5"/>
      <c r="V2660" s="5"/>
      <c r="W2660" s="13"/>
      <c r="X2660" s="4"/>
      <c r="Y2660" s="4"/>
      <c r="Z2660" s="4"/>
      <c r="AA2660" s="6"/>
      <c r="AB2660" s="5"/>
      <c r="AC2660" s="9"/>
      <c r="AD2660" s="9"/>
      <c r="AE2660" s="9"/>
      <c r="AF2660" s="9"/>
      <c r="AG2660" s="64"/>
      <c r="AH2660" s="3"/>
      <c r="AI2660" s="2"/>
      <c r="AJ2660" s="2"/>
      <c r="AK2660" s="2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</row>
    <row r="2661" spans="1:59" x14ac:dyDescent="0.3">
      <c r="A2661" s="63"/>
      <c r="B2661" s="63"/>
      <c r="C2661" s="39"/>
      <c r="D2661" s="6"/>
      <c r="E2661" s="149"/>
      <c r="F2661" s="153"/>
      <c r="G2661" s="10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5"/>
      <c r="V2661" s="5"/>
      <c r="W2661" s="13"/>
      <c r="X2661" s="4"/>
      <c r="Y2661" s="4"/>
      <c r="Z2661" s="4"/>
      <c r="AA2661" s="6"/>
      <c r="AB2661" s="5"/>
      <c r="AC2661" s="9"/>
      <c r="AD2661" s="9"/>
      <c r="AE2661" s="9"/>
      <c r="AF2661" s="9"/>
      <c r="AG2661" s="64"/>
      <c r="AH2661" s="3"/>
      <c r="AI2661" s="2"/>
      <c r="AJ2661" s="2"/>
      <c r="AK2661" s="2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</row>
    <row r="2662" spans="1:59" x14ac:dyDescent="0.3">
      <c r="A2662" s="6"/>
      <c r="B2662" s="6"/>
      <c r="C2662" s="39"/>
      <c r="D2662" s="6"/>
      <c r="E2662" s="149"/>
      <c r="F2662" s="153"/>
      <c r="G2662" s="10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5"/>
      <c r="V2662" s="5"/>
      <c r="W2662" s="13"/>
      <c r="X2662" s="4"/>
      <c r="Y2662" s="4"/>
      <c r="Z2662" s="4"/>
      <c r="AA2662" s="6"/>
      <c r="AB2662" s="5"/>
      <c r="AC2662" s="9"/>
      <c r="AD2662" s="9"/>
      <c r="AE2662" s="9"/>
      <c r="AF2662" s="9"/>
      <c r="AG2662" s="2"/>
      <c r="AH2662" s="3"/>
      <c r="AI2662" s="2"/>
      <c r="AJ2662" s="2"/>
      <c r="AK2662" s="2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</row>
    <row r="2663" spans="1:59" x14ac:dyDescent="0.3">
      <c r="A2663" s="6"/>
      <c r="B2663" s="6"/>
      <c r="C2663" s="39"/>
      <c r="D2663" s="6"/>
      <c r="E2663" s="149"/>
      <c r="F2663" s="153"/>
      <c r="G2663" s="10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12"/>
      <c r="Y2663" s="6"/>
      <c r="Z2663" s="6"/>
      <c r="AA2663" s="6"/>
      <c r="AB2663" s="6"/>
      <c r="AC2663" s="9"/>
      <c r="AD2663" s="9"/>
      <c r="AE2663" s="9"/>
      <c r="AF2663" s="9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21"/>
      <c r="AS2663" s="21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</row>
    <row r="2664" spans="1:59" x14ac:dyDescent="0.3">
      <c r="A2664" s="6"/>
      <c r="B2664" s="6"/>
      <c r="C2664" s="39"/>
      <c r="D2664" s="6"/>
      <c r="E2664" s="149"/>
      <c r="F2664" s="153"/>
      <c r="G2664" s="10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5"/>
      <c r="V2664" s="5"/>
      <c r="W2664" s="13"/>
      <c r="X2664" s="4"/>
      <c r="Y2664" s="4"/>
      <c r="Z2664" s="4"/>
      <c r="AA2664" s="6"/>
      <c r="AB2664" s="5"/>
      <c r="AC2664" s="9"/>
      <c r="AD2664" s="9"/>
      <c r="AE2664" s="9"/>
      <c r="AF2664" s="9"/>
      <c r="AG2664" s="2"/>
      <c r="AH2664" s="3"/>
      <c r="AI2664" s="2"/>
      <c r="AJ2664" s="2"/>
      <c r="AK2664" s="2"/>
      <c r="AL2664" s="3"/>
      <c r="AM2664" s="3"/>
      <c r="AN2664" s="3"/>
      <c r="AO2664" s="3"/>
      <c r="AP2664" s="3"/>
      <c r="AQ2664" s="3"/>
      <c r="AR2664" s="21"/>
      <c r="AS2664" s="21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</row>
    <row r="2665" spans="1:59" x14ac:dyDescent="0.3">
      <c r="A2665" s="6"/>
      <c r="B2665" s="6"/>
      <c r="C2665" s="39"/>
      <c r="D2665" s="6"/>
      <c r="E2665" s="149"/>
      <c r="F2665" s="153"/>
      <c r="G2665" s="10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5"/>
      <c r="V2665" s="5"/>
      <c r="W2665" s="13"/>
      <c r="X2665" s="4"/>
      <c r="Y2665" s="4"/>
      <c r="Z2665" s="4"/>
      <c r="AA2665" s="6"/>
      <c r="AB2665" s="5"/>
      <c r="AC2665" s="9"/>
      <c r="AD2665" s="9"/>
      <c r="AE2665" s="9"/>
      <c r="AF2665" s="9"/>
      <c r="AG2665" s="2"/>
      <c r="AH2665" s="3"/>
      <c r="AI2665" s="2"/>
      <c r="AJ2665" s="2"/>
      <c r="AK2665" s="2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</row>
    <row r="2666" spans="1:59" x14ac:dyDescent="0.3">
      <c r="A2666" s="6"/>
      <c r="B2666" s="6"/>
      <c r="C2666" s="39"/>
      <c r="D2666" s="6"/>
      <c r="E2666" s="149"/>
      <c r="F2666" s="153"/>
      <c r="G2666" s="10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12"/>
      <c r="Y2666" s="6"/>
      <c r="Z2666" s="6"/>
      <c r="AA2666" s="6"/>
      <c r="AB2666" s="6"/>
      <c r="AC2666" s="9"/>
      <c r="AD2666" s="9"/>
      <c r="AE2666" s="9"/>
      <c r="AF2666" s="9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21"/>
      <c r="AS2666" s="21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</row>
    <row r="2667" spans="1:59" ht="13.5" customHeight="1" x14ac:dyDescent="0.35">
      <c r="A2667" s="49"/>
      <c r="B2667" s="49"/>
      <c r="C2667" s="14"/>
      <c r="D2667" s="1"/>
      <c r="E2667" s="149"/>
      <c r="F2667" s="153"/>
      <c r="G2667" s="10"/>
      <c r="H2667" s="17"/>
      <c r="I2667" s="17"/>
      <c r="J2667" s="17"/>
      <c r="K2667" s="30"/>
      <c r="L2667" s="30"/>
      <c r="M2667" s="30"/>
      <c r="N2667" s="30"/>
      <c r="O2667" s="30"/>
      <c r="P2667" s="30"/>
      <c r="Q2667" s="30"/>
      <c r="R2667" s="30"/>
      <c r="S2667" s="30"/>
      <c r="T2667" s="30"/>
      <c r="U2667" s="30"/>
      <c r="V2667" s="30"/>
      <c r="W2667" s="29"/>
      <c r="X2667" s="15"/>
      <c r="Y2667" s="30"/>
      <c r="Z2667" s="30"/>
      <c r="AA2667" s="30"/>
      <c r="AB2667" s="30"/>
      <c r="AC2667" s="17"/>
      <c r="AD2667" s="17"/>
      <c r="AE2667" s="17"/>
      <c r="AF2667" s="17"/>
      <c r="AG2667" s="21"/>
      <c r="AH2667" s="21"/>
      <c r="AI2667" s="21"/>
      <c r="AJ2667" s="21"/>
      <c r="AK2667" s="21"/>
      <c r="AL2667" s="21"/>
      <c r="AM2667" s="21"/>
      <c r="AN2667" s="21"/>
      <c r="AO2667" s="22"/>
      <c r="AP2667" s="21"/>
      <c r="AQ2667" s="22"/>
      <c r="AR2667" s="21"/>
      <c r="AS2667" s="21"/>
      <c r="AT2667" s="21"/>
      <c r="AU2667" s="21"/>
      <c r="AV2667" s="21"/>
      <c r="AW2667" s="21"/>
      <c r="AX2667" s="22"/>
      <c r="AY2667" s="21"/>
      <c r="AZ2667" s="22"/>
      <c r="BA2667" s="21"/>
      <c r="BB2667" s="21"/>
      <c r="BC2667" s="21"/>
      <c r="BD2667" s="21"/>
      <c r="BE2667" s="26"/>
      <c r="BF2667" s="26"/>
      <c r="BG2667" s="62"/>
    </row>
    <row r="2668" spans="1:59" x14ac:dyDescent="0.3">
      <c r="A2668" s="6"/>
      <c r="B2668" s="6"/>
      <c r="C2668" s="39"/>
      <c r="D2668" s="6"/>
      <c r="E2668" s="149"/>
      <c r="F2668" s="153"/>
      <c r="G2668" s="10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5"/>
      <c r="V2668" s="5"/>
      <c r="W2668" s="13"/>
      <c r="X2668" s="4"/>
      <c r="Y2668" s="4"/>
      <c r="Z2668" s="4"/>
      <c r="AA2668" s="6"/>
      <c r="AB2668" s="5"/>
      <c r="AC2668" s="9"/>
      <c r="AD2668" s="9"/>
      <c r="AE2668" s="9"/>
      <c r="AF2668" s="9"/>
      <c r="AG2668" s="2"/>
      <c r="AH2668" s="3"/>
      <c r="AI2668" s="2"/>
      <c r="AJ2668" s="2"/>
      <c r="AK2668" s="2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</row>
    <row r="2669" spans="1:59" x14ac:dyDescent="0.3">
      <c r="A2669" s="6"/>
      <c r="B2669" s="6"/>
      <c r="C2669" s="39"/>
      <c r="D2669" s="6"/>
      <c r="E2669" s="149"/>
      <c r="F2669" s="153"/>
      <c r="G2669" s="10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12"/>
      <c r="Y2669" s="6"/>
      <c r="Z2669" s="6"/>
      <c r="AA2669" s="6"/>
      <c r="AB2669" s="6"/>
      <c r="AC2669" s="9"/>
      <c r="AD2669" s="9"/>
      <c r="AE2669" s="9"/>
      <c r="AF2669" s="9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21"/>
      <c r="AS2669" s="21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</row>
    <row r="2670" spans="1:59" ht="13.5" customHeight="1" x14ac:dyDescent="0.35">
      <c r="A2670" s="49"/>
      <c r="B2670" s="49"/>
      <c r="C2670" s="39"/>
      <c r="D2670" s="1"/>
      <c r="E2670" s="149"/>
      <c r="F2670" s="153"/>
      <c r="G2670" s="10"/>
      <c r="H2670" s="17"/>
      <c r="I2670" s="17"/>
      <c r="J2670" s="17"/>
      <c r="K2670" s="30"/>
      <c r="L2670" s="30"/>
      <c r="M2670" s="30"/>
      <c r="N2670" s="30"/>
      <c r="O2670" s="30"/>
      <c r="P2670" s="30"/>
      <c r="Q2670" s="30"/>
      <c r="R2670" s="30"/>
      <c r="S2670" s="30"/>
      <c r="T2670" s="30"/>
      <c r="U2670" s="30"/>
      <c r="V2670" s="30"/>
      <c r="W2670" s="29"/>
      <c r="X2670" s="15"/>
      <c r="Y2670" s="30"/>
      <c r="Z2670" s="30"/>
      <c r="AA2670" s="30"/>
      <c r="AB2670" s="30"/>
      <c r="AC2670" s="17"/>
      <c r="AD2670" s="17"/>
      <c r="AE2670" s="17"/>
      <c r="AF2670" s="17"/>
      <c r="AG2670" s="21"/>
      <c r="AH2670" s="21"/>
      <c r="AI2670" s="21"/>
      <c r="AJ2670" s="21"/>
      <c r="AK2670" s="21"/>
      <c r="AL2670" s="21"/>
      <c r="AM2670" s="21"/>
      <c r="AN2670" s="21"/>
      <c r="AO2670" s="22"/>
      <c r="AP2670" s="21"/>
      <c r="AQ2670" s="22"/>
      <c r="AR2670" s="21"/>
      <c r="AS2670" s="21"/>
      <c r="AT2670" s="21"/>
      <c r="AU2670" s="21"/>
      <c r="AV2670" s="21"/>
      <c r="AW2670" s="21"/>
      <c r="AX2670" s="22"/>
      <c r="AY2670" s="21"/>
      <c r="AZ2670" s="22"/>
      <c r="BA2670" s="21"/>
      <c r="BB2670" s="21"/>
      <c r="BC2670" s="21"/>
      <c r="BD2670" s="21"/>
      <c r="BE2670" s="26"/>
      <c r="BF2670" s="26"/>
      <c r="BG2670" s="62"/>
    </row>
    <row r="2671" spans="1:59" ht="13.5" customHeight="1" x14ac:dyDescent="0.35">
      <c r="A2671" s="49"/>
      <c r="B2671" s="49"/>
      <c r="C2671" s="39"/>
      <c r="D2671" s="1"/>
      <c r="E2671" s="149"/>
      <c r="F2671" s="153"/>
      <c r="G2671" s="10"/>
      <c r="H2671" s="17"/>
      <c r="I2671" s="17"/>
      <c r="J2671" s="17"/>
      <c r="K2671" s="30"/>
      <c r="L2671" s="30"/>
      <c r="M2671" s="30"/>
      <c r="N2671" s="30"/>
      <c r="O2671" s="30"/>
      <c r="P2671" s="30"/>
      <c r="Q2671" s="30"/>
      <c r="R2671" s="30"/>
      <c r="S2671" s="30"/>
      <c r="T2671" s="30"/>
      <c r="U2671" s="30"/>
      <c r="V2671" s="30"/>
      <c r="W2671" s="29"/>
      <c r="X2671" s="15"/>
      <c r="Y2671" s="30"/>
      <c r="Z2671" s="30"/>
      <c r="AA2671" s="30"/>
      <c r="AB2671" s="30"/>
      <c r="AC2671" s="17"/>
      <c r="AD2671" s="17"/>
      <c r="AE2671" s="17"/>
      <c r="AF2671" s="17"/>
      <c r="AG2671" s="21"/>
      <c r="AH2671" s="21"/>
      <c r="AI2671" s="21"/>
      <c r="AJ2671" s="21"/>
      <c r="AK2671" s="21"/>
      <c r="AL2671" s="21"/>
      <c r="AM2671" s="21"/>
      <c r="AN2671" s="21"/>
      <c r="AO2671" s="22"/>
      <c r="AP2671" s="21"/>
      <c r="AQ2671" s="22"/>
      <c r="AR2671" s="21"/>
      <c r="AS2671" s="21"/>
      <c r="AT2671" s="21"/>
      <c r="AU2671" s="21"/>
      <c r="AV2671" s="21"/>
      <c r="AW2671" s="21"/>
      <c r="AX2671" s="22"/>
      <c r="AY2671" s="21"/>
      <c r="AZ2671" s="22"/>
      <c r="BA2671" s="21"/>
      <c r="BB2671" s="21"/>
      <c r="BC2671" s="21"/>
      <c r="BD2671" s="21"/>
      <c r="BE2671" s="26"/>
      <c r="BF2671" s="26"/>
      <c r="BG2671" s="62"/>
    </row>
    <row r="2672" spans="1:59" ht="13.5" customHeight="1" x14ac:dyDescent="0.35">
      <c r="A2672" s="49"/>
      <c r="B2672" s="49"/>
      <c r="C2672" s="39"/>
      <c r="D2672" s="1"/>
      <c r="E2672" s="149"/>
      <c r="F2672" s="153"/>
      <c r="G2672" s="10"/>
      <c r="H2672" s="17"/>
      <c r="I2672" s="17"/>
      <c r="J2672" s="17"/>
      <c r="K2672" s="30"/>
      <c r="L2672" s="30"/>
      <c r="M2672" s="30"/>
      <c r="N2672" s="30"/>
      <c r="O2672" s="30"/>
      <c r="P2672" s="30"/>
      <c r="Q2672" s="30"/>
      <c r="R2672" s="30"/>
      <c r="S2672" s="30"/>
      <c r="T2672" s="30"/>
      <c r="U2672" s="30"/>
      <c r="V2672" s="30"/>
      <c r="W2672" s="29"/>
      <c r="X2672" s="15"/>
      <c r="Y2672" s="30"/>
      <c r="Z2672" s="30"/>
      <c r="AA2672" s="30"/>
      <c r="AB2672" s="30"/>
      <c r="AC2672" s="17"/>
      <c r="AD2672" s="17"/>
      <c r="AE2672" s="17"/>
      <c r="AF2672" s="17"/>
      <c r="AG2672" s="21"/>
      <c r="AH2672" s="21"/>
      <c r="AI2672" s="21"/>
      <c r="AJ2672" s="21"/>
      <c r="AK2672" s="21"/>
      <c r="AL2672" s="21"/>
      <c r="AM2672" s="21"/>
      <c r="AN2672" s="21"/>
      <c r="AO2672" s="22"/>
      <c r="AP2672" s="21"/>
      <c r="AQ2672" s="22"/>
      <c r="AR2672" s="21"/>
      <c r="AS2672" s="21"/>
      <c r="AT2672" s="21"/>
      <c r="AU2672" s="21"/>
      <c r="AV2672" s="21"/>
      <c r="AW2672" s="21"/>
      <c r="AX2672" s="22"/>
      <c r="AY2672" s="21"/>
      <c r="AZ2672" s="22"/>
      <c r="BA2672" s="21"/>
      <c r="BB2672" s="21"/>
      <c r="BC2672" s="21"/>
      <c r="BD2672" s="21"/>
      <c r="BE2672" s="26"/>
      <c r="BF2672" s="26"/>
      <c r="BG2672" s="62"/>
    </row>
    <row r="2673" spans="1:59" x14ac:dyDescent="0.3">
      <c r="A2673" s="6"/>
      <c r="B2673" s="6"/>
      <c r="C2673" s="39"/>
      <c r="D2673" s="6"/>
      <c r="E2673" s="149"/>
      <c r="F2673" s="153"/>
      <c r="G2673" s="10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5"/>
      <c r="V2673" s="5"/>
      <c r="W2673" s="13"/>
      <c r="X2673" s="4"/>
      <c r="Y2673" s="4"/>
      <c r="Z2673" s="4"/>
      <c r="AA2673" s="6"/>
      <c r="AB2673" s="5"/>
      <c r="AC2673" s="9"/>
      <c r="AD2673" s="9"/>
      <c r="AE2673" s="9"/>
      <c r="AF2673" s="9"/>
      <c r="AG2673" s="2"/>
      <c r="AH2673" s="3"/>
      <c r="AI2673" s="2"/>
      <c r="AJ2673" s="2"/>
      <c r="AK2673" s="2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</row>
    <row r="2674" spans="1:59" x14ac:dyDescent="0.3">
      <c r="A2674" s="6"/>
      <c r="B2674" s="6"/>
      <c r="C2674" s="39"/>
      <c r="D2674" s="6"/>
      <c r="E2674" s="149"/>
      <c r="F2674" s="153"/>
      <c r="G2674" s="10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12"/>
      <c r="Y2674" s="6"/>
      <c r="Z2674" s="6"/>
      <c r="AA2674" s="6"/>
      <c r="AB2674" s="6"/>
      <c r="AC2674" s="9"/>
      <c r="AD2674" s="9"/>
      <c r="AE2674" s="9"/>
      <c r="AF2674" s="9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21"/>
      <c r="AS2674" s="21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</row>
    <row r="2675" spans="1:59" x14ac:dyDescent="0.3">
      <c r="A2675" s="6"/>
      <c r="B2675" s="6"/>
      <c r="C2675" s="39"/>
      <c r="D2675" s="6"/>
      <c r="E2675" s="149"/>
      <c r="F2675" s="153"/>
      <c r="G2675" s="10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12"/>
      <c r="Y2675" s="6"/>
      <c r="Z2675" s="6"/>
      <c r="AA2675" s="6"/>
      <c r="AB2675" s="6"/>
      <c r="AC2675" s="9"/>
      <c r="AD2675" s="9"/>
      <c r="AE2675" s="9"/>
      <c r="AF2675" s="9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21"/>
      <c r="AS2675" s="21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</row>
    <row r="2676" spans="1:59" x14ac:dyDescent="0.3">
      <c r="A2676" s="6"/>
      <c r="B2676" s="6"/>
      <c r="C2676" s="39"/>
      <c r="D2676" s="6"/>
      <c r="E2676" s="149"/>
      <c r="F2676" s="153"/>
      <c r="G2676" s="10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5"/>
      <c r="V2676" s="5"/>
      <c r="W2676" s="13"/>
      <c r="X2676" s="4"/>
      <c r="Y2676" s="4"/>
      <c r="Z2676" s="4"/>
      <c r="AA2676" s="6"/>
      <c r="AB2676" s="5"/>
      <c r="AC2676" s="9"/>
      <c r="AD2676" s="9"/>
      <c r="AE2676" s="9"/>
      <c r="AF2676" s="9"/>
      <c r="AG2676" s="2"/>
      <c r="AH2676" s="3"/>
      <c r="AI2676" s="2"/>
      <c r="AJ2676" s="2"/>
      <c r="AK2676" s="2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</row>
    <row r="2677" spans="1:59" x14ac:dyDescent="0.3">
      <c r="A2677" s="6"/>
      <c r="B2677" s="6"/>
      <c r="C2677" s="39"/>
      <c r="D2677" s="6"/>
      <c r="E2677" s="149"/>
      <c r="F2677" s="153"/>
      <c r="G2677" s="10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5"/>
      <c r="V2677" s="5"/>
      <c r="W2677" s="13"/>
      <c r="X2677" s="4"/>
      <c r="Y2677" s="4"/>
      <c r="Z2677" s="4"/>
      <c r="AA2677" s="6"/>
      <c r="AB2677" s="5"/>
      <c r="AC2677" s="9"/>
      <c r="AD2677" s="9"/>
      <c r="AE2677" s="9"/>
      <c r="AF2677" s="9"/>
      <c r="AG2677" s="2"/>
      <c r="AH2677" s="3"/>
      <c r="AI2677" s="2"/>
      <c r="AJ2677" s="2"/>
      <c r="AK2677" s="2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</row>
    <row r="2678" spans="1:59" ht="13.5" customHeight="1" x14ac:dyDescent="0.35">
      <c r="A2678" s="49"/>
      <c r="B2678" s="49"/>
      <c r="C2678" s="39"/>
      <c r="D2678" s="1"/>
      <c r="E2678" s="149"/>
      <c r="F2678" s="153"/>
      <c r="G2678" s="10"/>
      <c r="H2678" s="17"/>
      <c r="I2678" s="17"/>
      <c r="J2678" s="17"/>
      <c r="K2678" s="30"/>
      <c r="L2678" s="30"/>
      <c r="M2678" s="30"/>
      <c r="N2678" s="30"/>
      <c r="O2678" s="30"/>
      <c r="P2678" s="30"/>
      <c r="Q2678" s="30"/>
      <c r="R2678" s="30"/>
      <c r="S2678" s="30"/>
      <c r="T2678" s="30"/>
      <c r="U2678" s="30"/>
      <c r="V2678" s="30"/>
      <c r="W2678" s="29"/>
      <c r="X2678" s="15"/>
      <c r="Y2678" s="30"/>
      <c r="Z2678" s="30"/>
      <c r="AA2678" s="30"/>
      <c r="AB2678" s="30"/>
      <c r="AC2678" s="17"/>
      <c r="AD2678" s="17"/>
      <c r="AE2678" s="17"/>
      <c r="AF2678" s="17"/>
      <c r="AG2678" s="21"/>
      <c r="AH2678" s="21"/>
      <c r="AI2678" s="21"/>
      <c r="AJ2678" s="21"/>
      <c r="AK2678" s="21"/>
      <c r="AL2678" s="21"/>
      <c r="AM2678" s="21"/>
      <c r="AN2678" s="21"/>
      <c r="AO2678" s="22"/>
      <c r="AP2678" s="21"/>
      <c r="AQ2678" s="22"/>
      <c r="AR2678" s="21"/>
      <c r="AS2678" s="21"/>
      <c r="AT2678" s="21"/>
      <c r="AU2678" s="21"/>
      <c r="AV2678" s="21"/>
      <c r="AW2678" s="21"/>
      <c r="AX2678" s="22"/>
      <c r="AY2678" s="21"/>
      <c r="AZ2678" s="22"/>
      <c r="BA2678" s="21"/>
      <c r="BB2678" s="21"/>
      <c r="BC2678" s="21"/>
      <c r="BD2678" s="21"/>
      <c r="BE2678" s="26"/>
      <c r="BF2678" s="26"/>
      <c r="BG2678" s="62"/>
    </row>
    <row r="2679" spans="1:59" x14ac:dyDescent="0.3">
      <c r="A2679" s="63"/>
      <c r="B2679" s="63"/>
      <c r="C2679" s="39"/>
      <c r="D2679" s="6"/>
      <c r="E2679" s="149"/>
      <c r="F2679" s="153"/>
      <c r="G2679" s="10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5"/>
      <c r="V2679" s="5"/>
      <c r="W2679" s="13"/>
      <c r="X2679" s="4"/>
      <c r="Y2679" s="4"/>
      <c r="Z2679" s="4"/>
      <c r="AA2679" s="6"/>
      <c r="AB2679" s="5"/>
      <c r="AC2679" s="9"/>
      <c r="AD2679" s="9"/>
      <c r="AE2679" s="9"/>
      <c r="AF2679" s="9"/>
      <c r="AG2679" s="64"/>
      <c r="AH2679" s="3"/>
      <c r="AI2679" s="2"/>
      <c r="AJ2679" s="2"/>
      <c r="AK2679" s="2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</row>
    <row r="2680" spans="1:59" x14ac:dyDescent="0.3">
      <c r="A2680" s="63"/>
      <c r="B2680" s="63"/>
      <c r="C2680" s="39"/>
      <c r="D2680" s="6"/>
      <c r="E2680" s="149"/>
      <c r="F2680" s="153"/>
      <c r="G2680" s="10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5"/>
      <c r="V2680" s="5"/>
      <c r="W2680" s="13"/>
      <c r="X2680" s="4"/>
      <c r="Y2680" s="4"/>
      <c r="Z2680" s="4"/>
      <c r="AA2680" s="6"/>
      <c r="AB2680" s="5"/>
      <c r="AC2680" s="9"/>
      <c r="AD2680" s="9"/>
      <c r="AE2680" s="9"/>
      <c r="AF2680" s="9"/>
      <c r="AG2680" s="64"/>
      <c r="AH2680" s="3"/>
      <c r="AI2680" s="2"/>
      <c r="AJ2680" s="2"/>
      <c r="AK2680" s="2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</row>
    <row r="2681" spans="1:59" x14ac:dyDescent="0.3">
      <c r="A2681" s="6"/>
      <c r="B2681" s="6"/>
      <c r="C2681" s="39"/>
      <c r="D2681" s="6"/>
      <c r="E2681" s="149"/>
      <c r="F2681" s="153"/>
      <c r="G2681" s="10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5"/>
      <c r="V2681" s="5"/>
      <c r="W2681" s="13"/>
      <c r="X2681" s="4"/>
      <c r="Y2681" s="4"/>
      <c r="Z2681" s="4"/>
      <c r="AA2681" s="6"/>
      <c r="AB2681" s="5"/>
      <c r="AC2681" s="9"/>
      <c r="AD2681" s="9"/>
      <c r="AE2681" s="9"/>
      <c r="AF2681" s="9"/>
      <c r="AG2681" s="2"/>
      <c r="AH2681" s="3"/>
      <c r="AI2681" s="2"/>
      <c r="AJ2681" s="2"/>
      <c r="AK2681" s="2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</row>
    <row r="2682" spans="1:59" ht="13.5" customHeight="1" x14ac:dyDescent="0.35">
      <c r="A2682" s="49"/>
      <c r="B2682" s="49"/>
      <c r="C2682" s="14"/>
      <c r="D2682" s="1"/>
      <c r="E2682" s="149"/>
      <c r="F2682" s="153"/>
      <c r="G2682" s="10"/>
      <c r="H2682" s="17"/>
      <c r="I2682" s="17"/>
      <c r="J2682" s="17"/>
      <c r="K2682" s="30"/>
      <c r="L2682" s="30"/>
      <c r="M2682" s="30"/>
      <c r="N2682" s="30"/>
      <c r="O2682" s="30"/>
      <c r="P2682" s="30"/>
      <c r="Q2682" s="30"/>
      <c r="R2682" s="30"/>
      <c r="S2682" s="30"/>
      <c r="T2682" s="30"/>
      <c r="U2682" s="30"/>
      <c r="V2682" s="30"/>
      <c r="W2682" s="29"/>
      <c r="X2682" s="15"/>
      <c r="Y2682" s="30"/>
      <c r="Z2682" s="30"/>
      <c r="AA2682" s="30"/>
      <c r="AB2682" s="30"/>
      <c r="AC2682" s="17"/>
      <c r="AD2682" s="17"/>
      <c r="AE2682" s="17"/>
      <c r="AF2682" s="17"/>
      <c r="AG2682" s="21"/>
      <c r="AH2682" s="21"/>
      <c r="AI2682" s="21"/>
      <c r="AJ2682" s="21"/>
      <c r="AK2682" s="21"/>
      <c r="AL2682" s="21"/>
      <c r="AM2682" s="21"/>
      <c r="AN2682" s="21"/>
      <c r="AO2682" s="22"/>
      <c r="AP2682" s="21"/>
      <c r="AQ2682" s="22"/>
      <c r="AR2682" s="21"/>
      <c r="AS2682" s="21"/>
      <c r="AT2682" s="21"/>
      <c r="AU2682" s="21"/>
      <c r="AV2682" s="21"/>
      <c r="AW2682" s="21"/>
      <c r="AX2682" s="22"/>
      <c r="AY2682" s="21"/>
      <c r="AZ2682" s="22"/>
      <c r="BA2682" s="21"/>
      <c r="BB2682" s="21"/>
      <c r="BC2682" s="21"/>
      <c r="BD2682" s="21"/>
      <c r="BE2682" s="26"/>
      <c r="BF2682" s="26"/>
      <c r="BG2682" s="62"/>
    </row>
    <row r="2683" spans="1:59" ht="13.5" customHeight="1" x14ac:dyDescent="0.35">
      <c r="A2683" s="49"/>
      <c r="B2683" s="49"/>
      <c r="C2683" s="14"/>
      <c r="D2683" s="1"/>
      <c r="E2683" s="149"/>
      <c r="F2683" s="153"/>
      <c r="G2683" s="10"/>
      <c r="H2683" s="17"/>
      <c r="I2683" s="17"/>
      <c r="J2683" s="17"/>
      <c r="K2683" s="30"/>
      <c r="L2683" s="30"/>
      <c r="M2683" s="30"/>
      <c r="N2683" s="30"/>
      <c r="O2683" s="30"/>
      <c r="P2683" s="30"/>
      <c r="Q2683" s="30"/>
      <c r="R2683" s="30"/>
      <c r="S2683" s="30"/>
      <c r="T2683" s="30"/>
      <c r="U2683" s="30"/>
      <c r="V2683" s="30"/>
      <c r="W2683" s="29"/>
      <c r="X2683" s="15"/>
      <c r="Y2683" s="30"/>
      <c r="Z2683" s="30"/>
      <c r="AA2683" s="30"/>
      <c r="AB2683" s="30"/>
      <c r="AC2683" s="17"/>
      <c r="AD2683" s="17"/>
      <c r="AE2683" s="17"/>
      <c r="AF2683" s="17"/>
      <c r="AG2683" s="21"/>
      <c r="AH2683" s="21"/>
      <c r="AI2683" s="21"/>
      <c r="AJ2683" s="21"/>
      <c r="AK2683" s="21"/>
      <c r="AL2683" s="21"/>
      <c r="AM2683" s="21"/>
      <c r="AN2683" s="21"/>
      <c r="AO2683" s="22"/>
      <c r="AP2683" s="21"/>
      <c r="AQ2683" s="22"/>
      <c r="AR2683" s="21"/>
      <c r="AS2683" s="21"/>
      <c r="AT2683" s="21"/>
      <c r="AU2683" s="21"/>
      <c r="AV2683" s="21"/>
      <c r="AW2683" s="21"/>
      <c r="AX2683" s="22"/>
      <c r="AY2683" s="21"/>
      <c r="AZ2683" s="22"/>
      <c r="BA2683" s="21"/>
      <c r="BB2683" s="21"/>
      <c r="BC2683" s="21"/>
      <c r="BD2683" s="21"/>
      <c r="BE2683" s="26"/>
      <c r="BF2683" s="26"/>
      <c r="BG2683" s="62"/>
    </row>
    <row r="2684" spans="1:59" x14ac:dyDescent="0.3">
      <c r="A2684" s="63"/>
      <c r="B2684" s="63"/>
      <c r="C2684" s="39"/>
      <c r="D2684" s="6"/>
      <c r="E2684" s="149"/>
      <c r="F2684" s="153"/>
      <c r="G2684" s="10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5"/>
      <c r="V2684" s="5"/>
      <c r="W2684" s="13"/>
      <c r="X2684" s="4"/>
      <c r="Y2684" s="4"/>
      <c r="Z2684" s="4"/>
      <c r="AA2684" s="6"/>
      <c r="AB2684" s="5"/>
      <c r="AC2684" s="9"/>
      <c r="AD2684" s="9"/>
      <c r="AE2684" s="9"/>
      <c r="AF2684" s="9"/>
      <c r="AG2684" s="64"/>
      <c r="AH2684" s="3"/>
      <c r="AI2684" s="2"/>
      <c r="AJ2684" s="2"/>
      <c r="AK2684" s="2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</row>
    <row r="2685" spans="1:59" x14ac:dyDescent="0.3">
      <c r="A2685" s="63"/>
      <c r="B2685" s="63"/>
      <c r="C2685" s="39"/>
      <c r="D2685" s="6"/>
      <c r="E2685" s="149"/>
      <c r="F2685" s="153"/>
      <c r="G2685" s="10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5"/>
      <c r="V2685" s="5"/>
      <c r="W2685" s="13"/>
      <c r="X2685" s="4"/>
      <c r="Y2685" s="4"/>
      <c r="Z2685" s="4"/>
      <c r="AA2685" s="6"/>
      <c r="AB2685" s="5"/>
      <c r="AC2685" s="9"/>
      <c r="AD2685" s="9"/>
      <c r="AE2685" s="9"/>
      <c r="AF2685" s="9"/>
      <c r="AG2685" s="64"/>
      <c r="AH2685" s="3"/>
      <c r="AI2685" s="2"/>
      <c r="AJ2685" s="2"/>
      <c r="AK2685" s="2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</row>
    <row r="2686" spans="1:59" ht="13.5" customHeight="1" x14ac:dyDescent="0.3">
      <c r="A2686" s="6"/>
      <c r="B2686" s="6"/>
      <c r="C2686" s="39"/>
      <c r="D2686" s="6"/>
      <c r="E2686" s="149"/>
      <c r="F2686" s="153"/>
      <c r="G2686" s="10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5"/>
      <c r="V2686" s="5"/>
      <c r="W2686" s="13"/>
      <c r="X2686" s="4"/>
      <c r="Y2686" s="4"/>
      <c r="Z2686" s="4"/>
      <c r="AA2686" s="6"/>
      <c r="AB2686" s="5"/>
      <c r="AC2686" s="9"/>
      <c r="AD2686" s="9"/>
      <c r="AE2686" s="9"/>
      <c r="AF2686" s="9"/>
      <c r="AG2686" s="2"/>
      <c r="AH2686" s="3"/>
      <c r="AI2686" s="2"/>
      <c r="AJ2686" s="2"/>
      <c r="AK2686" s="2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</row>
    <row r="2687" spans="1:59" ht="13.5" customHeight="1" x14ac:dyDescent="0.35">
      <c r="A2687" s="49"/>
      <c r="B2687" s="49"/>
      <c r="C2687" s="39"/>
      <c r="D2687" s="1"/>
      <c r="E2687" s="149"/>
      <c r="F2687" s="153"/>
      <c r="G2687" s="10"/>
      <c r="H2687" s="17"/>
      <c r="I2687" s="17"/>
      <c r="J2687" s="17"/>
      <c r="K2687" s="30"/>
      <c r="L2687" s="30"/>
      <c r="M2687" s="30"/>
      <c r="N2687" s="30"/>
      <c r="O2687" s="30"/>
      <c r="P2687" s="30"/>
      <c r="Q2687" s="30"/>
      <c r="R2687" s="30"/>
      <c r="S2687" s="30"/>
      <c r="T2687" s="30"/>
      <c r="U2687" s="30"/>
      <c r="V2687" s="30"/>
      <c r="W2687" s="29"/>
      <c r="X2687" s="15"/>
      <c r="Y2687" s="30"/>
      <c r="Z2687" s="30"/>
      <c r="AA2687" s="30"/>
      <c r="AB2687" s="30"/>
      <c r="AC2687" s="17"/>
      <c r="AD2687" s="17"/>
      <c r="AE2687" s="17"/>
      <c r="AF2687" s="17"/>
      <c r="AG2687" s="21"/>
      <c r="AH2687" s="21"/>
      <c r="AI2687" s="21"/>
      <c r="AJ2687" s="21"/>
      <c r="AK2687" s="21"/>
      <c r="AL2687" s="21"/>
      <c r="AM2687" s="21"/>
      <c r="AN2687" s="21"/>
      <c r="AO2687" s="22"/>
      <c r="AP2687" s="21"/>
      <c r="AQ2687" s="22"/>
      <c r="AR2687" s="21"/>
      <c r="AS2687" s="21"/>
      <c r="AT2687" s="21"/>
      <c r="AU2687" s="21"/>
      <c r="AV2687" s="21"/>
      <c r="AW2687" s="21"/>
      <c r="AX2687" s="22"/>
      <c r="AY2687" s="21"/>
      <c r="AZ2687" s="22"/>
      <c r="BA2687" s="21"/>
      <c r="BB2687" s="21"/>
      <c r="BC2687" s="21"/>
      <c r="BD2687" s="21"/>
      <c r="BE2687" s="26"/>
      <c r="BF2687" s="26"/>
      <c r="BG2687" s="62"/>
    </row>
    <row r="2688" spans="1:59" ht="13.5" customHeight="1" x14ac:dyDescent="0.35">
      <c r="A2688" s="49"/>
      <c r="B2688" s="49"/>
      <c r="C2688" s="14"/>
      <c r="D2688" s="1"/>
      <c r="E2688" s="149"/>
      <c r="F2688" s="153"/>
      <c r="G2688" s="10"/>
      <c r="H2688" s="17"/>
      <c r="I2688" s="17"/>
      <c r="J2688" s="17"/>
      <c r="K2688" s="30"/>
      <c r="L2688" s="30"/>
      <c r="M2688" s="30"/>
      <c r="N2688" s="30"/>
      <c r="O2688" s="30"/>
      <c r="P2688" s="30"/>
      <c r="Q2688" s="30"/>
      <c r="R2688" s="30"/>
      <c r="S2688" s="30"/>
      <c r="T2688" s="30"/>
      <c r="U2688" s="30"/>
      <c r="V2688" s="30"/>
      <c r="W2688" s="29"/>
      <c r="X2688" s="15"/>
      <c r="Y2688" s="30"/>
      <c r="Z2688" s="30"/>
      <c r="AA2688" s="30"/>
      <c r="AB2688" s="30"/>
      <c r="AC2688" s="17"/>
      <c r="AD2688" s="17"/>
      <c r="AE2688" s="17"/>
      <c r="AF2688" s="17"/>
      <c r="AG2688" s="21"/>
      <c r="AH2688" s="21"/>
      <c r="AI2688" s="21"/>
      <c r="AJ2688" s="21"/>
      <c r="AK2688" s="21"/>
      <c r="AL2688" s="21"/>
      <c r="AM2688" s="21"/>
      <c r="AN2688" s="21"/>
      <c r="AO2688" s="22"/>
      <c r="AP2688" s="21"/>
      <c r="AQ2688" s="22"/>
      <c r="AR2688" s="21"/>
      <c r="AS2688" s="21"/>
      <c r="AT2688" s="21"/>
      <c r="AU2688" s="21"/>
      <c r="AV2688" s="21"/>
      <c r="AW2688" s="21"/>
      <c r="AX2688" s="22"/>
      <c r="AY2688" s="21"/>
      <c r="AZ2688" s="22"/>
      <c r="BA2688" s="21"/>
      <c r="BB2688" s="21"/>
      <c r="BC2688" s="21"/>
      <c r="BD2688" s="21"/>
      <c r="BE2688" s="26"/>
      <c r="BF2688" s="26"/>
      <c r="BG2688" s="62"/>
    </row>
    <row r="2689" spans="1:59" ht="13.5" customHeight="1" x14ac:dyDescent="0.35">
      <c r="A2689" s="49"/>
      <c r="B2689" s="49"/>
      <c r="C2689" s="39"/>
      <c r="D2689" s="1"/>
      <c r="E2689" s="149"/>
      <c r="F2689" s="153"/>
      <c r="G2689" s="10"/>
      <c r="H2689" s="17"/>
      <c r="I2689" s="17"/>
      <c r="J2689" s="17"/>
      <c r="K2689" s="30"/>
      <c r="L2689" s="30"/>
      <c r="M2689" s="30"/>
      <c r="N2689" s="30"/>
      <c r="O2689" s="30"/>
      <c r="P2689" s="30"/>
      <c r="Q2689" s="30"/>
      <c r="R2689" s="30"/>
      <c r="S2689" s="30"/>
      <c r="T2689" s="30"/>
      <c r="U2689" s="30"/>
      <c r="V2689" s="30"/>
      <c r="W2689" s="29"/>
      <c r="X2689" s="15"/>
      <c r="Y2689" s="30"/>
      <c r="Z2689" s="30"/>
      <c r="AA2689" s="30"/>
      <c r="AB2689" s="30"/>
      <c r="AC2689" s="17"/>
      <c r="AD2689" s="17"/>
      <c r="AE2689" s="17"/>
      <c r="AF2689" s="17"/>
      <c r="AG2689" s="21"/>
      <c r="AH2689" s="21"/>
      <c r="AI2689" s="21"/>
      <c r="AJ2689" s="21"/>
      <c r="AK2689" s="21"/>
      <c r="AL2689" s="21"/>
      <c r="AM2689" s="21"/>
      <c r="AN2689" s="21"/>
      <c r="AO2689" s="22"/>
      <c r="AP2689" s="21"/>
      <c r="AQ2689" s="22"/>
      <c r="AR2689" s="21"/>
      <c r="AS2689" s="21"/>
      <c r="AT2689" s="21"/>
      <c r="AU2689" s="21"/>
      <c r="AV2689" s="21"/>
      <c r="AW2689" s="21"/>
      <c r="AX2689" s="22"/>
      <c r="AY2689" s="21"/>
      <c r="AZ2689" s="22"/>
      <c r="BA2689" s="21"/>
      <c r="BB2689" s="21"/>
      <c r="BC2689" s="21"/>
      <c r="BD2689" s="21"/>
      <c r="BE2689" s="26"/>
      <c r="BF2689" s="26"/>
      <c r="BG2689" s="62"/>
    </row>
    <row r="2690" spans="1:59" x14ac:dyDescent="0.3">
      <c r="A2690" s="63"/>
      <c r="B2690" s="63"/>
      <c r="C2690" s="39"/>
      <c r="D2690" s="6"/>
      <c r="E2690" s="149"/>
      <c r="F2690" s="153"/>
      <c r="G2690" s="10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5"/>
      <c r="V2690" s="5"/>
      <c r="W2690" s="13"/>
      <c r="X2690" s="4"/>
      <c r="Y2690" s="4"/>
      <c r="Z2690" s="4"/>
      <c r="AA2690" s="6"/>
      <c r="AB2690" s="5"/>
      <c r="AC2690" s="9"/>
      <c r="AD2690" s="9"/>
      <c r="AE2690" s="9"/>
      <c r="AF2690" s="9"/>
      <c r="AG2690" s="64"/>
      <c r="AH2690" s="3"/>
      <c r="AI2690" s="2"/>
      <c r="AJ2690" s="2"/>
      <c r="AK2690" s="2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</row>
    <row r="2691" spans="1:59" x14ac:dyDescent="0.3">
      <c r="A2691" s="6"/>
      <c r="B2691" s="6"/>
      <c r="C2691" s="39"/>
      <c r="D2691" s="6"/>
      <c r="E2691" s="149"/>
      <c r="F2691" s="153"/>
      <c r="G2691" s="10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12"/>
      <c r="Y2691" s="6"/>
      <c r="Z2691" s="6"/>
      <c r="AA2691" s="6"/>
      <c r="AB2691" s="6"/>
      <c r="AC2691" s="9"/>
      <c r="AD2691" s="9"/>
      <c r="AE2691" s="9"/>
      <c r="AF2691" s="9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21"/>
      <c r="AS2691" s="21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</row>
    <row r="2692" spans="1:59" x14ac:dyDescent="0.3">
      <c r="A2692" s="6"/>
      <c r="B2692" s="6"/>
      <c r="C2692" s="39"/>
      <c r="D2692" s="6"/>
      <c r="E2692" s="149"/>
      <c r="F2692" s="153"/>
      <c r="G2692" s="10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12"/>
      <c r="Y2692" s="6"/>
      <c r="Z2692" s="6"/>
      <c r="AA2692" s="6"/>
      <c r="AB2692" s="6"/>
      <c r="AC2692" s="9"/>
      <c r="AD2692" s="9"/>
      <c r="AE2692" s="9"/>
      <c r="AF2692" s="9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21"/>
      <c r="AS2692" s="21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</row>
    <row r="2693" spans="1:59" x14ac:dyDescent="0.3">
      <c r="A2693" s="6"/>
      <c r="B2693" s="6"/>
      <c r="C2693" s="39"/>
      <c r="D2693" s="6"/>
      <c r="E2693" s="149"/>
      <c r="F2693" s="153"/>
      <c r="G2693" s="10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5"/>
      <c r="V2693" s="5"/>
      <c r="W2693" s="13"/>
      <c r="X2693" s="4"/>
      <c r="Y2693" s="4"/>
      <c r="Z2693" s="4"/>
      <c r="AA2693" s="6"/>
      <c r="AB2693" s="5"/>
      <c r="AC2693" s="9"/>
      <c r="AD2693" s="9"/>
      <c r="AE2693" s="9"/>
      <c r="AF2693" s="9"/>
      <c r="AG2693" s="2"/>
      <c r="AH2693" s="3"/>
      <c r="AI2693" s="2"/>
      <c r="AJ2693" s="2"/>
      <c r="AK2693" s="2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</row>
    <row r="2694" spans="1:59" ht="13.5" customHeight="1" x14ac:dyDescent="0.35">
      <c r="A2694" s="49"/>
      <c r="B2694" s="49"/>
      <c r="C2694" s="14"/>
      <c r="D2694" s="1"/>
      <c r="E2694" s="149"/>
      <c r="F2694" s="153"/>
      <c r="G2694" s="10"/>
      <c r="H2694" s="17"/>
      <c r="I2694" s="17"/>
      <c r="J2694" s="17"/>
      <c r="K2694" s="30"/>
      <c r="L2694" s="30"/>
      <c r="M2694" s="30"/>
      <c r="N2694" s="30"/>
      <c r="O2694" s="30"/>
      <c r="P2694" s="30"/>
      <c r="Q2694" s="30"/>
      <c r="R2694" s="30"/>
      <c r="S2694" s="30"/>
      <c r="T2694" s="30"/>
      <c r="U2694" s="30"/>
      <c r="V2694" s="30"/>
      <c r="W2694" s="29"/>
      <c r="X2694" s="15"/>
      <c r="Y2694" s="30"/>
      <c r="Z2694" s="30"/>
      <c r="AA2694" s="30"/>
      <c r="AB2694" s="30"/>
      <c r="AC2694" s="17"/>
      <c r="AD2694" s="17"/>
      <c r="AE2694" s="17"/>
      <c r="AF2694" s="17"/>
      <c r="AG2694" s="21"/>
      <c r="AH2694" s="21"/>
      <c r="AI2694" s="21"/>
      <c r="AJ2694" s="21"/>
      <c r="AK2694" s="21"/>
      <c r="AL2694" s="21"/>
      <c r="AM2694" s="21"/>
      <c r="AN2694" s="21"/>
      <c r="AO2694" s="22"/>
      <c r="AP2694" s="21"/>
      <c r="AQ2694" s="22"/>
      <c r="AR2694" s="21"/>
      <c r="AS2694" s="21"/>
      <c r="AT2694" s="21"/>
      <c r="AU2694" s="21"/>
      <c r="AV2694" s="21"/>
      <c r="AW2694" s="21"/>
      <c r="AX2694" s="22"/>
      <c r="AY2694" s="21"/>
      <c r="AZ2694" s="22"/>
      <c r="BA2694" s="21"/>
      <c r="BB2694" s="21"/>
      <c r="BC2694" s="21"/>
      <c r="BD2694" s="21"/>
      <c r="BE2694" s="26"/>
      <c r="BF2694" s="26"/>
      <c r="BG2694" s="62"/>
    </row>
    <row r="2695" spans="1:59" x14ac:dyDescent="0.3">
      <c r="A2695" s="6"/>
      <c r="B2695" s="6"/>
      <c r="C2695" s="39"/>
      <c r="D2695" s="6"/>
      <c r="E2695" s="149"/>
      <c r="F2695" s="153"/>
      <c r="G2695" s="10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12"/>
      <c r="Y2695" s="6"/>
      <c r="Z2695" s="6"/>
      <c r="AA2695" s="6"/>
      <c r="AB2695" s="6"/>
      <c r="AC2695" s="9"/>
      <c r="AD2695" s="9"/>
      <c r="AE2695" s="9"/>
      <c r="AF2695" s="9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</row>
    <row r="2696" spans="1:59" ht="13.5" customHeight="1" x14ac:dyDescent="0.35">
      <c r="A2696" s="49"/>
      <c r="B2696" s="49"/>
      <c r="C2696" s="14"/>
      <c r="D2696" s="1"/>
      <c r="E2696" s="149"/>
      <c r="F2696" s="153"/>
      <c r="G2696" s="10"/>
      <c r="H2696" s="17"/>
      <c r="I2696" s="17"/>
      <c r="J2696" s="17"/>
      <c r="K2696" s="30"/>
      <c r="L2696" s="30"/>
      <c r="M2696" s="30"/>
      <c r="N2696" s="30"/>
      <c r="O2696" s="30"/>
      <c r="P2696" s="30"/>
      <c r="Q2696" s="30"/>
      <c r="R2696" s="30"/>
      <c r="S2696" s="30"/>
      <c r="T2696" s="30"/>
      <c r="U2696" s="30"/>
      <c r="V2696" s="30"/>
      <c r="W2696" s="29"/>
      <c r="X2696" s="15"/>
      <c r="Y2696" s="30"/>
      <c r="Z2696" s="30"/>
      <c r="AA2696" s="30"/>
      <c r="AB2696" s="30"/>
      <c r="AC2696" s="17"/>
      <c r="AD2696" s="17"/>
      <c r="AE2696" s="17"/>
      <c r="AF2696" s="17"/>
      <c r="AG2696" s="21"/>
      <c r="AH2696" s="21"/>
      <c r="AI2696" s="21"/>
      <c r="AJ2696" s="21"/>
      <c r="AK2696" s="21"/>
      <c r="AL2696" s="21"/>
      <c r="AM2696" s="21"/>
      <c r="AN2696" s="21"/>
      <c r="AO2696" s="22"/>
      <c r="AP2696" s="21"/>
      <c r="AQ2696" s="22"/>
      <c r="AR2696" s="21"/>
      <c r="AS2696" s="21"/>
      <c r="AT2696" s="21"/>
      <c r="AU2696" s="21"/>
      <c r="AV2696" s="21"/>
      <c r="AW2696" s="21"/>
      <c r="AX2696" s="22"/>
      <c r="AY2696" s="21"/>
      <c r="AZ2696" s="22"/>
      <c r="BA2696" s="21"/>
      <c r="BB2696" s="21"/>
      <c r="BC2696" s="21"/>
      <c r="BD2696" s="21"/>
      <c r="BE2696" s="26"/>
      <c r="BF2696" s="26"/>
      <c r="BG2696" s="62"/>
    </row>
    <row r="2697" spans="1:59" ht="13.5" customHeight="1" x14ac:dyDescent="0.35">
      <c r="A2697" s="49"/>
      <c r="B2697" s="49"/>
      <c r="C2697" s="14"/>
      <c r="D2697" s="1"/>
      <c r="E2697" s="149"/>
      <c r="F2697" s="153"/>
      <c r="G2697" s="10"/>
      <c r="H2697" s="17"/>
      <c r="I2697" s="17"/>
      <c r="J2697" s="17"/>
      <c r="K2697" s="30"/>
      <c r="L2697" s="30"/>
      <c r="M2697" s="30"/>
      <c r="N2697" s="30"/>
      <c r="O2697" s="30"/>
      <c r="P2697" s="30"/>
      <c r="Q2697" s="30"/>
      <c r="R2697" s="30"/>
      <c r="S2697" s="30"/>
      <c r="T2697" s="30"/>
      <c r="U2697" s="30"/>
      <c r="V2697" s="30"/>
      <c r="W2697" s="29"/>
      <c r="X2697" s="15"/>
      <c r="Y2697" s="30"/>
      <c r="Z2697" s="30"/>
      <c r="AA2697" s="30"/>
      <c r="AB2697" s="30"/>
      <c r="AC2697" s="17"/>
      <c r="AD2697" s="17"/>
      <c r="AE2697" s="17"/>
      <c r="AF2697" s="17"/>
      <c r="AG2697" s="21"/>
      <c r="AH2697" s="21"/>
      <c r="AI2697" s="21"/>
      <c r="AJ2697" s="21"/>
      <c r="AK2697" s="21"/>
      <c r="AL2697" s="21"/>
      <c r="AM2697" s="21"/>
      <c r="AN2697" s="21"/>
      <c r="AO2697" s="22"/>
      <c r="AP2697" s="21"/>
      <c r="AQ2697" s="22"/>
      <c r="AR2697" s="21"/>
      <c r="AS2697" s="21"/>
      <c r="AT2697" s="21"/>
      <c r="AU2697" s="21"/>
      <c r="AV2697" s="21"/>
      <c r="AW2697" s="21"/>
      <c r="AX2697" s="22"/>
      <c r="AY2697" s="21"/>
      <c r="AZ2697" s="22"/>
      <c r="BA2697" s="21"/>
      <c r="BB2697" s="21"/>
      <c r="BC2697" s="21"/>
      <c r="BD2697" s="21"/>
      <c r="BE2697" s="26"/>
      <c r="BF2697" s="26"/>
      <c r="BG2697" s="62"/>
    </row>
    <row r="2698" spans="1:59" x14ac:dyDescent="0.3">
      <c r="A2698" s="6"/>
      <c r="B2698" s="6"/>
      <c r="C2698" s="39"/>
      <c r="D2698" s="6"/>
      <c r="E2698" s="149"/>
      <c r="F2698" s="153"/>
      <c r="G2698" s="10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12"/>
      <c r="Y2698" s="6"/>
      <c r="Z2698" s="6"/>
      <c r="AA2698" s="6"/>
      <c r="AB2698" s="6"/>
      <c r="AC2698" s="9"/>
      <c r="AD2698" s="9"/>
      <c r="AE2698" s="9"/>
      <c r="AF2698" s="9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21"/>
      <c r="AS2698" s="21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</row>
    <row r="2699" spans="1:59" ht="15" x14ac:dyDescent="0.35">
      <c r="A2699" s="63"/>
      <c r="B2699" s="63"/>
      <c r="C2699" s="39"/>
      <c r="D2699" s="6"/>
      <c r="E2699" s="149"/>
      <c r="F2699" s="153"/>
      <c r="G2699" s="10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5"/>
      <c r="V2699" s="5"/>
      <c r="W2699" s="13"/>
      <c r="X2699" s="4"/>
      <c r="Y2699" s="4"/>
      <c r="Z2699" s="4"/>
      <c r="AA2699" s="6"/>
      <c r="AB2699" s="5"/>
      <c r="AC2699" s="9"/>
      <c r="AD2699" s="9"/>
      <c r="AE2699" s="9"/>
      <c r="AF2699" s="9"/>
      <c r="AG2699" s="64"/>
      <c r="AH2699" s="3"/>
      <c r="AI2699" s="2"/>
      <c r="AJ2699" s="2"/>
      <c r="AK2699" s="2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65"/>
    </row>
    <row r="2700" spans="1:59" x14ac:dyDescent="0.3">
      <c r="A2700" s="6"/>
      <c r="B2700" s="6"/>
      <c r="C2700" s="39"/>
      <c r="D2700" s="6"/>
      <c r="E2700" s="149"/>
      <c r="F2700" s="153"/>
      <c r="G2700" s="10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12"/>
      <c r="Y2700" s="6"/>
      <c r="Z2700" s="6"/>
      <c r="AA2700" s="6"/>
      <c r="AB2700" s="6"/>
      <c r="AC2700" s="9"/>
      <c r="AD2700" s="9"/>
      <c r="AE2700" s="9"/>
      <c r="AF2700" s="9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</row>
    <row r="2701" spans="1:59" ht="13.5" customHeight="1" x14ac:dyDescent="0.35">
      <c r="A2701" s="49"/>
      <c r="B2701" s="49"/>
      <c r="C2701" s="14"/>
      <c r="D2701" s="1"/>
      <c r="E2701" s="149"/>
      <c r="F2701" s="153"/>
      <c r="G2701" s="10"/>
      <c r="H2701" s="17"/>
      <c r="I2701" s="17"/>
      <c r="J2701" s="17"/>
      <c r="K2701" s="30"/>
      <c r="L2701" s="30"/>
      <c r="M2701" s="30"/>
      <c r="N2701" s="30"/>
      <c r="O2701" s="30"/>
      <c r="P2701" s="30"/>
      <c r="Q2701" s="30"/>
      <c r="R2701" s="30"/>
      <c r="S2701" s="30"/>
      <c r="T2701" s="30"/>
      <c r="U2701" s="30"/>
      <c r="V2701" s="30"/>
      <c r="W2701" s="29"/>
      <c r="X2701" s="15"/>
      <c r="Y2701" s="30"/>
      <c r="Z2701" s="30"/>
      <c r="AA2701" s="30"/>
      <c r="AB2701" s="30"/>
      <c r="AC2701" s="17"/>
      <c r="AD2701" s="17"/>
      <c r="AE2701" s="17"/>
      <c r="AF2701" s="17"/>
      <c r="AG2701" s="21"/>
      <c r="AH2701" s="21"/>
      <c r="AI2701" s="21"/>
      <c r="AJ2701" s="21"/>
      <c r="AK2701" s="21"/>
      <c r="AL2701" s="21"/>
      <c r="AM2701" s="21"/>
      <c r="AN2701" s="21"/>
      <c r="AO2701" s="22"/>
      <c r="AP2701" s="21"/>
      <c r="AQ2701" s="22"/>
      <c r="AR2701" s="21"/>
      <c r="AS2701" s="21"/>
      <c r="AT2701" s="21"/>
      <c r="AU2701" s="21"/>
      <c r="AV2701" s="21"/>
      <c r="AW2701" s="21"/>
      <c r="AX2701" s="22"/>
      <c r="AY2701" s="21"/>
      <c r="AZ2701" s="22"/>
      <c r="BA2701" s="21"/>
      <c r="BB2701" s="21"/>
      <c r="BC2701" s="21"/>
      <c r="BD2701" s="21"/>
      <c r="BE2701" s="26"/>
      <c r="BF2701" s="26"/>
      <c r="BG2701" s="62"/>
    </row>
    <row r="2702" spans="1:59" ht="13.5" customHeight="1" x14ac:dyDescent="0.35">
      <c r="A2702" s="49"/>
      <c r="B2702" s="49"/>
      <c r="C2702" s="14"/>
      <c r="D2702" s="1"/>
      <c r="E2702" s="149"/>
      <c r="F2702" s="153"/>
      <c r="G2702" s="10"/>
      <c r="H2702" s="17"/>
      <c r="I2702" s="17"/>
      <c r="J2702" s="17"/>
      <c r="K2702" s="30"/>
      <c r="L2702" s="30"/>
      <c r="M2702" s="30"/>
      <c r="N2702" s="30"/>
      <c r="O2702" s="30"/>
      <c r="P2702" s="30"/>
      <c r="Q2702" s="30"/>
      <c r="R2702" s="30"/>
      <c r="S2702" s="30"/>
      <c r="T2702" s="30"/>
      <c r="U2702" s="30"/>
      <c r="V2702" s="30"/>
      <c r="W2702" s="29"/>
      <c r="X2702" s="15"/>
      <c r="Y2702" s="30"/>
      <c r="Z2702" s="30"/>
      <c r="AA2702" s="30"/>
      <c r="AB2702" s="30"/>
      <c r="AC2702" s="17"/>
      <c r="AD2702" s="17"/>
      <c r="AE2702" s="17"/>
      <c r="AF2702" s="17"/>
      <c r="AG2702" s="21"/>
      <c r="AH2702" s="21"/>
      <c r="AI2702" s="21"/>
      <c r="AJ2702" s="21"/>
      <c r="AK2702" s="21"/>
      <c r="AL2702" s="21"/>
      <c r="AM2702" s="21"/>
      <c r="AN2702" s="21"/>
      <c r="AO2702" s="22"/>
      <c r="AP2702" s="21"/>
      <c r="AQ2702" s="22"/>
      <c r="AR2702" s="21"/>
      <c r="AS2702" s="21"/>
      <c r="AT2702" s="21"/>
      <c r="AU2702" s="21"/>
      <c r="AV2702" s="21"/>
      <c r="AW2702" s="21"/>
      <c r="AX2702" s="22"/>
      <c r="AY2702" s="21"/>
      <c r="AZ2702" s="22"/>
      <c r="BA2702" s="21"/>
      <c r="BB2702" s="21"/>
      <c r="BC2702" s="21"/>
      <c r="BD2702" s="21"/>
      <c r="BE2702" s="26"/>
      <c r="BF2702" s="26"/>
      <c r="BG2702" s="62"/>
    </row>
    <row r="2703" spans="1:59" ht="13.5" customHeight="1" x14ac:dyDescent="0.35">
      <c r="A2703" s="49"/>
      <c r="B2703" s="49"/>
      <c r="C2703" s="14"/>
      <c r="D2703" s="1"/>
      <c r="E2703" s="149"/>
      <c r="F2703" s="153"/>
      <c r="G2703" s="10"/>
      <c r="H2703" s="17"/>
      <c r="I2703" s="17"/>
      <c r="J2703" s="17"/>
      <c r="K2703" s="30"/>
      <c r="L2703" s="30"/>
      <c r="M2703" s="30"/>
      <c r="N2703" s="30"/>
      <c r="O2703" s="30"/>
      <c r="P2703" s="30"/>
      <c r="Q2703" s="30"/>
      <c r="R2703" s="30"/>
      <c r="S2703" s="30"/>
      <c r="T2703" s="30"/>
      <c r="U2703" s="30"/>
      <c r="V2703" s="30"/>
      <c r="W2703" s="29"/>
      <c r="X2703" s="15"/>
      <c r="Y2703" s="30"/>
      <c r="Z2703" s="30"/>
      <c r="AA2703" s="30"/>
      <c r="AB2703" s="30"/>
      <c r="AC2703" s="17"/>
      <c r="AD2703" s="17"/>
      <c r="AE2703" s="17"/>
      <c r="AF2703" s="17"/>
      <c r="AG2703" s="21"/>
      <c r="AH2703" s="21"/>
      <c r="AI2703" s="21"/>
      <c r="AJ2703" s="21"/>
      <c r="AK2703" s="21"/>
      <c r="AL2703" s="21"/>
      <c r="AM2703" s="21"/>
      <c r="AN2703" s="21"/>
      <c r="AO2703" s="22"/>
      <c r="AP2703" s="21"/>
      <c r="AQ2703" s="22"/>
      <c r="AR2703" s="21"/>
      <c r="AS2703" s="21"/>
      <c r="AT2703" s="21"/>
      <c r="AU2703" s="21"/>
      <c r="AV2703" s="21"/>
      <c r="AW2703" s="21"/>
      <c r="AX2703" s="22"/>
      <c r="AY2703" s="21"/>
      <c r="AZ2703" s="22"/>
      <c r="BA2703" s="21"/>
      <c r="BB2703" s="21"/>
      <c r="BC2703" s="21"/>
      <c r="BD2703" s="21"/>
      <c r="BE2703" s="26"/>
      <c r="BF2703" s="26"/>
      <c r="BG2703" s="62"/>
    </row>
    <row r="2704" spans="1:59" x14ac:dyDescent="0.3">
      <c r="A2704" s="63"/>
      <c r="B2704" s="63"/>
      <c r="C2704" s="39"/>
      <c r="D2704" s="6"/>
      <c r="E2704" s="149"/>
      <c r="F2704" s="153"/>
      <c r="G2704" s="10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5"/>
      <c r="V2704" s="5"/>
      <c r="W2704" s="13"/>
      <c r="X2704" s="4"/>
      <c r="Y2704" s="4"/>
      <c r="Z2704" s="4"/>
      <c r="AA2704" s="6"/>
      <c r="AB2704" s="5"/>
      <c r="AC2704" s="9"/>
      <c r="AD2704" s="9"/>
      <c r="AE2704" s="9"/>
      <c r="AF2704" s="9"/>
      <c r="AG2704" s="64"/>
      <c r="AH2704" s="3"/>
      <c r="AI2704" s="2"/>
      <c r="AJ2704" s="2"/>
      <c r="AK2704" s="2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</row>
    <row r="2705" spans="1:59" ht="13.5" customHeight="1" x14ac:dyDescent="0.35">
      <c r="A2705" s="49"/>
      <c r="B2705" s="49"/>
      <c r="C2705" s="14"/>
      <c r="D2705" s="1"/>
      <c r="E2705" s="149"/>
      <c r="F2705" s="153"/>
      <c r="G2705" s="10"/>
      <c r="H2705" s="17"/>
      <c r="I2705" s="17"/>
      <c r="J2705" s="17"/>
      <c r="K2705" s="30"/>
      <c r="L2705" s="30"/>
      <c r="M2705" s="30"/>
      <c r="N2705" s="30"/>
      <c r="O2705" s="30"/>
      <c r="P2705" s="30"/>
      <c r="Q2705" s="30"/>
      <c r="R2705" s="30"/>
      <c r="S2705" s="30"/>
      <c r="T2705" s="30"/>
      <c r="U2705" s="30"/>
      <c r="V2705" s="30"/>
      <c r="W2705" s="29"/>
      <c r="X2705" s="15"/>
      <c r="Y2705" s="30"/>
      <c r="Z2705" s="30"/>
      <c r="AA2705" s="30"/>
      <c r="AB2705" s="30"/>
      <c r="AC2705" s="17"/>
      <c r="AD2705" s="17"/>
      <c r="AE2705" s="17"/>
      <c r="AF2705" s="17"/>
      <c r="AG2705" s="21"/>
      <c r="AH2705" s="21"/>
      <c r="AI2705" s="21"/>
      <c r="AJ2705" s="21"/>
      <c r="AK2705" s="21"/>
      <c r="AL2705" s="21"/>
      <c r="AM2705" s="21"/>
      <c r="AN2705" s="21"/>
      <c r="AO2705" s="22"/>
      <c r="AP2705" s="21"/>
      <c r="AQ2705" s="22"/>
      <c r="AR2705" s="21"/>
      <c r="AS2705" s="21"/>
      <c r="AT2705" s="21"/>
      <c r="AU2705" s="21"/>
      <c r="AV2705" s="21"/>
      <c r="AW2705" s="21"/>
      <c r="AX2705" s="22"/>
      <c r="AY2705" s="21"/>
      <c r="AZ2705" s="22"/>
      <c r="BA2705" s="21"/>
      <c r="BB2705" s="21"/>
      <c r="BC2705" s="21"/>
      <c r="BD2705" s="21"/>
      <c r="BE2705" s="26"/>
      <c r="BF2705" s="26"/>
      <c r="BG2705" s="62"/>
    </row>
    <row r="2706" spans="1:59" ht="13.5" customHeight="1" x14ac:dyDescent="0.35">
      <c r="A2706" s="49"/>
      <c r="B2706" s="49"/>
      <c r="C2706" s="14"/>
      <c r="D2706" s="1"/>
      <c r="E2706" s="149"/>
      <c r="F2706" s="153"/>
      <c r="G2706" s="10"/>
      <c r="H2706" s="17"/>
      <c r="I2706" s="17"/>
      <c r="J2706" s="17"/>
      <c r="K2706" s="30"/>
      <c r="L2706" s="30"/>
      <c r="M2706" s="30"/>
      <c r="N2706" s="30"/>
      <c r="O2706" s="30"/>
      <c r="P2706" s="30"/>
      <c r="Q2706" s="30"/>
      <c r="R2706" s="30"/>
      <c r="S2706" s="30"/>
      <c r="T2706" s="30"/>
      <c r="U2706" s="30"/>
      <c r="V2706" s="30"/>
      <c r="W2706" s="29"/>
      <c r="X2706" s="15"/>
      <c r="Y2706" s="30"/>
      <c r="Z2706" s="30"/>
      <c r="AA2706" s="30"/>
      <c r="AB2706" s="30"/>
      <c r="AC2706" s="17"/>
      <c r="AD2706" s="17"/>
      <c r="AE2706" s="17"/>
      <c r="AF2706" s="17"/>
      <c r="AG2706" s="21"/>
      <c r="AH2706" s="21"/>
      <c r="AI2706" s="21"/>
      <c r="AJ2706" s="21"/>
      <c r="AK2706" s="21"/>
      <c r="AL2706" s="21"/>
      <c r="AM2706" s="21"/>
      <c r="AN2706" s="21"/>
      <c r="AO2706" s="22"/>
      <c r="AP2706" s="21"/>
      <c r="AQ2706" s="22"/>
      <c r="AR2706" s="21"/>
      <c r="AS2706" s="21"/>
      <c r="AT2706" s="21"/>
      <c r="AU2706" s="21"/>
      <c r="AV2706" s="21"/>
      <c r="AW2706" s="21"/>
      <c r="AX2706" s="22"/>
      <c r="AY2706" s="21"/>
      <c r="AZ2706" s="22"/>
      <c r="BA2706" s="21"/>
      <c r="BB2706" s="21"/>
      <c r="BC2706" s="21"/>
      <c r="BD2706" s="21"/>
      <c r="BE2706" s="26"/>
      <c r="BF2706" s="26"/>
      <c r="BG2706" s="62"/>
    </row>
    <row r="2707" spans="1:59" x14ac:dyDescent="0.3">
      <c r="A2707" s="6"/>
      <c r="B2707" s="6"/>
      <c r="C2707" s="39"/>
      <c r="D2707" s="6"/>
      <c r="E2707" s="149"/>
      <c r="F2707" s="153"/>
      <c r="G2707" s="10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12"/>
      <c r="Y2707" s="6"/>
      <c r="Z2707" s="6"/>
      <c r="AA2707" s="6"/>
      <c r="AB2707" s="6"/>
      <c r="AC2707" s="9"/>
      <c r="AD2707" s="9"/>
      <c r="AE2707" s="9"/>
      <c r="AF2707" s="9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21"/>
      <c r="AS2707" s="21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</row>
    <row r="2708" spans="1:59" ht="13.5" customHeight="1" x14ac:dyDescent="0.35">
      <c r="A2708" s="49"/>
      <c r="B2708" s="49"/>
      <c r="C2708" s="39"/>
      <c r="D2708" s="1"/>
      <c r="E2708" s="149"/>
      <c r="F2708" s="153"/>
      <c r="G2708" s="10"/>
      <c r="H2708" s="17"/>
      <c r="I2708" s="17"/>
      <c r="J2708" s="17"/>
      <c r="K2708" s="30"/>
      <c r="L2708" s="30"/>
      <c r="M2708" s="30"/>
      <c r="N2708" s="30"/>
      <c r="O2708" s="30"/>
      <c r="P2708" s="30"/>
      <c r="Q2708" s="30"/>
      <c r="R2708" s="30"/>
      <c r="S2708" s="30"/>
      <c r="T2708" s="30"/>
      <c r="U2708" s="30"/>
      <c r="V2708" s="30"/>
      <c r="W2708" s="29"/>
      <c r="X2708" s="15"/>
      <c r="Y2708" s="30"/>
      <c r="Z2708" s="30"/>
      <c r="AA2708" s="30"/>
      <c r="AB2708" s="30"/>
      <c r="AC2708" s="17"/>
      <c r="AD2708" s="17"/>
      <c r="AE2708" s="17"/>
      <c r="AF2708" s="17"/>
      <c r="AG2708" s="21"/>
      <c r="AH2708" s="21"/>
      <c r="AI2708" s="21"/>
      <c r="AJ2708" s="21"/>
      <c r="AK2708" s="21"/>
      <c r="AL2708" s="21"/>
      <c r="AM2708" s="21"/>
      <c r="AN2708" s="21"/>
      <c r="AO2708" s="22"/>
      <c r="AP2708" s="21"/>
      <c r="AQ2708" s="22"/>
      <c r="AR2708" s="21"/>
      <c r="AS2708" s="21"/>
      <c r="AT2708" s="21"/>
      <c r="AU2708" s="21"/>
      <c r="AV2708" s="21"/>
      <c r="AW2708" s="21"/>
      <c r="AX2708" s="22"/>
      <c r="AY2708" s="21"/>
      <c r="AZ2708" s="22"/>
      <c r="BA2708" s="21"/>
      <c r="BB2708" s="21"/>
      <c r="BC2708" s="21"/>
      <c r="BD2708" s="21"/>
      <c r="BE2708" s="26"/>
      <c r="BF2708" s="26"/>
      <c r="BG2708" s="62"/>
    </row>
    <row r="2709" spans="1:59" x14ac:dyDescent="0.3">
      <c r="A2709" s="63"/>
      <c r="B2709" s="63"/>
      <c r="C2709" s="39"/>
      <c r="D2709" s="6"/>
      <c r="E2709" s="149"/>
      <c r="F2709" s="153"/>
      <c r="G2709" s="10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5"/>
      <c r="V2709" s="5"/>
      <c r="W2709" s="13"/>
      <c r="X2709" s="4"/>
      <c r="Y2709" s="4"/>
      <c r="Z2709" s="4"/>
      <c r="AA2709" s="6"/>
      <c r="AB2709" s="5"/>
      <c r="AC2709" s="9"/>
      <c r="AD2709" s="9"/>
      <c r="AE2709" s="9"/>
      <c r="AF2709" s="9"/>
      <c r="AG2709" s="64"/>
      <c r="AH2709" s="3"/>
      <c r="AI2709" s="2"/>
      <c r="AJ2709" s="2"/>
      <c r="AK2709" s="2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</row>
    <row r="2710" spans="1:59" x14ac:dyDescent="0.3">
      <c r="A2710" s="6"/>
      <c r="B2710" s="6"/>
      <c r="C2710" s="39"/>
      <c r="D2710" s="6"/>
      <c r="E2710" s="149"/>
      <c r="F2710" s="153"/>
      <c r="G2710" s="10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12"/>
      <c r="Y2710" s="6"/>
      <c r="Z2710" s="6"/>
      <c r="AA2710" s="6"/>
      <c r="AB2710" s="6"/>
      <c r="AC2710" s="9"/>
      <c r="AD2710" s="9"/>
      <c r="AE2710" s="9"/>
      <c r="AF2710" s="9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21"/>
      <c r="AS2710" s="21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</row>
    <row r="2711" spans="1:59" ht="13.5" customHeight="1" x14ac:dyDescent="0.35">
      <c r="A2711" s="49"/>
      <c r="B2711" s="49"/>
      <c r="C2711" s="39"/>
      <c r="D2711" s="1"/>
      <c r="E2711" s="149"/>
      <c r="F2711" s="153"/>
      <c r="G2711" s="10"/>
      <c r="H2711" s="17"/>
      <c r="I2711" s="17"/>
      <c r="J2711" s="17"/>
      <c r="K2711" s="30"/>
      <c r="L2711" s="30"/>
      <c r="M2711" s="30"/>
      <c r="N2711" s="30"/>
      <c r="O2711" s="30"/>
      <c r="P2711" s="30"/>
      <c r="Q2711" s="30"/>
      <c r="R2711" s="30"/>
      <c r="S2711" s="30"/>
      <c r="T2711" s="30"/>
      <c r="U2711" s="30"/>
      <c r="V2711" s="30"/>
      <c r="W2711" s="29"/>
      <c r="X2711" s="15"/>
      <c r="Y2711" s="30"/>
      <c r="Z2711" s="30"/>
      <c r="AA2711" s="30"/>
      <c r="AB2711" s="30"/>
      <c r="AC2711" s="17"/>
      <c r="AD2711" s="17"/>
      <c r="AE2711" s="17"/>
      <c r="AF2711" s="17"/>
      <c r="AG2711" s="21"/>
      <c r="AH2711" s="21"/>
      <c r="AI2711" s="21"/>
      <c r="AJ2711" s="21"/>
      <c r="AK2711" s="21"/>
      <c r="AL2711" s="21"/>
      <c r="AM2711" s="21"/>
      <c r="AN2711" s="21"/>
      <c r="AO2711" s="22"/>
      <c r="AP2711" s="21"/>
      <c r="AQ2711" s="22"/>
      <c r="AR2711" s="21"/>
      <c r="AS2711" s="21"/>
      <c r="AT2711" s="21"/>
      <c r="AU2711" s="21"/>
      <c r="AV2711" s="21"/>
      <c r="AW2711" s="21"/>
      <c r="AX2711" s="22"/>
      <c r="AY2711" s="21"/>
      <c r="AZ2711" s="22"/>
      <c r="BA2711" s="21"/>
      <c r="BB2711" s="21"/>
      <c r="BC2711" s="21"/>
      <c r="BD2711" s="21"/>
      <c r="BE2711" s="26"/>
      <c r="BF2711" s="26"/>
      <c r="BG2711" s="62"/>
    </row>
    <row r="2712" spans="1:59" x14ac:dyDescent="0.3">
      <c r="A2712" s="6"/>
      <c r="B2712" s="6"/>
      <c r="C2712" s="39"/>
      <c r="D2712" s="6"/>
      <c r="E2712" s="149"/>
      <c r="F2712" s="153"/>
      <c r="G2712" s="10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12"/>
      <c r="Y2712" s="6"/>
      <c r="Z2712" s="6"/>
      <c r="AA2712" s="6"/>
      <c r="AB2712" s="6"/>
      <c r="AC2712" s="9"/>
      <c r="AD2712" s="9"/>
      <c r="AE2712" s="9"/>
      <c r="AF2712" s="9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21"/>
      <c r="AS2712" s="21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</row>
    <row r="2713" spans="1:59" ht="13.5" customHeight="1" x14ac:dyDescent="0.35">
      <c r="A2713" s="49"/>
      <c r="B2713" s="49"/>
      <c r="C2713" s="14"/>
      <c r="D2713" s="1"/>
      <c r="E2713" s="149"/>
      <c r="F2713" s="153"/>
      <c r="G2713" s="10"/>
      <c r="H2713" s="17"/>
      <c r="I2713" s="17"/>
      <c r="J2713" s="17"/>
      <c r="K2713" s="30"/>
      <c r="L2713" s="30"/>
      <c r="M2713" s="30"/>
      <c r="N2713" s="30"/>
      <c r="O2713" s="30"/>
      <c r="P2713" s="30"/>
      <c r="Q2713" s="30"/>
      <c r="R2713" s="30"/>
      <c r="S2713" s="30"/>
      <c r="T2713" s="30"/>
      <c r="U2713" s="30"/>
      <c r="V2713" s="30"/>
      <c r="W2713" s="29"/>
      <c r="X2713" s="15"/>
      <c r="Y2713" s="30"/>
      <c r="Z2713" s="30"/>
      <c r="AA2713" s="30"/>
      <c r="AB2713" s="30"/>
      <c r="AC2713" s="17"/>
      <c r="AD2713" s="17"/>
      <c r="AE2713" s="17"/>
      <c r="AF2713" s="17"/>
      <c r="AG2713" s="21"/>
      <c r="AH2713" s="21"/>
      <c r="AI2713" s="21"/>
      <c r="AJ2713" s="21"/>
      <c r="AK2713" s="21"/>
      <c r="AL2713" s="21"/>
      <c r="AM2713" s="21"/>
      <c r="AN2713" s="21"/>
      <c r="AO2713" s="22"/>
      <c r="AP2713" s="21"/>
      <c r="AQ2713" s="22"/>
      <c r="AR2713" s="21"/>
      <c r="AS2713" s="21"/>
      <c r="AT2713" s="21"/>
      <c r="AU2713" s="21"/>
      <c r="AV2713" s="21"/>
      <c r="AW2713" s="21"/>
      <c r="AX2713" s="22"/>
      <c r="AY2713" s="21"/>
      <c r="AZ2713" s="22"/>
      <c r="BA2713" s="21"/>
      <c r="BB2713" s="21"/>
      <c r="BC2713" s="21"/>
      <c r="BD2713" s="21"/>
      <c r="BE2713" s="26"/>
      <c r="BF2713" s="26"/>
      <c r="BG2713" s="62"/>
    </row>
    <row r="2714" spans="1:59" x14ac:dyDescent="0.3">
      <c r="A2714" s="6"/>
      <c r="B2714" s="6"/>
      <c r="C2714" s="39"/>
      <c r="D2714" s="6"/>
      <c r="E2714" s="149"/>
      <c r="F2714" s="153"/>
      <c r="G2714" s="10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12"/>
      <c r="Y2714" s="6"/>
      <c r="Z2714" s="6"/>
      <c r="AA2714" s="6"/>
      <c r="AB2714" s="6"/>
      <c r="AC2714" s="9"/>
      <c r="AD2714" s="9"/>
      <c r="AE2714" s="9"/>
      <c r="AF2714" s="9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21"/>
      <c r="AS2714" s="21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</row>
    <row r="2715" spans="1:59" ht="13.5" customHeight="1" x14ac:dyDescent="0.35">
      <c r="A2715" s="49"/>
      <c r="B2715" s="49"/>
      <c r="C2715" s="14"/>
      <c r="D2715" s="1"/>
      <c r="E2715" s="149"/>
      <c r="F2715" s="153"/>
      <c r="G2715" s="10"/>
      <c r="H2715" s="17"/>
      <c r="I2715" s="17"/>
      <c r="J2715" s="17"/>
      <c r="K2715" s="30"/>
      <c r="L2715" s="30"/>
      <c r="M2715" s="30"/>
      <c r="N2715" s="30"/>
      <c r="O2715" s="30"/>
      <c r="P2715" s="30"/>
      <c r="Q2715" s="30"/>
      <c r="R2715" s="30"/>
      <c r="S2715" s="30"/>
      <c r="T2715" s="30"/>
      <c r="U2715" s="30"/>
      <c r="V2715" s="30"/>
      <c r="W2715" s="29"/>
      <c r="X2715" s="15"/>
      <c r="Y2715" s="30"/>
      <c r="Z2715" s="30"/>
      <c r="AA2715" s="30"/>
      <c r="AB2715" s="30"/>
      <c r="AC2715" s="17"/>
      <c r="AD2715" s="17"/>
      <c r="AE2715" s="17"/>
      <c r="AF2715" s="17"/>
      <c r="AG2715" s="21"/>
      <c r="AH2715" s="21"/>
      <c r="AI2715" s="21"/>
      <c r="AJ2715" s="21"/>
      <c r="AK2715" s="21"/>
      <c r="AL2715" s="21"/>
      <c r="AM2715" s="21"/>
      <c r="AN2715" s="21"/>
      <c r="AO2715" s="22"/>
      <c r="AP2715" s="21"/>
      <c r="AQ2715" s="22"/>
      <c r="AR2715" s="21"/>
      <c r="AS2715" s="21"/>
      <c r="AT2715" s="21"/>
      <c r="AU2715" s="21"/>
      <c r="AV2715" s="21"/>
      <c r="AW2715" s="21"/>
      <c r="AX2715" s="22"/>
      <c r="AY2715" s="21"/>
      <c r="AZ2715" s="22"/>
      <c r="BA2715" s="21"/>
      <c r="BB2715" s="21"/>
      <c r="BC2715" s="21"/>
      <c r="BD2715" s="21"/>
      <c r="BE2715" s="26"/>
      <c r="BF2715" s="26"/>
      <c r="BG2715" s="62"/>
    </row>
    <row r="2716" spans="1:59" ht="13.5" customHeight="1" x14ac:dyDescent="0.3">
      <c r="A2716" s="6"/>
      <c r="B2716" s="6"/>
      <c r="C2716" s="39"/>
      <c r="D2716" s="6"/>
      <c r="E2716" s="149"/>
      <c r="F2716" s="153"/>
      <c r="G2716" s="10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12"/>
      <c r="Y2716" s="6"/>
      <c r="Z2716" s="6"/>
      <c r="AA2716" s="6"/>
      <c r="AB2716" s="6"/>
      <c r="AC2716" s="9"/>
      <c r="AD2716" s="9"/>
      <c r="AE2716" s="9"/>
      <c r="AF2716" s="9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21"/>
      <c r="AS2716" s="21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</row>
    <row r="2717" spans="1:59" x14ac:dyDescent="0.3">
      <c r="A2717" s="6"/>
      <c r="B2717" s="6"/>
      <c r="C2717" s="39"/>
      <c r="D2717" s="6"/>
      <c r="E2717" s="149"/>
      <c r="F2717" s="153"/>
      <c r="G2717" s="10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5"/>
      <c r="V2717" s="5"/>
      <c r="W2717" s="13"/>
      <c r="X2717" s="4"/>
      <c r="Y2717" s="4"/>
      <c r="Z2717" s="4"/>
      <c r="AA2717" s="6"/>
      <c r="AB2717" s="5"/>
      <c r="AC2717" s="9"/>
      <c r="AD2717" s="9"/>
      <c r="AE2717" s="9"/>
      <c r="AF2717" s="9"/>
      <c r="AG2717" s="2"/>
      <c r="AH2717" s="3"/>
      <c r="AI2717" s="2"/>
      <c r="AJ2717" s="2"/>
      <c r="AK2717" s="2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</row>
    <row r="2718" spans="1:59" x14ac:dyDescent="0.3">
      <c r="A2718" s="6"/>
      <c r="B2718" s="6"/>
      <c r="C2718" s="39"/>
      <c r="D2718" s="6"/>
      <c r="E2718" s="149"/>
      <c r="F2718" s="153"/>
      <c r="G2718" s="10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12"/>
      <c r="Y2718" s="6"/>
      <c r="Z2718" s="6"/>
      <c r="AA2718" s="6"/>
      <c r="AB2718" s="6"/>
      <c r="AC2718" s="9"/>
      <c r="AD2718" s="9"/>
      <c r="AE2718" s="9"/>
      <c r="AF2718" s="9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21"/>
      <c r="AS2718" s="21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</row>
    <row r="2719" spans="1:59" x14ac:dyDescent="0.3">
      <c r="A2719" s="63"/>
      <c r="B2719" s="63"/>
      <c r="C2719" s="39"/>
      <c r="D2719" s="6"/>
      <c r="E2719" s="149"/>
      <c r="F2719" s="153"/>
      <c r="G2719" s="10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5"/>
      <c r="V2719" s="5"/>
      <c r="W2719" s="13"/>
      <c r="X2719" s="4"/>
      <c r="Y2719" s="4"/>
      <c r="Z2719" s="4"/>
      <c r="AA2719" s="6"/>
      <c r="AB2719" s="5"/>
      <c r="AC2719" s="9"/>
      <c r="AD2719" s="9"/>
      <c r="AE2719" s="9"/>
      <c r="AF2719" s="9"/>
      <c r="AG2719" s="64"/>
      <c r="AH2719" s="3"/>
      <c r="AI2719" s="2"/>
      <c r="AJ2719" s="2"/>
      <c r="AK2719" s="2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</row>
    <row r="2720" spans="1:59" x14ac:dyDescent="0.3">
      <c r="A2720" s="6"/>
      <c r="B2720" s="6"/>
      <c r="C2720" s="39"/>
      <c r="D2720" s="6"/>
      <c r="E2720" s="149"/>
      <c r="F2720" s="153"/>
      <c r="G2720" s="10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5"/>
      <c r="V2720" s="5"/>
      <c r="W2720" s="13"/>
      <c r="X2720" s="4"/>
      <c r="Y2720" s="4"/>
      <c r="Z2720" s="4"/>
      <c r="AA2720" s="6"/>
      <c r="AB2720" s="5"/>
      <c r="AC2720" s="9"/>
      <c r="AD2720" s="9"/>
      <c r="AE2720" s="9"/>
      <c r="AF2720" s="9"/>
      <c r="AG2720" s="2"/>
      <c r="AH2720" s="3"/>
      <c r="AI2720" s="2"/>
      <c r="AJ2720" s="2"/>
      <c r="AK2720" s="2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</row>
    <row r="2721" spans="1:59" x14ac:dyDescent="0.3">
      <c r="A2721" s="6"/>
      <c r="B2721" s="6"/>
      <c r="C2721" s="39"/>
      <c r="D2721" s="6"/>
      <c r="E2721" s="149"/>
      <c r="F2721" s="153"/>
      <c r="G2721" s="10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12"/>
      <c r="Y2721" s="6"/>
      <c r="Z2721" s="6"/>
      <c r="AA2721" s="6"/>
      <c r="AB2721" s="6"/>
      <c r="AC2721" s="9"/>
      <c r="AD2721" s="9"/>
      <c r="AE2721" s="9"/>
      <c r="AF2721" s="9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</row>
    <row r="2722" spans="1:59" x14ac:dyDescent="0.3">
      <c r="A2722" s="63"/>
      <c r="B2722" s="63"/>
      <c r="C2722" s="39"/>
      <c r="D2722" s="6"/>
      <c r="E2722" s="149"/>
      <c r="F2722" s="153"/>
      <c r="G2722" s="10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5"/>
      <c r="V2722" s="5"/>
      <c r="W2722" s="13"/>
      <c r="X2722" s="4"/>
      <c r="Y2722" s="4"/>
      <c r="Z2722" s="4"/>
      <c r="AA2722" s="6"/>
      <c r="AB2722" s="5"/>
      <c r="AC2722" s="9"/>
      <c r="AD2722" s="9"/>
      <c r="AE2722" s="9"/>
      <c r="AF2722" s="9"/>
      <c r="AG2722" s="64"/>
      <c r="AH2722" s="3"/>
      <c r="AI2722" s="2"/>
      <c r="AJ2722" s="2"/>
      <c r="AK2722" s="2"/>
      <c r="AL2722" s="3"/>
      <c r="AM2722" s="3"/>
      <c r="AN2722" s="3"/>
      <c r="AO2722" s="3"/>
      <c r="AP2722" s="3"/>
      <c r="AQ2722" s="3"/>
      <c r="AR2722" s="21"/>
      <c r="AS2722" s="21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</row>
    <row r="2723" spans="1:59" ht="13.5" customHeight="1" x14ac:dyDescent="0.35">
      <c r="A2723" s="49"/>
      <c r="B2723" s="49"/>
      <c r="C2723" s="39"/>
      <c r="D2723" s="1"/>
      <c r="E2723" s="149"/>
      <c r="F2723" s="153"/>
      <c r="G2723" s="10"/>
      <c r="H2723" s="17"/>
      <c r="I2723" s="17"/>
      <c r="J2723" s="17"/>
      <c r="K2723" s="30"/>
      <c r="L2723" s="30"/>
      <c r="M2723" s="30"/>
      <c r="N2723" s="30"/>
      <c r="O2723" s="30"/>
      <c r="P2723" s="30"/>
      <c r="Q2723" s="30"/>
      <c r="R2723" s="30"/>
      <c r="S2723" s="30"/>
      <c r="T2723" s="30"/>
      <c r="U2723" s="30"/>
      <c r="V2723" s="30"/>
      <c r="W2723" s="29"/>
      <c r="X2723" s="15"/>
      <c r="Y2723" s="30"/>
      <c r="Z2723" s="30"/>
      <c r="AA2723" s="30"/>
      <c r="AB2723" s="30"/>
      <c r="AC2723" s="17"/>
      <c r="AD2723" s="17"/>
      <c r="AE2723" s="17"/>
      <c r="AF2723" s="17"/>
      <c r="AG2723" s="21"/>
      <c r="AH2723" s="21"/>
      <c r="AI2723" s="21"/>
      <c r="AJ2723" s="21"/>
      <c r="AK2723" s="21"/>
      <c r="AL2723" s="21"/>
      <c r="AM2723" s="21"/>
      <c r="AN2723" s="21"/>
      <c r="AO2723" s="22"/>
      <c r="AP2723" s="21"/>
      <c r="AQ2723" s="22"/>
      <c r="AR2723" s="21"/>
      <c r="AS2723" s="21"/>
      <c r="AT2723" s="21"/>
      <c r="AU2723" s="21"/>
      <c r="AV2723" s="21"/>
      <c r="AW2723" s="21"/>
      <c r="AX2723" s="22"/>
      <c r="AY2723" s="21"/>
      <c r="AZ2723" s="22"/>
      <c r="BA2723" s="21"/>
      <c r="BB2723" s="21"/>
      <c r="BC2723" s="21"/>
      <c r="BD2723" s="21"/>
      <c r="BE2723" s="26"/>
      <c r="BF2723" s="26"/>
      <c r="BG2723" s="62"/>
    </row>
    <row r="2724" spans="1:59" x14ac:dyDescent="0.3">
      <c r="A2724" s="63"/>
      <c r="B2724" s="63"/>
      <c r="C2724" s="39"/>
      <c r="D2724" s="6"/>
      <c r="E2724" s="149"/>
      <c r="F2724" s="153"/>
      <c r="G2724" s="10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5"/>
      <c r="V2724" s="5"/>
      <c r="W2724" s="13"/>
      <c r="X2724" s="4"/>
      <c r="Y2724" s="4"/>
      <c r="Z2724" s="4"/>
      <c r="AA2724" s="6"/>
      <c r="AB2724" s="5"/>
      <c r="AC2724" s="9"/>
      <c r="AD2724" s="9"/>
      <c r="AE2724" s="9"/>
      <c r="AF2724" s="9"/>
      <c r="AG2724" s="64"/>
      <c r="AH2724" s="3"/>
      <c r="AI2724" s="2"/>
      <c r="AJ2724" s="2"/>
      <c r="AK2724" s="2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</row>
    <row r="2725" spans="1:59" ht="13.5" customHeight="1" x14ac:dyDescent="0.3">
      <c r="A2725" s="49"/>
      <c r="B2725" s="49"/>
      <c r="C2725" s="14"/>
      <c r="D2725" s="6"/>
      <c r="E2725" s="149"/>
      <c r="F2725" s="153"/>
      <c r="G2725" s="10"/>
      <c r="H2725" s="17"/>
      <c r="I2725" s="17"/>
      <c r="J2725" s="17"/>
      <c r="K2725" s="30"/>
      <c r="L2725" s="30"/>
      <c r="M2725" s="30"/>
      <c r="N2725" s="30"/>
      <c r="O2725" s="30"/>
      <c r="P2725" s="30"/>
      <c r="Q2725" s="30"/>
      <c r="R2725" s="30"/>
      <c r="S2725" s="30"/>
      <c r="T2725" s="30"/>
      <c r="U2725" s="30"/>
      <c r="V2725" s="30"/>
      <c r="W2725" s="29"/>
      <c r="X2725" s="15"/>
      <c r="Y2725" s="30"/>
      <c r="Z2725" s="30"/>
      <c r="AA2725" s="30"/>
      <c r="AB2725" s="30"/>
      <c r="AC2725" s="17"/>
      <c r="AD2725" s="17"/>
      <c r="AE2725" s="17"/>
      <c r="AF2725" s="17"/>
      <c r="AG2725" s="21"/>
      <c r="AH2725" s="21"/>
      <c r="AI2725" s="21"/>
      <c r="AJ2725" s="21"/>
      <c r="AK2725" s="21"/>
      <c r="AL2725" s="21"/>
      <c r="AM2725" s="21"/>
      <c r="AN2725" s="21"/>
      <c r="AO2725" s="22"/>
      <c r="AP2725" s="21"/>
      <c r="AQ2725" s="22"/>
      <c r="AR2725" s="21"/>
      <c r="AS2725" s="21"/>
      <c r="AT2725" s="21"/>
      <c r="AU2725" s="21"/>
      <c r="AV2725" s="21"/>
      <c r="AW2725" s="21"/>
      <c r="AX2725" s="22"/>
      <c r="AY2725" s="21"/>
      <c r="AZ2725" s="22"/>
      <c r="BA2725" s="21"/>
      <c r="BB2725" s="21"/>
      <c r="BC2725" s="21"/>
      <c r="BD2725" s="21"/>
      <c r="BE2725" s="26"/>
      <c r="BF2725" s="26"/>
      <c r="BG2725" s="62"/>
    </row>
    <row r="2726" spans="1:59" ht="13.5" customHeight="1" x14ac:dyDescent="0.35">
      <c r="A2726" s="49"/>
      <c r="B2726" s="49"/>
      <c r="C2726" s="14"/>
      <c r="D2726" s="1"/>
      <c r="E2726" s="149"/>
      <c r="F2726" s="153"/>
      <c r="G2726" s="10"/>
      <c r="H2726" s="17"/>
      <c r="I2726" s="17"/>
      <c r="J2726" s="17"/>
      <c r="K2726" s="30"/>
      <c r="L2726" s="30"/>
      <c r="M2726" s="30"/>
      <c r="N2726" s="30"/>
      <c r="O2726" s="30"/>
      <c r="P2726" s="30"/>
      <c r="Q2726" s="30"/>
      <c r="R2726" s="30"/>
      <c r="S2726" s="30"/>
      <c r="T2726" s="30"/>
      <c r="U2726" s="30"/>
      <c r="V2726" s="30"/>
      <c r="W2726" s="29"/>
      <c r="X2726" s="15"/>
      <c r="Y2726" s="30"/>
      <c r="Z2726" s="30"/>
      <c r="AA2726" s="30"/>
      <c r="AB2726" s="30"/>
      <c r="AC2726" s="17"/>
      <c r="AD2726" s="17"/>
      <c r="AE2726" s="17"/>
      <c r="AF2726" s="17"/>
      <c r="AG2726" s="21"/>
      <c r="AH2726" s="21"/>
      <c r="AI2726" s="21"/>
      <c r="AJ2726" s="21"/>
      <c r="AK2726" s="21"/>
      <c r="AL2726" s="21"/>
      <c r="AM2726" s="21"/>
      <c r="AN2726" s="21"/>
      <c r="AO2726" s="22"/>
      <c r="AP2726" s="21"/>
      <c r="AQ2726" s="22"/>
      <c r="AR2726" s="21"/>
      <c r="AS2726" s="21"/>
      <c r="AT2726" s="21"/>
      <c r="AU2726" s="21"/>
      <c r="AV2726" s="21"/>
      <c r="AW2726" s="21"/>
      <c r="AX2726" s="22"/>
      <c r="AY2726" s="21"/>
      <c r="AZ2726" s="22"/>
      <c r="BA2726" s="21"/>
      <c r="BB2726" s="21"/>
      <c r="BC2726" s="21"/>
      <c r="BD2726" s="21"/>
      <c r="BE2726" s="26"/>
      <c r="BF2726" s="26"/>
      <c r="BG2726" s="62"/>
    </row>
    <row r="2727" spans="1:59" x14ac:dyDescent="0.3">
      <c r="A2727" s="63"/>
      <c r="B2727" s="63"/>
      <c r="C2727" s="39"/>
      <c r="D2727" s="6"/>
      <c r="E2727" s="149"/>
      <c r="F2727" s="153"/>
      <c r="G2727" s="10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5"/>
      <c r="V2727" s="5"/>
      <c r="W2727" s="13"/>
      <c r="X2727" s="4"/>
      <c r="Y2727" s="4"/>
      <c r="Z2727" s="4"/>
      <c r="AA2727" s="6"/>
      <c r="AB2727" s="11"/>
      <c r="AC2727" s="9"/>
      <c r="AD2727" s="9"/>
      <c r="AE2727" s="9"/>
      <c r="AF2727" s="9"/>
      <c r="AG2727" s="64"/>
      <c r="AH2727" s="3"/>
      <c r="AI2727" s="2"/>
      <c r="AJ2727" s="2"/>
      <c r="AK2727" s="2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12"/>
      <c r="AY2727" s="3"/>
      <c r="AZ2727" s="3"/>
      <c r="BA2727" s="3"/>
      <c r="BB2727" s="3"/>
      <c r="BC2727" s="3"/>
      <c r="BD2727" s="3"/>
      <c r="BE2727" s="3"/>
      <c r="BF2727" s="3"/>
      <c r="BG2727" s="3"/>
    </row>
    <row r="2728" spans="1:59" ht="13.5" customHeight="1" x14ac:dyDescent="0.35">
      <c r="A2728" s="49"/>
      <c r="B2728" s="49"/>
      <c r="C2728" s="39"/>
      <c r="D2728" s="1"/>
      <c r="E2728" s="149"/>
      <c r="F2728" s="153"/>
      <c r="G2728" s="10"/>
      <c r="H2728" s="17"/>
      <c r="I2728" s="17"/>
      <c r="J2728" s="17"/>
      <c r="K2728" s="30"/>
      <c r="L2728" s="30"/>
      <c r="M2728" s="30"/>
      <c r="N2728" s="30"/>
      <c r="O2728" s="30"/>
      <c r="P2728" s="30"/>
      <c r="Q2728" s="30"/>
      <c r="R2728" s="30"/>
      <c r="S2728" s="30"/>
      <c r="T2728" s="30"/>
      <c r="U2728" s="30"/>
      <c r="V2728" s="30"/>
      <c r="W2728" s="29"/>
      <c r="X2728" s="15"/>
      <c r="Y2728" s="30"/>
      <c r="Z2728" s="30"/>
      <c r="AA2728" s="30"/>
      <c r="AB2728" s="30"/>
      <c r="AC2728" s="17"/>
      <c r="AD2728" s="17"/>
      <c r="AE2728" s="17"/>
      <c r="AF2728" s="17"/>
      <c r="AG2728" s="21"/>
      <c r="AH2728" s="21"/>
      <c r="AI2728" s="21"/>
      <c r="AJ2728" s="21"/>
      <c r="AK2728" s="21"/>
      <c r="AL2728" s="21"/>
      <c r="AM2728" s="21"/>
      <c r="AN2728" s="21"/>
      <c r="AO2728" s="22"/>
      <c r="AP2728" s="21"/>
      <c r="AQ2728" s="22"/>
      <c r="AR2728" s="21"/>
      <c r="AS2728" s="21"/>
      <c r="AT2728" s="21"/>
      <c r="AU2728" s="21"/>
      <c r="AV2728" s="21"/>
      <c r="AW2728" s="21"/>
      <c r="AX2728" s="22"/>
      <c r="AY2728" s="21"/>
      <c r="AZ2728" s="22"/>
      <c r="BA2728" s="21"/>
      <c r="BB2728" s="21"/>
      <c r="BC2728" s="21"/>
      <c r="BD2728" s="21"/>
      <c r="BE2728" s="26"/>
      <c r="BF2728" s="26"/>
      <c r="BG2728" s="62"/>
    </row>
    <row r="2729" spans="1:59" ht="13.5" customHeight="1" x14ac:dyDescent="0.35">
      <c r="A2729" s="49"/>
      <c r="B2729" s="49"/>
      <c r="C2729" s="39"/>
      <c r="D2729" s="1"/>
      <c r="E2729" s="149"/>
      <c r="F2729" s="153"/>
      <c r="G2729" s="10"/>
      <c r="H2729" s="17"/>
      <c r="I2729" s="17"/>
      <c r="J2729" s="17"/>
      <c r="K2729" s="30"/>
      <c r="L2729" s="30"/>
      <c r="M2729" s="30"/>
      <c r="N2729" s="30"/>
      <c r="O2729" s="30"/>
      <c r="P2729" s="30"/>
      <c r="Q2729" s="30"/>
      <c r="R2729" s="30"/>
      <c r="S2729" s="30"/>
      <c r="T2729" s="30"/>
      <c r="U2729" s="30"/>
      <c r="V2729" s="30"/>
      <c r="W2729" s="29"/>
      <c r="X2729" s="15"/>
      <c r="Y2729" s="30"/>
      <c r="Z2729" s="30"/>
      <c r="AA2729" s="30"/>
      <c r="AB2729" s="30"/>
      <c r="AC2729" s="17"/>
      <c r="AD2729" s="17"/>
      <c r="AE2729" s="17"/>
      <c r="AF2729" s="17"/>
      <c r="AG2729" s="21"/>
      <c r="AH2729" s="21"/>
      <c r="AI2729" s="21"/>
      <c r="AJ2729" s="21"/>
      <c r="AK2729" s="21"/>
      <c r="AL2729" s="21"/>
      <c r="AM2729" s="21"/>
      <c r="AN2729" s="21"/>
      <c r="AO2729" s="22"/>
      <c r="AP2729" s="21"/>
      <c r="AQ2729" s="22"/>
      <c r="AR2729" s="21"/>
      <c r="AS2729" s="21"/>
      <c r="AT2729" s="21"/>
      <c r="AU2729" s="21"/>
      <c r="AV2729" s="21"/>
      <c r="AW2729" s="21"/>
      <c r="AX2729" s="22"/>
      <c r="AY2729" s="21"/>
      <c r="AZ2729" s="22"/>
      <c r="BA2729" s="21"/>
      <c r="BB2729" s="21"/>
      <c r="BC2729" s="21"/>
      <c r="BD2729" s="21"/>
      <c r="BE2729" s="26"/>
      <c r="BF2729" s="26"/>
      <c r="BG2729" s="62"/>
    </row>
    <row r="2730" spans="1:59" x14ac:dyDescent="0.3">
      <c r="A2730" s="6"/>
      <c r="B2730" s="6"/>
      <c r="C2730" s="39"/>
      <c r="D2730" s="6"/>
      <c r="E2730" s="149"/>
      <c r="F2730" s="153"/>
      <c r="G2730" s="10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12"/>
      <c r="Y2730" s="6"/>
      <c r="Z2730" s="6"/>
      <c r="AA2730" s="6"/>
      <c r="AB2730" s="6"/>
      <c r="AC2730" s="9"/>
      <c r="AD2730" s="9"/>
      <c r="AE2730" s="9"/>
      <c r="AF2730" s="9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21"/>
      <c r="AS2730" s="21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</row>
    <row r="2731" spans="1:59" x14ac:dyDescent="0.3">
      <c r="A2731" s="63"/>
      <c r="B2731" s="63"/>
      <c r="C2731" s="39"/>
      <c r="D2731" s="6"/>
      <c r="E2731" s="149"/>
      <c r="F2731" s="153"/>
      <c r="G2731" s="10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5"/>
      <c r="V2731" s="5"/>
      <c r="W2731" s="13"/>
      <c r="X2731" s="4"/>
      <c r="Y2731" s="4"/>
      <c r="Z2731" s="4"/>
      <c r="AA2731" s="6"/>
      <c r="AB2731" s="5"/>
      <c r="AC2731" s="9"/>
      <c r="AD2731" s="9"/>
      <c r="AE2731" s="9"/>
      <c r="AF2731" s="9"/>
      <c r="AG2731" s="64"/>
      <c r="AH2731" s="3"/>
      <c r="AI2731" s="2"/>
      <c r="AJ2731" s="2"/>
      <c r="AK2731" s="2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</row>
    <row r="2732" spans="1:59" ht="15" x14ac:dyDescent="0.35">
      <c r="A2732" s="6"/>
      <c r="B2732" s="6"/>
      <c r="C2732" s="39"/>
      <c r="D2732" s="6"/>
      <c r="E2732" s="149"/>
      <c r="F2732" s="153"/>
      <c r="G2732" s="10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12"/>
      <c r="Y2732" s="6"/>
      <c r="Z2732" s="6"/>
      <c r="AA2732" s="6"/>
      <c r="AB2732" s="6"/>
      <c r="AC2732" s="9"/>
      <c r="AD2732" s="9"/>
      <c r="AE2732" s="9"/>
      <c r="AF2732" s="9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21"/>
      <c r="AS2732" s="21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65"/>
    </row>
    <row r="2733" spans="1:59" x14ac:dyDescent="0.3">
      <c r="A2733" s="6"/>
      <c r="B2733" s="6"/>
      <c r="C2733" s="39"/>
      <c r="D2733" s="6"/>
      <c r="E2733" s="149"/>
      <c r="F2733" s="153"/>
      <c r="G2733" s="10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5"/>
      <c r="V2733" s="5"/>
      <c r="W2733" s="13"/>
      <c r="X2733" s="4"/>
      <c r="Y2733" s="4"/>
      <c r="Z2733" s="4"/>
      <c r="AA2733" s="6"/>
      <c r="AB2733" s="5"/>
      <c r="AC2733" s="9"/>
      <c r="AD2733" s="9"/>
      <c r="AE2733" s="9"/>
      <c r="AF2733" s="9"/>
      <c r="AG2733" s="2"/>
      <c r="AH2733" s="3"/>
      <c r="AI2733" s="2"/>
      <c r="AJ2733" s="2"/>
      <c r="AK2733" s="2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</row>
    <row r="2734" spans="1:59" ht="13.5" customHeight="1" x14ac:dyDescent="0.35">
      <c r="A2734" s="49"/>
      <c r="B2734" s="49"/>
      <c r="C2734" s="14"/>
      <c r="D2734" s="1"/>
      <c r="E2734" s="149"/>
      <c r="F2734" s="153"/>
      <c r="G2734" s="10"/>
      <c r="H2734" s="17"/>
      <c r="I2734" s="17"/>
      <c r="J2734" s="17"/>
      <c r="K2734" s="30"/>
      <c r="L2734" s="30"/>
      <c r="M2734" s="30"/>
      <c r="N2734" s="30"/>
      <c r="O2734" s="30"/>
      <c r="P2734" s="30"/>
      <c r="Q2734" s="30"/>
      <c r="R2734" s="30"/>
      <c r="S2734" s="30"/>
      <c r="T2734" s="30"/>
      <c r="U2734" s="30"/>
      <c r="V2734" s="30"/>
      <c r="W2734" s="29"/>
      <c r="X2734" s="15"/>
      <c r="Y2734" s="30"/>
      <c r="Z2734" s="30"/>
      <c r="AA2734" s="30"/>
      <c r="AB2734" s="30"/>
      <c r="AC2734" s="17"/>
      <c r="AD2734" s="17"/>
      <c r="AE2734" s="17"/>
      <c r="AF2734" s="17"/>
      <c r="AG2734" s="21"/>
      <c r="AH2734" s="21"/>
      <c r="AI2734" s="21"/>
      <c r="AJ2734" s="21"/>
      <c r="AK2734" s="21"/>
      <c r="AL2734" s="21"/>
      <c r="AM2734" s="21"/>
      <c r="AN2734" s="21"/>
      <c r="AO2734" s="22"/>
      <c r="AP2734" s="21"/>
      <c r="AQ2734" s="22"/>
      <c r="AR2734" s="21"/>
      <c r="AS2734" s="21"/>
      <c r="AT2734" s="21"/>
      <c r="AU2734" s="21"/>
      <c r="AV2734" s="21"/>
      <c r="AW2734" s="21"/>
      <c r="AX2734" s="22"/>
      <c r="AY2734" s="21"/>
      <c r="AZ2734" s="22"/>
      <c r="BA2734" s="21"/>
      <c r="BB2734" s="21"/>
      <c r="BC2734" s="21"/>
      <c r="BD2734" s="21"/>
      <c r="BE2734" s="26"/>
      <c r="BF2734" s="26"/>
      <c r="BG2734" s="62"/>
    </row>
    <row r="2735" spans="1:59" ht="13.5" customHeight="1" x14ac:dyDescent="0.35">
      <c r="A2735" s="49"/>
      <c r="B2735" s="49"/>
      <c r="C2735" s="14"/>
      <c r="D2735" s="1"/>
      <c r="E2735" s="149"/>
      <c r="F2735" s="153"/>
      <c r="G2735" s="10"/>
      <c r="H2735" s="17"/>
      <c r="I2735" s="17"/>
      <c r="J2735" s="17"/>
      <c r="K2735" s="30"/>
      <c r="L2735" s="30"/>
      <c r="M2735" s="30"/>
      <c r="N2735" s="30"/>
      <c r="O2735" s="30"/>
      <c r="P2735" s="30"/>
      <c r="Q2735" s="30"/>
      <c r="R2735" s="30"/>
      <c r="S2735" s="30"/>
      <c r="T2735" s="30"/>
      <c r="U2735" s="30"/>
      <c r="V2735" s="30"/>
      <c r="W2735" s="29"/>
      <c r="X2735" s="15"/>
      <c r="Y2735" s="30"/>
      <c r="Z2735" s="30"/>
      <c r="AA2735" s="30"/>
      <c r="AB2735" s="30"/>
      <c r="AC2735" s="17"/>
      <c r="AD2735" s="17"/>
      <c r="AE2735" s="17"/>
      <c r="AF2735" s="17"/>
      <c r="AG2735" s="21"/>
      <c r="AH2735" s="21"/>
      <c r="AI2735" s="21"/>
      <c r="AJ2735" s="21"/>
      <c r="AK2735" s="21"/>
      <c r="AL2735" s="21"/>
      <c r="AM2735" s="21"/>
      <c r="AN2735" s="21"/>
      <c r="AO2735" s="22"/>
      <c r="AP2735" s="21"/>
      <c r="AQ2735" s="22"/>
      <c r="AR2735" s="21"/>
      <c r="AS2735" s="21"/>
      <c r="AT2735" s="21"/>
      <c r="AU2735" s="21"/>
      <c r="AV2735" s="21"/>
      <c r="AW2735" s="21"/>
      <c r="AX2735" s="22"/>
      <c r="AY2735" s="21"/>
      <c r="AZ2735" s="22"/>
      <c r="BA2735" s="21"/>
      <c r="BB2735" s="21"/>
      <c r="BC2735" s="21"/>
      <c r="BD2735" s="21"/>
      <c r="BE2735" s="26"/>
      <c r="BF2735" s="26"/>
      <c r="BG2735" s="62"/>
    </row>
    <row r="2736" spans="1:59" ht="13.5" customHeight="1" x14ac:dyDescent="0.35">
      <c r="A2736" s="49"/>
      <c r="B2736" s="49"/>
      <c r="C2736" s="39"/>
      <c r="D2736" s="1"/>
      <c r="E2736" s="149"/>
      <c r="F2736" s="153"/>
      <c r="G2736" s="10"/>
      <c r="H2736" s="17"/>
      <c r="I2736" s="17"/>
      <c r="J2736" s="17"/>
      <c r="K2736" s="30"/>
      <c r="L2736" s="30"/>
      <c r="M2736" s="30"/>
      <c r="N2736" s="30"/>
      <c r="O2736" s="30"/>
      <c r="P2736" s="30"/>
      <c r="Q2736" s="30"/>
      <c r="R2736" s="30"/>
      <c r="S2736" s="30"/>
      <c r="T2736" s="30"/>
      <c r="U2736" s="30"/>
      <c r="V2736" s="30"/>
      <c r="W2736" s="29"/>
      <c r="X2736" s="15"/>
      <c r="Y2736" s="30"/>
      <c r="Z2736" s="30"/>
      <c r="AA2736" s="30"/>
      <c r="AB2736" s="30"/>
      <c r="AC2736" s="17"/>
      <c r="AD2736" s="17"/>
      <c r="AE2736" s="17"/>
      <c r="AF2736" s="17"/>
      <c r="AG2736" s="21"/>
      <c r="AH2736" s="21"/>
      <c r="AI2736" s="21"/>
      <c r="AJ2736" s="21"/>
      <c r="AK2736" s="21"/>
      <c r="AL2736" s="21"/>
      <c r="AM2736" s="21"/>
      <c r="AN2736" s="21"/>
      <c r="AO2736" s="22"/>
      <c r="AP2736" s="21"/>
      <c r="AQ2736" s="22"/>
      <c r="AR2736" s="21"/>
      <c r="AS2736" s="21"/>
      <c r="AT2736" s="21"/>
      <c r="AU2736" s="21"/>
      <c r="AV2736" s="21"/>
      <c r="AW2736" s="21"/>
      <c r="AX2736" s="22"/>
      <c r="AY2736" s="21"/>
      <c r="AZ2736" s="22"/>
      <c r="BA2736" s="21"/>
      <c r="BB2736" s="21"/>
      <c r="BC2736" s="21"/>
      <c r="BD2736" s="21"/>
      <c r="BE2736" s="26"/>
      <c r="BF2736" s="26"/>
      <c r="BG2736" s="62"/>
    </row>
    <row r="2737" spans="1:59" x14ac:dyDescent="0.3">
      <c r="A2737" s="6"/>
      <c r="B2737" s="6"/>
      <c r="C2737" s="39"/>
      <c r="D2737" s="6"/>
      <c r="E2737" s="149"/>
      <c r="F2737" s="153"/>
      <c r="G2737" s="10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5"/>
      <c r="V2737" s="5"/>
      <c r="W2737" s="13"/>
      <c r="X2737" s="4"/>
      <c r="Y2737" s="4"/>
      <c r="Z2737" s="4"/>
      <c r="AA2737" s="6"/>
      <c r="AB2737" s="5"/>
      <c r="AC2737" s="9"/>
      <c r="AD2737" s="9"/>
      <c r="AE2737" s="9"/>
      <c r="AF2737" s="9"/>
      <c r="AG2737" s="2"/>
      <c r="AH2737" s="3"/>
      <c r="AI2737" s="2"/>
      <c r="AJ2737" s="2"/>
      <c r="AK2737" s="2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</row>
    <row r="2738" spans="1:59" ht="13.5" customHeight="1" x14ac:dyDescent="0.35">
      <c r="A2738" s="49"/>
      <c r="B2738" s="49"/>
      <c r="C2738" s="14"/>
      <c r="D2738" s="1"/>
      <c r="E2738" s="149"/>
      <c r="F2738" s="153"/>
      <c r="G2738" s="10"/>
      <c r="H2738" s="17"/>
      <c r="I2738" s="17"/>
      <c r="J2738" s="17"/>
      <c r="K2738" s="30"/>
      <c r="L2738" s="30"/>
      <c r="M2738" s="30"/>
      <c r="N2738" s="30"/>
      <c r="O2738" s="30"/>
      <c r="P2738" s="30"/>
      <c r="Q2738" s="30"/>
      <c r="R2738" s="30"/>
      <c r="S2738" s="30"/>
      <c r="T2738" s="30"/>
      <c r="U2738" s="30"/>
      <c r="V2738" s="30"/>
      <c r="W2738" s="29"/>
      <c r="X2738" s="15"/>
      <c r="Y2738" s="30"/>
      <c r="Z2738" s="30"/>
      <c r="AA2738" s="30"/>
      <c r="AB2738" s="30"/>
      <c r="AC2738" s="17"/>
      <c r="AD2738" s="17"/>
      <c r="AE2738" s="17"/>
      <c r="AF2738" s="17"/>
      <c r="AG2738" s="21"/>
      <c r="AH2738" s="21"/>
      <c r="AI2738" s="21"/>
      <c r="AJ2738" s="21"/>
      <c r="AK2738" s="21"/>
      <c r="AL2738" s="21"/>
      <c r="AM2738" s="21"/>
      <c r="AN2738" s="21"/>
      <c r="AO2738" s="22"/>
      <c r="AP2738" s="21"/>
      <c r="AQ2738" s="22"/>
      <c r="AR2738" s="21"/>
      <c r="AS2738" s="21"/>
      <c r="AT2738" s="21"/>
      <c r="AU2738" s="21"/>
      <c r="AV2738" s="21"/>
      <c r="AW2738" s="21"/>
      <c r="AX2738" s="22"/>
      <c r="AY2738" s="21"/>
      <c r="AZ2738" s="22"/>
      <c r="BA2738" s="21"/>
      <c r="BB2738" s="21"/>
      <c r="BC2738" s="21"/>
      <c r="BD2738" s="21"/>
      <c r="BE2738" s="26"/>
      <c r="BF2738" s="26"/>
      <c r="BG2738" s="62"/>
    </row>
    <row r="2739" spans="1:59" ht="13.5" customHeight="1" x14ac:dyDescent="0.35">
      <c r="A2739" s="49"/>
      <c r="B2739" s="49"/>
      <c r="C2739" s="39"/>
      <c r="D2739" s="1"/>
      <c r="E2739" s="149"/>
      <c r="F2739" s="153"/>
      <c r="G2739" s="10"/>
      <c r="H2739" s="17"/>
      <c r="I2739" s="17"/>
      <c r="J2739" s="17"/>
      <c r="K2739" s="30"/>
      <c r="L2739" s="30"/>
      <c r="M2739" s="30"/>
      <c r="N2739" s="30"/>
      <c r="O2739" s="30"/>
      <c r="P2739" s="30"/>
      <c r="Q2739" s="30"/>
      <c r="R2739" s="30"/>
      <c r="S2739" s="30"/>
      <c r="T2739" s="30"/>
      <c r="U2739" s="30"/>
      <c r="V2739" s="30"/>
      <c r="W2739" s="29"/>
      <c r="X2739" s="15"/>
      <c r="Y2739" s="30"/>
      <c r="Z2739" s="30"/>
      <c r="AA2739" s="30"/>
      <c r="AB2739" s="30"/>
      <c r="AC2739" s="17"/>
      <c r="AD2739" s="17"/>
      <c r="AE2739" s="17"/>
      <c r="AF2739" s="17"/>
      <c r="AG2739" s="21"/>
      <c r="AH2739" s="21"/>
      <c r="AI2739" s="21"/>
      <c r="AJ2739" s="21"/>
      <c r="AK2739" s="21"/>
      <c r="AL2739" s="21"/>
      <c r="AM2739" s="21"/>
      <c r="AN2739" s="21"/>
      <c r="AO2739" s="22"/>
      <c r="AP2739" s="21"/>
      <c r="AQ2739" s="22"/>
      <c r="AR2739" s="21"/>
      <c r="AS2739" s="21"/>
      <c r="AT2739" s="21"/>
      <c r="AU2739" s="21"/>
      <c r="AV2739" s="21"/>
      <c r="AW2739" s="21"/>
      <c r="AX2739" s="22"/>
      <c r="AY2739" s="21"/>
      <c r="AZ2739" s="22"/>
      <c r="BA2739" s="21"/>
      <c r="BB2739" s="21"/>
      <c r="BC2739" s="21"/>
      <c r="BD2739" s="21"/>
      <c r="BE2739" s="26"/>
      <c r="BF2739" s="26"/>
      <c r="BG2739" s="62"/>
    </row>
    <row r="2740" spans="1:59" x14ac:dyDescent="0.3">
      <c r="A2740" s="6"/>
      <c r="B2740" s="6"/>
      <c r="C2740" s="39"/>
      <c r="D2740" s="6"/>
      <c r="E2740" s="149"/>
      <c r="F2740" s="153"/>
      <c r="G2740" s="10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5"/>
      <c r="V2740" s="5"/>
      <c r="W2740" s="13"/>
      <c r="X2740" s="4"/>
      <c r="Y2740" s="4"/>
      <c r="Z2740" s="4"/>
      <c r="AA2740" s="6"/>
      <c r="AB2740" s="5"/>
      <c r="AC2740" s="9"/>
      <c r="AD2740" s="9"/>
      <c r="AE2740" s="9"/>
      <c r="AF2740" s="9"/>
      <c r="AG2740" s="2"/>
      <c r="AH2740" s="3"/>
      <c r="AI2740" s="2"/>
      <c r="AJ2740" s="2"/>
      <c r="AK2740" s="2"/>
      <c r="AL2740" s="3"/>
      <c r="AM2740" s="3"/>
      <c r="AN2740" s="3"/>
      <c r="AO2740" s="3"/>
      <c r="AP2740" s="3"/>
      <c r="AQ2740" s="3"/>
      <c r="AR2740" s="21"/>
      <c r="AS2740" s="21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</row>
    <row r="2741" spans="1:59" ht="13.5" customHeight="1" x14ac:dyDescent="0.35">
      <c r="A2741" s="49"/>
      <c r="B2741" s="49"/>
      <c r="C2741" s="39"/>
      <c r="D2741" s="1"/>
      <c r="E2741" s="149"/>
      <c r="F2741" s="153"/>
      <c r="G2741" s="10"/>
      <c r="H2741" s="17"/>
      <c r="I2741" s="17"/>
      <c r="J2741" s="17"/>
      <c r="K2741" s="30"/>
      <c r="L2741" s="30"/>
      <c r="M2741" s="30"/>
      <c r="N2741" s="30"/>
      <c r="O2741" s="30"/>
      <c r="P2741" s="30"/>
      <c r="Q2741" s="30"/>
      <c r="R2741" s="30"/>
      <c r="S2741" s="30"/>
      <c r="T2741" s="30"/>
      <c r="U2741" s="30"/>
      <c r="V2741" s="30"/>
      <c r="W2741" s="29"/>
      <c r="X2741" s="15"/>
      <c r="Y2741" s="30"/>
      <c r="Z2741" s="30"/>
      <c r="AA2741" s="30"/>
      <c r="AB2741" s="30"/>
      <c r="AC2741" s="17"/>
      <c r="AD2741" s="17"/>
      <c r="AE2741" s="17"/>
      <c r="AF2741" s="17"/>
      <c r="AG2741" s="21"/>
      <c r="AH2741" s="21"/>
      <c r="AI2741" s="21"/>
      <c r="AJ2741" s="21"/>
      <c r="AK2741" s="21"/>
      <c r="AL2741" s="21"/>
      <c r="AM2741" s="21"/>
      <c r="AN2741" s="21"/>
      <c r="AO2741" s="22"/>
      <c r="AP2741" s="21"/>
      <c r="AQ2741" s="22"/>
      <c r="AR2741" s="21"/>
      <c r="AS2741" s="21"/>
      <c r="AT2741" s="21"/>
      <c r="AU2741" s="21"/>
      <c r="AV2741" s="21"/>
      <c r="AW2741" s="21"/>
      <c r="AX2741" s="22"/>
      <c r="AY2741" s="21"/>
      <c r="AZ2741" s="22"/>
      <c r="BA2741" s="21"/>
      <c r="BB2741" s="21"/>
      <c r="BC2741" s="21"/>
      <c r="BD2741" s="21"/>
      <c r="BE2741" s="26"/>
      <c r="BF2741" s="26"/>
      <c r="BG2741" s="62"/>
    </row>
    <row r="2742" spans="1:59" x14ac:dyDescent="0.3">
      <c r="A2742" s="6"/>
      <c r="B2742" s="6"/>
      <c r="C2742" s="39"/>
      <c r="D2742" s="6"/>
      <c r="E2742" s="149"/>
      <c r="F2742" s="153"/>
      <c r="G2742" s="10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12"/>
      <c r="Y2742" s="6"/>
      <c r="Z2742" s="6"/>
      <c r="AA2742" s="6"/>
      <c r="AB2742" s="6"/>
      <c r="AC2742" s="9"/>
      <c r="AD2742" s="9"/>
      <c r="AE2742" s="9"/>
      <c r="AF2742" s="9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21"/>
      <c r="AS2742" s="21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</row>
    <row r="2743" spans="1:59" x14ac:dyDescent="0.3">
      <c r="A2743" s="6"/>
      <c r="B2743" s="6"/>
      <c r="C2743" s="39"/>
      <c r="D2743" s="6"/>
      <c r="E2743" s="149"/>
      <c r="F2743" s="153"/>
      <c r="G2743" s="10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12"/>
      <c r="Y2743" s="6"/>
      <c r="Z2743" s="6"/>
      <c r="AA2743" s="6"/>
      <c r="AB2743" s="6"/>
      <c r="AC2743" s="9"/>
      <c r="AD2743" s="9"/>
      <c r="AE2743" s="9"/>
      <c r="AF2743" s="9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21"/>
      <c r="AS2743" s="21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</row>
    <row r="2744" spans="1:59" x14ac:dyDescent="0.3">
      <c r="A2744" s="6"/>
      <c r="B2744" s="6"/>
      <c r="C2744" s="39"/>
      <c r="D2744" s="6"/>
      <c r="E2744" s="149"/>
      <c r="F2744" s="153"/>
      <c r="G2744" s="10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12"/>
      <c r="Y2744" s="6"/>
      <c r="Z2744" s="6"/>
      <c r="AA2744" s="6"/>
      <c r="AB2744" s="6"/>
      <c r="AC2744" s="9"/>
      <c r="AD2744" s="9"/>
      <c r="AE2744" s="9"/>
      <c r="AF2744" s="9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21"/>
      <c r="AS2744" s="21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</row>
    <row r="2745" spans="1:59" x14ac:dyDescent="0.3">
      <c r="A2745" s="6"/>
      <c r="B2745" s="6"/>
      <c r="C2745" s="39"/>
      <c r="D2745" s="6"/>
      <c r="E2745" s="149"/>
      <c r="F2745" s="153"/>
      <c r="G2745" s="10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12"/>
      <c r="Y2745" s="6"/>
      <c r="Z2745" s="6"/>
      <c r="AA2745" s="6"/>
      <c r="AB2745" s="6"/>
      <c r="AC2745" s="9"/>
      <c r="AD2745" s="9"/>
      <c r="AE2745" s="9"/>
      <c r="AF2745" s="9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21"/>
      <c r="AS2745" s="21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</row>
    <row r="2746" spans="1:59" ht="13.5" customHeight="1" x14ac:dyDescent="0.35">
      <c r="A2746" s="49"/>
      <c r="B2746" s="49"/>
      <c r="C2746" s="39"/>
      <c r="D2746" s="1"/>
      <c r="E2746" s="149"/>
      <c r="F2746" s="153"/>
      <c r="G2746" s="10"/>
      <c r="H2746" s="17"/>
      <c r="I2746" s="17"/>
      <c r="J2746" s="17"/>
      <c r="K2746" s="30"/>
      <c r="L2746" s="30"/>
      <c r="M2746" s="30"/>
      <c r="N2746" s="30"/>
      <c r="O2746" s="30"/>
      <c r="P2746" s="30"/>
      <c r="Q2746" s="30"/>
      <c r="R2746" s="30"/>
      <c r="S2746" s="30"/>
      <c r="T2746" s="30"/>
      <c r="U2746" s="30"/>
      <c r="V2746" s="30"/>
      <c r="W2746" s="29"/>
      <c r="X2746" s="15"/>
      <c r="Y2746" s="30"/>
      <c r="Z2746" s="30"/>
      <c r="AA2746" s="30"/>
      <c r="AB2746" s="30"/>
      <c r="AC2746" s="17"/>
      <c r="AD2746" s="17"/>
      <c r="AE2746" s="17"/>
      <c r="AF2746" s="17"/>
      <c r="AG2746" s="21"/>
      <c r="AH2746" s="21"/>
      <c r="AI2746" s="21"/>
      <c r="AJ2746" s="21"/>
      <c r="AK2746" s="21"/>
      <c r="AL2746" s="21"/>
      <c r="AM2746" s="21"/>
      <c r="AN2746" s="21"/>
      <c r="AO2746" s="22"/>
      <c r="AP2746" s="21"/>
      <c r="AQ2746" s="22"/>
      <c r="AR2746" s="21"/>
      <c r="AS2746" s="21"/>
      <c r="AT2746" s="21"/>
      <c r="AU2746" s="21"/>
      <c r="AV2746" s="21"/>
      <c r="AW2746" s="21"/>
      <c r="AX2746" s="22"/>
      <c r="AY2746" s="21"/>
      <c r="AZ2746" s="22"/>
      <c r="BA2746" s="21"/>
      <c r="BB2746" s="21"/>
      <c r="BC2746" s="21"/>
      <c r="BD2746" s="21"/>
      <c r="BE2746" s="26"/>
      <c r="BF2746" s="26"/>
      <c r="BG2746" s="62"/>
    </row>
    <row r="2747" spans="1:59" ht="13.5" customHeight="1" x14ac:dyDescent="0.35">
      <c r="A2747" s="49"/>
      <c r="B2747" s="49"/>
      <c r="C2747" s="14"/>
      <c r="D2747" s="1"/>
      <c r="E2747" s="149"/>
      <c r="F2747" s="153"/>
      <c r="G2747" s="10"/>
      <c r="H2747" s="17"/>
      <c r="I2747" s="17"/>
      <c r="J2747" s="17"/>
      <c r="K2747" s="30"/>
      <c r="L2747" s="30"/>
      <c r="M2747" s="30"/>
      <c r="N2747" s="30"/>
      <c r="O2747" s="30"/>
      <c r="P2747" s="30"/>
      <c r="Q2747" s="30"/>
      <c r="R2747" s="30"/>
      <c r="S2747" s="30"/>
      <c r="T2747" s="30"/>
      <c r="U2747" s="30"/>
      <c r="V2747" s="30"/>
      <c r="W2747" s="29"/>
      <c r="X2747" s="15"/>
      <c r="Y2747" s="30"/>
      <c r="Z2747" s="30"/>
      <c r="AA2747" s="30"/>
      <c r="AB2747" s="30"/>
      <c r="AC2747" s="17"/>
      <c r="AD2747" s="17"/>
      <c r="AE2747" s="17"/>
      <c r="AF2747" s="17"/>
      <c r="AG2747" s="21"/>
      <c r="AH2747" s="21"/>
      <c r="AI2747" s="21"/>
      <c r="AJ2747" s="21"/>
      <c r="AK2747" s="21"/>
      <c r="AL2747" s="21"/>
      <c r="AM2747" s="21"/>
      <c r="AN2747" s="21"/>
      <c r="AO2747" s="22"/>
      <c r="AP2747" s="21"/>
      <c r="AQ2747" s="22"/>
      <c r="AR2747" s="21"/>
      <c r="AS2747" s="21"/>
      <c r="AT2747" s="21"/>
      <c r="AU2747" s="21"/>
      <c r="AV2747" s="21"/>
      <c r="AW2747" s="21"/>
      <c r="AX2747" s="22"/>
      <c r="AY2747" s="21"/>
      <c r="AZ2747" s="22"/>
      <c r="BA2747" s="21"/>
      <c r="BB2747" s="21"/>
      <c r="BC2747" s="21"/>
      <c r="BD2747" s="21"/>
      <c r="BE2747" s="26"/>
      <c r="BF2747" s="26"/>
      <c r="BG2747" s="62"/>
    </row>
    <row r="2748" spans="1:59" x14ac:dyDescent="0.3">
      <c r="A2748" s="6"/>
      <c r="B2748" s="6"/>
      <c r="C2748" s="39"/>
      <c r="D2748" s="6"/>
      <c r="E2748" s="149"/>
      <c r="F2748" s="153"/>
      <c r="G2748" s="10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5"/>
      <c r="V2748" s="5"/>
      <c r="W2748" s="13"/>
      <c r="X2748" s="4"/>
      <c r="Y2748" s="4"/>
      <c r="Z2748" s="4"/>
      <c r="AA2748" s="6"/>
      <c r="AB2748" s="5"/>
      <c r="AC2748" s="9"/>
      <c r="AD2748" s="9"/>
      <c r="AE2748" s="9"/>
      <c r="AF2748" s="9"/>
      <c r="AG2748" s="2"/>
      <c r="AH2748" s="3"/>
      <c r="AI2748" s="2"/>
      <c r="AJ2748" s="2"/>
      <c r="AK2748" s="2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</row>
    <row r="2749" spans="1:59" x14ac:dyDescent="0.3">
      <c r="A2749" s="6"/>
      <c r="B2749" s="6"/>
      <c r="C2749" s="39"/>
      <c r="D2749" s="6"/>
      <c r="E2749" s="149"/>
      <c r="F2749" s="153"/>
      <c r="G2749" s="10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5"/>
      <c r="V2749" s="5"/>
      <c r="W2749" s="13"/>
      <c r="X2749" s="4"/>
      <c r="Y2749" s="4"/>
      <c r="Z2749" s="4"/>
      <c r="AA2749" s="6"/>
      <c r="AB2749" s="5"/>
      <c r="AC2749" s="9"/>
      <c r="AD2749" s="9"/>
      <c r="AE2749" s="9"/>
      <c r="AF2749" s="9"/>
      <c r="AG2749" s="2"/>
      <c r="AH2749" s="3"/>
      <c r="AI2749" s="2"/>
      <c r="AJ2749" s="2"/>
      <c r="AK2749" s="2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</row>
    <row r="2750" spans="1:59" x14ac:dyDescent="0.3">
      <c r="A2750" s="63"/>
      <c r="B2750" s="63"/>
      <c r="C2750" s="39"/>
      <c r="D2750" s="6"/>
      <c r="E2750" s="149"/>
      <c r="F2750" s="153"/>
      <c r="G2750" s="10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12"/>
      <c r="Y2750" s="6"/>
      <c r="Z2750" s="6"/>
      <c r="AA2750" s="6"/>
      <c r="AB2750" s="6"/>
      <c r="AC2750" s="9"/>
      <c r="AD2750" s="9"/>
      <c r="AE2750" s="9"/>
      <c r="AF2750" s="9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21"/>
      <c r="AS2750" s="21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</row>
    <row r="2751" spans="1:59" x14ac:dyDescent="0.3">
      <c r="A2751" s="63"/>
      <c r="B2751" s="63"/>
      <c r="C2751" s="39"/>
      <c r="D2751" s="6"/>
      <c r="E2751" s="149"/>
      <c r="F2751" s="153"/>
      <c r="G2751" s="10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5"/>
      <c r="V2751" s="5"/>
      <c r="W2751" s="13"/>
      <c r="X2751" s="4"/>
      <c r="Y2751" s="4"/>
      <c r="Z2751" s="4"/>
      <c r="AA2751" s="6"/>
      <c r="AB2751" s="5"/>
      <c r="AC2751" s="9"/>
      <c r="AD2751" s="9"/>
      <c r="AE2751" s="9"/>
      <c r="AF2751" s="9"/>
      <c r="AG2751" s="64"/>
      <c r="AH2751" s="3"/>
      <c r="AI2751" s="2"/>
      <c r="AJ2751" s="2"/>
      <c r="AK2751" s="2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</row>
    <row r="2752" spans="1:59" x14ac:dyDescent="0.3">
      <c r="A2752" s="6"/>
      <c r="B2752" s="6"/>
      <c r="C2752" s="39"/>
      <c r="D2752" s="6"/>
      <c r="E2752" s="149"/>
      <c r="F2752" s="153"/>
      <c r="G2752" s="10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5"/>
      <c r="V2752" s="5"/>
      <c r="W2752" s="13"/>
      <c r="X2752" s="4"/>
      <c r="Y2752" s="4"/>
      <c r="Z2752" s="4"/>
      <c r="AA2752" s="6"/>
      <c r="AB2752" s="5"/>
      <c r="AC2752" s="9"/>
      <c r="AD2752" s="9"/>
      <c r="AE2752" s="9"/>
      <c r="AF2752" s="9"/>
      <c r="AG2752" s="2"/>
      <c r="AH2752" s="3"/>
      <c r="AI2752" s="2"/>
      <c r="AJ2752" s="2"/>
      <c r="AK2752" s="2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</row>
    <row r="2753" spans="1:59" ht="13.5" customHeight="1" x14ac:dyDescent="0.35">
      <c r="A2753" s="49"/>
      <c r="B2753" s="49"/>
      <c r="C2753" s="39"/>
      <c r="D2753" s="1"/>
      <c r="E2753" s="149"/>
      <c r="F2753" s="153"/>
      <c r="G2753" s="10"/>
      <c r="H2753" s="17"/>
      <c r="I2753" s="17"/>
      <c r="J2753" s="17"/>
      <c r="K2753" s="30"/>
      <c r="L2753" s="30"/>
      <c r="M2753" s="30"/>
      <c r="N2753" s="30"/>
      <c r="O2753" s="30"/>
      <c r="P2753" s="30"/>
      <c r="Q2753" s="30"/>
      <c r="R2753" s="30"/>
      <c r="S2753" s="30"/>
      <c r="T2753" s="30"/>
      <c r="U2753" s="30"/>
      <c r="V2753" s="30"/>
      <c r="W2753" s="29"/>
      <c r="X2753" s="15"/>
      <c r="Y2753" s="30"/>
      <c r="Z2753" s="30"/>
      <c r="AA2753" s="30"/>
      <c r="AB2753" s="30"/>
      <c r="AC2753" s="17"/>
      <c r="AD2753" s="17"/>
      <c r="AE2753" s="17"/>
      <c r="AF2753" s="17"/>
      <c r="AG2753" s="21"/>
      <c r="AH2753" s="21"/>
      <c r="AI2753" s="21"/>
      <c r="AJ2753" s="21"/>
      <c r="AK2753" s="21"/>
      <c r="AL2753" s="21"/>
      <c r="AM2753" s="21"/>
      <c r="AN2753" s="21"/>
      <c r="AO2753" s="22"/>
      <c r="AP2753" s="21"/>
      <c r="AQ2753" s="22"/>
      <c r="AR2753" s="21"/>
      <c r="AS2753" s="21"/>
      <c r="AT2753" s="21"/>
      <c r="AU2753" s="21"/>
      <c r="AV2753" s="21"/>
      <c r="AW2753" s="21"/>
      <c r="AX2753" s="22"/>
      <c r="AY2753" s="21"/>
      <c r="AZ2753" s="22"/>
      <c r="BA2753" s="21"/>
      <c r="BB2753" s="21"/>
      <c r="BC2753" s="21"/>
      <c r="BD2753" s="21"/>
      <c r="BE2753" s="26"/>
      <c r="BF2753" s="26"/>
      <c r="BG2753" s="62"/>
    </row>
    <row r="2754" spans="1:59" x14ac:dyDescent="0.3">
      <c r="A2754" s="6"/>
      <c r="B2754" s="6"/>
      <c r="C2754" s="39"/>
      <c r="D2754" s="6"/>
      <c r="E2754" s="149"/>
      <c r="F2754" s="153"/>
      <c r="G2754" s="10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12"/>
      <c r="Y2754" s="6"/>
      <c r="Z2754" s="6"/>
      <c r="AA2754" s="6"/>
      <c r="AB2754" s="6"/>
      <c r="AC2754" s="9"/>
      <c r="AD2754" s="9"/>
      <c r="AE2754" s="9"/>
      <c r="AF2754" s="9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21"/>
      <c r="AS2754" s="21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</row>
    <row r="2755" spans="1:59" x14ac:dyDescent="0.3">
      <c r="A2755" s="6"/>
      <c r="B2755" s="6"/>
      <c r="C2755" s="39"/>
      <c r="D2755" s="6"/>
      <c r="E2755" s="149"/>
      <c r="F2755" s="153"/>
      <c r="G2755" s="10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5"/>
      <c r="V2755" s="5"/>
      <c r="W2755" s="13"/>
      <c r="X2755" s="4"/>
      <c r="Y2755" s="4"/>
      <c r="Z2755" s="4"/>
      <c r="AA2755" s="6"/>
      <c r="AB2755" s="5"/>
      <c r="AC2755" s="9"/>
      <c r="AD2755" s="9"/>
      <c r="AE2755" s="9"/>
      <c r="AF2755" s="9"/>
      <c r="AG2755" s="2"/>
      <c r="AH2755" s="3"/>
      <c r="AI2755" s="2"/>
      <c r="AJ2755" s="2"/>
      <c r="AK2755" s="2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</row>
    <row r="2756" spans="1:59" ht="13.5" customHeight="1" x14ac:dyDescent="0.3">
      <c r="A2756" s="49"/>
      <c r="B2756" s="49"/>
      <c r="C2756" s="14"/>
      <c r="D2756" s="6"/>
      <c r="E2756" s="149"/>
      <c r="F2756" s="153"/>
      <c r="G2756" s="10"/>
      <c r="H2756" s="17"/>
      <c r="I2756" s="17"/>
      <c r="J2756" s="17"/>
      <c r="K2756" s="30"/>
      <c r="L2756" s="30"/>
      <c r="M2756" s="30"/>
      <c r="N2756" s="30"/>
      <c r="O2756" s="30"/>
      <c r="P2756" s="30"/>
      <c r="Q2756" s="30"/>
      <c r="R2756" s="30"/>
      <c r="S2756" s="30"/>
      <c r="T2756" s="30"/>
      <c r="U2756" s="30"/>
      <c r="V2756" s="30"/>
      <c r="W2756" s="29"/>
      <c r="X2756" s="15"/>
      <c r="Y2756" s="30"/>
      <c r="Z2756" s="30"/>
      <c r="AA2756" s="30"/>
      <c r="AB2756" s="30"/>
      <c r="AC2756" s="17"/>
      <c r="AD2756" s="17"/>
      <c r="AE2756" s="17"/>
      <c r="AF2756" s="17"/>
      <c r="AG2756" s="21"/>
      <c r="AH2756" s="21"/>
      <c r="AI2756" s="21"/>
      <c r="AJ2756" s="21"/>
      <c r="AK2756" s="21"/>
      <c r="AL2756" s="21"/>
      <c r="AM2756" s="21"/>
      <c r="AN2756" s="21"/>
      <c r="AO2756" s="22"/>
      <c r="AP2756" s="21"/>
      <c r="AQ2756" s="22"/>
      <c r="AR2756" s="21"/>
      <c r="AS2756" s="21"/>
      <c r="AT2756" s="21"/>
      <c r="AU2756" s="21"/>
      <c r="AV2756" s="21"/>
      <c r="AW2756" s="21"/>
      <c r="AX2756" s="22"/>
      <c r="AY2756" s="21"/>
      <c r="AZ2756" s="22"/>
      <c r="BA2756" s="21"/>
      <c r="BB2756" s="21"/>
      <c r="BC2756" s="21"/>
      <c r="BD2756" s="21"/>
      <c r="BE2756" s="26"/>
      <c r="BF2756" s="26"/>
      <c r="BG2756" s="62"/>
    </row>
    <row r="2757" spans="1:59" ht="13.5" customHeight="1" x14ac:dyDescent="0.35">
      <c r="A2757" s="49"/>
      <c r="B2757" s="49"/>
      <c r="C2757" s="39"/>
      <c r="D2757" s="1"/>
      <c r="E2757" s="149"/>
      <c r="F2757" s="153"/>
      <c r="G2757" s="10"/>
      <c r="H2757" s="17"/>
      <c r="I2757" s="17"/>
      <c r="J2757" s="17"/>
      <c r="K2757" s="30"/>
      <c r="L2757" s="30"/>
      <c r="M2757" s="30"/>
      <c r="N2757" s="30"/>
      <c r="O2757" s="30"/>
      <c r="P2757" s="30"/>
      <c r="Q2757" s="30"/>
      <c r="R2757" s="30"/>
      <c r="S2757" s="30"/>
      <c r="T2757" s="30"/>
      <c r="U2757" s="30"/>
      <c r="V2757" s="30"/>
      <c r="W2757" s="29"/>
      <c r="X2757" s="15"/>
      <c r="Y2757" s="30"/>
      <c r="Z2757" s="30"/>
      <c r="AA2757" s="30"/>
      <c r="AB2757" s="30"/>
      <c r="AC2757" s="17"/>
      <c r="AD2757" s="17"/>
      <c r="AE2757" s="17"/>
      <c r="AF2757" s="17"/>
      <c r="AG2757" s="21"/>
      <c r="AH2757" s="21"/>
      <c r="AI2757" s="21"/>
      <c r="AJ2757" s="21"/>
      <c r="AK2757" s="21"/>
      <c r="AL2757" s="21"/>
      <c r="AM2757" s="21"/>
      <c r="AN2757" s="21"/>
      <c r="AO2757" s="22"/>
      <c r="AP2757" s="21"/>
      <c r="AQ2757" s="22"/>
      <c r="AR2757" s="21"/>
      <c r="AS2757" s="21"/>
      <c r="AT2757" s="21"/>
      <c r="AU2757" s="21"/>
      <c r="AV2757" s="21"/>
      <c r="AW2757" s="21"/>
      <c r="AX2757" s="22"/>
      <c r="AY2757" s="21"/>
      <c r="AZ2757" s="22"/>
      <c r="BA2757" s="21"/>
      <c r="BB2757" s="21"/>
      <c r="BC2757" s="21"/>
      <c r="BD2757" s="21"/>
      <c r="BE2757" s="26"/>
      <c r="BF2757" s="26"/>
      <c r="BG2757" s="62"/>
    </row>
    <row r="2758" spans="1:59" x14ac:dyDescent="0.3">
      <c r="A2758" s="63"/>
      <c r="B2758" s="63"/>
      <c r="C2758" s="39"/>
      <c r="D2758" s="6"/>
      <c r="E2758" s="149"/>
      <c r="F2758" s="153"/>
      <c r="G2758" s="10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5"/>
      <c r="V2758" s="5"/>
      <c r="W2758" s="13"/>
      <c r="X2758" s="4"/>
      <c r="Y2758" s="4"/>
      <c r="Z2758" s="4"/>
      <c r="AA2758" s="6"/>
      <c r="AB2758" s="5"/>
      <c r="AC2758" s="9"/>
      <c r="AD2758" s="9"/>
      <c r="AE2758" s="9"/>
      <c r="AF2758" s="9"/>
      <c r="AG2758" s="64"/>
      <c r="AH2758" s="3"/>
      <c r="AI2758" s="2"/>
      <c r="AJ2758" s="2"/>
      <c r="AK2758" s="2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</row>
    <row r="2759" spans="1:59" ht="13.5" customHeight="1" x14ac:dyDescent="0.35">
      <c r="A2759" s="49"/>
      <c r="B2759" s="49"/>
      <c r="C2759" s="14"/>
      <c r="D2759" s="1"/>
      <c r="E2759" s="149"/>
      <c r="F2759" s="153"/>
      <c r="G2759" s="10"/>
      <c r="H2759" s="17"/>
      <c r="I2759" s="17"/>
      <c r="J2759" s="17"/>
      <c r="K2759" s="30"/>
      <c r="L2759" s="30"/>
      <c r="M2759" s="30"/>
      <c r="N2759" s="30"/>
      <c r="O2759" s="30"/>
      <c r="P2759" s="30"/>
      <c r="Q2759" s="30"/>
      <c r="R2759" s="30"/>
      <c r="S2759" s="30"/>
      <c r="T2759" s="30"/>
      <c r="U2759" s="30"/>
      <c r="V2759" s="30"/>
      <c r="W2759" s="29"/>
      <c r="X2759" s="15"/>
      <c r="Y2759" s="30"/>
      <c r="Z2759" s="30"/>
      <c r="AA2759" s="30"/>
      <c r="AB2759" s="30"/>
      <c r="AC2759" s="17"/>
      <c r="AD2759" s="17"/>
      <c r="AE2759" s="17"/>
      <c r="AF2759" s="17"/>
      <c r="AG2759" s="21"/>
      <c r="AH2759" s="21"/>
      <c r="AI2759" s="21"/>
      <c r="AJ2759" s="21"/>
      <c r="AK2759" s="21"/>
      <c r="AL2759" s="21"/>
      <c r="AM2759" s="21"/>
      <c r="AN2759" s="21"/>
      <c r="AO2759" s="22"/>
      <c r="AP2759" s="21"/>
      <c r="AQ2759" s="22"/>
      <c r="AR2759" s="21"/>
      <c r="AS2759" s="21"/>
      <c r="AT2759" s="21"/>
      <c r="AU2759" s="21"/>
      <c r="AV2759" s="21"/>
      <c r="AW2759" s="21"/>
      <c r="AX2759" s="22"/>
      <c r="AY2759" s="21"/>
      <c r="AZ2759" s="22"/>
      <c r="BA2759" s="21"/>
      <c r="BB2759" s="21"/>
      <c r="BC2759" s="21"/>
      <c r="BD2759" s="21"/>
      <c r="BE2759" s="26"/>
      <c r="BF2759" s="26"/>
      <c r="BG2759" s="62"/>
    </row>
    <row r="2760" spans="1:59" ht="13.5" customHeight="1" x14ac:dyDescent="0.35">
      <c r="A2760" s="49"/>
      <c r="B2760" s="49"/>
      <c r="C2760" s="14"/>
      <c r="D2760" s="1"/>
      <c r="E2760" s="149"/>
      <c r="F2760" s="153"/>
      <c r="G2760" s="10"/>
      <c r="H2760" s="17"/>
      <c r="I2760" s="17"/>
      <c r="J2760" s="17"/>
      <c r="K2760" s="30"/>
      <c r="L2760" s="30"/>
      <c r="M2760" s="30"/>
      <c r="N2760" s="30"/>
      <c r="O2760" s="30"/>
      <c r="P2760" s="30"/>
      <c r="Q2760" s="30"/>
      <c r="R2760" s="30"/>
      <c r="S2760" s="30"/>
      <c r="T2760" s="30"/>
      <c r="U2760" s="30"/>
      <c r="V2760" s="30"/>
      <c r="W2760" s="29"/>
      <c r="X2760" s="15"/>
      <c r="Y2760" s="30"/>
      <c r="Z2760" s="30"/>
      <c r="AA2760" s="30"/>
      <c r="AB2760" s="30"/>
      <c r="AC2760" s="17"/>
      <c r="AD2760" s="17"/>
      <c r="AE2760" s="17"/>
      <c r="AF2760" s="17"/>
      <c r="AG2760" s="21"/>
      <c r="AH2760" s="21"/>
      <c r="AI2760" s="21"/>
      <c r="AJ2760" s="21"/>
      <c r="AK2760" s="21"/>
      <c r="AL2760" s="21"/>
      <c r="AM2760" s="21"/>
      <c r="AN2760" s="21"/>
      <c r="AO2760" s="22"/>
      <c r="AP2760" s="21"/>
      <c r="AQ2760" s="22"/>
      <c r="AR2760" s="21"/>
      <c r="AS2760" s="21"/>
      <c r="AT2760" s="21"/>
      <c r="AU2760" s="21"/>
      <c r="AV2760" s="21"/>
      <c r="AW2760" s="21"/>
      <c r="AX2760" s="22"/>
      <c r="AY2760" s="21"/>
      <c r="AZ2760" s="22"/>
      <c r="BA2760" s="21"/>
      <c r="BB2760" s="21"/>
      <c r="BC2760" s="21"/>
      <c r="BD2760" s="21"/>
      <c r="BE2760" s="26"/>
      <c r="BF2760" s="26"/>
      <c r="BG2760" s="62"/>
    </row>
    <row r="2761" spans="1:59" x14ac:dyDescent="0.3">
      <c r="A2761" s="6"/>
      <c r="B2761" s="6"/>
      <c r="C2761" s="39"/>
      <c r="D2761" s="6"/>
      <c r="E2761" s="149"/>
      <c r="F2761" s="153"/>
      <c r="G2761" s="10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5"/>
      <c r="V2761" s="5"/>
      <c r="W2761" s="13"/>
      <c r="X2761" s="4"/>
      <c r="Y2761" s="4"/>
      <c r="Z2761" s="4"/>
      <c r="AA2761" s="6"/>
      <c r="AB2761" s="5"/>
      <c r="AC2761" s="9"/>
      <c r="AD2761" s="9"/>
      <c r="AE2761" s="9"/>
      <c r="AF2761" s="9"/>
      <c r="AG2761" s="2"/>
      <c r="AH2761" s="3"/>
      <c r="AI2761" s="2"/>
      <c r="AJ2761" s="2"/>
      <c r="AK2761" s="2"/>
      <c r="AL2761" s="3"/>
      <c r="AM2761" s="3"/>
      <c r="AN2761" s="3"/>
      <c r="AO2761" s="3"/>
      <c r="AP2761" s="3"/>
      <c r="AQ2761" s="3"/>
      <c r="AR2761" s="21"/>
      <c r="AS2761" s="21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</row>
    <row r="2762" spans="1:59" x14ac:dyDescent="0.3">
      <c r="A2762" s="63"/>
      <c r="B2762" s="63"/>
      <c r="C2762" s="39"/>
      <c r="D2762" s="6"/>
      <c r="E2762" s="149"/>
      <c r="F2762" s="153"/>
      <c r="G2762" s="10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5"/>
      <c r="V2762" s="5"/>
      <c r="W2762" s="13"/>
      <c r="X2762" s="4"/>
      <c r="Y2762" s="4"/>
      <c r="Z2762" s="4"/>
      <c r="AA2762" s="6"/>
      <c r="AB2762" s="5"/>
      <c r="AC2762" s="9"/>
      <c r="AD2762" s="9"/>
      <c r="AE2762" s="9"/>
      <c r="AF2762" s="9"/>
      <c r="AG2762" s="64"/>
      <c r="AH2762" s="3"/>
      <c r="AI2762" s="2"/>
      <c r="AJ2762" s="2"/>
      <c r="AK2762" s="2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</row>
    <row r="2763" spans="1:59" ht="13.5" customHeight="1" x14ac:dyDescent="0.35">
      <c r="A2763" s="49"/>
      <c r="B2763" s="49"/>
      <c r="C2763" s="39"/>
      <c r="D2763" s="1"/>
      <c r="E2763" s="149"/>
      <c r="F2763" s="153"/>
      <c r="G2763" s="10"/>
      <c r="H2763" s="17"/>
      <c r="I2763" s="17"/>
      <c r="J2763" s="17"/>
      <c r="K2763" s="30"/>
      <c r="L2763" s="30"/>
      <c r="M2763" s="30"/>
      <c r="N2763" s="30"/>
      <c r="O2763" s="30"/>
      <c r="P2763" s="30"/>
      <c r="Q2763" s="30"/>
      <c r="R2763" s="30"/>
      <c r="S2763" s="30"/>
      <c r="T2763" s="30"/>
      <c r="U2763" s="30"/>
      <c r="V2763" s="30"/>
      <c r="W2763" s="29"/>
      <c r="X2763" s="15"/>
      <c r="Y2763" s="30"/>
      <c r="Z2763" s="30"/>
      <c r="AA2763" s="30"/>
      <c r="AB2763" s="30"/>
      <c r="AC2763" s="17"/>
      <c r="AD2763" s="17"/>
      <c r="AE2763" s="17"/>
      <c r="AF2763" s="17"/>
      <c r="AG2763" s="21"/>
      <c r="AH2763" s="21"/>
      <c r="AI2763" s="21"/>
      <c r="AJ2763" s="21"/>
      <c r="AK2763" s="21"/>
      <c r="AL2763" s="21"/>
      <c r="AM2763" s="21"/>
      <c r="AN2763" s="21"/>
      <c r="AO2763" s="22"/>
      <c r="AP2763" s="21"/>
      <c r="AQ2763" s="22"/>
      <c r="AR2763" s="21"/>
      <c r="AS2763" s="21"/>
      <c r="AT2763" s="21"/>
      <c r="AU2763" s="21"/>
      <c r="AV2763" s="21"/>
      <c r="AW2763" s="21"/>
      <c r="AX2763" s="22"/>
      <c r="AY2763" s="21"/>
      <c r="AZ2763" s="22"/>
      <c r="BA2763" s="21"/>
      <c r="BB2763" s="21"/>
      <c r="BC2763" s="21"/>
      <c r="BD2763" s="21"/>
      <c r="BE2763" s="26"/>
      <c r="BF2763" s="26"/>
      <c r="BG2763" s="62"/>
    </row>
    <row r="2764" spans="1:59" ht="13.5" customHeight="1" x14ac:dyDescent="0.35">
      <c r="A2764" s="49"/>
      <c r="B2764" s="49"/>
      <c r="C2764" s="39"/>
      <c r="D2764" s="1"/>
      <c r="E2764" s="149"/>
      <c r="F2764" s="153"/>
      <c r="G2764" s="10"/>
      <c r="H2764" s="17"/>
      <c r="I2764" s="17"/>
      <c r="J2764" s="17"/>
      <c r="K2764" s="30"/>
      <c r="L2764" s="30"/>
      <c r="M2764" s="30"/>
      <c r="N2764" s="30"/>
      <c r="O2764" s="30"/>
      <c r="P2764" s="30"/>
      <c r="Q2764" s="30"/>
      <c r="R2764" s="30"/>
      <c r="S2764" s="30"/>
      <c r="T2764" s="30"/>
      <c r="U2764" s="30"/>
      <c r="V2764" s="30"/>
      <c r="W2764" s="29"/>
      <c r="X2764" s="15"/>
      <c r="Y2764" s="30"/>
      <c r="Z2764" s="30"/>
      <c r="AA2764" s="30"/>
      <c r="AB2764" s="30"/>
      <c r="AC2764" s="17"/>
      <c r="AD2764" s="17"/>
      <c r="AE2764" s="17"/>
      <c r="AF2764" s="17"/>
      <c r="AG2764" s="21"/>
      <c r="AH2764" s="21"/>
      <c r="AI2764" s="21"/>
      <c r="AJ2764" s="21"/>
      <c r="AK2764" s="21"/>
      <c r="AL2764" s="21"/>
      <c r="AM2764" s="21"/>
      <c r="AN2764" s="21"/>
      <c r="AO2764" s="22"/>
      <c r="AP2764" s="21"/>
      <c r="AQ2764" s="22"/>
      <c r="AR2764" s="21"/>
      <c r="AS2764" s="21"/>
      <c r="AT2764" s="21"/>
      <c r="AU2764" s="21"/>
      <c r="AV2764" s="21"/>
      <c r="AW2764" s="21"/>
      <c r="AX2764" s="22"/>
      <c r="AY2764" s="21"/>
      <c r="AZ2764" s="22"/>
      <c r="BA2764" s="21"/>
      <c r="BB2764" s="21"/>
      <c r="BC2764" s="21"/>
      <c r="BD2764" s="21"/>
      <c r="BE2764" s="26"/>
      <c r="BF2764" s="26"/>
      <c r="BG2764" s="62"/>
    </row>
    <row r="2765" spans="1:59" x14ac:dyDescent="0.3">
      <c r="A2765" s="6"/>
      <c r="B2765" s="6"/>
      <c r="C2765" s="39"/>
      <c r="D2765" s="6"/>
      <c r="E2765" s="149"/>
      <c r="F2765" s="153"/>
      <c r="G2765" s="10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5"/>
      <c r="V2765" s="5"/>
      <c r="W2765" s="13"/>
      <c r="X2765" s="4"/>
      <c r="Y2765" s="4"/>
      <c r="Z2765" s="4"/>
      <c r="AA2765" s="6"/>
      <c r="AB2765" s="5"/>
      <c r="AC2765" s="9"/>
      <c r="AD2765" s="9"/>
      <c r="AE2765" s="9"/>
      <c r="AF2765" s="9"/>
      <c r="AG2765" s="2"/>
      <c r="AH2765" s="3"/>
      <c r="AI2765" s="2"/>
      <c r="AJ2765" s="2"/>
      <c r="AK2765" s="2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</row>
    <row r="2766" spans="1:59" ht="13.5" customHeight="1" x14ac:dyDescent="0.35">
      <c r="A2766" s="49"/>
      <c r="B2766" s="49"/>
      <c r="C2766" s="14"/>
      <c r="D2766" s="1"/>
      <c r="E2766" s="149"/>
      <c r="F2766" s="153"/>
      <c r="G2766" s="10"/>
      <c r="H2766" s="17"/>
      <c r="I2766" s="17"/>
      <c r="J2766" s="17"/>
      <c r="K2766" s="30"/>
      <c r="L2766" s="30"/>
      <c r="M2766" s="30"/>
      <c r="N2766" s="30"/>
      <c r="O2766" s="30"/>
      <c r="P2766" s="30"/>
      <c r="Q2766" s="30"/>
      <c r="R2766" s="30"/>
      <c r="S2766" s="30"/>
      <c r="T2766" s="30"/>
      <c r="U2766" s="30"/>
      <c r="V2766" s="30"/>
      <c r="W2766" s="29"/>
      <c r="X2766" s="15"/>
      <c r="Y2766" s="30"/>
      <c r="Z2766" s="30"/>
      <c r="AA2766" s="30"/>
      <c r="AB2766" s="30"/>
      <c r="AC2766" s="17"/>
      <c r="AD2766" s="17"/>
      <c r="AE2766" s="17"/>
      <c r="AF2766" s="17"/>
      <c r="AG2766" s="21"/>
      <c r="AH2766" s="21"/>
      <c r="AI2766" s="21"/>
      <c r="AJ2766" s="21"/>
      <c r="AK2766" s="21"/>
      <c r="AL2766" s="21"/>
      <c r="AM2766" s="21"/>
      <c r="AN2766" s="21"/>
      <c r="AO2766" s="22"/>
      <c r="AP2766" s="21"/>
      <c r="AQ2766" s="22"/>
      <c r="AR2766" s="21"/>
      <c r="AS2766" s="21"/>
      <c r="AT2766" s="21"/>
      <c r="AU2766" s="21"/>
      <c r="AV2766" s="21"/>
      <c r="AW2766" s="21"/>
      <c r="AX2766" s="22"/>
      <c r="AY2766" s="21"/>
      <c r="AZ2766" s="22"/>
      <c r="BA2766" s="21"/>
      <c r="BB2766" s="21"/>
      <c r="BC2766" s="21"/>
      <c r="BD2766" s="21"/>
      <c r="BE2766" s="26"/>
      <c r="BF2766" s="26"/>
      <c r="BG2766" s="62"/>
    </row>
    <row r="2767" spans="1:59" x14ac:dyDescent="0.3">
      <c r="A2767" s="6"/>
      <c r="B2767" s="6"/>
      <c r="C2767" s="39"/>
      <c r="D2767" s="6"/>
      <c r="E2767" s="149"/>
      <c r="F2767" s="153"/>
      <c r="G2767" s="10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12"/>
      <c r="Y2767" s="6"/>
      <c r="Z2767" s="6"/>
      <c r="AA2767" s="6"/>
      <c r="AB2767" s="6"/>
      <c r="AC2767" s="9"/>
      <c r="AD2767" s="9"/>
      <c r="AE2767" s="9"/>
      <c r="AF2767" s="9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21"/>
      <c r="AS2767" s="21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</row>
    <row r="2768" spans="1:59" x14ac:dyDescent="0.3">
      <c r="A2768" s="6"/>
      <c r="B2768" s="6"/>
      <c r="C2768" s="39"/>
      <c r="D2768" s="6"/>
      <c r="E2768" s="149"/>
      <c r="F2768" s="153"/>
      <c r="G2768" s="10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5"/>
      <c r="V2768" s="5"/>
      <c r="W2768" s="13"/>
      <c r="X2768" s="4"/>
      <c r="Y2768" s="4"/>
      <c r="Z2768" s="4"/>
      <c r="AA2768" s="6"/>
      <c r="AB2768" s="5"/>
      <c r="AC2768" s="9"/>
      <c r="AD2768" s="9"/>
      <c r="AE2768" s="9"/>
      <c r="AF2768" s="9"/>
      <c r="AG2768" s="2"/>
      <c r="AH2768" s="3"/>
      <c r="AI2768" s="2"/>
      <c r="AJ2768" s="2"/>
      <c r="AK2768" s="2"/>
      <c r="AL2768" s="3"/>
      <c r="AM2768" s="3"/>
      <c r="AN2768" s="3"/>
      <c r="AO2768" s="3"/>
      <c r="AP2768" s="3"/>
      <c r="AQ2768" s="3"/>
      <c r="AR2768" s="21"/>
      <c r="AS2768" s="21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</row>
    <row r="2769" spans="1:59" x14ac:dyDescent="0.3">
      <c r="A2769" s="6"/>
      <c r="B2769" s="6"/>
      <c r="C2769" s="39"/>
      <c r="D2769" s="6"/>
      <c r="E2769" s="149"/>
      <c r="F2769" s="153"/>
      <c r="G2769" s="10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12"/>
      <c r="Y2769" s="6"/>
      <c r="Z2769" s="6"/>
      <c r="AA2769" s="6"/>
      <c r="AB2769" s="6"/>
      <c r="AC2769" s="9"/>
      <c r="AD2769" s="9"/>
      <c r="AE2769" s="9"/>
      <c r="AF2769" s="9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21"/>
      <c r="AS2769" s="21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</row>
    <row r="2770" spans="1:59" x14ac:dyDescent="0.3">
      <c r="A2770" s="6"/>
      <c r="B2770" s="6"/>
      <c r="C2770" s="39"/>
      <c r="D2770" s="6"/>
      <c r="E2770" s="149"/>
      <c r="F2770" s="153"/>
      <c r="G2770" s="10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12"/>
      <c r="Y2770" s="6"/>
      <c r="Z2770" s="6"/>
      <c r="AA2770" s="6"/>
      <c r="AB2770" s="6"/>
      <c r="AC2770" s="9"/>
      <c r="AD2770" s="9"/>
      <c r="AE2770" s="9"/>
      <c r="AF2770" s="9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21"/>
      <c r="AS2770" s="21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</row>
    <row r="2771" spans="1:59" x14ac:dyDescent="0.3">
      <c r="A2771" s="63"/>
      <c r="B2771" s="63"/>
      <c r="C2771" s="39"/>
      <c r="D2771" s="6"/>
      <c r="E2771" s="149"/>
      <c r="F2771" s="153"/>
      <c r="G2771" s="10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5"/>
      <c r="V2771" s="5"/>
      <c r="W2771" s="13"/>
      <c r="X2771" s="4"/>
      <c r="Y2771" s="4"/>
      <c r="Z2771" s="4"/>
      <c r="AA2771" s="6"/>
      <c r="AB2771" s="5"/>
      <c r="AC2771" s="9"/>
      <c r="AD2771" s="9"/>
      <c r="AE2771" s="9"/>
      <c r="AF2771" s="9"/>
      <c r="AG2771" s="64"/>
      <c r="AH2771" s="3"/>
      <c r="AI2771" s="2"/>
      <c r="AJ2771" s="2"/>
      <c r="AK2771" s="2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</row>
    <row r="2772" spans="1:59" x14ac:dyDescent="0.3">
      <c r="A2772" s="6"/>
      <c r="B2772" s="6"/>
      <c r="C2772" s="39"/>
      <c r="D2772" s="6"/>
      <c r="E2772" s="149"/>
      <c r="F2772" s="153"/>
      <c r="G2772" s="10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12"/>
      <c r="Y2772" s="6"/>
      <c r="Z2772" s="6"/>
      <c r="AA2772" s="6"/>
      <c r="AB2772" s="6"/>
      <c r="AC2772" s="9"/>
      <c r="AD2772" s="9"/>
      <c r="AE2772" s="9"/>
      <c r="AF2772" s="9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21"/>
      <c r="AS2772" s="21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</row>
    <row r="2773" spans="1:59" x14ac:dyDescent="0.3">
      <c r="A2773" s="6"/>
      <c r="B2773" s="6"/>
      <c r="C2773" s="39"/>
      <c r="D2773" s="6"/>
      <c r="E2773" s="149"/>
      <c r="F2773" s="153"/>
      <c r="G2773" s="10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12"/>
      <c r="Y2773" s="6"/>
      <c r="Z2773" s="6"/>
      <c r="AA2773" s="6"/>
      <c r="AB2773" s="6"/>
      <c r="AC2773" s="9"/>
      <c r="AD2773" s="9"/>
      <c r="AE2773" s="9"/>
      <c r="AF2773" s="9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21"/>
      <c r="AS2773" s="21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</row>
    <row r="2774" spans="1:59" ht="15" x14ac:dyDescent="0.35">
      <c r="A2774" s="6"/>
      <c r="B2774" s="6"/>
      <c r="C2774" s="39"/>
      <c r="D2774" s="6"/>
      <c r="E2774" s="149"/>
      <c r="F2774" s="153"/>
      <c r="G2774" s="10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12"/>
      <c r="Y2774" s="6"/>
      <c r="Z2774" s="6"/>
      <c r="AA2774" s="6"/>
      <c r="AB2774" s="6"/>
      <c r="AC2774" s="9"/>
      <c r="AD2774" s="9"/>
      <c r="AE2774" s="9"/>
      <c r="AF2774" s="9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21"/>
      <c r="AS2774" s="21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65"/>
    </row>
    <row r="2775" spans="1:59" ht="13.5" customHeight="1" x14ac:dyDescent="0.35">
      <c r="A2775" s="49"/>
      <c r="B2775" s="49"/>
      <c r="C2775" s="14"/>
      <c r="D2775" s="1"/>
      <c r="E2775" s="149"/>
      <c r="F2775" s="153"/>
      <c r="G2775" s="10"/>
      <c r="H2775" s="17"/>
      <c r="I2775" s="17"/>
      <c r="J2775" s="17"/>
      <c r="K2775" s="30"/>
      <c r="L2775" s="30"/>
      <c r="M2775" s="30"/>
      <c r="N2775" s="30"/>
      <c r="O2775" s="30"/>
      <c r="P2775" s="30"/>
      <c r="Q2775" s="30"/>
      <c r="R2775" s="30"/>
      <c r="S2775" s="30"/>
      <c r="T2775" s="30"/>
      <c r="U2775" s="30"/>
      <c r="V2775" s="30"/>
      <c r="W2775" s="29"/>
      <c r="X2775" s="15"/>
      <c r="Y2775" s="30"/>
      <c r="Z2775" s="30"/>
      <c r="AA2775" s="30"/>
      <c r="AB2775" s="30"/>
      <c r="AC2775" s="17"/>
      <c r="AD2775" s="17"/>
      <c r="AE2775" s="17"/>
      <c r="AF2775" s="17"/>
      <c r="AG2775" s="21"/>
      <c r="AH2775" s="21"/>
      <c r="AI2775" s="21"/>
      <c r="AJ2775" s="21"/>
      <c r="AK2775" s="21"/>
      <c r="AL2775" s="21"/>
      <c r="AM2775" s="21"/>
      <c r="AN2775" s="21"/>
      <c r="AO2775" s="22"/>
      <c r="AP2775" s="21"/>
      <c r="AQ2775" s="22"/>
      <c r="AR2775" s="21"/>
      <c r="AS2775" s="21"/>
      <c r="AT2775" s="21"/>
      <c r="AU2775" s="21"/>
      <c r="AV2775" s="21"/>
      <c r="AW2775" s="21"/>
      <c r="AX2775" s="22"/>
      <c r="AY2775" s="21"/>
      <c r="AZ2775" s="22"/>
      <c r="BA2775" s="21"/>
      <c r="BB2775" s="21"/>
      <c r="BC2775" s="21"/>
      <c r="BD2775" s="21"/>
      <c r="BE2775" s="26"/>
      <c r="BF2775" s="26"/>
      <c r="BG2775" s="62"/>
    </row>
    <row r="2776" spans="1:59" x14ac:dyDescent="0.3">
      <c r="A2776" s="6"/>
      <c r="B2776" s="6"/>
      <c r="C2776" s="39"/>
      <c r="D2776" s="6"/>
      <c r="E2776" s="149"/>
      <c r="F2776" s="153"/>
      <c r="G2776" s="10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5"/>
      <c r="V2776" s="5"/>
      <c r="W2776" s="13"/>
      <c r="X2776" s="4"/>
      <c r="Y2776" s="4"/>
      <c r="Z2776" s="4"/>
      <c r="AA2776" s="6"/>
      <c r="AB2776" s="5"/>
      <c r="AC2776" s="9"/>
      <c r="AD2776" s="9"/>
      <c r="AE2776" s="9"/>
      <c r="AF2776" s="9"/>
      <c r="AG2776" s="2"/>
      <c r="AH2776" s="3"/>
      <c r="AI2776" s="2"/>
      <c r="AJ2776" s="2"/>
      <c r="AK2776" s="2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</row>
    <row r="2777" spans="1:59" ht="15" x14ac:dyDescent="0.35">
      <c r="A2777" s="6"/>
      <c r="B2777" s="6"/>
      <c r="C2777" s="39"/>
      <c r="D2777" s="6"/>
      <c r="E2777" s="149"/>
      <c r="F2777" s="153"/>
      <c r="G2777" s="10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5"/>
      <c r="V2777" s="5"/>
      <c r="W2777" s="13"/>
      <c r="X2777" s="4"/>
      <c r="Y2777" s="4"/>
      <c r="Z2777" s="4"/>
      <c r="AA2777" s="6"/>
      <c r="AB2777" s="5"/>
      <c r="AC2777" s="9"/>
      <c r="AD2777" s="9"/>
      <c r="AE2777" s="9"/>
      <c r="AF2777" s="9"/>
      <c r="AG2777" s="2"/>
      <c r="AH2777" s="3"/>
      <c r="AI2777" s="2"/>
      <c r="AJ2777" s="2"/>
      <c r="AK2777" s="2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65"/>
    </row>
    <row r="2778" spans="1:59" ht="13.5" customHeight="1" x14ac:dyDescent="0.35">
      <c r="A2778" s="49"/>
      <c r="B2778" s="49"/>
      <c r="C2778" s="14"/>
      <c r="D2778" s="1"/>
      <c r="E2778" s="149"/>
      <c r="F2778" s="153"/>
      <c r="G2778" s="10"/>
      <c r="H2778" s="17"/>
      <c r="I2778" s="17"/>
      <c r="J2778" s="17"/>
      <c r="K2778" s="30"/>
      <c r="L2778" s="30"/>
      <c r="M2778" s="30"/>
      <c r="N2778" s="30"/>
      <c r="O2778" s="30"/>
      <c r="P2778" s="30"/>
      <c r="Q2778" s="30"/>
      <c r="R2778" s="30"/>
      <c r="S2778" s="30"/>
      <c r="T2778" s="30"/>
      <c r="U2778" s="30"/>
      <c r="V2778" s="30"/>
      <c r="W2778" s="29"/>
      <c r="X2778" s="15"/>
      <c r="Y2778" s="30"/>
      <c r="Z2778" s="30"/>
      <c r="AA2778" s="30"/>
      <c r="AB2778" s="30"/>
      <c r="AC2778" s="17"/>
      <c r="AD2778" s="17"/>
      <c r="AE2778" s="17"/>
      <c r="AF2778" s="17"/>
      <c r="AG2778" s="21"/>
      <c r="AH2778" s="21"/>
      <c r="AI2778" s="21"/>
      <c r="AJ2778" s="21"/>
      <c r="AK2778" s="21"/>
      <c r="AL2778" s="21"/>
      <c r="AM2778" s="21"/>
      <c r="AN2778" s="21"/>
      <c r="AO2778" s="22"/>
      <c r="AP2778" s="21"/>
      <c r="AQ2778" s="22"/>
      <c r="AR2778" s="21"/>
      <c r="AS2778" s="21"/>
      <c r="AT2778" s="21"/>
      <c r="AU2778" s="21"/>
      <c r="AV2778" s="21"/>
      <c r="AW2778" s="21"/>
      <c r="AX2778" s="22"/>
      <c r="AY2778" s="21"/>
      <c r="AZ2778" s="22"/>
      <c r="BA2778" s="21"/>
      <c r="BB2778" s="21"/>
      <c r="BC2778" s="21"/>
      <c r="BD2778" s="21"/>
      <c r="BE2778" s="26"/>
      <c r="BF2778" s="26"/>
      <c r="BG2778" s="62"/>
    </row>
    <row r="2779" spans="1:59" x14ac:dyDescent="0.3">
      <c r="A2779" s="63"/>
      <c r="B2779" s="63"/>
      <c r="C2779" s="39"/>
      <c r="D2779" s="6"/>
      <c r="E2779" s="149"/>
      <c r="F2779" s="153"/>
      <c r="G2779" s="10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5"/>
      <c r="V2779" s="5"/>
      <c r="W2779" s="13"/>
      <c r="X2779" s="4"/>
      <c r="Y2779" s="4"/>
      <c r="Z2779" s="4"/>
      <c r="AA2779" s="6"/>
      <c r="AB2779" s="5"/>
      <c r="AC2779" s="9"/>
      <c r="AD2779" s="9"/>
      <c r="AE2779" s="9"/>
      <c r="AF2779" s="9"/>
      <c r="AG2779" s="64"/>
      <c r="AH2779" s="3"/>
      <c r="AI2779" s="2"/>
      <c r="AJ2779" s="2"/>
      <c r="AK2779" s="2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</row>
    <row r="2780" spans="1:59" ht="13.5" customHeight="1" x14ac:dyDescent="0.35">
      <c r="A2780" s="49"/>
      <c r="B2780" s="49"/>
      <c r="C2780" s="14"/>
      <c r="D2780" s="1"/>
      <c r="E2780" s="149"/>
      <c r="F2780" s="153"/>
      <c r="G2780" s="10"/>
      <c r="H2780" s="17"/>
      <c r="I2780" s="17"/>
      <c r="J2780" s="17"/>
      <c r="K2780" s="30"/>
      <c r="L2780" s="30"/>
      <c r="M2780" s="30"/>
      <c r="N2780" s="30"/>
      <c r="O2780" s="30"/>
      <c r="P2780" s="30"/>
      <c r="Q2780" s="30"/>
      <c r="R2780" s="30"/>
      <c r="S2780" s="30"/>
      <c r="T2780" s="30"/>
      <c r="U2780" s="30"/>
      <c r="V2780" s="30"/>
      <c r="W2780" s="29"/>
      <c r="X2780" s="15"/>
      <c r="Y2780" s="30"/>
      <c r="Z2780" s="30"/>
      <c r="AA2780" s="30"/>
      <c r="AB2780" s="30"/>
      <c r="AC2780" s="17"/>
      <c r="AD2780" s="17"/>
      <c r="AE2780" s="17"/>
      <c r="AF2780" s="17"/>
      <c r="AG2780" s="21"/>
      <c r="AH2780" s="21"/>
      <c r="AI2780" s="21"/>
      <c r="AJ2780" s="21"/>
      <c r="AK2780" s="21"/>
      <c r="AL2780" s="21"/>
      <c r="AM2780" s="21"/>
      <c r="AN2780" s="21"/>
      <c r="AO2780" s="22"/>
      <c r="AP2780" s="21"/>
      <c r="AQ2780" s="22"/>
      <c r="AR2780" s="21"/>
      <c r="AS2780" s="21"/>
      <c r="AT2780" s="21"/>
      <c r="AU2780" s="21"/>
      <c r="AV2780" s="21"/>
      <c r="AW2780" s="21"/>
      <c r="AX2780" s="22"/>
      <c r="AY2780" s="21"/>
      <c r="AZ2780" s="22"/>
      <c r="BA2780" s="21"/>
      <c r="BB2780" s="21"/>
      <c r="BC2780" s="21"/>
      <c r="BD2780" s="21"/>
      <c r="BE2780" s="26"/>
      <c r="BF2780" s="26"/>
      <c r="BG2780" s="65"/>
    </row>
    <row r="2781" spans="1:59" x14ac:dyDescent="0.3">
      <c r="A2781" s="63"/>
      <c r="B2781" s="63"/>
      <c r="C2781" s="39"/>
      <c r="D2781" s="6"/>
      <c r="E2781" s="149"/>
      <c r="F2781" s="153"/>
      <c r="G2781" s="10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5"/>
      <c r="V2781" s="5"/>
      <c r="W2781" s="13"/>
      <c r="X2781" s="4"/>
      <c r="Y2781" s="4"/>
      <c r="Z2781" s="4"/>
      <c r="AA2781" s="6"/>
      <c r="AB2781" s="5"/>
      <c r="AC2781" s="9"/>
      <c r="AD2781" s="9"/>
      <c r="AE2781" s="9"/>
      <c r="AF2781" s="9"/>
      <c r="AG2781" s="64"/>
      <c r="AH2781" s="3"/>
      <c r="AI2781" s="2"/>
      <c r="AJ2781" s="2"/>
      <c r="AK2781" s="2"/>
      <c r="AL2781" s="3"/>
      <c r="AM2781" s="3"/>
      <c r="AN2781" s="3"/>
      <c r="AO2781" s="3"/>
      <c r="AP2781" s="3"/>
      <c r="AQ2781" s="3"/>
      <c r="AR2781" s="21"/>
      <c r="AS2781" s="21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</row>
    <row r="2782" spans="1:59" x14ac:dyDescent="0.3">
      <c r="A2782" s="6"/>
      <c r="B2782" s="6"/>
      <c r="C2782" s="39"/>
      <c r="D2782" s="6"/>
      <c r="E2782" s="149"/>
      <c r="F2782" s="153"/>
      <c r="G2782" s="10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12"/>
      <c r="Y2782" s="6"/>
      <c r="Z2782" s="6"/>
      <c r="AA2782" s="6"/>
      <c r="AB2782" s="6"/>
      <c r="AC2782" s="9"/>
      <c r="AD2782" s="9"/>
      <c r="AE2782" s="9"/>
      <c r="AF2782" s="9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21"/>
      <c r="AS2782" s="21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/>
      <c r="BF2782" s="3"/>
      <c r="BG2782" s="3"/>
    </row>
    <row r="2783" spans="1:59" ht="13.5" customHeight="1" x14ac:dyDescent="0.35">
      <c r="A2783" s="49"/>
      <c r="B2783" s="49"/>
      <c r="C2783" s="39"/>
      <c r="D2783" s="1"/>
      <c r="E2783" s="149"/>
      <c r="F2783" s="153"/>
      <c r="G2783" s="10"/>
      <c r="H2783" s="17"/>
      <c r="I2783" s="17"/>
      <c r="J2783" s="17"/>
      <c r="K2783" s="30"/>
      <c r="L2783" s="30"/>
      <c r="M2783" s="30"/>
      <c r="N2783" s="30"/>
      <c r="O2783" s="30"/>
      <c r="P2783" s="30"/>
      <c r="Q2783" s="30"/>
      <c r="R2783" s="30"/>
      <c r="S2783" s="30"/>
      <c r="T2783" s="30"/>
      <c r="U2783" s="30"/>
      <c r="V2783" s="30"/>
      <c r="W2783" s="29"/>
      <c r="X2783" s="15"/>
      <c r="Y2783" s="30"/>
      <c r="Z2783" s="30"/>
      <c r="AA2783" s="30"/>
      <c r="AB2783" s="30"/>
      <c r="AC2783" s="17"/>
      <c r="AD2783" s="17"/>
      <c r="AE2783" s="17"/>
      <c r="AF2783" s="17"/>
      <c r="AG2783" s="21"/>
      <c r="AH2783" s="21"/>
      <c r="AI2783" s="21"/>
      <c r="AJ2783" s="21"/>
      <c r="AK2783" s="21"/>
      <c r="AL2783" s="21"/>
      <c r="AM2783" s="21"/>
      <c r="AN2783" s="21"/>
      <c r="AO2783" s="22"/>
      <c r="AP2783" s="21"/>
      <c r="AQ2783" s="22"/>
      <c r="AR2783" s="21"/>
      <c r="AS2783" s="21"/>
      <c r="AT2783" s="21"/>
      <c r="AU2783" s="21"/>
      <c r="AV2783" s="21"/>
      <c r="AW2783" s="21"/>
      <c r="AX2783" s="22"/>
      <c r="AY2783" s="21"/>
      <c r="AZ2783" s="22"/>
      <c r="BA2783" s="21"/>
      <c r="BB2783" s="21"/>
      <c r="BC2783" s="21"/>
      <c r="BD2783" s="21"/>
      <c r="BE2783" s="26"/>
      <c r="BF2783" s="26"/>
      <c r="BG2783" s="65"/>
    </row>
    <row r="2784" spans="1:59" ht="13.5" customHeight="1" x14ac:dyDescent="0.35">
      <c r="A2784" s="49"/>
      <c r="B2784" s="49"/>
      <c r="C2784" s="39"/>
      <c r="D2784" s="1"/>
      <c r="E2784" s="149"/>
      <c r="F2784" s="153"/>
      <c r="G2784" s="10"/>
      <c r="H2784" s="17"/>
      <c r="I2784" s="17"/>
      <c r="J2784" s="17"/>
      <c r="K2784" s="30"/>
      <c r="L2784" s="30"/>
      <c r="M2784" s="30"/>
      <c r="N2784" s="30"/>
      <c r="O2784" s="30"/>
      <c r="P2784" s="30"/>
      <c r="Q2784" s="30"/>
      <c r="R2784" s="30"/>
      <c r="S2784" s="30"/>
      <c r="T2784" s="30"/>
      <c r="U2784" s="30"/>
      <c r="V2784" s="30"/>
      <c r="W2784" s="29"/>
      <c r="X2784" s="15"/>
      <c r="Y2784" s="30"/>
      <c r="Z2784" s="30"/>
      <c r="AA2784" s="30"/>
      <c r="AB2784" s="30"/>
      <c r="AC2784" s="17"/>
      <c r="AD2784" s="17"/>
      <c r="AE2784" s="17"/>
      <c r="AF2784" s="17"/>
      <c r="AG2784" s="21"/>
      <c r="AH2784" s="21"/>
      <c r="AI2784" s="21"/>
      <c r="AJ2784" s="21"/>
      <c r="AK2784" s="21"/>
      <c r="AL2784" s="21"/>
      <c r="AM2784" s="21"/>
      <c r="AN2784" s="21"/>
      <c r="AO2784" s="22"/>
      <c r="AP2784" s="21"/>
      <c r="AQ2784" s="22"/>
      <c r="AR2784" s="21"/>
      <c r="AS2784" s="21"/>
      <c r="AT2784" s="21"/>
      <c r="AU2784" s="21"/>
      <c r="AV2784" s="21"/>
      <c r="AW2784" s="21"/>
      <c r="AX2784" s="22"/>
      <c r="AY2784" s="21"/>
      <c r="AZ2784" s="22"/>
      <c r="BA2784" s="21"/>
      <c r="BB2784" s="21"/>
      <c r="BC2784" s="21"/>
      <c r="BD2784" s="21"/>
      <c r="BE2784" s="26"/>
      <c r="BF2784" s="26"/>
      <c r="BG2784" s="62"/>
    </row>
    <row r="2785" spans="1:59" ht="13.5" customHeight="1" x14ac:dyDescent="0.35">
      <c r="A2785" s="49"/>
      <c r="B2785" s="49"/>
      <c r="C2785" s="14"/>
      <c r="D2785" s="1"/>
      <c r="E2785" s="149"/>
      <c r="F2785" s="153"/>
      <c r="G2785" s="10"/>
      <c r="H2785" s="17"/>
      <c r="I2785" s="17"/>
      <c r="J2785" s="17"/>
      <c r="K2785" s="30"/>
      <c r="L2785" s="30"/>
      <c r="M2785" s="30"/>
      <c r="N2785" s="30"/>
      <c r="O2785" s="30"/>
      <c r="P2785" s="30"/>
      <c r="Q2785" s="30"/>
      <c r="R2785" s="30"/>
      <c r="S2785" s="30"/>
      <c r="T2785" s="30"/>
      <c r="U2785" s="30"/>
      <c r="V2785" s="30"/>
      <c r="W2785" s="29"/>
      <c r="X2785" s="15"/>
      <c r="Y2785" s="30"/>
      <c r="Z2785" s="30"/>
      <c r="AA2785" s="30"/>
      <c r="AB2785" s="30"/>
      <c r="AC2785" s="17"/>
      <c r="AD2785" s="17"/>
      <c r="AE2785" s="17"/>
      <c r="AF2785" s="17"/>
      <c r="AG2785" s="21"/>
      <c r="AH2785" s="21"/>
      <c r="AI2785" s="21"/>
      <c r="AJ2785" s="21"/>
      <c r="AK2785" s="21"/>
      <c r="AL2785" s="21"/>
      <c r="AM2785" s="21"/>
      <c r="AN2785" s="21"/>
      <c r="AO2785" s="22"/>
      <c r="AP2785" s="21"/>
      <c r="AQ2785" s="22"/>
      <c r="AR2785" s="21"/>
      <c r="AS2785" s="21"/>
      <c r="AT2785" s="21"/>
      <c r="AU2785" s="21"/>
      <c r="AV2785" s="21"/>
      <c r="AW2785" s="21"/>
      <c r="AX2785" s="22"/>
      <c r="AY2785" s="21"/>
      <c r="AZ2785" s="22"/>
      <c r="BA2785" s="21"/>
      <c r="BB2785" s="21"/>
      <c r="BC2785" s="21"/>
      <c r="BD2785" s="21"/>
      <c r="BE2785" s="26"/>
      <c r="BF2785" s="26"/>
      <c r="BG2785" s="62"/>
    </row>
    <row r="2786" spans="1:59" ht="13.5" customHeight="1" x14ac:dyDescent="0.3">
      <c r="A2786" s="6"/>
      <c r="B2786" s="6"/>
      <c r="C2786" s="39"/>
      <c r="D2786" s="6"/>
      <c r="E2786" s="149"/>
      <c r="F2786" s="153"/>
      <c r="G2786" s="10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12"/>
      <c r="Y2786" s="6"/>
      <c r="Z2786" s="6"/>
      <c r="AA2786" s="6"/>
      <c r="AB2786" s="6"/>
      <c r="AC2786" s="9"/>
      <c r="AD2786" s="9"/>
      <c r="AE2786" s="9"/>
      <c r="AF2786" s="9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21"/>
      <c r="AS2786" s="21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</row>
    <row r="2787" spans="1:59" x14ac:dyDescent="0.3">
      <c r="A2787" s="6"/>
      <c r="B2787" s="6"/>
      <c r="C2787" s="39"/>
      <c r="D2787" s="6"/>
      <c r="E2787" s="149"/>
      <c r="F2787" s="153"/>
      <c r="G2787" s="10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12"/>
      <c r="Y2787" s="6"/>
      <c r="Z2787" s="6"/>
      <c r="AA2787" s="6"/>
      <c r="AB2787" s="6"/>
      <c r="AC2787" s="9"/>
      <c r="AD2787" s="9"/>
      <c r="AE2787" s="9"/>
      <c r="AF2787" s="9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21"/>
      <c r="AS2787" s="21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</row>
    <row r="2788" spans="1:59" x14ac:dyDescent="0.3">
      <c r="A2788" s="6"/>
      <c r="B2788" s="6"/>
      <c r="C2788" s="39"/>
      <c r="D2788" s="6"/>
      <c r="E2788" s="149"/>
      <c r="F2788" s="153"/>
      <c r="G2788" s="10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12"/>
      <c r="Y2788" s="6"/>
      <c r="Z2788" s="6"/>
      <c r="AA2788" s="6"/>
      <c r="AB2788" s="6"/>
      <c r="AC2788" s="9"/>
      <c r="AD2788" s="9"/>
      <c r="AE2788" s="9"/>
      <c r="AF2788" s="9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21"/>
      <c r="AS2788" s="21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</row>
    <row r="2789" spans="1:59" ht="13.5" customHeight="1" x14ac:dyDescent="0.3">
      <c r="A2789" s="63"/>
      <c r="B2789" s="63"/>
      <c r="C2789" s="39"/>
      <c r="D2789" s="6"/>
      <c r="E2789" s="149"/>
      <c r="F2789" s="153"/>
      <c r="G2789" s="10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12"/>
      <c r="Y2789" s="6"/>
      <c r="Z2789" s="6"/>
      <c r="AA2789" s="6"/>
      <c r="AB2789" s="6"/>
      <c r="AC2789" s="9"/>
      <c r="AD2789" s="9"/>
      <c r="AE2789" s="9"/>
      <c r="AF2789" s="9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21"/>
      <c r="AS2789" s="21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</row>
    <row r="2790" spans="1:59" x14ac:dyDescent="0.3">
      <c r="A2790" s="6"/>
      <c r="B2790" s="6"/>
      <c r="C2790" s="39"/>
      <c r="D2790" s="6"/>
      <c r="E2790" s="149"/>
      <c r="F2790" s="153"/>
      <c r="G2790" s="10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12"/>
      <c r="Y2790" s="6"/>
      <c r="Z2790" s="6"/>
      <c r="AA2790" s="6"/>
      <c r="AB2790" s="6"/>
      <c r="AC2790" s="9"/>
      <c r="AD2790" s="9"/>
      <c r="AE2790" s="9"/>
      <c r="AF2790" s="9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21"/>
      <c r="AS2790" s="21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</row>
    <row r="2791" spans="1:59" ht="13.5" customHeight="1" x14ac:dyDescent="0.35">
      <c r="A2791" s="49"/>
      <c r="B2791" s="49"/>
      <c r="C2791" s="39"/>
      <c r="D2791" s="1"/>
      <c r="E2791" s="149"/>
      <c r="F2791" s="153"/>
      <c r="G2791" s="10"/>
      <c r="H2791" s="17"/>
      <c r="I2791" s="17"/>
      <c r="J2791" s="17"/>
      <c r="K2791" s="30"/>
      <c r="L2791" s="30"/>
      <c r="M2791" s="30"/>
      <c r="N2791" s="30"/>
      <c r="O2791" s="30"/>
      <c r="P2791" s="30"/>
      <c r="Q2791" s="30"/>
      <c r="R2791" s="30"/>
      <c r="S2791" s="30"/>
      <c r="T2791" s="30"/>
      <c r="U2791" s="30"/>
      <c r="V2791" s="30"/>
      <c r="W2791" s="29"/>
      <c r="X2791" s="15"/>
      <c r="Y2791" s="30"/>
      <c r="Z2791" s="30"/>
      <c r="AA2791" s="30"/>
      <c r="AB2791" s="30"/>
      <c r="AC2791" s="17"/>
      <c r="AD2791" s="17"/>
      <c r="AE2791" s="17"/>
      <c r="AF2791" s="17"/>
      <c r="AG2791" s="21"/>
      <c r="AH2791" s="21"/>
      <c r="AI2791" s="21"/>
      <c r="AJ2791" s="21"/>
      <c r="AK2791" s="21"/>
      <c r="AL2791" s="21"/>
      <c r="AM2791" s="21"/>
      <c r="AN2791" s="21"/>
      <c r="AO2791" s="22"/>
      <c r="AP2791" s="21"/>
      <c r="AQ2791" s="22"/>
      <c r="AR2791" s="21"/>
      <c r="AS2791" s="21"/>
      <c r="AT2791" s="21"/>
      <c r="AU2791" s="21"/>
      <c r="AV2791" s="21"/>
      <c r="AW2791" s="21"/>
      <c r="AX2791" s="22"/>
      <c r="AY2791" s="21"/>
      <c r="AZ2791" s="22"/>
      <c r="BA2791" s="21"/>
      <c r="BB2791" s="21"/>
      <c r="BC2791" s="21"/>
      <c r="BD2791" s="21"/>
      <c r="BE2791" s="26"/>
      <c r="BF2791" s="26"/>
      <c r="BG2791" s="62"/>
    </row>
    <row r="2792" spans="1:59" ht="13.5" customHeight="1" x14ac:dyDescent="0.3">
      <c r="A2792" s="6"/>
      <c r="B2792" s="6"/>
      <c r="C2792" s="39"/>
      <c r="D2792" s="6"/>
      <c r="E2792" s="149"/>
      <c r="F2792" s="153"/>
      <c r="G2792" s="10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5"/>
      <c r="V2792" s="5"/>
      <c r="W2792" s="13"/>
      <c r="X2792" s="4"/>
      <c r="Y2792" s="4"/>
      <c r="Z2792" s="4"/>
      <c r="AA2792" s="6"/>
      <c r="AB2792" s="5"/>
      <c r="AC2792" s="9"/>
      <c r="AD2792" s="9"/>
      <c r="AE2792" s="9"/>
      <c r="AF2792" s="9"/>
      <c r="AG2792" s="2"/>
      <c r="AH2792" s="3"/>
      <c r="AI2792" s="2"/>
      <c r="AJ2792" s="2"/>
      <c r="AK2792" s="2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</row>
    <row r="2793" spans="1:59" ht="13.5" customHeight="1" x14ac:dyDescent="0.35">
      <c r="A2793" s="49"/>
      <c r="B2793" s="49"/>
      <c r="C2793" s="39"/>
      <c r="D2793" s="1"/>
      <c r="E2793" s="149"/>
      <c r="F2793" s="153"/>
      <c r="G2793" s="10"/>
      <c r="H2793" s="17"/>
      <c r="I2793" s="17"/>
      <c r="J2793" s="17"/>
      <c r="K2793" s="30"/>
      <c r="L2793" s="30"/>
      <c r="M2793" s="30"/>
      <c r="N2793" s="30"/>
      <c r="O2793" s="30"/>
      <c r="P2793" s="30"/>
      <c r="Q2793" s="30"/>
      <c r="R2793" s="30"/>
      <c r="S2793" s="30"/>
      <c r="T2793" s="30"/>
      <c r="U2793" s="30"/>
      <c r="V2793" s="30"/>
      <c r="W2793" s="29"/>
      <c r="X2793" s="15"/>
      <c r="Y2793" s="30"/>
      <c r="Z2793" s="30"/>
      <c r="AA2793" s="30"/>
      <c r="AB2793" s="30"/>
      <c r="AC2793" s="17"/>
      <c r="AD2793" s="17"/>
      <c r="AE2793" s="17"/>
      <c r="AF2793" s="17"/>
      <c r="AG2793" s="21"/>
      <c r="AH2793" s="21"/>
      <c r="AI2793" s="21"/>
      <c r="AJ2793" s="21"/>
      <c r="AK2793" s="21"/>
      <c r="AL2793" s="21"/>
      <c r="AM2793" s="21"/>
      <c r="AN2793" s="21"/>
      <c r="AO2793" s="22"/>
      <c r="AP2793" s="21"/>
      <c r="AQ2793" s="22"/>
      <c r="AR2793" s="21"/>
      <c r="AS2793" s="21"/>
      <c r="AT2793" s="21"/>
      <c r="AU2793" s="21"/>
      <c r="AV2793" s="21"/>
      <c r="AW2793" s="21"/>
      <c r="AX2793" s="22"/>
      <c r="AY2793" s="21"/>
      <c r="AZ2793" s="22"/>
      <c r="BA2793" s="21"/>
      <c r="BB2793" s="21"/>
      <c r="BC2793" s="21"/>
      <c r="BD2793" s="21"/>
      <c r="BE2793" s="26"/>
      <c r="BF2793" s="26"/>
      <c r="BG2793" s="62"/>
    </row>
    <row r="2794" spans="1:59" x14ac:dyDescent="0.3">
      <c r="A2794" s="63"/>
      <c r="B2794" s="63"/>
      <c r="C2794" s="39"/>
      <c r="D2794" s="6"/>
      <c r="E2794" s="149"/>
      <c r="F2794" s="153"/>
      <c r="G2794" s="10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5"/>
      <c r="V2794" s="5"/>
      <c r="W2794" s="13"/>
      <c r="X2794" s="4"/>
      <c r="Y2794" s="4"/>
      <c r="Z2794" s="4"/>
      <c r="AA2794" s="6"/>
      <c r="AB2794" s="5"/>
      <c r="AC2794" s="9"/>
      <c r="AD2794" s="9"/>
      <c r="AE2794" s="9"/>
      <c r="AF2794" s="9"/>
      <c r="AG2794" s="64"/>
      <c r="AH2794" s="3"/>
      <c r="AI2794" s="2"/>
      <c r="AJ2794" s="2"/>
      <c r="AK2794" s="2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</row>
    <row r="2795" spans="1:59" ht="13.5" customHeight="1" x14ac:dyDescent="0.35">
      <c r="A2795" s="49"/>
      <c r="B2795" s="49"/>
      <c r="C2795" s="39"/>
      <c r="D2795" s="1"/>
      <c r="E2795" s="149"/>
      <c r="F2795" s="153"/>
      <c r="G2795" s="10"/>
      <c r="H2795" s="17"/>
      <c r="I2795" s="17"/>
      <c r="J2795" s="17"/>
      <c r="K2795" s="30"/>
      <c r="L2795" s="30"/>
      <c r="M2795" s="30"/>
      <c r="N2795" s="30"/>
      <c r="O2795" s="30"/>
      <c r="P2795" s="30"/>
      <c r="Q2795" s="30"/>
      <c r="R2795" s="30"/>
      <c r="S2795" s="30"/>
      <c r="T2795" s="30"/>
      <c r="U2795" s="30"/>
      <c r="V2795" s="30"/>
      <c r="W2795" s="29"/>
      <c r="X2795" s="15"/>
      <c r="Y2795" s="30"/>
      <c r="Z2795" s="30"/>
      <c r="AA2795" s="30"/>
      <c r="AB2795" s="30"/>
      <c r="AC2795" s="17"/>
      <c r="AD2795" s="17"/>
      <c r="AE2795" s="17"/>
      <c r="AF2795" s="17"/>
      <c r="AG2795" s="21"/>
      <c r="AH2795" s="21"/>
      <c r="AI2795" s="21"/>
      <c r="AJ2795" s="21"/>
      <c r="AK2795" s="21"/>
      <c r="AL2795" s="21"/>
      <c r="AM2795" s="21"/>
      <c r="AN2795" s="21"/>
      <c r="AO2795" s="22"/>
      <c r="AP2795" s="21"/>
      <c r="AQ2795" s="22"/>
      <c r="AR2795" s="21"/>
      <c r="AS2795" s="21"/>
      <c r="AT2795" s="21"/>
      <c r="AU2795" s="21"/>
      <c r="AV2795" s="21"/>
      <c r="AW2795" s="21"/>
      <c r="AX2795" s="22"/>
      <c r="AY2795" s="21"/>
      <c r="AZ2795" s="22"/>
      <c r="BA2795" s="21"/>
      <c r="BB2795" s="21"/>
      <c r="BC2795" s="21"/>
      <c r="BD2795" s="21"/>
      <c r="BE2795" s="26"/>
      <c r="BF2795" s="26"/>
      <c r="BG2795" s="62"/>
    </row>
    <row r="2796" spans="1:59" x14ac:dyDescent="0.3">
      <c r="A2796" s="6"/>
      <c r="B2796" s="6"/>
      <c r="C2796" s="39"/>
      <c r="D2796" s="6"/>
      <c r="E2796" s="149"/>
      <c r="F2796" s="153"/>
      <c r="G2796" s="10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12"/>
      <c r="Y2796" s="6"/>
      <c r="Z2796" s="6"/>
      <c r="AA2796" s="6"/>
      <c r="AB2796" s="6"/>
      <c r="AC2796" s="9"/>
      <c r="AD2796" s="9"/>
      <c r="AE2796" s="9"/>
      <c r="AF2796" s="9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21"/>
      <c r="AS2796" s="21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</row>
    <row r="2797" spans="1:59" ht="15" x14ac:dyDescent="0.35">
      <c r="A2797" s="63"/>
      <c r="B2797" s="63"/>
      <c r="C2797" s="39"/>
      <c r="D2797" s="6"/>
      <c r="E2797" s="149"/>
      <c r="F2797" s="153"/>
      <c r="G2797" s="10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5"/>
      <c r="V2797" s="5"/>
      <c r="W2797" s="13"/>
      <c r="X2797" s="4"/>
      <c r="Y2797" s="4"/>
      <c r="Z2797" s="4"/>
      <c r="AA2797" s="6"/>
      <c r="AB2797" s="5"/>
      <c r="AC2797" s="9"/>
      <c r="AD2797" s="9"/>
      <c r="AE2797" s="9"/>
      <c r="AF2797" s="9"/>
      <c r="AG2797" s="64"/>
      <c r="AH2797" s="3"/>
      <c r="AI2797" s="2"/>
      <c r="AJ2797" s="2"/>
      <c r="AK2797" s="2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65"/>
    </row>
    <row r="2798" spans="1:59" x14ac:dyDescent="0.3">
      <c r="A2798" s="6"/>
      <c r="B2798" s="6"/>
      <c r="C2798" s="39"/>
      <c r="D2798" s="6"/>
      <c r="E2798" s="149"/>
      <c r="F2798" s="153"/>
      <c r="G2798" s="10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5"/>
      <c r="V2798" s="5"/>
      <c r="W2798" s="13"/>
      <c r="X2798" s="4"/>
      <c r="Y2798" s="4"/>
      <c r="Z2798" s="4"/>
      <c r="AA2798" s="6"/>
      <c r="AB2798" s="5"/>
      <c r="AC2798" s="9"/>
      <c r="AD2798" s="9"/>
      <c r="AE2798" s="9"/>
      <c r="AF2798" s="9"/>
      <c r="AG2798" s="2"/>
      <c r="AH2798" s="3"/>
      <c r="AI2798" s="2"/>
      <c r="AJ2798" s="2"/>
      <c r="AK2798" s="2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</row>
    <row r="2799" spans="1:59" ht="13.5" customHeight="1" x14ac:dyDescent="0.35">
      <c r="A2799" s="49"/>
      <c r="B2799" s="49"/>
      <c r="C2799" s="14"/>
      <c r="D2799" s="1"/>
      <c r="E2799" s="149"/>
      <c r="F2799" s="153"/>
      <c r="G2799" s="10"/>
      <c r="H2799" s="17"/>
      <c r="I2799" s="17"/>
      <c r="J2799" s="17"/>
      <c r="K2799" s="30"/>
      <c r="L2799" s="30"/>
      <c r="M2799" s="30"/>
      <c r="N2799" s="30"/>
      <c r="O2799" s="30"/>
      <c r="P2799" s="30"/>
      <c r="Q2799" s="30"/>
      <c r="R2799" s="30"/>
      <c r="S2799" s="30"/>
      <c r="T2799" s="30"/>
      <c r="U2799" s="30"/>
      <c r="V2799" s="30"/>
      <c r="W2799" s="29"/>
      <c r="X2799" s="15"/>
      <c r="Y2799" s="30"/>
      <c r="Z2799" s="30"/>
      <c r="AA2799" s="30"/>
      <c r="AB2799" s="30"/>
      <c r="AC2799" s="17"/>
      <c r="AD2799" s="17"/>
      <c r="AE2799" s="17"/>
      <c r="AF2799" s="17"/>
      <c r="AG2799" s="21"/>
      <c r="AH2799" s="21"/>
      <c r="AI2799" s="21"/>
      <c r="AJ2799" s="21"/>
      <c r="AK2799" s="21"/>
      <c r="AL2799" s="21"/>
      <c r="AM2799" s="21"/>
      <c r="AN2799" s="21"/>
      <c r="AO2799" s="22"/>
      <c r="AP2799" s="21"/>
      <c r="AQ2799" s="22"/>
      <c r="AR2799" s="21"/>
      <c r="AS2799" s="21"/>
      <c r="AT2799" s="21"/>
      <c r="AU2799" s="21"/>
      <c r="AV2799" s="21"/>
      <c r="AW2799" s="21"/>
      <c r="AX2799" s="22"/>
      <c r="AY2799" s="21"/>
      <c r="AZ2799" s="22"/>
      <c r="BA2799" s="21"/>
      <c r="BB2799" s="21"/>
      <c r="BC2799" s="21"/>
      <c r="BD2799" s="21"/>
      <c r="BE2799" s="26"/>
      <c r="BF2799" s="26"/>
      <c r="BG2799" s="62"/>
    </row>
    <row r="2800" spans="1:59" x14ac:dyDescent="0.3">
      <c r="A2800" s="6"/>
      <c r="B2800" s="6"/>
      <c r="C2800" s="39"/>
      <c r="D2800" s="6"/>
      <c r="E2800" s="149"/>
      <c r="F2800" s="153"/>
      <c r="G2800" s="10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12"/>
      <c r="Y2800" s="6"/>
      <c r="Z2800" s="6"/>
      <c r="AA2800" s="6"/>
      <c r="AB2800" s="6"/>
      <c r="AC2800" s="9"/>
      <c r="AD2800" s="9"/>
      <c r="AE2800" s="9"/>
      <c r="AF2800" s="9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21"/>
      <c r="AS2800" s="21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</row>
    <row r="2801" spans="1:59" x14ac:dyDescent="0.3">
      <c r="A2801" s="6"/>
      <c r="B2801" s="6"/>
      <c r="C2801" s="39"/>
      <c r="D2801" s="6"/>
      <c r="E2801" s="149"/>
      <c r="F2801" s="153"/>
      <c r="G2801" s="10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5"/>
      <c r="V2801" s="5"/>
      <c r="W2801" s="13"/>
      <c r="X2801" s="4"/>
      <c r="Y2801" s="4"/>
      <c r="Z2801" s="4"/>
      <c r="AA2801" s="6"/>
      <c r="AB2801" s="5"/>
      <c r="AC2801" s="9"/>
      <c r="AD2801" s="9"/>
      <c r="AE2801" s="9"/>
      <c r="AF2801" s="9"/>
      <c r="AG2801" s="2"/>
      <c r="AH2801" s="3"/>
      <c r="AI2801" s="2"/>
      <c r="AJ2801" s="2"/>
      <c r="AK2801" s="2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</row>
    <row r="2802" spans="1:59" x14ac:dyDescent="0.3">
      <c r="A2802" s="63"/>
      <c r="B2802" s="63"/>
      <c r="C2802" s="39"/>
      <c r="D2802" s="6"/>
      <c r="E2802" s="149"/>
      <c r="F2802" s="153"/>
      <c r="G2802" s="10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5"/>
      <c r="V2802" s="5"/>
      <c r="W2802" s="13"/>
      <c r="X2802" s="4"/>
      <c r="Y2802" s="4"/>
      <c r="Z2802" s="4"/>
      <c r="AA2802" s="6"/>
      <c r="AB2802" s="5"/>
      <c r="AC2802" s="9"/>
      <c r="AD2802" s="9"/>
      <c r="AE2802" s="9"/>
      <c r="AF2802" s="9"/>
      <c r="AG2802" s="64"/>
      <c r="AH2802" s="3"/>
      <c r="AI2802" s="2"/>
      <c r="AJ2802" s="2"/>
      <c r="AK2802" s="2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</row>
    <row r="2803" spans="1:59" x14ac:dyDescent="0.3">
      <c r="A2803" s="6"/>
      <c r="B2803" s="6"/>
      <c r="C2803" s="39"/>
      <c r="D2803" s="6"/>
      <c r="E2803" s="149"/>
      <c r="F2803" s="153"/>
      <c r="G2803" s="10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12"/>
      <c r="Y2803" s="6"/>
      <c r="Z2803" s="6"/>
      <c r="AA2803" s="6"/>
      <c r="AB2803" s="6"/>
      <c r="AC2803" s="9"/>
      <c r="AD2803" s="9"/>
      <c r="AE2803" s="9"/>
      <c r="AF2803" s="9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21"/>
      <c r="AS2803" s="21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</row>
    <row r="2804" spans="1:59" x14ac:dyDescent="0.3">
      <c r="A2804" s="6"/>
      <c r="B2804" s="6"/>
      <c r="C2804" s="39"/>
      <c r="D2804" s="6"/>
      <c r="E2804" s="149"/>
      <c r="F2804" s="153"/>
      <c r="G2804" s="10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5"/>
      <c r="V2804" s="5"/>
      <c r="W2804" s="13"/>
      <c r="X2804" s="4"/>
      <c r="Y2804" s="4"/>
      <c r="Z2804" s="4"/>
      <c r="AA2804" s="6"/>
      <c r="AB2804" s="5"/>
      <c r="AC2804" s="9"/>
      <c r="AD2804" s="9"/>
      <c r="AE2804" s="9"/>
      <c r="AF2804" s="9"/>
      <c r="AG2804" s="2"/>
      <c r="AH2804" s="3"/>
      <c r="AI2804" s="2"/>
      <c r="AJ2804" s="2"/>
      <c r="AK2804" s="2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</row>
    <row r="2805" spans="1:59" ht="13.5" customHeight="1" x14ac:dyDescent="0.35">
      <c r="A2805" s="49"/>
      <c r="B2805" s="49"/>
      <c r="C2805" s="39"/>
      <c r="D2805" s="1"/>
      <c r="E2805" s="149"/>
      <c r="F2805" s="153"/>
      <c r="G2805" s="10"/>
      <c r="H2805" s="17"/>
      <c r="I2805" s="17"/>
      <c r="J2805" s="17"/>
      <c r="K2805" s="30"/>
      <c r="L2805" s="30"/>
      <c r="M2805" s="30"/>
      <c r="N2805" s="30"/>
      <c r="O2805" s="30"/>
      <c r="P2805" s="30"/>
      <c r="Q2805" s="30"/>
      <c r="R2805" s="30"/>
      <c r="S2805" s="30"/>
      <c r="T2805" s="30"/>
      <c r="U2805" s="30"/>
      <c r="V2805" s="30"/>
      <c r="W2805" s="29"/>
      <c r="X2805" s="15"/>
      <c r="Y2805" s="30"/>
      <c r="Z2805" s="30"/>
      <c r="AA2805" s="30"/>
      <c r="AB2805" s="30"/>
      <c r="AC2805" s="17"/>
      <c r="AD2805" s="17"/>
      <c r="AE2805" s="17"/>
      <c r="AF2805" s="17"/>
      <c r="AG2805" s="21"/>
      <c r="AH2805" s="21"/>
      <c r="AI2805" s="21"/>
      <c r="AJ2805" s="21"/>
      <c r="AK2805" s="21"/>
      <c r="AL2805" s="21"/>
      <c r="AM2805" s="21"/>
      <c r="AN2805" s="21"/>
      <c r="AO2805" s="22"/>
      <c r="AP2805" s="21"/>
      <c r="AQ2805" s="22"/>
      <c r="AR2805" s="21"/>
      <c r="AS2805" s="21"/>
      <c r="AT2805" s="21"/>
      <c r="AU2805" s="21"/>
      <c r="AV2805" s="21"/>
      <c r="AW2805" s="21"/>
      <c r="AX2805" s="22"/>
      <c r="AY2805" s="21"/>
      <c r="AZ2805" s="22"/>
      <c r="BA2805" s="21"/>
      <c r="BB2805" s="21"/>
      <c r="BC2805" s="21"/>
      <c r="BD2805" s="21"/>
      <c r="BE2805" s="26"/>
      <c r="BF2805" s="26"/>
      <c r="BG2805" s="62"/>
    </row>
    <row r="2806" spans="1:59" ht="15" x14ac:dyDescent="0.35">
      <c r="A2806" s="6"/>
      <c r="B2806" s="6"/>
      <c r="C2806" s="39"/>
      <c r="D2806" s="6"/>
      <c r="E2806" s="149"/>
      <c r="F2806" s="153"/>
      <c r="G2806" s="10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12"/>
      <c r="Y2806" s="6"/>
      <c r="Z2806" s="6"/>
      <c r="AA2806" s="6"/>
      <c r="AB2806" s="6"/>
      <c r="AC2806" s="9"/>
      <c r="AD2806" s="9"/>
      <c r="AE2806" s="9"/>
      <c r="AF2806" s="9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21"/>
      <c r="AS2806" s="21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65"/>
    </row>
    <row r="2807" spans="1:59" ht="13.5" customHeight="1" x14ac:dyDescent="0.35">
      <c r="A2807" s="49"/>
      <c r="B2807" s="49"/>
      <c r="C2807" s="14"/>
      <c r="D2807" s="1"/>
      <c r="E2807" s="149"/>
      <c r="F2807" s="153"/>
      <c r="G2807" s="10"/>
      <c r="H2807" s="17"/>
      <c r="I2807" s="17"/>
      <c r="J2807" s="17"/>
      <c r="K2807" s="30"/>
      <c r="L2807" s="30"/>
      <c r="M2807" s="30"/>
      <c r="N2807" s="30"/>
      <c r="O2807" s="30"/>
      <c r="P2807" s="30"/>
      <c r="Q2807" s="30"/>
      <c r="R2807" s="30"/>
      <c r="S2807" s="30"/>
      <c r="T2807" s="30"/>
      <c r="U2807" s="30"/>
      <c r="V2807" s="30"/>
      <c r="W2807" s="29"/>
      <c r="X2807" s="15"/>
      <c r="Y2807" s="30"/>
      <c r="Z2807" s="30"/>
      <c r="AA2807" s="30"/>
      <c r="AB2807" s="30"/>
      <c r="AC2807" s="17"/>
      <c r="AD2807" s="17"/>
      <c r="AE2807" s="17"/>
      <c r="AF2807" s="17"/>
      <c r="AG2807" s="21"/>
      <c r="AH2807" s="21"/>
      <c r="AI2807" s="21"/>
      <c r="AJ2807" s="21"/>
      <c r="AK2807" s="21"/>
      <c r="AL2807" s="21"/>
      <c r="AM2807" s="21"/>
      <c r="AN2807" s="21"/>
      <c r="AO2807" s="22"/>
      <c r="AP2807" s="21"/>
      <c r="AQ2807" s="22"/>
      <c r="AR2807" s="21"/>
      <c r="AS2807" s="21"/>
      <c r="AT2807" s="21"/>
      <c r="AU2807" s="21"/>
      <c r="AV2807" s="21"/>
      <c r="AW2807" s="21"/>
      <c r="AX2807" s="22"/>
      <c r="AY2807" s="21"/>
      <c r="AZ2807" s="22"/>
      <c r="BA2807" s="21"/>
      <c r="BB2807" s="21"/>
      <c r="BC2807" s="21"/>
      <c r="BD2807" s="21"/>
      <c r="BE2807" s="26"/>
      <c r="BF2807" s="26"/>
      <c r="BG2807" s="65"/>
    </row>
    <row r="2808" spans="1:59" x14ac:dyDescent="0.3">
      <c r="A2808" s="63"/>
      <c r="B2808" s="63"/>
      <c r="C2808" s="39"/>
      <c r="D2808" s="6"/>
      <c r="E2808" s="149"/>
      <c r="F2808" s="153"/>
      <c r="G2808" s="10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5"/>
      <c r="V2808" s="5"/>
      <c r="W2808" s="13"/>
      <c r="X2808" s="4"/>
      <c r="Y2808" s="4"/>
      <c r="Z2808" s="4"/>
      <c r="AA2808" s="6"/>
      <c r="AB2808" s="5"/>
      <c r="AC2808" s="9"/>
      <c r="AD2808" s="9"/>
      <c r="AE2808" s="9"/>
      <c r="AF2808" s="9"/>
      <c r="AG2808" s="64"/>
      <c r="AH2808" s="3"/>
      <c r="AI2808" s="2"/>
      <c r="AJ2808" s="2"/>
      <c r="AK2808" s="2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</row>
    <row r="2809" spans="1:59" x14ac:dyDescent="0.3">
      <c r="A2809" s="6"/>
      <c r="B2809" s="6"/>
      <c r="C2809" s="39"/>
      <c r="D2809" s="6"/>
      <c r="E2809" s="149"/>
      <c r="F2809" s="153"/>
      <c r="G2809" s="10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12"/>
      <c r="Y2809" s="6"/>
      <c r="Z2809" s="6"/>
      <c r="AA2809" s="6"/>
      <c r="AB2809" s="6"/>
      <c r="AC2809" s="9"/>
      <c r="AD2809" s="9"/>
      <c r="AE2809" s="9"/>
      <c r="AF2809" s="9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21"/>
      <c r="AS2809" s="21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</row>
    <row r="2810" spans="1:59" x14ac:dyDescent="0.3">
      <c r="A2810" s="6"/>
      <c r="B2810" s="6"/>
      <c r="C2810" s="39"/>
      <c r="D2810" s="6"/>
      <c r="E2810" s="149"/>
      <c r="F2810" s="153"/>
      <c r="G2810" s="10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12"/>
      <c r="Y2810" s="6"/>
      <c r="Z2810" s="6"/>
      <c r="AA2810" s="6"/>
      <c r="AB2810" s="6"/>
      <c r="AC2810" s="9"/>
      <c r="AD2810" s="9"/>
      <c r="AE2810" s="9"/>
      <c r="AF2810" s="9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21"/>
      <c r="AS2810" s="21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</row>
    <row r="2811" spans="1:59" ht="13.5" customHeight="1" x14ac:dyDescent="0.3">
      <c r="A2811" s="49"/>
      <c r="B2811" s="49"/>
      <c r="C2811" s="14"/>
      <c r="D2811" s="6"/>
      <c r="E2811" s="149"/>
      <c r="F2811" s="153"/>
      <c r="G2811" s="10"/>
      <c r="H2811" s="17"/>
      <c r="I2811" s="17"/>
      <c r="J2811" s="17"/>
      <c r="K2811" s="30"/>
      <c r="L2811" s="30"/>
      <c r="M2811" s="30"/>
      <c r="N2811" s="30"/>
      <c r="O2811" s="30"/>
      <c r="P2811" s="30"/>
      <c r="Q2811" s="30"/>
      <c r="R2811" s="30"/>
      <c r="S2811" s="30"/>
      <c r="T2811" s="30"/>
      <c r="U2811" s="30"/>
      <c r="V2811" s="30"/>
      <c r="W2811" s="29"/>
      <c r="X2811" s="15"/>
      <c r="Y2811" s="30"/>
      <c r="Z2811" s="30"/>
      <c r="AA2811" s="30"/>
      <c r="AB2811" s="30"/>
      <c r="AC2811" s="17"/>
      <c r="AD2811" s="17"/>
      <c r="AE2811" s="17"/>
      <c r="AF2811" s="17"/>
      <c r="AG2811" s="21"/>
      <c r="AH2811" s="21"/>
      <c r="AI2811" s="21"/>
      <c r="AJ2811" s="21"/>
      <c r="AK2811" s="21"/>
      <c r="AL2811" s="21"/>
      <c r="AM2811" s="21"/>
      <c r="AN2811" s="21"/>
      <c r="AO2811" s="22"/>
      <c r="AP2811" s="21"/>
      <c r="AQ2811" s="22"/>
      <c r="AR2811" s="21"/>
      <c r="AS2811" s="21"/>
      <c r="AT2811" s="21"/>
      <c r="AU2811" s="21"/>
      <c r="AV2811" s="21"/>
      <c r="AW2811" s="21"/>
      <c r="AX2811" s="22"/>
      <c r="AY2811" s="21"/>
      <c r="AZ2811" s="22"/>
      <c r="BA2811" s="21"/>
      <c r="BB2811" s="21"/>
      <c r="BC2811" s="21"/>
      <c r="BD2811" s="21"/>
      <c r="BE2811" s="26"/>
      <c r="BF2811" s="26"/>
      <c r="BG2811" s="62"/>
    </row>
    <row r="2812" spans="1:59" x14ac:dyDescent="0.3">
      <c r="A2812" s="63"/>
      <c r="B2812" s="63"/>
      <c r="C2812" s="39"/>
      <c r="D2812" s="6"/>
      <c r="E2812" s="149"/>
      <c r="F2812" s="153"/>
      <c r="G2812" s="10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5"/>
      <c r="V2812" s="5"/>
      <c r="W2812" s="13"/>
      <c r="X2812" s="4"/>
      <c r="Y2812" s="4"/>
      <c r="Z2812" s="4"/>
      <c r="AA2812" s="6"/>
      <c r="AB2812" s="5"/>
      <c r="AC2812" s="9"/>
      <c r="AD2812" s="9"/>
      <c r="AE2812" s="9"/>
      <c r="AF2812" s="9"/>
      <c r="AG2812" s="64"/>
      <c r="AH2812" s="3"/>
      <c r="AI2812" s="2"/>
      <c r="AJ2812" s="2"/>
      <c r="AK2812" s="2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</row>
    <row r="2813" spans="1:59" ht="13.5" customHeight="1" x14ac:dyDescent="0.35">
      <c r="A2813" s="49"/>
      <c r="B2813" s="49"/>
      <c r="C2813" s="14"/>
      <c r="D2813" s="1"/>
      <c r="E2813" s="149"/>
      <c r="F2813" s="153"/>
      <c r="G2813" s="10"/>
      <c r="H2813" s="17"/>
      <c r="I2813" s="17"/>
      <c r="J2813" s="17"/>
      <c r="K2813" s="30"/>
      <c r="L2813" s="30"/>
      <c r="M2813" s="30"/>
      <c r="N2813" s="30"/>
      <c r="O2813" s="30"/>
      <c r="P2813" s="30"/>
      <c r="Q2813" s="30"/>
      <c r="R2813" s="30"/>
      <c r="S2813" s="30"/>
      <c r="T2813" s="30"/>
      <c r="U2813" s="30"/>
      <c r="V2813" s="30"/>
      <c r="W2813" s="29"/>
      <c r="X2813" s="15"/>
      <c r="Y2813" s="30"/>
      <c r="Z2813" s="30"/>
      <c r="AA2813" s="30"/>
      <c r="AB2813" s="30"/>
      <c r="AC2813" s="17"/>
      <c r="AD2813" s="17"/>
      <c r="AE2813" s="17"/>
      <c r="AF2813" s="17"/>
      <c r="AG2813" s="21"/>
      <c r="AH2813" s="21"/>
      <c r="AI2813" s="21"/>
      <c r="AJ2813" s="21"/>
      <c r="AK2813" s="21"/>
      <c r="AL2813" s="21"/>
      <c r="AM2813" s="21"/>
      <c r="AN2813" s="21"/>
      <c r="AO2813" s="22"/>
      <c r="AP2813" s="21"/>
      <c r="AQ2813" s="22"/>
      <c r="AR2813" s="21"/>
      <c r="AS2813" s="21"/>
      <c r="AT2813" s="21"/>
      <c r="AU2813" s="21"/>
      <c r="AV2813" s="21"/>
      <c r="AW2813" s="21"/>
      <c r="AX2813" s="22"/>
      <c r="AY2813" s="21"/>
      <c r="AZ2813" s="22"/>
      <c r="BA2813" s="21"/>
      <c r="BB2813" s="21"/>
      <c r="BC2813" s="21"/>
      <c r="BD2813" s="21"/>
      <c r="BE2813" s="26"/>
      <c r="BF2813" s="26"/>
      <c r="BG2813" s="62"/>
    </row>
    <row r="2814" spans="1:59" ht="13.5" customHeight="1" x14ac:dyDescent="0.35">
      <c r="A2814" s="49"/>
      <c r="B2814" s="49"/>
      <c r="C2814" s="14"/>
      <c r="D2814" s="1"/>
      <c r="E2814" s="149"/>
      <c r="F2814" s="153"/>
      <c r="G2814" s="10"/>
      <c r="H2814" s="17"/>
      <c r="I2814" s="17"/>
      <c r="J2814" s="17"/>
      <c r="K2814" s="30"/>
      <c r="L2814" s="30"/>
      <c r="M2814" s="30"/>
      <c r="N2814" s="30"/>
      <c r="O2814" s="30"/>
      <c r="P2814" s="30"/>
      <c r="Q2814" s="30"/>
      <c r="R2814" s="30"/>
      <c r="S2814" s="30"/>
      <c r="T2814" s="30"/>
      <c r="U2814" s="30"/>
      <c r="V2814" s="30"/>
      <c r="W2814" s="29"/>
      <c r="X2814" s="15"/>
      <c r="Y2814" s="30"/>
      <c r="Z2814" s="30"/>
      <c r="AA2814" s="30"/>
      <c r="AB2814" s="30"/>
      <c r="AC2814" s="17"/>
      <c r="AD2814" s="17"/>
      <c r="AE2814" s="17"/>
      <c r="AF2814" s="17"/>
      <c r="AG2814" s="21"/>
      <c r="AH2814" s="21"/>
      <c r="AI2814" s="21"/>
      <c r="AJ2814" s="21"/>
      <c r="AK2814" s="21"/>
      <c r="AL2814" s="21"/>
      <c r="AM2814" s="21"/>
      <c r="AN2814" s="21"/>
      <c r="AO2814" s="22"/>
      <c r="AP2814" s="21"/>
      <c r="AQ2814" s="22"/>
      <c r="AR2814" s="21"/>
      <c r="AS2814" s="21"/>
      <c r="AT2814" s="21"/>
      <c r="AU2814" s="21"/>
      <c r="AV2814" s="21"/>
      <c r="AW2814" s="21"/>
      <c r="AX2814" s="22"/>
      <c r="AY2814" s="21"/>
      <c r="AZ2814" s="22"/>
      <c r="BA2814" s="21"/>
      <c r="BB2814" s="21"/>
      <c r="BC2814" s="21"/>
      <c r="BD2814" s="21"/>
      <c r="BE2814" s="26"/>
      <c r="BF2814" s="26"/>
      <c r="BG2814" s="62"/>
    </row>
    <row r="2815" spans="1:59" x14ac:dyDescent="0.3">
      <c r="A2815" s="6"/>
      <c r="B2815" s="6"/>
      <c r="C2815" s="39"/>
      <c r="D2815" s="6"/>
      <c r="E2815" s="149"/>
      <c r="F2815" s="153"/>
      <c r="G2815" s="10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5"/>
      <c r="V2815" s="5"/>
      <c r="W2815" s="13"/>
      <c r="X2815" s="4"/>
      <c r="Y2815" s="4"/>
      <c r="Z2815" s="4"/>
      <c r="AA2815" s="6"/>
      <c r="AB2815" s="5"/>
      <c r="AC2815" s="9"/>
      <c r="AD2815" s="9"/>
      <c r="AE2815" s="9"/>
      <c r="AF2815" s="9"/>
      <c r="AG2815" s="2"/>
      <c r="AH2815" s="3"/>
      <c r="AI2815" s="2"/>
      <c r="AJ2815" s="2"/>
      <c r="AK2815" s="2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</row>
    <row r="2816" spans="1:59" ht="13.5" customHeight="1" x14ac:dyDescent="0.35">
      <c r="A2816" s="49"/>
      <c r="B2816" s="49"/>
      <c r="C2816" s="14"/>
      <c r="D2816" s="1"/>
      <c r="E2816" s="149"/>
      <c r="F2816" s="153"/>
      <c r="G2816" s="10"/>
      <c r="H2816" s="17"/>
      <c r="I2816" s="17"/>
      <c r="J2816" s="17"/>
      <c r="K2816" s="30"/>
      <c r="L2816" s="30"/>
      <c r="M2816" s="30"/>
      <c r="N2816" s="30"/>
      <c r="O2816" s="30"/>
      <c r="P2816" s="30"/>
      <c r="Q2816" s="30"/>
      <c r="R2816" s="30"/>
      <c r="S2816" s="30"/>
      <c r="T2816" s="30"/>
      <c r="U2816" s="30"/>
      <c r="V2816" s="30"/>
      <c r="W2816" s="29"/>
      <c r="X2816" s="15"/>
      <c r="Y2816" s="30"/>
      <c r="Z2816" s="30"/>
      <c r="AA2816" s="30"/>
      <c r="AB2816" s="30"/>
      <c r="AC2816" s="17"/>
      <c r="AD2816" s="17"/>
      <c r="AE2816" s="17"/>
      <c r="AF2816" s="17"/>
      <c r="AG2816" s="21"/>
      <c r="AH2816" s="21"/>
      <c r="AI2816" s="21"/>
      <c r="AJ2816" s="21"/>
      <c r="AK2816" s="21"/>
      <c r="AL2816" s="21"/>
      <c r="AM2816" s="21"/>
      <c r="AN2816" s="21"/>
      <c r="AO2816" s="22"/>
      <c r="AP2816" s="21"/>
      <c r="AQ2816" s="22"/>
      <c r="AR2816" s="21"/>
      <c r="AS2816" s="21"/>
      <c r="AT2816" s="21"/>
      <c r="AU2816" s="21"/>
      <c r="AV2816" s="21"/>
      <c r="AW2816" s="21"/>
      <c r="AX2816" s="22"/>
      <c r="AY2816" s="21"/>
      <c r="AZ2816" s="22"/>
      <c r="BA2816" s="21"/>
      <c r="BB2816" s="21"/>
      <c r="BC2816" s="21"/>
      <c r="BD2816" s="21"/>
      <c r="BE2816" s="26"/>
      <c r="BF2816" s="26"/>
      <c r="BG2816" s="62"/>
    </row>
    <row r="2817" spans="1:59" ht="13.5" customHeight="1" x14ac:dyDescent="0.35">
      <c r="A2817" s="49"/>
      <c r="B2817" s="49"/>
      <c r="C2817" s="14"/>
      <c r="D2817" s="1"/>
      <c r="E2817" s="149"/>
      <c r="F2817" s="153"/>
      <c r="G2817" s="10"/>
      <c r="H2817" s="17"/>
      <c r="I2817" s="17"/>
      <c r="J2817" s="17"/>
      <c r="K2817" s="30"/>
      <c r="L2817" s="30"/>
      <c r="M2817" s="30"/>
      <c r="N2817" s="30"/>
      <c r="O2817" s="30"/>
      <c r="P2817" s="30"/>
      <c r="Q2817" s="30"/>
      <c r="R2817" s="30"/>
      <c r="S2817" s="30"/>
      <c r="T2817" s="30"/>
      <c r="U2817" s="30"/>
      <c r="V2817" s="30"/>
      <c r="W2817" s="29"/>
      <c r="X2817" s="15"/>
      <c r="Y2817" s="30"/>
      <c r="Z2817" s="30"/>
      <c r="AA2817" s="30"/>
      <c r="AB2817" s="30"/>
      <c r="AC2817" s="17"/>
      <c r="AD2817" s="17"/>
      <c r="AE2817" s="17"/>
      <c r="AF2817" s="17"/>
      <c r="AG2817" s="21"/>
      <c r="AH2817" s="21"/>
      <c r="AI2817" s="21"/>
      <c r="AJ2817" s="21"/>
      <c r="AK2817" s="21"/>
      <c r="AL2817" s="21"/>
      <c r="AM2817" s="21"/>
      <c r="AN2817" s="21"/>
      <c r="AO2817" s="22"/>
      <c r="AP2817" s="21"/>
      <c r="AQ2817" s="22"/>
      <c r="AR2817" s="21"/>
      <c r="AS2817" s="21"/>
      <c r="AT2817" s="21"/>
      <c r="AU2817" s="21"/>
      <c r="AV2817" s="21"/>
      <c r="AW2817" s="21"/>
      <c r="AX2817" s="22"/>
      <c r="AY2817" s="21"/>
      <c r="AZ2817" s="22"/>
      <c r="BA2817" s="21"/>
      <c r="BB2817" s="21"/>
      <c r="BC2817" s="21"/>
      <c r="BD2817" s="21"/>
      <c r="BE2817" s="26"/>
      <c r="BF2817" s="26"/>
      <c r="BG2817" s="62"/>
    </row>
    <row r="2818" spans="1:59" ht="13.5" customHeight="1" x14ac:dyDescent="0.35">
      <c r="A2818" s="49"/>
      <c r="B2818" s="49"/>
      <c r="C2818" s="14"/>
      <c r="D2818" s="1"/>
      <c r="E2818" s="149"/>
      <c r="F2818" s="153"/>
      <c r="G2818" s="10"/>
      <c r="H2818" s="17"/>
      <c r="I2818" s="17"/>
      <c r="J2818" s="17"/>
      <c r="K2818" s="30"/>
      <c r="L2818" s="30"/>
      <c r="M2818" s="30"/>
      <c r="N2818" s="30"/>
      <c r="O2818" s="30"/>
      <c r="P2818" s="30"/>
      <c r="Q2818" s="30"/>
      <c r="R2818" s="30"/>
      <c r="S2818" s="30"/>
      <c r="T2818" s="30"/>
      <c r="U2818" s="30"/>
      <c r="V2818" s="30"/>
      <c r="W2818" s="29"/>
      <c r="X2818" s="15"/>
      <c r="Y2818" s="30"/>
      <c r="Z2818" s="30"/>
      <c r="AA2818" s="30"/>
      <c r="AB2818" s="30"/>
      <c r="AC2818" s="17"/>
      <c r="AD2818" s="17"/>
      <c r="AE2818" s="17"/>
      <c r="AF2818" s="17"/>
      <c r="AG2818" s="21"/>
      <c r="AH2818" s="21"/>
      <c r="AI2818" s="21"/>
      <c r="AJ2818" s="21"/>
      <c r="AK2818" s="21"/>
      <c r="AL2818" s="21"/>
      <c r="AM2818" s="21"/>
      <c r="AN2818" s="21"/>
      <c r="AO2818" s="22"/>
      <c r="AP2818" s="21"/>
      <c r="AQ2818" s="22"/>
      <c r="AR2818" s="21"/>
      <c r="AS2818" s="21"/>
      <c r="AT2818" s="21"/>
      <c r="AU2818" s="21"/>
      <c r="AV2818" s="21"/>
      <c r="AW2818" s="21"/>
      <c r="AX2818" s="22"/>
      <c r="AY2818" s="21"/>
      <c r="AZ2818" s="22"/>
      <c r="BA2818" s="21"/>
      <c r="BB2818" s="21"/>
      <c r="BC2818" s="21"/>
      <c r="BD2818" s="21"/>
      <c r="BE2818" s="26"/>
      <c r="BF2818" s="26"/>
      <c r="BG2818" s="62"/>
    </row>
    <row r="2819" spans="1:59" ht="13.5" customHeight="1" x14ac:dyDescent="0.35">
      <c r="A2819" s="49"/>
      <c r="B2819" s="49"/>
      <c r="C2819" s="14"/>
      <c r="D2819" s="1"/>
      <c r="E2819" s="149"/>
      <c r="F2819" s="153"/>
      <c r="G2819" s="10"/>
      <c r="H2819" s="17"/>
      <c r="I2819" s="17"/>
      <c r="J2819" s="17"/>
      <c r="K2819" s="30"/>
      <c r="L2819" s="30"/>
      <c r="M2819" s="30"/>
      <c r="N2819" s="30"/>
      <c r="O2819" s="30"/>
      <c r="P2819" s="30"/>
      <c r="Q2819" s="30"/>
      <c r="R2819" s="30"/>
      <c r="S2819" s="30"/>
      <c r="T2819" s="30"/>
      <c r="U2819" s="30"/>
      <c r="V2819" s="30"/>
      <c r="W2819" s="29"/>
      <c r="X2819" s="15"/>
      <c r="Y2819" s="30"/>
      <c r="Z2819" s="30"/>
      <c r="AA2819" s="30"/>
      <c r="AB2819" s="30"/>
      <c r="AC2819" s="17"/>
      <c r="AD2819" s="17"/>
      <c r="AE2819" s="17"/>
      <c r="AF2819" s="17"/>
      <c r="AG2819" s="21"/>
      <c r="AH2819" s="21"/>
      <c r="AI2819" s="21"/>
      <c r="AJ2819" s="21"/>
      <c r="AK2819" s="21"/>
      <c r="AL2819" s="21"/>
      <c r="AM2819" s="21"/>
      <c r="AN2819" s="21"/>
      <c r="AO2819" s="22"/>
      <c r="AP2819" s="21"/>
      <c r="AQ2819" s="22"/>
      <c r="AR2819" s="21"/>
      <c r="AS2819" s="21"/>
      <c r="AT2819" s="21"/>
      <c r="AU2819" s="21"/>
      <c r="AV2819" s="21"/>
      <c r="AW2819" s="21"/>
      <c r="AX2819" s="22"/>
      <c r="AY2819" s="21"/>
      <c r="AZ2819" s="22"/>
      <c r="BA2819" s="21"/>
      <c r="BB2819" s="21"/>
      <c r="BC2819" s="21"/>
      <c r="BD2819" s="21"/>
      <c r="BE2819" s="26"/>
      <c r="BF2819" s="26"/>
      <c r="BG2819" s="62"/>
    </row>
    <row r="2820" spans="1:59" x14ac:dyDescent="0.3">
      <c r="A2820" s="6"/>
      <c r="B2820" s="6"/>
      <c r="C2820" s="39"/>
      <c r="D2820" s="6"/>
      <c r="E2820" s="149"/>
      <c r="F2820" s="153"/>
      <c r="G2820" s="10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12"/>
      <c r="Y2820" s="6"/>
      <c r="Z2820" s="6"/>
      <c r="AA2820" s="6"/>
      <c r="AB2820" s="6"/>
      <c r="AC2820" s="9"/>
      <c r="AD2820" s="9"/>
      <c r="AE2820" s="9"/>
      <c r="AF2820" s="9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21"/>
      <c r="AS2820" s="21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</row>
    <row r="2821" spans="1:59" x14ac:dyDescent="0.3">
      <c r="A2821" s="6"/>
      <c r="B2821" s="6"/>
      <c r="C2821" s="39"/>
      <c r="D2821" s="6"/>
      <c r="E2821" s="149"/>
      <c r="F2821" s="153"/>
      <c r="G2821" s="10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5"/>
      <c r="V2821" s="5"/>
      <c r="W2821" s="13"/>
      <c r="X2821" s="4"/>
      <c r="Y2821" s="4"/>
      <c r="Z2821" s="4"/>
      <c r="AA2821" s="6"/>
      <c r="AB2821" s="5"/>
      <c r="AC2821" s="9"/>
      <c r="AD2821" s="9"/>
      <c r="AE2821" s="9"/>
      <c r="AF2821" s="9"/>
      <c r="AG2821" s="2"/>
      <c r="AH2821" s="3"/>
      <c r="AI2821" s="2"/>
      <c r="AJ2821" s="2"/>
      <c r="AK2821" s="2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</row>
    <row r="2822" spans="1:59" ht="15" x14ac:dyDescent="0.35">
      <c r="A2822" s="63"/>
      <c r="B2822" s="63"/>
      <c r="C2822" s="39"/>
      <c r="D2822" s="6"/>
      <c r="E2822" s="149"/>
      <c r="F2822" s="153"/>
      <c r="G2822" s="10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5"/>
      <c r="V2822" s="5"/>
      <c r="W2822" s="13"/>
      <c r="X2822" s="4"/>
      <c r="Y2822" s="4"/>
      <c r="Z2822" s="4"/>
      <c r="AA2822" s="6"/>
      <c r="AB2822" s="5"/>
      <c r="AC2822" s="9"/>
      <c r="AD2822" s="9"/>
      <c r="AE2822" s="9"/>
      <c r="AF2822" s="9"/>
      <c r="AG2822" s="64"/>
      <c r="AH2822" s="3"/>
      <c r="AI2822" s="2"/>
      <c r="AJ2822" s="2"/>
      <c r="AK2822" s="2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65"/>
    </row>
    <row r="2823" spans="1:59" x14ac:dyDescent="0.3">
      <c r="A2823" s="6"/>
      <c r="B2823" s="6"/>
      <c r="C2823" s="39"/>
      <c r="D2823" s="6"/>
      <c r="E2823" s="149"/>
      <c r="F2823" s="153"/>
      <c r="G2823" s="10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12"/>
      <c r="Y2823" s="6"/>
      <c r="Z2823" s="6"/>
      <c r="AA2823" s="6"/>
      <c r="AB2823" s="6"/>
      <c r="AC2823" s="9"/>
      <c r="AD2823" s="9"/>
      <c r="AE2823" s="9"/>
      <c r="AF2823" s="9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  <c r="BG2823" s="3"/>
    </row>
    <row r="2824" spans="1:59" x14ac:dyDescent="0.3">
      <c r="A2824" s="6"/>
      <c r="B2824" s="6"/>
      <c r="C2824" s="39"/>
      <c r="D2824" s="6"/>
      <c r="E2824" s="149"/>
      <c r="F2824" s="153"/>
      <c r="G2824" s="10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5"/>
      <c r="V2824" s="5"/>
      <c r="W2824" s="13"/>
      <c r="X2824" s="4"/>
      <c r="Y2824" s="4"/>
      <c r="Z2824" s="4"/>
      <c r="AA2824" s="6"/>
      <c r="AB2824" s="5"/>
      <c r="AC2824" s="9"/>
      <c r="AD2824" s="9"/>
      <c r="AE2824" s="9"/>
      <c r="AF2824" s="9"/>
      <c r="AG2824" s="2"/>
      <c r="AH2824" s="3"/>
      <c r="AI2824" s="2"/>
      <c r="AJ2824" s="2"/>
      <c r="AK2824" s="2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</row>
    <row r="2825" spans="1:59" x14ac:dyDescent="0.3">
      <c r="A2825" s="6"/>
      <c r="B2825" s="6"/>
      <c r="C2825" s="39"/>
      <c r="D2825" s="6"/>
      <c r="E2825" s="149"/>
      <c r="F2825" s="153"/>
      <c r="G2825" s="10"/>
      <c r="H2825" s="6"/>
      <c r="I2825" s="6"/>
      <c r="J2825" s="6"/>
      <c r="K2825" s="6"/>
      <c r="L2825" s="6"/>
      <c r="M2825" s="6"/>
      <c r="N2825" s="6"/>
      <c r="O2825" s="6"/>
      <c r="P2825" s="6"/>
      <c r="Q2825" s="6"/>
      <c r="R2825" s="6"/>
      <c r="S2825" s="6"/>
      <c r="T2825" s="6"/>
      <c r="U2825" s="5"/>
      <c r="V2825" s="5"/>
      <c r="W2825" s="13"/>
      <c r="X2825" s="4"/>
      <c r="Y2825" s="4"/>
      <c r="Z2825" s="4"/>
      <c r="AA2825" s="6"/>
      <c r="AB2825" s="5"/>
      <c r="AC2825" s="9"/>
      <c r="AD2825" s="9"/>
      <c r="AE2825" s="9"/>
      <c r="AF2825" s="9"/>
      <c r="AG2825" s="2"/>
      <c r="AH2825" s="3"/>
      <c r="AI2825" s="2"/>
      <c r="AJ2825" s="2"/>
      <c r="AK2825" s="2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</row>
    <row r="2826" spans="1:59" x14ac:dyDescent="0.3">
      <c r="A2826" s="6"/>
      <c r="B2826" s="6"/>
      <c r="C2826" s="39"/>
      <c r="D2826" s="6"/>
      <c r="E2826" s="149"/>
      <c r="F2826" s="153"/>
      <c r="G2826" s="10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12"/>
      <c r="Y2826" s="6"/>
      <c r="Z2826" s="6"/>
      <c r="AA2826" s="6"/>
      <c r="AB2826" s="6"/>
      <c r="AC2826" s="9"/>
      <c r="AD2826" s="9"/>
      <c r="AE2826" s="9"/>
      <c r="AF2826" s="9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21"/>
      <c r="AS2826" s="21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</row>
    <row r="2827" spans="1:59" x14ac:dyDescent="0.3">
      <c r="A2827" s="6"/>
      <c r="B2827" s="6"/>
      <c r="C2827" s="39"/>
      <c r="D2827" s="6"/>
      <c r="E2827" s="149"/>
      <c r="F2827" s="153"/>
      <c r="G2827" s="10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12"/>
      <c r="Y2827" s="6"/>
      <c r="Z2827" s="6"/>
      <c r="AA2827" s="6"/>
      <c r="AB2827" s="6"/>
      <c r="AC2827" s="9"/>
      <c r="AD2827" s="9"/>
      <c r="AE2827" s="9"/>
      <c r="AF2827" s="9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21"/>
      <c r="AS2827" s="21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</row>
    <row r="2828" spans="1:59" ht="15" x14ac:dyDescent="0.35">
      <c r="A2828" s="6"/>
      <c r="B2828" s="6"/>
      <c r="C2828" s="39"/>
      <c r="D2828" s="6"/>
      <c r="E2828" s="149"/>
      <c r="F2828" s="153"/>
      <c r="G2828" s="10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12"/>
      <c r="Y2828" s="6"/>
      <c r="Z2828" s="6"/>
      <c r="AA2828" s="6"/>
      <c r="AB2828" s="6"/>
      <c r="AC2828" s="9"/>
      <c r="AD2828" s="9"/>
      <c r="AE2828" s="9"/>
      <c r="AF2828" s="9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21"/>
      <c r="AS2828" s="21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65"/>
    </row>
    <row r="2829" spans="1:59" x14ac:dyDescent="0.3">
      <c r="A2829" s="6"/>
      <c r="B2829" s="6"/>
      <c r="C2829" s="39"/>
      <c r="D2829" s="6"/>
      <c r="E2829" s="149"/>
      <c r="F2829" s="153"/>
      <c r="G2829" s="10"/>
      <c r="H2829" s="6"/>
      <c r="I2829" s="6"/>
      <c r="J2829" s="6"/>
      <c r="K2829" s="6"/>
      <c r="L2829" s="6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12"/>
      <c r="Y2829" s="6"/>
      <c r="Z2829" s="6"/>
      <c r="AA2829" s="6"/>
      <c r="AB2829" s="6"/>
      <c r="AC2829" s="9"/>
      <c r="AD2829" s="9"/>
      <c r="AE2829" s="9"/>
      <c r="AF2829" s="9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21"/>
      <c r="AS2829" s="21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</row>
    <row r="2830" spans="1:59" ht="13.5" customHeight="1" x14ac:dyDescent="0.35">
      <c r="A2830" s="49"/>
      <c r="B2830" s="49"/>
      <c r="C2830" s="14"/>
      <c r="D2830" s="1"/>
      <c r="E2830" s="149"/>
      <c r="F2830" s="153"/>
      <c r="G2830" s="10"/>
      <c r="H2830" s="17"/>
      <c r="I2830" s="17"/>
      <c r="J2830" s="17"/>
      <c r="K2830" s="30"/>
      <c r="L2830" s="30"/>
      <c r="M2830" s="30"/>
      <c r="N2830" s="30"/>
      <c r="O2830" s="30"/>
      <c r="P2830" s="30"/>
      <c r="Q2830" s="30"/>
      <c r="R2830" s="30"/>
      <c r="S2830" s="30"/>
      <c r="T2830" s="30"/>
      <c r="U2830" s="30"/>
      <c r="V2830" s="30"/>
      <c r="W2830" s="29"/>
      <c r="X2830" s="15"/>
      <c r="Y2830" s="30"/>
      <c r="Z2830" s="30"/>
      <c r="AA2830" s="30"/>
      <c r="AB2830" s="30"/>
      <c r="AC2830" s="17"/>
      <c r="AD2830" s="17"/>
      <c r="AE2830" s="17"/>
      <c r="AF2830" s="17"/>
      <c r="AG2830" s="21"/>
      <c r="AH2830" s="21"/>
      <c r="AI2830" s="21"/>
      <c r="AJ2830" s="21"/>
      <c r="AK2830" s="21"/>
      <c r="AL2830" s="21"/>
      <c r="AM2830" s="21"/>
      <c r="AN2830" s="21"/>
      <c r="AO2830" s="22"/>
      <c r="AP2830" s="21"/>
      <c r="AQ2830" s="22"/>
      <c r="AR2830" s="21"/>
      <c r="AS2830" s="21"/>
      <c r="AT2830" s="21"/>
      <c r="AU2830" s="21"/>
      <c r="AV2830" s="21"/>
      <c r="AW2830" s="21"/>
      <c r="AX2830" s="22"/>
      <c r="AY2830" s="21"/>
      <c r="AZ2830" s="22"/>
      <c r="BA2830" s="21"/>
      <c r="BB2830" s="21"/>
      <c r="BC2830" s="21"/>
      <c r="BD2830" s="21"/>
      <c r="BE2830" s="26"/>
      <c r="BF2830" s="26"/>
      <c r="BG2830" s="65"/>
    </row>
    <row r="2831" spans="1:59" x14ac:dyDescent="0.3">
      <c r="A2831" s="6"/>
      <c r="B2831" s="6"/>
      <c r="C2831" s="39"/>
      <c r="D2831" s="6"/>
      <c r="E2831" s="149"/>
      <c r="F2831" s="153"/>
      <c r="G2831" s="10"/>
      <c r="H2831" s="6"/>
      <c r="I2831" s="6"/>
      <c r="J2831" s="6"/>
      <c r="K2831" s="6"/>
      <c r="L2831" s="6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12"/>
      <c r="Y2831" s="6"/>
      <c r="Z2831" s="6"/>
      <c r="AA2831" s="6"/>
      <c r="AB2831" s="6"/>
      <c r="AC2831" s="9"/>
      <c r="AD2831" s="9"/>
      <c r="AE2831" s="9"/>
      <c r="AF2831" s="9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21"/>
      <c r="AS2831" s="21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</row>
    <row r="2832" spans="1:59" x14ac:dyDescent="0.3">
      <c r="A2832" s="63"/>
      <c r="B2832" s="63"/>
      <c r="C2832" s="39"/>
      <c r="D2832" s="6"/>
      <c r="E2832" s="149"/>
      <c r="F2832" s="153"/>
      <c r="G2832" s="10"/>
      <c r="H2832" s="6"/>
      <c r="I2832" s="6"/>
      <c r="J2832" s="6"/>
      <c r="K2832" s="6"/>
      <c r="L2832" s="6"/>
      <c r="M2832" s="6"/>
      <c r="N2832" s="6"/>
      <c r="O2832" s="6"/>
      <c r="P2832" s="6"/>
      <c r="Q2832" s="6"/>
      <c r="R2832" s="6"/>
      <c r="S2832" s="6"/>
      <c r="T2832" s="6"/>
      <c r="U2832" s="5"/>
      <c r="V2832" s="5"/>
      <c r="W2832" s="13"/>
      <c r="X2832" s="4"/>
      <c r="Y2832" s="4"/>
      <c r="Z2832" s="4"/>
      <c r="AA2832" s="6"/>
      <c r="AB2832" s="5"/>
      <c r="AC2832" s="9"/>
      <c r="AD2832" s="9"/>
      <c r="AE2832" s="9"/>
      <c r="AF2832" s="9"/>
      <c r="AG2832" s="64"/>
      <c r="AH2832" s="3"/>
      <c r="AI2832" s="2"/>
      <c r="AJ2832" s="2"/>
      <c r="AK2832" s="2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</row>
    <row r="2833" spans="1:59" x14ac:dyDescent="0.3">
      <c r="A2833" s="6"/>
      <c r="B2833" s="6"/>
      <c r="C2833" s="39"/>
      <c r="D2833" s="6"/>
      <c r="E2833" s="149"/>
      <c r="F2833" s="153"/>
      <c r="G2833" s="10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5"/>
      <c r="V2833" s="5"/>
      <c r="W2833" s="13"/>
      <c r="X2833" s="4"/>
      <c r="Y2833" s="4"/>
      <c r="Z2833" s="4"/>
      <c r="AA2833" s="6"/>
      <c r="AB2833" s="5"/>
      <c r="AC2833" s="9"/>
      <c r="AD2833" s="9"/>
      <c r="AE2833" s="9"/>
      <c r="AF2833" s="9"/>
      <c r="AG2833" s="2"/>
      <c r="AH2833" s="3"/>
      <c r="AI2833" s="2"/>
      <c r="AJ2833" s="2"/>
      <c r="AK2833" s="2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</row>
    <row r="2834" spans="1:59" ht="13.5" customHeight="1" x14ac:dyDescent="0.35">
      <c r="A2834" s="49"/>
      <c r="B2834" s="49"/>
      <c r="C2834" s="14"/>
      <c r="D2834" s="1"/>
      <c r="E2834" s="149"/>
      <c r="F2834" s="153"/>
      <c r="G2834" s="10"/>
      <c r="H2834" s="17"/>
      <c r="I2834" s="17"/>
      <c r="J2834" s="17"/>
      <c r="K2834" s="30"/>
      <c r="L2834" s="30"/>
      <c r="M2834" s="30"/>
      <c r="N2834" s="30"/>
      <c r="O2834" s="30"/>
      <c r="P2834" s="30"/>
      <c r="Q2834" s="30"/>
      <c r="R2834" s="30"/>
      <c r="S2834" s="30"/>
      <c r="T2834" s="30"/>
      <c r="U2834" s="30"/>
      <c r="V2834" s="30"/>
      <c r="W2834" s="29"/>
      <c r="X2834" s="15"/>
      <c r="Y2834" s="30"/>
      <c r="Z2834" s="30"/>
      <c r="AA2834" s="30"/>
      <c r="AB2834" s="30"/>
      <c r="AC2834" s="17"/>
      <c r="AD2834" s="17"/>
      <c r="AE2834" s="17"/>
      <c r="AF2834" s="17"/>
      <c r="AG2834" s="21"/>
      <c r="AH2834" s="21"/>
      <c r="AI2834" s="21"/>
      <c r="AJ2834" s="21"/>
      <c r="AK2834" s="21"/>
      <c r="AL2834" s="21"/>
      <c r="AM2834" s="21"/>
      <c r="AN2834" s="21"/>
      <c r="AO2834" s="22"/>
      <c r="AP2834" s="21"/>
      <c r="AQ2834" s="22"/>
      <c r="AR2834" s="21"/>
      <c r="AS2834" s="21"/>
      <c r="AT2834" s="21"/>
      <c r="AU2834" s="21"/>
      <c r="AV2834" s="21"/>
      <c r="AW2834" s="21"/>
      <c r="AX2834" s="22"/>
      <c r="AY2834" s="21"/>
      <c r="AZ2834" s="22"/>
      <c r="BA2834" s="21"/>
      <c r="BB2834" s="21"/>
      <c r="BC2834" s="21"/>
      <c r="BD2834" s="21"/>
      <c r="BE2834" s="26"/>
      <c r="BF2834" s="26"/>
      <c r="BG2834" s="62"/>
    </row>
    <row r="2835" spans="1:59" x14ac:dyDescent="0.3">
      <c r="A2835" s="63"/>
      <c r="B2835" s="63"/>
      <c r="C2835" s="39"/>
      <c r="D2835" s="6"/>
      <c r="E2835" s="149"/>
      <c r="F2835" s="153"/>
      <c r="G2835" s="10"/>
      <c r="H2835" s="6"/>
      <c r="I2835" s="6"/>
      <c r="J2835" s="6"/>
      <c r="K2835" s="6"/>
      <c r="L2835" s="6"/>
      <c r="M2835" s="6"/>
      <c r="N2835" s="6"/>
      <c r="O2835" s="6"/>
      <c r="P2835" s="6"/>
      <c r="Q2835" s="6"/>
      <c r="R2835" s="6"/>
      <c r="S2835" s="6"/>
      <c r="T2835" s="6"/>
      <c r="U2835" s="5"/>
      <c r="V2835" s="5"/>
      <c r="W2835" s="13"/>
      <c r="X2835" s="4"/>
      <c r="Y2835" s="4"/>
      <c r="Z2835" s="4"/>
      <c r="AA2835" s="6"/>
      <c r="AB2835" s="5"/>
      <c r="AC2835" s="9"/>
      <c r="AD2835" s="9"/>
      <c r="AE2835" s="9"/>
      <c r="AF2835" s="9"/>
      <c r="AG2835" s="64"/>
      <c r="AH2835" s="3"/>
      <c r="AI2835" s="2"/>
      <c r="AJ2835" s="2"/>
      <c r="AK2835" s="2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</row>
    <row r="2836" spans="1:59" x14ac:dyDescent="0.3">
      <c r="A2836" s="6"/>
      <c r="B2836" s="6"/>
      <c r="C2836" s="39"/>
      <c r="D2836" s="6"/>
      <c r="E2836" s="149"/>
      <c r="F2836" s="153"/>
      <c r="G2836" s="10"/>
      <c r="H2836" s="6"/>
      <c r="I2836" s="6"/>
      <c r="J2836" s="6"/>
      <c r="K2836" s="6"/>
      <c r="L2836" s="6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12"/>
      <c r="Y2836" s="6"/>
      <c r="Z2836" s="6"/>
      <c r="AA2836" s="6"/>
      <c r="AB2836" s="6"/>
      <c r="AC2836" s="9"/>
      <c r="AD2836" s="9"/>
      <c r="AE2836" s="9"/>
      <c r="AF2836" s="9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21"/>
      <c r="AS2836" s="21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</row>
    <row r="2837" spans="1:59" ht="13.5" customHeight="1" x14ac:dyDescent="0.35">
      <c r="A2837" s="49"/>
      <c r="B2837" s="49"/>
      <c r="C2837" s="14"/>
      <c r="D2837" s="1"/>
      <c r="E2837" s="149"/>
      <c r="F2837" s="153"/>
      <c r="G2837" s="10"/>
      <c r="H2837" s="17"/>
      <c r="I2837" s="17"/>
      <c r="J2837" s="17"/>
      <c r="K2837" s="30"/>
      <c r="L2837" s="30"/>
      <c r="M2837" s="30"/>
      <c r="N2837" s="30"/>
      <c r="O2837" s="30"/>
      <c r="P2837" s="30"/>
      <c r="Q2837" s="30"/>
      <c r="R2837" s="30"/>
      <c r="S2837" s="30"/>
      <c r="T2837" s="30"/>
      <c r="U2837" s="30"/>
      <c r="V2837" s="30"/>
      <c r="W2837" s="29"/>
      <c r="X2837" s="15"/>
      <c r="Y2837" s="30"/>
      <c r="Z2837" s="30"/>
      <c r="AA2837" s="30"/>
      <c r="AB2837" s="30"/>
      <c r="AC2837" s="17"/>
      <c r="AD2837" s="17"/>
      <c r="AE2837" s="17"/>
      <c r="AF2837" s="17"/>
      <c r="AG2837" s="21"/>
      <c r="AH2837" s="21"/>
      <c r="AI2837" s="21"/>
      <c r="AJ2837" s="21"/>
      <c r="AK2837" s="21"/>
      <c r="AL2837" s="21"/>
      <c r="AM2837" s="21"/>
      <c r="AN2837" s="21"/>
      <c r="AO2837" s="22"/>
      <c r="AP2837" s="21"/>
      <c r="AQ2837" s="22"/>
      <c r="AR2837" s="21"/>
      <c r="AS2837" s="21"/>
      <c r="AT2837" s="21"/>
      <c r="AU2837" s="21"/>
      <c r="AV2837" s="21"/>
      <c r="AW2837" s="21"/>
      <c r="AX2837" s="22"/>
      <c r="AY2837" s="21"/>
      <c r="AZ2837" s="22"/>
      <c r="BA2837" s="21"/>
      <c r="BB2837" s="21"/>
      <c r="BC2837" s="21"/>
      <c r="BD2837" s="21"/>
      <c r="BE2837" s="26"/>
      <c r="BF2837" s="26"/>
      <c r="BG2837" s="62"/>
    </row>
    <row r="2838" spans="1:59" ht="13.5" customHeight="1" x14ac:dyDescent="0.35">
      <c r="A2838" s="49"/>
      <c r="B2838" s="49"/>
      <c r="C2838" s="14"/>
      <c r="D2838" s="1"/>
      <c r="E2838" s="149"/>
      <c r="F2838" s="153"/>
      <c r="G2838" s="10"/>
      <c r="H2838" s="17"/>
      <c r="I2838" s="17"/>
      <c r="J2838" s="17"/>
      <c r="K2838" s="30"/>
      <c r="L2838" s="30"/>
      <c r="M2838" s="30"/>
      <c r="N2838" s="30"/>
      <c r="O2838" s="30"/>
      <c r="P2838" s="30"/>
      <c r="Q2838" s="30"/>
      <c r="R2838" s="30"/>
      <c r="S2838" s="30"/>
      <c r="T2838" s="30"/>
      <c r="U2838" s="30"/>
      <c r="V2838" s="30"/>
      <c r="W2838" s="29"/>
      <c r="X2838" s="15"/>
      <c r="Y2838" s="30"/>
      <c r="Z2838" s="30"/>
      <c r="AA2838" s="30"/>
      <c r="AB2838" s="30"/>
      <c r="AC2838" s="17"/>
      <c r="AD2838" s="17"/>
      <c r="AE2838" s="17"/>
      <c r="AF2838" s="17"/>
      <c r="AG2838" s="21"/>
      <c r="AH2838" s="21"/>
      <c r="AI2838" s="21"/>
      <c r="AJ2838" s="21"/>
      <c r="AK2838" s="21"/>
      <c r="AL2838" s="21"/>
      <c r="AM2838" s="21"/>
      <c r="AN2838" s="21"/>
      <c r="AO2838" s="22"/>
      <c r="AP2838" s="21"/>
      <c r="AQ2838" s="22"/>
      <c r="AR2838" s="21"/>
      <c r="AS2838" s="21"/>
      <c r="AT2838" s="21"/>
      <c r="AU2838" s="21"/>
      <c r="AV2838" s="21"/>
      <c r="AW2838" s="21"/>
      <c r="AX2838" s="22"/>
      <c r="AY2838" s="21"/>
      <c r="AZ2838" s="22"/>
      <c r="BA2838" s="21"/>
      <c r="BB2838" s="21"/>
      <c r="BC2838" s="21"/>
      <c r="BD2838" s="21"/>
      <c r="BE2838" s="26"/>
      <c r="BF2838" s="26"/>
      <c r="BG2838" s="62"/>
    </row>
    <row r="2839" spans="1:59" ht="13.5" customHeight="1" x14ac:dyDescent="0.35">
      <c r="A2839" s="6"/>
      <c r="B2839" s="6"/>
      <c r="C2839" s="39"/>
      <c r="D2839" s="6"/>
      <c r="E2839" s="149"/>
      <c r="F2839" s="153"/>
      <c r="G2839" s="10"/>
      <c r="H2839" s="6"/>
      <c r="I2839" s="6"/>
      <c r="J2839" s="6"/>
      <c r="K2839" s="6"/>
      <c r="L2839" s="6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12"/>
      <c r="Y2839" s="6"/>
      <c r="Z2839" s="6"/>
      <c r="AA2839" s="6"/>
      <c r="AB2839" s="6"/>
      <c r="AC2839" s="9"/>
      <c r="AD2839" s="9"/>
      <c r="AE2839" s="9"/>
      <c r="AF2839" s="9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21"/>
      <c r="AS2839" s="21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65"/>
    </row>
    <row r="2840" spans="1:59" ht="13.5" customHeight="1" x14ac:dyDescent="0.35">
      <c r="A2840" s="49"/>
      <c r="B2840" s="49"/>
      <c r="C2840" s="39"/>
      <c r="D2840" s="1"/>
      <c r="E2840" s="149"/>
      <c r="F2840" s="153"/>
      <c r="G2840" s="10"/>
      <c r="H2840" s="17"/>
      <c r="I2840" s="17"/>
      <c r="J2840" s="17"/>
      <c r="K2840" s="30"/>
      <c r="L2840" s="30"/>
      <c r="M2840" s="30"/>
      <c r="N2840" s="30"/>
      <c r="O2840" s="30"/>
      <c r="P2840" s="30"/>
      <c r="Q2840" s="30"/>
      <c r="R2840" s="30"/>
      <c r="S2840" s="30"/>
      <c r="T2840" s="30"/>
      <c r="U2840" s="30"/>
      <c r="V2840" s="30"/>
      <c r="W2840" s="29"/>
      <c r="X2840" s="15"/>
      <c r="Y2840" s="30"/>
      <c r="Z2840" s="30"/>
      <c r="AA2840" s="30"/>
      <c r="AB2840" s="30"/>
      <c r="AC2840" s="17"/>
      <c r="AD2840" s="17"/>
      <c r="AE2840" s="17"/>
      <c r="AF2840" s="17"/>
      <c r="AG2840" s="21"/>
      <c r="AH2840" s="21"/>
      <c r="AI2840" s="21"/>
      <c r="AJ2840" s="21"/>
      <c r="AK2840" s="21"/>
      <c r="AL2840" s="21"/>
      <c r="AM2840" s="21"/>
      <c r="AN2840" s="21"/>
      <c r="AO2840" s="22"/>
      <c r="AP2840" s="21"/>
      <c r="AQ2840" s="22"/>
      <c r="AR2840" s="21"/>
      <c r="AS2840" s="21"/>
      <c r="AT2840" s="21"/>
      <c r="AU2840" s="21"/>
      <c r="AV2840" s="21"/>
      <c r="AW2840" s="21"/>
      <c r="AX2840" s="22"/>
      <c r="AY2840" s="21"/>
      <c r="AZ2840" s="22"/>
      <c r="BA2840" s="21"/>
      <c r="BB2840" s="21"/>
      <c r="BC2840" s="21"/>
      <c r="BD2840" s="21"/>
      <c r="BE2840" s="26"/>
      <c r="BF2840" s="26"/>
      <c r="BG2840" s="62"/>
    </row>
    <row r="2841" spans="1:59" s="14" customFormat="1" x14ac:dyDescent="0.3">
      <c r="A2841" s="63"/>
      <c r="B2841" s="63"/>
      <c r="C2841" s="39"/>
      <c r="D2841" s="6"/>
      <c r="E2841" s="149"/>
      <c r="F2841" s="153"/>
      <c r="G2841" s="10"/>
      <c r="H2841" s="6"/>
      <c r="I2841" s="6"/>
      <c r="J2841" s="6"/>
      <c r="K2841" s="6"/>
      <c r="L2841" s="6"/>
      <c r="M2841" s="6"/>
      <c r="N2841" s="6"/>
      <c r="O2841" s="6"/>
      <c r="P2841" s="6"/>
      <c r="Q2841" s="6"/>
      <c r="R2841" s="6"/>
      <c r="S2841" s="6"/>
      <c r="T2841" s="6"/>
      <c r="U2841" s="5"/>
      <c r="V2841" s="5"/>
      <c r="W2841" s="13"/>
      <c r="X2841" s="4"/>
      <c r="Y2841" s="4"/>
      <c r="Z2841" s="4"/>
      <c r="AA2841" s="6"/>
      <c r="AB2841" s="5"/>
      <c r="AC2841" s="9"/>
      <c r="AD2841" s="9"/>
      <c r="AE2841" s="9"/>
      <c r="AF2841" s="9"/>
      <c r="AG2841" s="64"/>
      <c r="AH2841" s="3"/>
      <c r="AI2841" s="2"/>
      <c r="AJ2841" s="2"/>
      <c r="AK2841" s="2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</row>
    <row r="2842" spans="1:59" ht="13.5" customHeight="1" x14ac:dyDescent="0.35">
      <c r="A2842" s="49"/>
      <c r="B2842" s="49"/>
      <c r="C2842" s="39"/>
      <c r="D2842" s="1"/>
      <c r="E2842" s="149"/>
      <c r="F2842" s="153"/>
      <c r="G2842" s="10"/>
      <c r="H2842" s="17"/>
      <c r="I2842" s="17"/>
      <c r="J2842" s="17"/>
      <c r="K2842" s="30"/>
      <c r="L2842" s="30"/>
      <c r="M2842" s="30"/>
      <c r="N2842" s="30"/>
      <c r="O2842" s="30"/>
      <c r="P2842" s="30"/>
      <c r="Q2842" s="30"/>
      <c r="R2842" s="30"/>
      <c r="S2842" s="30"/>
      <c r="T2842" s="30"/>
      <c r="U2842" s="30"/>
      <c r="V2842" s="30"/>
      <c r="W2842" s="29"/>
      <c r="X2842" s="15"/>
      <c r="Y2842" s="30"/>
      <c r="Z2842" s="30"/>
      <c r="AA2842" s="30"/>
      <c r="AB2842" s="30"/>
      <c r="AC2842" s="17"/>
      <c r="AD2842" s="17"/>
      <c r="AE2842" s="17"/>
      <c r="AF2842" s="17"/>
      <c r="AG2842" s="21"/>
      <c r="AH2842" s="21"/>
      <c r="AI2842" s="21"/>
      <c r="AJ2842" s="21"/>
      <c r="AK2842" s="21"/>
      <c r="AL2842" s="21"/>
      <c r="AM2842" s="21"/>
      <c r="AN2842" s="21"/>
      <c r="AO2842" s="22"/>
      <c r="AP2842" s="21"/>
      <c r="AQ2842" s="22"/>
      <c r="AR2842" s="21"/>
      <c r="AS2842" s="21"/>
      <c r="AT2842" s="21"/>
      <c r="AU2842" s="21"/>
      <c r="AV2842" s="21"/>
      <c r="AW2842" s="21"/>
      <c r="AX2842" s="22"/>
      <c r="AY2842" s="21"/>
      <c r="AZ2842" s="22"/>
      <c r="BA2842" s="21"/>
      <c r="BB2842" s="21"/>
      <c r="BC2842" s="21"/>
      <c r="BD2842" s="21"/>
      <c r="BE2842" s="26"/>
      <c r="BF2842" s="26"/>
      <c r="BG2842" s="65"/>
    </row>
    <row r="2843" spans="1:59" x14ac:dyDescent="0.3">
      <c r="A2843" s="63"/>
      <c r="B2843" s="63"/>
      <c r="C2843" s="39"/>
      <c r="D2843" s="6"/>
      <c r="E2843" s="149"/>
      <c r="F2843" s="153"/>
      <c r="G2843" s="10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5"/>
      <c r="V2843" s="5"/>
      <c r="W2843" s="13"/>
      <c r="X2843" s="4"/>
      <c r="Y2843" s="4"/>
      <c r="Z2843" s="4"/>
      <c r="AA2843" s="6"/>
      <c r="AB2843" s="5"/>
      <c r="AC2843" s="9"/>
      <c r="AD2843" s="9"/>
      <c r="AE2843" s="9"/>
      <c r="AF2843" s="9"/>
      <c r="AG2843" s="64"/>
      <c r="AH2843" s="3"/>
      <c r="AI2843" s="2"/>
      <c r="AJ2843" s="2"/>
      <c r="AK2843" s="2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</row>
    <row r="2844" spans="1:59" ht="15" x14ac:dyDescent="0.35">
      <c r="A2844" s="6"/>
      <c r="B2844" s="6"/>
      <c r="C2844" s="39"/>
      <c r="D2844" s="6"/>
      <c r="E2844" s="149"/>
      <c r="F2844" s="153"/>
      <c r="G2844" s="10"/>
      <c r="H2844" s="6"/>
      <c r="I2844" s="6"/>
      <c r="J2844" s="6"/>
      <c r="K2844" s="6"/>
      <c r="L2844" s="6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12"/>
      <c r="Y2844" s="6"/>
      <c r="Z2844" s="6"/>
      <c r="AA2844" s="6"/>
      <c r="AB2844" s="6"/>
      <c r="AC2844" s="9"/>
      <c r="AD2844" s="9"/>
      <c r="AE2844" s="9"/>
      <c r="AF2844" s="9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21"/>
      <c r="AS2844" s="21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65"/>
    </row>
    <row r="2845" spans="1:59" x14ac:dyDescent="0.3">
      <c r="A2845" s="6"/>
      <c r="B2845" s="6"/>
      <c r="C2845" s="39"/>
      <c r="D2845" s="6"/>
      <c r="E2845" s="149"/>
      <c r="F2845" s="153"/>
      <c r="G2845" s="10"/>
      <c r="H2845" s="6"/>
      <c r="I2845" s="6"/>
      <c r="J2845" s="6"/>
      <c r="K2845" s="6"/>
      <c r="L2845" s="6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12"/>
      <c r="Y2845" s="6"/>
      <c r="Z2845" s="6"/>
      <c r="AA2845" s="6"/>
      <c r="AB2845" s="6"/>
      <c r="AC2845" s="9"/>
      <c r="AD2845" s="9"/>
      <c r="AE2845" s="9"/>
      <c r="AF2845" s="9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  <c r="BG2845" s="3"/>
    </row>
    <row r="2846" spans="1:59" ht="13.5" customHeight="1" x14ac:dyDescent="0.35">
      <c r="A2846" s="49"/>
      <c r="B2846" s="49"/>
      <c r="C2846" s="39"/>
      <c r="D2846" s="1"/>
      <c r="E2846" s="149"/>
      <c r="F2846" s="153"/>
      <c r="G2846" s="10"/>
      <c r="H2846" s="17"/>
      <c r="I2846" s="17"/>
      <c r="J2846" s="17"/>
      <c r="K2846" s="30"/>
      <c r="L2846" s="30"/>
      <c r="M2846" s="30"/>
      <c r="N2846" s="30"/>
      <c r="O2846" s="30"/>
      <c r="P2846" s="30"/>
      <c r="Q2846" s="30"/>
      <c r="R2846" s="30"/>
      <c r="S2846" s="30"/>
      <c r="T2846" s="30"/>
      <c r="U2846" s="30"/>
      <c r="V2846" s="30"/>
      <c r="W2846" s="29"/>
      <c r="X2846" s="15"/>
      <c r="Y2846" s="30"/>
      <c r="Z2846" s="30"/>
      <c r="AA2846" s="30"/>
      <c r="AB2846" s="30"/>
      <c r="AC2846" s="17"/>
      <c r="AD2846" s="17"/>
      <c r="AE2846" s="17"/>
      <c r="AF2846" s="17"/>
      <c r="AG2846" s="21"/>
      <c r="AH2846" s="21"/>
      <c r="AI2846" s="21"/>
      <c r="AJ2846" s="21"/>
      <c r="AK2846" s="21"/>
      <c r="AL2846" s="21"/>
      <c r="AM2846" s="21"/>
      <c r="AN2846" s="21"/>
      <c r="AO2846" s="22"/>
      <c r="AP2846" s="21"/>
      <c r="AQ2846" s="22"/>
      <c r="AR2846" s="21"/>
      <c r="AS2846" s="21"/>
      <c r="AT2846" s="21"/>
      <c r="AU2846" s="21"/>
      <c r="AV2846" s="21"/>
      <c r="AW2846" s="21"/>
      <c r="AX2846" s="22"/>
      <c r="AY2846" s="21"/>
      <c r="AZ2846" s="22"/>
      <c r="BA2846" s="21"/>
      <c r="BB2846" s="21"/>
      <c r="BC2846" s="21"/>
      <c r="BD2846" s="21"/>
      <c r="BE2846" s="26"/>
      <c r="BF2846" s="26"/>
      <c r="BG2846" s="62"/>
    </row>
    <row r="2847" spans="1:59" x14ac:dyDescent="0.3">
      <c r="A2847" s="6"/>
      <c r="B2847" s="6"/>
      <c r="C2847" s="39"/>
      <c r="D2847" s="6"/>
      <c r="E2847" s="149"/>
      <c r="F2847" s="153"/>
      <c r="G2847" s="10"/>
      <c r="H2847" s="6"/>
      <c r="I2847" s="6"/>
      <c r="J2847" s="6"/>
      <c r="K2847" s="6"/>
      <c r="L2847" s="6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12"/>
      <c r="Y2847" s="6"/>
      <c r="Z2847" s="6"/>
      <c r="AA2847" s="6"/>
      <c r="AB2847" s="6"/>
      <c r="AC2847" s="9"/>
      <c r="AD2847" s="9"/>
      <c r="AE2847" s="9"/>
      <c r="AF2847" s="9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</row>
    <row r="2848" spans="1:59" ht="13.5" customHeight="1" x14ac:dyDescent="0.35">
      <c r="A2848" s="49"/>
      <c r="B2848" s="49"/>
      <c r="C2848" s="14"/>
      <c r="D2848" s="1"/>
      <c r="E2848" s="149"/>
      <c r="F2848" s="153"/>
      <c r="G2848" s="10"/>
      <c r="H2848" s="17"/>
      <c r="I2848" s="17"/>
      <c r="J2848" s="17"/>
      <c r="K2848" s="30"/>
      <c r="L2848" s="30"/>
      <c r="M2848" s="30"/>
      <c r="N2848" s="30"/>
      <c r="O2848" s="30"/>
      <c r="P2848" s="30"/>
      <c r="Q2848" s="30"/>
      <c r="R2848" s="30"/>
      <c r="S2848" s="30"/>
      <c r="T2848" s="30"/>
      <c r="U2848" s="30"/>
      <c r="V2848" s="30"/>
      <c r="W2848" s="29"/>
      <c r="X2848" s="15"/>
      <c r="Y2848" s="30"/>
      <c r="Z2848" s="30"/>
      <c r="AA2848" s="30"/>
      <c r="AB2848" s="30"/>
      <c r="AC2848" s="17"/>
      <c r="AD2848" s="17"/>
      <c r="AE2848" s="17"/>
      <c r="AF2848" s="17"/>
      <c r="AG2848" s="21"/>
      <c r="AH2848" s="21"/>
      <c r="AI2848" s="21"/>
      <c r="AJ2848" s="21"/>
      <c r="AK2848" s="21"/>
      <c r="AL2848" s="21"/>
      <c r="AM2848" s="21"/>
      <c r="AN2848" s="21"/>
      <c r="AO2848" s="22"/>
      <c r="AP2848" s="21"/>
      <c r="AQ2848" s="22"/>
      <c r="AR2848" s="21"/>
      <c r="AS2848" s="21"/>
      <c r="AT2848" s="21"/>
      <c r="AU2848" s="21"/>
      <c r="AV2848" s="21"/>
      <c r="AW2848" s="21"/>
      <c r="AX2848" s="22"/>
      <c r="AY2848" s="21"/>
      <c r="AZ2848" s="22"/>
      <c r="BA2848" s="21"/>
      <c r="BB2848" s="21"/>
      <c r="BC2848" s="21"/>
      <c r="BD2848" s="21"/>
      <c r="BE2848" s="26"/>
      <c r="BF2848" s="26"/>
      <c r="BG2848" s="62"/>
    </row>
    <row r="2849" spans="1:59" x14ac:dyDescent="0.3">
      <c r="A2849" s="63"/>
      <c r="B2849" s="63"/>
      <c r="C2849" s="39"/>
      <c r="D2849" s="6"/>
      <c r="E2849" s="149"/>
      <c r="F2849" s="153"/>
      <c r="G2849" s="10"/>
      <c r="H2849" s="6"/>
      <c r="I2849" s="6"/>
      <c r="J2849" s="6"/>
      <c r="K2849" s="6"/>
      <c r="L2849" s="6"/>
      <c r="M2849" s="6"/>
      <c r="N2849" s="6"/>
      <c r="O2849" s="6"/>
      <c r="P2849" s="6"/>
      <c r="Q2849" s="6"/>
      <c r="R2849" s="6"/>
      <c r="S2849" s="6"/>
      <c r="T2849" s="6"/>
      <c r="U2849" s="5"/>
      <c r="V2849" s="5"/>
      <c r="W2849" s="13"/>
      <c r="X2849" s="4"/>
      <c r="Y2849" s="4"/>
      <c r="Z2849" s="4"/>
      <c r="AA2849" s="6"/>
      <c r="AB2849" s="5"/>
      <c r="AC2849" s="9"/>
      <c r="AD2849" s="9"/>
      <c r="AE2849" s="9"/>
      <c r="AF2849" s="9"/>
      <c r="AG2849" s="64"/>
      <c r="AH2849" s="3"/>
      <c r="AI2849" s="2"/>
      <c r="AJ2849" s="2"/>
      <c r="AK2849" s="2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  <c r="BG2849" s="3"/>
    </row>
    <row r="2850" spans="1:59" ht="13.5" customHeight="1" x14ac:dyDescent="0.35">
      <c r="A2850" s="49"/>
      <c r="B2850" s="49"/>
      <c r="C2850" s="14"/>
      <c r="D2850" s="1"/>
      <c r="E2850" s="149"/>
      <c r="F2850" s="153"/>
      <c r="G2850" s="10"/>
      <c r="H2850" s="17"/>
      <c r="I2850" s="17"/>
      <c r="J2850" s="17"/>
      <c r="K2850" s="30"/>
      <c r="L2850" s="30"/>
      <c r="M2850" s="30"/>
      <c r="N2850" s="30"/>
      <c r="O2850" s="30"/>
      <c r="P2850" s="30"/>
      <c r="Q2850" s="30"/>
      <c r="R2850" s="30"/>
      <c r="S2850" s="30"/>
      <c r="T2850" s="30"/>
      <c r="U2850" s="30"/>
      <c r="V2850" s="30"/>
      <c r="W2850" s="29"/>
      <c r="X2850" s="15"/>
      <c r="Y2850" s="30"/>
      <c r="Z2850" s="30"/>
      <c r="AA2850" s="30"/>
      <c r="AB2850" s="30"/>
      <c r="AC2850" s="17"/>
      <c r="AD2850" s="17"/>
      <c r="AE2850" s="17"/>
      <c r="AF2850" s="17"/>
      <c r="AG2850" s="21"/>
      <c r="AH2850" s="21"/>
      <c r="AI2850" s="21"/>
      <c r="AJ2850" s="21"/>
      <c r="AK2850" s="21"/>
      <c r="AL2850" s="21"/>
      <c r="AM2850" s="21"/>
      <c r="AN2850" s="21"/>
      <c r="AO2850" s="22"/>
      <c r="AP2850" s="21"/>
      <c r="AQ2850" s="22"/>
      <c r="AR2850" s="21"/>
      <c r="AS2850" s="21"/>
      <c r="AT2850" s="21"/>
      <c r="AU2850" s="21"/>
      <c r="AV2850" s="21"/>
      <c r="AW2850" s="21"/>
      <c r="AX2850" s="22"/>
      <c r="AY2850" s="21"/>
      <c r="AZ2850" s="22"/>
      <c r="BA2850" s="21"/>
      <c r="BB2850" s="21"/>
      <c r="BC2850" s="21"/>
      <c r="BD2850" s="21"/>
      <c r="BE2850" s="26"/>
      <c r="BF2850" s="26"/>
      <c r="BG2850" s="62"/>
    </row>
    <row r="2851" spans="1:59" x14ac:dyDescent="0.3">
      <c r="A2851" s="63"/>
      <c r="B2851" s="63"/>
      <c r="C2851" s="39"/>
      <c r="D2851" s="6"/>
      <c r="E2851" s="149"/>
      <c r="F2851" s="153"/>
      <c r="G2851" s="10"/>
      <c r="H2851" s="6"/>
      <c r="I2851" s="6"/>
      <c r="J2851" s="6"/>
      <c r="K2851" s="6"/>
      <c r="L2851" s="6"/>
      <c r="M2851" s="6"/>
      <c r="N2851" s="6"/>
      <c r="O2851" s="6"/>
      <c r="P2851" s="6"/>
      <c r="Q2851" s="6"/>
      <c r="R2851" s="6"/>
      <c r="S2851" s="6"/>
      <c r="T2851" s="6"/>
      <c r="U2851" s="5"/>
      <c r="V2851" s="5"/>
      <c r="W2851" s="13"/>
      <c r="X2851" s="4"/>
      <c r="Y2851" s="4"/>
      <c r="Z2851" s="4"/>
      <c r="AA2851" s="6"/>
      <c r="AB2851" s="5"/>
      <c r="AC2851" s="9"/>
      <c r="AD2851" s="9"/>
      <c r="AE2851" s="9"/>
      <c r="AF2851" s="9"/>
      <c r="AG2851" s="64"/>
      <c r="AH2851" s="3"/>
      <c r="AI2851" s="2"/>
      <c r="AJ2851" s="2"/>
      <c r="AK2851" s="2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</row>
    <row r="2852" spans="1:59" x14ac:dyDescent="0.3">
      <c r="A2852" s="63"/>
      <c r="B2852" s="63"/>
      <c r="C2852" s="39"/>
      <c r="D2852" s="6"/>
      <c r="E2852" s="149"/>
      <c r="F2852" s="153"/>
      <c r="G2852" s="10"/>
      <c r="H2852" s="6"/>
      <c r="I2852" s="6"/>
      <c r="J2852" s="6"/>
      <c r="K2852" s="6"/>
      <c r="L2852" s="6"/>
      <c r="M2852" s="6"/>
      <c r="N2852" s="6"/>
      <c r="O2852" s="6"/>
      <c r="P2852" s="6"/>
      <c r="Q2852" s="6"/>
      <c r="R2852" s="6"/>
      <c r="S2852" s="6"/>
      <c r="T2852" s="6"/>
      <c r="U2852" s="5"/>
      <c r="V2852" s="5"/>
      <c r="W2852" s="13"/>
      <c r="X2852" s="4"/>
      <c r="Y2852" s="4"/>
      <c r="Z2852" s="4"/>
      <c r="AA2852" s="6"/>
      <c r="AB2852" s="5"/>
      <c r="AC2852" s="9"/>
      <c r="AD2852" s="9"/>
      <c r="AE2852" s="9"/>
      <c r="AF2852" s="9"/>
      <c r="AG2852" s="64"/>
      <c r="AH2852" s="3"/>
      <c r="AI2852" s="2"/>
      <c r="AJ2852" s="2"/>
      <c r="AK2852" s="2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</row>
    <row r="2853" spans="1:59" x14ac:dyDescent="0.3">
      <c r="A2853" s="63"/>
      <c r="B2853" s="63"/>
      <c r="C2853" s="39"/>
      <c r="D2853" s="6"/>
      <c r="E2853" s="149"/>
      <c r="F2853" s="153"/>
      <c r="G2853" s="10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5"/>
      <c r="V2853" s="5"/>
      <c r="W2853" s="13"/>
      <c r="X2853" s="4"/>
      <c r="Y2853" s="4"/>
      <c r="Z2853" s="4"/>
      <c r="AA2853" s="6"/>
      <c r="AB2853" s="5"/>
      <c r="AC2853" s="9"/>
      <c r="AD2853" s="9"/>
      <c r="AE2853" s="9"/>
      <c r="AF2853" s="9"/>
      <c r="AG2853" s="64"/>
      <c r="AH2853" s="3"/>
      <c r="AI2853" s="2"/>
      <c r="AJ2853" s="2"/>
      <c r="AK2853" s="2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  <c r="BG2853" s="3"/>
    </row>
    <row r="2854" spans="1:59" ht="13.5" customHeight="1" x14ac:dyDescent="0.35">
      <c r="A2854" s="49"/>
      <c r="B2854" s="49"/>
      <c r="C2854" s="14"/>
      <c r="D2854" s="1"/>
      <c r="E2854" s="149"/>
      <c r="F2854" s="153"/>
      <c r="G2854" s="10"/>
      <c r="H2854" s="17"/>
      <c r="I2854" s="17"/>
      <c r="J2854" s="17"/>
      <c r="K2854" s="30"/>
      <c r="L2854" s="30"/>
      <c r="M2854" s="30"/>
      <c r="N2854" s="30"/>
      <c r="O2854" s="30"/>
      <c r="P2854" s="30"/>
      <c r="Q2854" s="30"/>
      <c r="R2854" s="30"/>
      <c r="S2854" s="30"/>
      <c r="T2854" s="30"/>
      <c r="U2854" s="30"/>
      <c r="V2854" s="30"/>
      <c r="W2854" s="29"/>
      <c r="X2854" s="15"/>
      <c r="Y2854" s="30"/>
      <c r="Z2854" s="30"/>
      <c r="AA2854" s="30"/>
      <c r="AB2854" s="30"/>
      <c r="AC2854" s="17"/>
      <c r="AD2854" s="17"/>
      <c r="AE2854" s="17"/>
      <c r="AF2854" s="17"/>
      <c r="AG2854" s="21"/>
      <c r="AH2854" s="21"/>
      <c r="AI2854" s="21"/>
      <c r="AJ2854" s="21"/>
      <c r="AK2854" s="21"/>
      <c r="AL2854" s="21"/>
      <c r="AM2854" s="21"/>
      <c r="AN2854" s="21"/>
      <c r="AO2854" s="22"/>
      <c r="AP2854" s="21"/>
      <c r="AQ2854" s="22"/>
      <c r="AR2854" s="21"/>
      <c r="AS2854" s="21"/>
      <c r="AT2854" s="21"/>
      <c r="AU2854" s="21"/>
      <c r="AV2854" s="21"/>
      <c r="AW2854" s="21"/>
      <c r="AX2854" s="22"/>
      <c r="AY2854" s="21"/>
      <c r="AZ2854" s="22"/>
      <c r="BA2854" s="21"/>
      <c r="BB2854" s="21"/>
      <c r="BC2854" s="21"/>
      <c r="BD2854" s="21"/>
      <c r="BE2854" s="26"/>
      <c r="BF2854" s="26"/>
      <c r="BG2854" s="62"/>
    </row>
    <row r="2855" spans="1:59" x14ac:dyDescent="0.3">
      <c r="A2855" s="6"/>
      <c r="B2855" s="6"/>
      <c r="C2855" s="39"/>
      <c r="D2855" s="6"/>
      <c r="E2855" s="149"/>
      <c r="F2855" s="153"/>
      <c r="G2855" s="10"/>
      <c r="H2855" s="6"/>
      <c r="I2855" s="6"/>
      <c r="J2855" s="6"/>
      <c r="K2855" s="6"/>
      <c r="L2855" s="6"/>
      <c r="M2855" s="6"/>
      <c r="N2855" s="6"/>
      <c r="O2855" s="6"/>
      <c r="P2855" s="6"/>
      <c r="Q2855" s="6"/>
      <c r="R2855" s="6"/>
      <c r="S2855" s="6"/>
      <c r="T2855" s="6"/>
      <c r="U2855" s="5"/>
      <c r="V2855" s="5"/>
      <c r="W2855" s="13"/>
      <c r="X2855" s="4"/>
      <c r="Y2855" s="4"/>
      <c r="Z2855" s="4"/>
      <c r="AA2855" s="6"/>
      <c r="AB2855" s="5"/>
      <c r="AC2855" s="9"/>
      <c r="AD2855" s="9"/>
      <c r="AE2855" s="9"/>
      <c r="AF2855" s="9"/>
      <c r="AG2855" s="2"/>
      <c r="AH2855" s="3"/>
      <c r="AI2855" s="2"/>
      <c r="AJ2855" s="2"/>
      <c r="AK2855" s="2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</row>
    <row r="2856" spans="1:59" x14ac:dyDescent="0.3">
      <c r="A2856" s="6"/>
      <c r="B2856" s="6"/>
      <c r="C2856" s="39"/>
      <c r="D2856" s="6"/>
      <c r="E2856" s="149"/>
      <c r="F2856" s="153"/>
      <c r="G2856" s="10"/>
      <c r="H2856" s="6"/>
      <c r="I2856" s="6"/>
      <c r="J2856" s="6"/>
      <c r="K2856" s="6"/>
      <c r="L2856" s="6"/>
      <c r="M2856" s="6"/>
      <c r="N2856" s="6"/>
      <c r="O2856" s="6"/>
      <c r="P2856" s="6"/>
      <c r="Q2856" s="6"/>
      <c r="R2856" s="6"/>
      <c r="S2856" s="6"/>
      <c r="T2856" s="6"/>
      <c r="U2856" s="5"/>
      <c r="V2856" s="5"/>
      <c r="W2856" s="13"/>
      <c r="X2856" s="4"/>
      <c r="Y2856" s="4"/>
      <c r="Z2856" s="4"/>
      <c r="AA2856" s="6"/>
      <c r="AB2856" s="5"/>
      <c r="AC2856" s="9"/>
      <c r="AD2856" s="9"/>
      <c r="AE2856" s="9"/>
      <c r="AF2856" s="9"/>
      <c r="AG2856" s="2"/>
      <c r="AH2856" s="3"/>
      <c r="AI2856" s="2"/>
      <c r="AJ2856" s="2"/>
      <c r="AK2856" s="2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</row>
    <row r="2857" spans="1:59" x14ac:dyDescent="0.3">
      <c r="A2857" s="63"/>
      <c r="B2857" s="63"/>
      <c r="C2857" s="39"/>
      <c r="D2857" s="6"/>
      <c r="E2857" s="149"/>
      <c r="F2857" s="153"/>
      <c r="G2857" s="10"/>
      <c r="H2857" s="6"/>
      <c r="I2857" s="6"/>
      <c r="J2857" s="6"/>
      <c r="K2857" s="6"/>
      <c r="L2857" s="6"/>
      <c r="M2857" s="6"/>
      <c r="N2857" s="6"/>
      <c r="O2857" s="6"/>
      <c r="P2857" s="6"/>
      <c r="Q2857" s="6"/>
      <c r="R2857" s="6"/>
      <c r="S2857" s="6"/>
      <c r="T2857" s="6"/>
      <c r="U2857" s="5"/>
      <c r="V2857" s="5"/>
      <c r="W2857" s="13"/>
      <c r="X2857" s="4"/>
      <c r="Y2857" s="4"/>
      <c r="Z2857" s="4"/>
      <c r="AA2857" s="6"/>
      <c r="AB2857" s="5"/>
      <c r="AC2857" s="9"/>
      <c r="AD2857" s="9"/>
      <c r="AE2857" s="9"/>
      <c r="AF2857" s="9"/>
      <c r="AG2857" s="64"/>
      <c r="AH2857" s="3"/>
      <c r="AI2857" s="2"/>
      <c r="AJ2857" s="2"/>
      <c r="AK2857" s="2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</row>
    <row r="2858" spans="1:59" x14ac:dyDescent="0.3">
      <c r="A2858" s="63"/>
      <c r="B2858" s="63"/>
      <c r="C2858" s="39"/>
      <c r="D2858" s="6"/>
      <c r="E2858" s="149"/>
      <c r="F2858" s="153"/>
      <c r="G2858" s="10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5"/>
      <c r="V2858" s="5"/>
      <c r="W2858" s="13"/>
      <c r="X2858" s="4"/>
      <c r="Y2858" s="4"/>
      <c r="Z2858" s="4"/>
      <c r="AA2858" s="6"/>
      <c r="AB2858" s="5"/>
      <c r="AC2858" s="9"/>
      <c r="AD2858" s="9"/>
      <c r="AE2858" s="9"/>
      <c r="AF2858" s="9"/>
      <c r="AG2858" s="64"/>
      <c r="AH2858" s="3"/>
      <c r="AI2858" s="2"/>
      <c r="AJ2858" s="2"/>
      <c r="AK2858" s="2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  <c r="BG2858" s="3"/>
    </row>
    <row r="2859" spans="1:59" ht="13.5" customHeight="1" x14ac:dyDescent="0.35">
      <c r="A2859" s="49"/>
      <c r="B2859" s="49"/>
      <c r="C2859" s="39"/>
      <c r="D2859" s="1"/>
      <c r="E2859" s="149"/>
      <c r="F2859" s="153"/>
      <c r="G2859" s="10"/>
      <c r="H2859" s="17"/>
      <c r="I2859" s="17"/>
      <c r="J2859" s="17"/>
      <c r="K2859" s="30"/>
      <c r="L2859" s="30"/>
      <c r="M2859" s="30"/>
      <c r="N2859" s="30"/>
      <c r="O2859" s="30"/>
      <c r="P2859" s="30"/>
      <c r="Q2859" s="30"/>
      <c r="R2859" s="30"/>
      <c r="S2859" s="30"/>
      <c r="T2859" s="30"/>
      <c r="U2859" s="30"/>
      <c r="V2859" s="30"/>
      <c r="W2859" s="29"/>
      <c r="X2859" s="15"/>
      <c r="Y2859" s="30"/>
      <c r="Z2859" s="30"/>
      <c r="AA2859" s="30"/>
      <c r="AB2859" s="30"/>
      <c r="AC2859" s="17"/>
      <c r="AD2859" s="17"/>
      <c r="AE2859" s="17"/>
      <c r="AF2859" s="17"/>
      <c r="AG2859" s="21"/>
      <c r="AH2859" s="21"/>
      <c r="AI2859" s="21"/>
      <c r="AJ2859" s="21"/>
      <c r="AK2859" s="21"/>
      <c r="AL2859" s="21"/>
      <c r="AM2859" s="21"/>
      <c r="AN2859" s="21"/>
      <c r="AO2859" s="22"/>
      <c r="AP2859" s="21"/>
      <c r="AQ2859" s="22"/>
      <c r="AR2859" s="21"/>
      <c r="AS2859" s="21"/>
      <c r="AT2859" s="21"/>
      <c r="AU2859" s="21"/>
      <c r="AV2859" s="21"/>
      <c r="AW2859" s="21"/>
      <c r="AX2859" s="22"/>
      <c r="AY2859" s="21"/>
      <c r="AZ2859" s="22"/>
      <c r="BA2859" s="21"/>
      <c r="BB2859" s="21"/>
      <c r="BC2859" s="21"/>
      <c r="BD2859" s="21"/>
      <c r="BE2859" s="26"/>
      <c r="BF2859" s="26"/>
      <c r="BG2859" s="62"/>
    </row>
    <row r="2860" spans="1:59" x14ac:dyDescent="0.3">
      <c r="A2860" s="6"/>
      <c r="B2860" s="6"/>
      <c r="C2860" s="39"/>
      <c r="D2860" s="6"/>
      <c r="E2860" s="149"/>
      <c r="F2860" s="153"/>
      <c r="G2860" s="10"/>
      <c r="H2860" s="6"/>
      <c r="I2860" s="6"/>
      <c r="J2860" s="6"/>
      <c r="K2860" s="6"/>
      <c r="L2860" s="6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12"/>
      <c r="Y2860" s="6"/>
      <c r="Z2860" s="6"/>
      <c r="AA2860" s="6"/>
      <c r="AB2860" s="6"/>
      <c r="AC2860" s="9"/>
      <c r="AD2860" s="9"/>
      <c r="AE2860" s="9"/>
      <c r="AF2860" s="9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21"/>
      <c r="AS2860" s="21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</row>
    <row r="2861" spans="1:59" ht="13.5" customHeight="1" x14ac:dyDescent="0.35">
      <c r="A2861" s="49"/>
      <c r="B2861" s="49"/>
      <c r="C2861" s="39"/>
      <c r="D2861" s="1"/>
      <c r="E2861" s="149"/>
      <c r="F2861" s="153"/>
      <c r="G2861" s="10"/>
      <c r="H2861" s="17"/>
      <c r="I2861" s="17"/>
      <c r="J2861" s="17"/>
      <c r="K2861" s="30"/>
      <c r="L2861" s="30"/>
      <c r="M2861" s="30"/>
      <c r="N2861" s="30"/>
      <c r="O2861" s="30"/>
      <c r="P2861" s="30"/>
      <c r="Q2861" s="30"/>
      <c r="R2861" s="30"/>
      <c r="S2861" s="30"/>
      <c r="T2861" s="30"/>
      <c r="U2861" s="30"/>
      <c r="V2861" s="30"/>
      <c r="W2861" s="29"/>
      <c r="X2861" s="15"/>
      <c r="Y2861" s="30"/>
      <c r="Z2861" s="30"/>
      <c r="AA2861" s="30"/>
      <c r="AB2861" s="30"/>
      <c r="AC2861" s="17"/>
      <c r="AD2861" s="17"/>
      <c r="AE2861" s="17"/>
      <c r="AF2861" s="17"/>
      <c r="AG2861" s="21"/>
      <c r="AH2861" s="21"/>
      <c r="AI2861" s="21"/>
      <c r="AJ2861" s="21"/>
      <c r="AK2861" s="21"/>
      <c r="AL2861" s="21"/>
      <c r="AM2861" s="21"/>
      <c r="AN2861" s="21"/>
      <c r="AO2861" s="22"/>
      <c r="AP2861" s="21"/>
      <c r="AQ2861" s="22"/>
      <c r="AR2861" s="21"/>
      <c r="AS2861" s="21"/>
      <c r="AT2861" s="21"/>
      <c r="AU2861" s="21"/>
      <c r="AV2861" s="21"/>
      <c r="AW2861" s="21"/>
      <c r="AX2861" s="22"/>
      <c r="AY2861" s="21"/>
      <c r="AZ2861" s="22"/>
      <c r="BA2861" s="21"/>
      <c r="BB2861" s="21"/>
      <c r="BC2861" s="21"/>
      <c r="BD2861" s="21"/>
      <c r="BE2861" s="26"/>
      <c r="BF2861" s="26"/>
      <c r="BG2861" s="62"/>
    </row>
    <row r="2862" spans="1:59" x14ac:dyDescent="0.3">
      <c r="A2862" s="63"/>
      <c r="B2862" s="63"/>
      <c r="C2862" s="39"/>
      <c r="D2862" s="6"/>
      <c r="E2862" s="149"/>
      <c r="F2862" s="153"/>
      <c r="G2862" s="10"/>
      <c r="H2862" s="6"/>
      <c r="I2862" s="6"/>
      <c r="J2862" s="6"/>
      <c r="K2862" s="6"/>
      <c r="L2862" s="6"/>
      <c r="M2862" s="6"/>
      <c r="N2862" s="6"/>
      <c r="O2862" s="6"/>
      <c r="P2862" s="6"/>
      <c r="Q2862" s="6"/>
      <c r="R2862" s="6"/>
      <c r="S2862" s="6"/>
      <c r="T2862" s="6"/>
      <c r="U2862" s="5"/>
      <c r="V2862" s="5"/>
      <c r="W2862" s="13"/>
      <c r="X2862" s="4"/>
      <c r="Y2862" s="4"/>
      <c r="Z2862" s="4"/>
      <c r="AA2862" s="6"/>
      <c r="AB2862" s="5"/>
      <c r="AC2862" s="9"/>
      <c r="AD2862" s="9"/>
      <c r="AE2862" s="9"/>
      <c r="AF2862" s="9"/>
      <c r="AG2862" s="64"/>
      <c r="AH2862" s="3"/>
      <c r="AI2862" s="2"/>
      <c r="AJ2862" s="2"/>
      <c r="AK2862" s="2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</row>
    <row r="2863" spans="1:59" x14ac:dyDescent="0.3">
      <c r="A2863" s="6"/>
      <c r="B2863" s="6"/>
      <c r="C2863" s="39"/>
      <c r="D2863" s="6"/>
      <c r="E2863" s="149"/>
      <c r="F2863" s="153"/>
      <c r="G2863" s="10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12"/>
      <c r="Y2863" s="6"/>
      <c r="Z2863" s="6"/>
      <c r="AA2863" s="6"/>
      <c r="AB2863" s="6"/>
      <c r="AC2863" s="9"/>
      <c r="AD2863" s="9"/>
      <c r="AE2863" s="9"/>
      <c r="AF2863" s="9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21"/>
      <c r="AS2863" s="21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  <c r="BG2863" s="3"/>
    </row>
    <row r="2864" spans="1:59" ht="13.5" customHeight="1" x14ac:dyDescent="0.35">
      <c r="A2864" s="49"/>
      <c r="B2864" s="49"/>
      <c r="C2864" s="39"/>
      <c r="D2864" s="1"/>
      <c r="E2864" s="149"/>
      <c r="F2864" s="153"/>
      <c r="G2864" s="10"/>
      <c r="H2864" s="17"/>
      <c r="I2864" s="17"/>
      <c r="J2864" s="17"/>
      <c r="K2864" s="30"/>
      <c r="L2864" s="30"/>
      <c r="M2864" s="30"/>
      <c r="N2864" s="30"/>
      <c r="O2864" s="30"/>
      <c r="P2864" s="30"/>
      <c r="Q2864" s="30"/>
      <c r="R2864" s="30"/>
      <c r="S2864" s="30"/>
      <c r="T2864" s="30"/>
      <c r="U2864" s="30"/>
      <c r="V2864" s="30"/>
      <c r="W2864" s="29"/>
      <c r="X2864" s="15"/>
      <c r="Y2864" s="30"/>
      <c r="Z2864" s="30"/>
      <c r="AA2864" s="30"/>
      <c r="AB2864" s="30"/>
      <c r="AC2864" s="17"/>
      <c r="AD2864" s="17"/>
      <c r="AE2864" s="17"/>
      <c r="AF2864" s="17"/>
      <c r="AG2864" s="21"/>
      <c r="AH2864" s="21"/>
      <c r="AI2864" s="21"/>
      <c r="AJ2864" s="21"/>
      <c r="AK2864" s="21"/>
      <c r="AL2864" s="21"/>
      <c r="AM2864" s="21"/>
      <c r="AN2864" s="21"/>
      <c r="AO2864" s="22"/>
      <c r="AP2864" s="21"/>
      <c r="AQ2864" s="22"/>
      <c r="AR2864" s="21"/>
      <c r="AS2864" s="21"/>
      <c r="AT2864" s="21"/>
      <c r="AU2864" s="21"/>
      <c r="AV2864" s="21"/>
      <c r="AW2864" s="21"/>
      <c r="AX2864" s="22"/>
      <c r="AY2864" s="21"/>
      <c r="AZ2864" s="22"/>
      <c r="BA2864" s="21"/>
      <c r="BB2864" s="21"/>
      <c r="BC2864" s="21"/>
      <c r="BD2864" s="21"/>
      <c r="BE2864" s="26"/>
      <c r="BF2864" s="26"/>
      <c r="BG2864" s="62"/>
    </row>
    <row r="2865" spans="1:59" ht="13.5" customHeight="1" x14ac:dyDescent="0.35">
      <c r="A2865" s="49"/>
      <c r="B2865" s="49"/>
      <c r="C2865" s="14"/>
      <c r="D2865" s="1"/>
      <c r="E2865" s="149"/>
      <c r="F2865" s="153"/>
      <c r="G2865" s="10"/>
      <c r="H2865" s="17"/>
      <c r="I2865" s="17"/>
      <c r="J2865" s="17"/>
      <c r="K2865" s="30"/>
      <c r="L2865" s="30"/>
      <c r="M2865" s="30"/>
      <c r="N2865" s="30"/>
      <c r="O2865" s="30"/>
      <c r="P2865" s="30"/>
      <c r="Q2865" s="30"/>
      <c r="R2865" s="30"/>
      <c r="S2865" s="30"/>
      <c r="T2865" s="30"/>
      <c r="U2865" s="30"/>
      <c r="V2865" s="30"/>
      <c r="W2865" s="29"/>
      <c r="X2865" s="15"/>
      <c r="Y2865" s="30"/>
      <c r="Z2865" s="30"/>
      <c r="AA2865" s="30"/>
      <c r="AB2865" s="30"/>
      <c r="AC2865" s="17"/>
      <c r="AD2865" s="17"/>
      <c r="AE2865" s="17"/>
      <c r="AF2865" s="17"/>
      <c r="AG2865" s="21"/>
      <c r="AH2865" s="21"/>
      <c r="AI2865" s="21"/>
      <c r="AJ2865" s="21"/>
      <c r="AK2865" s="21"/>
      <c r="AL2865" s="21"/>
      <c r="AM2865" s="21"/>
      <c r="AN2865" s="21"/>
      <c r="AO2865" s="22"/>
      <c r="AP2865" s="21"/>
      <c r="AQ2865" s="22"/>
      <c r="AR2865" s="21"/>
      <c r="AS2865" s="21"/>
      <c r="AT2865" s="21"/>
      <c r="AU2865" s="21"/>
      <c r="AV2865" s="21"/>
      <c r="AW2865" s="21"/>
      <c r="AX2865" s="22"/>
      <c r="AY2865" s="21"/>
      <c r="AZ2865" s="22"/>
      <c r="BA2865" s="21"/>
      <c r="BB2865" s="21"/>
      <c r="BC2865" s="21"/>
      <c r="BD2865" s="21"/>
      <c r="BE2865" s="26"/>
      <c r="BF2865" s="26"/>
      <c r="BG2865" s="65"/>
    </row>
    <row r="2866" spans="1:59" ht="13.5" customHeight="1" x14ac:dyDescent="0.35">
      <c r="A2866" s="49"/>
      <c r="B2866" s="49"/>
      <c r="C2866" s="14"/>
      <c r="D2866" s="1"/>
      <c r="E2866" s="149"/>
      <c r="F2866" s="153"/>
      <c r="G2866" s="10"/>
      <c r="H2866" s="17"/>
      <c r="I2866" s="17"/>
      <c r="J2866" s="17"/>
      <c r="K2866" s="30"/>
      <c r="L2866" s="30"/>
      <c r="M2866" s="30"/>
      <c r="N2866" s="30"/>
      <c r="O2866" s="30"/>
      <c r="P2866" s="30"/>
      <c r="Q2866" s="30"/>
      <c r="R2866" s="30"/>
      <c r="S2866" s="30"/>
      <c r="T2866" s="30"/>
      <c r="U2866" s="30"/>
      <c r="V2866" s="30"/>
      <c r="W2866" s="29"/>
      <c r="X2866" s="15"/>
      <c r="Y2866" s="30"/>
      <c r="Z2866" s="30"/>
      <c r="AA2866" s="30"/>
      <c r="AB2866" s="30"/>
      <c r="AC2866" s="17"/>
      <c r="AD2866" s="17"/>
      <c r="AE2866" s="17"/>
      <c r="AF2866" s="17"/>
      <c r="AG2866" s="21"/>
      <c r="AH2866" s="21"/>
      <c r="AI2866" s="21"/>
      <c r="AJ2866" s="21"/>
      <c r="AK2866" s="21"/>
      <c r="AL2866" s="21"/>
      <c r="AM2866" s="21"/>
      <c r="AN2866" s="21"/>
      <c r="AO2866" s="22"/>
      <c r="AP2866" s="21"/>
      <c r="AQ2866" s="22"/>
      <c r="AR2866" s="21"/>
      <c r="AS2866" s="21"/>
      <c r="AT2866" s="21"/>
      <c r="AU2866" s="21"/>
      <c r="AV2866" s="21"/>
      <c r="AW2866" s="21"/>
      <c r="AX2866" s="22"/>
      <c r="AY2866" s="21"/>
      <c r="AZ2866" s="22"/>
      <c r="BA2866" s="21"/>
      <c r="BB2866" s="21"/>
      <c r="BC2866" s="21"/>
      <c r="BD2866" s="21"/>
      <c r="BE2866" s="26"/>
      <c r="BF2866" s="26"/>
      <c r="BG2866" s="62"/>
    </row>
    <row r="2867" spans="1:59" ht="13.5" customHeight="1" x14ac:dyDescent="0.35">
      <c r="A2867" s="49"/>
      <c r="B2867" s="49"/>
      <c r="C2867" s="14"/>
      <c r="D2867" s="1"/>
      <c r="E2867" s="149"/>
      <c r="F2867" s="153"/>
      <c r="G2867" s="10"/>
      <c r="H2867" s="17"/>
      <c r="I2867" s="17"/>
      <c r="J2867" s="17"/>
      <c r="K2867" s="30"/>
      <c r="L2867" s="30"/>
      <c r="M2867" s="30"/>
      <c r="N2867" s="30"/>
      <c r="O2867" s="30"/>
      <c r="P2867" s="30"/>
      <c r="Q2867" s="30"/>
      <c r="R2867" s="30"/>
      <c r="S2867" s="30"/>
      <c r="T2867" s="30"/>
      <c r="U2867" s="30"/>
      <c r="V2867" s="30"/>
      <c r="W2867" s="29"/>
      <c r="X2867" s="15"/>
      <c r="Y2867" s="30"/>
      <c r="Z2867" s="30"/>
      <c r="AA2867" s="30"/>
      <c r="AB2867" s="30"/>
      <c r="AC2867" s="17"/>
      <c r="AD2867" s="17"/>
      <c r="AE2867" s="17"/>
      <c r="AF2867" s="17"/>
      <c r="AG2867" s="21"/>
      <c r="AH2867" s="21"/>
      <c r="AI2867" s="21"/>
      <c r="AJ2867" s="21"/>
      <c r="AK2867" s="21"/>
      <c r="AL2867" s="21"/>
      <c r="AM2867" s="21"/>
      <c r="AN2867" s="21"/>
      <c r="AO2867" s="22"/>
      <c r="AP2867" s="21"/>
      <c r="AQ2867" s="22"/>
      <c r="AR2867" s="21"/>
      <c r="AS2867" s="21"/>
      <c r="AT2867" s="21"/>
      <c r="AU2867" s="21"/>
      <c r="AV2867" s="21"/>
      <c r="AW2867" s="21"/>
      <c r="AX2867" s="22"/>
      <c r="AY2867" s="21"/>
      <c r="AZ2867" s="22"/>
      <c r="BA2867" s="21"/>
      <c r="BB2867" s="21"/>
      <c r="BC2867" s="21"/>
      <c r="BD2867" s="21"/>
      <c r="BE2867" s="26"/>
      <c r="BF2867" s="26"/>
      <c r="BG2867" s="62"/>
    </row>
    <row r="2868" spans="1:59" ht="13.5" customHeight="1" x14ac:dyDescent="0.35">
      <c r="A2868" s="49"/>
      <c r="B2868" s="49"/>
      <c r="C2868" s="14"/>
      <c r="D2868" s="1"/>
      <c r="E2868" s="149"/>
      <c r="F2868" s="153"/>
      <c r="G2868" s="10"/>
      <c r="H2868" s="17"/>
      <c r="I2868" s="17"/>
      <c r="J2868" s="17"/>
      <c r="K2868" s="30"/>
      <c r="L2868" s="30"/>
      <c r="M2868" s="30"/>
      <c r="N2868" s="30"/>
      <c r="O2868" s="30"/>
      <c r="P2868" s="30"/>
      <c r="Q2868" s="30"/>
      <c r="R2868" s="30"/>
      <c r="S2868" s="30"/>
      <c r="T2868" s="30"/>
      <c r="U2868" s="30"/>
      <c r="V2868" s="30"/>
      <c r="W2868" s="29"/>
      <c r="X2868" s="15"/>
      <c r="Y2868" s="30"/>
      <c r="Z2868" s="30"/>
      <c r="AA2868" s="30"/>
      <c r="AB2868" s="30"/>
      <c r="AC2868" s="17"/>
      <c r="AD2868" s="17"/>
      <c r="AE2868" s="17"/>
      <c r="AF2868" s="17"/>
      <c r="AG2868" s="21"/>
      <c r="AH2868" s="21"/>
      <c r="AI2868" s="21"/>
      <c r="AJ2868" s="21"/>
      <c r="AK2868" s="21"/>
      <c r="AL2868" s="21"/>
      <c r="AM2868" s="21"/>
      <c r="AN2868" s="21"/>
      <c r="AO2868" s="22"/>
      <c r="AP2868" s="21"/>
      <c r="AQ2868" s="22"/>
      <c r="AR2868" s="21"/>
      <c r="AS2868" s="21"/>
      <c r="AT2868" s="21"/>
      <c r="AU2868" s="21"/>
      <c r="AV2868" s="21"/>
      <c r="AW2868" s="21"/>
      <c r="AX2868" s="22"/>
      <c r="AY2868" s="21"/>
      <c r="AZ2868" s="22"/>
      <c r="BA2868" s="21"/>
      <c r="BB2868" s="21"/>
      <c r="BC2868" s="21"/>
      <c r="BD2868" s="21"/>
      <c r="BE2868" s="26"/>
      <c r="BF2868" s="26"/>
      <c r="BG2868" s="62"/>
    </row>
    <row r="2869" spans="1:59" x14ac:dyDescent="0.3">
      <c r="A2869" s="6"/>
      <c r="B2869" s="6"/>
      <c r="C2869" s="39"/>
      <c r="D2869" s="6"/>
      <c r="E2869" s="149"/>
      <c r="F2869" s="153"/>
      <c r="G2869" s="10"/>
      <c r="H2869" s="6"/>
      <c r="I2869" s="6"/>
      <c r="J2869" s="6"/>
      <c r="K2869" s="6"/>
      <c r="L2869" s="6"/>
      <c r="M2869" s="6"/>
      <c r="N2869" s="6"/>
      <c r="O2869" s="6"/>
      <c r="P2869" s="6"/>
      <c r="Q2869" s="6"/>
      <c r="R2869" s="6"/>
      <c r="S2869" s="6"/>
      <c r="T2869" s="6"/>
      <c r="U2869" s="5"/>
      <c r="V2869" s="5"/>
      <c r="W2869" s="13"/>
      <c r="X2869" s="4"/>
      <c r="Y2869" s="4"/>
      <c r="Z2869" s="4"/>
      <c r="AA2869" s="6"/>
      <c r="AB2869" s="5"/>
      <c r="AC2869" s="9"/>
      <c r="AD2869" s="9"/>
      <c r="AE2869" s="9"/>
      <c r="AF2869" s="9"/>
      <c r="AG2869" s="2"/>
      <c r="AH2869" s="3"/>
      <c r="AI2869" s="2"/>
      <c r="AJ2869" s="2"/>
      <c r="AK2869" s="2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</row>
    <row r="2870" spans="1:59" x14ac:dyDescent="0.3">
      <c r="A2870" s="63"/>
      <c r="B2870" s="63"/>
      <c r="C2870" s="39"/>
      <c r="D2870" s="6"/>
      <c r="E2870" s="149"/>
      <c r="F2870" s="153"/>
      <c r="G2870" s="10"/>
      <c r="H2870" s="6"/>
      <c r="I2870" s="6"/>
      <c r="J2870" s="6"/>
      <c r="K2870" s="6"/>
      <c r="L2870" s="6"/>
      <c r="M2870" s="6"/>
      <c r="N2870" s="6"/>
      <c r="O2870" s="6"/>
      <c r="P2870" s="6"/>
      <c r="Q2870" s="6"/>
      <c r="R2870" s="6"/>
      <c r="S2870" s="6"/>
      <c r="T2870" s="6"/>
      <c r="U2870" s="5"/>
      <c r="V2870" s="5"/>
      <c r="W2870" s="13"/>
      <c r="X2870" s="4"/>
      <c r="Y2870" s="4"/>
      <c r="Z2870" s="4"/>
      <c r="AA2870" s="6"/>
      <c r="AB2870" s="5"/>
      <c r="AC2870" s="9"/>
      <c r="AD2870" s="9"/>
      <c r="AE2870" s="9"/>
      <c r="AF2870" s="9"/>
      <c r="AG2870" s="64"/>
      <c r="AH2870" s="3"/>
      <c r="AI2870" s="2"/>
      <c r="AJ2870" s="2"/>
      <c r="AK2870" s="2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</row>
    <row r="2871" spans="1:59" x14ac:dyDescent="0.3">
      <c r="A2871" s="6"/>
      <c r="B2871" s="6"/>
      <c r="C2871" s="39"/>
      <c r="D2871" s="6"/>
      <c r="E2871" s="149"/>
      <c r="F2871" s="153"/>
      <c r="G2871" s="10"/>
      <c r="H2871" s="6"/>
      <c r="I2871" s="6"/>
      <c r="J2871" s="6"/>
      <c r="K2871" s="6"/>
      <c r="L2871" s="6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12"/>
      <c r="Y2871" s="6"/>
      <c r="Z2871" s="6"/>
      <c r="AA2871" s="6"/>
      <c r="AB2871" s="6"/>
      <c r="AC2871" s="9"/>
      <c r="AD2871" s="9"/>
      <c r="AE2871" s="9"/>
      <c r="AF2871" s="9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21"/>
      <c r="AS2871" s="21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</row>
    <row r="2872" spans="1:59" ht="13.5" customHeight="1" x14ac:dyDescent="0.35">
      <c r="A2872" s="49"/>
      <c r="B2872" s="49"/>
      <c r="C2872" s="39"/>
      <c r="D2872" s="1"/>
      <c r="E2872" s="149"/>
      <c r="F2872" s="153"/>
      <c r="G2872" s="10"/>
      <c r="H2872" s="17"/>
      <c r="I2872" s="17"/>
      <c r="J2872" s="17"/>
      <c r="K2872" s="30"/>
      <c r="L2872" s="30"/>
      <c r="M2872" s="30"/>
      <c r="N2872" s="30"/>
      <c r="O2872" s="30"/>
      <c r="P2872" s="30"/>
      <c r="Q2872" s="30"/>
      <c r="R2872" s="30"/>
      <c r="S2872" s="30"/>
      <c r="T2872" s="30"/>
      <c r="U2872" s="30"/>
      <c r="V2872" s="30"/>
      <c r="W2872" s="29"/>
      <c r="X2872" s="15"/>
      <c r="Y2872" s="30"/>
      <c r="Z2872" s="30"/>
      <c r="AA2872" s="30"/>
      <c r="AB2872" s="30"/>
      <c r="AC2872" s="17"/>
      <c r="AD2872" s="17"/>
      <c r="AE2872" s="17"/>
      <c r="AF2872" s="17"/>
      <c r="AG2872" s="21"/>
      <c r="AH2872" s="21"/>
      <c r="AI2872" s="21"/>
      <c r="AJ2872" s="21"/>
      <c r="AK2872" s="21"/>
      <c r="AL2872" s="21"/>
      <c r="AM2872" s="21"/>
      <c r="AN2872" s="21"/>
      <c r="AO2872" s="22"/>
      <c r="AP2872" s="21"/>
      <c r="AQ2872" s="22"/>
      <c r="AR2872" s="21"/>
      <c r="AS2872" s="21"/>
      <c r="AT2872" s="21"/>
      <c r="AU2872" s="21"/>
      <c r="AV2872" s="21"/>
      <c r="AW2872" s="21"/>
      <c r="AX2872" s="22"/>
      <c r="AY2872" s="21"/>
      <c r="AZ2872" s="22"/>
      <c r="BA2872" s="21"/>
      <c r="BB2872" s="21"/>
      <c r="BC2872" s="21"/>
      <c r="BD2872" s="21"/>
      <c r="BE2872" s="26"/>
      <c r="BF2872" s="26"/>
      <c r="BG2872" s="62"/>
    </row>
    <row r="2873" spans="1:59" ht="13.5" customHeight="1" x14ac:dyDescent="0.35">
      <c r="A2873" s="49"/>
      <c r="B2873" s="49"/>
      <c r="C2873" s="39"/>
      <c r="D2873" s="1"/>
      <c r="E2873" s="149"/>
      <c r="F2873" s="153"/>
      <c r="G2873" s="10"/>
      <c r="H2873" s="17"/>
      <c r="I2873" s="17"/>
      <c r="J2873" s="17"/>
      <c r="K2873" s="30"/>
      <c r="L2873" s="30"/>
      <c r="M2873" s="30"/>
      <c r="N2873" s="30"/>
      <c r="O2873" s="30"/>
      <c r="P2873" s="30"/>
      <c r="Q2873" s="30"/>
      <c r="R2873" s="30"/>
      <c r="S2873" s="30"/>
      <c r="T2873" s="30"/>
      <c r="U2873" s="30"/>
      <c r="V2873" s="30"/>
      <c r="W2873" s="29"/>
      <c r="X2873" s="15"/>
      <c r="Y2873" s="30"/>
      <c r="Z2873" s="30"/>
      <c r="AA2873" s="30"/>
      <c r="AB2873" s="30"/>
      <c r="AC2873" s="17"/>
      <c r="AD2873" s="17"/>
      <c r="AE2873" s="17"/>
      <c r="AF2873" s="17"/>
      <c r="AG2873" s="21"/>
      <c r="AH2873" s="21"/>
      <c r="AI2873" s="21"/>
      <c r="AJ2873" s="21"/>
      <c r="AK2873" s="21"/>
      <c r="AL2873" s="21"/>
      <c r="AM2873" s="21"/>
      <c r="AN2873" s="21"/>
      <c r="AO2873" s="22"/>
      <c r="AP2873" s="21"/>
      <c r="AQ2873" s="22"/>
      <c r="AR2873" s="21"/>
      <c r="AS2873" s="21"/>
      <c r="AT2873" s="21"/>
      <c r="AU2873" s="21"/>
      <c r="AV2873" s="21"/>
      <c r="AW2873" s="21"/>
      <c r="AX2873" s="22"/>
      <c r="AY2873" s="21"/>
      <c r="AZ2873" s="22"/>
      <c r="BA2873" s="21"/>
      <c r="BB2873" s="21"/>
      <c r="BC2873" s="21"/>
      <c r="BD2873" s="21"/>
      <c r="BE2873" s="26"/>
      <c r="BF2873" s="26"/>
      <c r="BG2873" s="62"/>
    </row>
    <row r="2874" spans="1:59" x14ac:dyDescent="0.3">
      <c r="A2874" s="6"/>
      <c r="B2874" s="6"/>
      <c r="C2874" s="39"/>
      <c r="D2874" s="6"/>
      <c r="E2874" s="149"/>
      <c r="F2874" s="153"/>
      <c r="G2874" s="10"/>
      <c r="H2874" s="6"/>
      <c r="I2874" s="6"/>
      <c r="J2874" s="6"/>
      <c r="K2874" s="6"/>
      <c r="L2874" s="6"/>
      <c r="M2874" s="6"/>
      <c r="N2874" s="6"/>
      <c r="O2874" s="6"/>
      <c r="P2874" s="6"/>
      <c r="Q2874" s="6"/>
      <c r="R2874" s="6"/>
      <c r="S2874" s="6"/>
      <c r="T2874" s="6"/>
      <c r="U2874" s="5"/>
      <c r="V2874" s="5"/>
      <c r="W2874" s="13"/>
      <c r="X2874" s="4"/>
      <c r="Y2874" s="4"/>
      <c r="Z2874" s="4"/>
      <c r="AA2874" s="6"/>
      <c r="AB2874" s="5"/>
      <c r="AC2874" s="9"/>
      <c r="AD2874" s="9"/>
      <c r="AE2874" s="9"/>
      <c r="AF2874" s="9"/>
      <c r="AG2874" s="2"/>
      <c r="AH2874" s="3"/>
      <c r="AI2874" s="2"/>
      <c r="AJ2874" s="2"/>
      <c r="AK2874" s="2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</row>
    <row r="2875" spans="1:59" ht="13.5" customHeight="1" x14ac:dyDescent="0.35">
      <c r="A2875" s="49"/>
      <c r="B2875" s="49"/>
      <c r="C2875" s="14"/>
      <c r="D2875" s="1"/>
      <c r="E2875" s="149"/>
      <c r="F2875" s="153"/>
      <c r="G2875" s="10"/>
      <c r="H2875" s="17"/>
      <c r="I2875" s="17"/>
      <c r="J2875" s="17"/>
      <c r="K2875" s="30"/>
      <c r="L2875" s="30"/>
      <c r="M2875" s="30"/>
      <c r="N2875" s="30"/>
      <c r="O2875" s="30"/>
      <c r="P2875" s="30"/>
      <c r="Q2875" s="30"/>
      <c r="R2875" s="30"/>
      <c r="S2875" s="30"/>
      <c r="T2875" s="30"/>
      <c r="U2875" s="30"/>
      <c r="V2875" s="30"/>
      <c r="W2875" s="29"/>
      <c r="X2875" s="15"/>
      <c r="Y2875" s="30"/>
      <c r="Z2875" s="30"/>
      <c r="AA2875" s="30"/>
      <c r="AB2875" s="30"/>
      <c r="AC2875" s="17"/>
      <c r="AD2875" s="17"/>
      <c r="AE2875" s="17"/>
      <c r="AF2875" s="17"/>
      <c r="AG2875" s="21"/>
      <c r="AH2875" s="21"/>
      <c r="AI2875" s="21"/>
      <c r="AJ2875" s="21"/>
      <c r="AK2875" s="21"/>
      <c r="AL2875" s="21"/>
      <c r="AM2875" s="21"/>
      <c r="AN2875" s="21"/>
      <c r="AO2875" s="22"/>
      <c r="AP2875" s="21"/>
      <c r="AQ2875" s="22"/>
      <c r="AR2875" s="21"/>
      <c r="AS2875" s="21"/>
      <c r="AT2875" s="21"/>
      <c r="AU2875" s="21"/>
      <c r="AV2875" s="21"/>
      <c r="AW2875" s="21"/>
      <c r="AX2875" s="22"/>
      <c r="AY2875" s="21"/>
      <c r="AZ2875" s="22"/>
      <c r="BA2875" s="21"/>
      <c r="BB2875" s="21"/>
      <c r="BC2875" s="21"/>
      <c r="BD2875" s="21"/>
      <c r="BE2875" s="26"/>
      <c r="BF2875" s="26"/>
      <c r="BG2875" s="65"/>
    </row>
    <row r="2876" spans="1:59" x14ac:dyDescent="0.3">
      <c r="A2876" s="6"/>
      <c r="B2876" s="6"/>
      <c r="C2876" s="39"/>
      <c r="D2876" s="6"/>
      <c r="E2876" s="149"/>
      <c r="F2876" s="153"/>
      <c r="G2876" s="10"/>
      <c r="H2876" s="6"/>
      <c r="I2876" s="6"/>
      <c r="J2876" s="6"/>
      <c r="K2876" s="6"/>
      <c r="L2876" s="6"/>
      <c r="M2876" s="6"/>
      <c r="N2876" s="6"/>
      <c r="O2876" s="6"/>
      <c r="P2876" s="6"/>
      <c r="Q2876" s="6"/>
      <c r="R2876" s="6"/>
      <c r="S2876" s="6"/>
      <c r="T2876" s="6"/>
      <c r="U2876" s="5"/>
      <c r="V2876" s="5"/>
      <c r="W2876" s="13"/>
      <c r="X2876" s="4"/>
      <c r="Y2876" s="4"/>
      <c r="Z2876" s="4"/>
      <c r="AA2876" s="6"/>
      <c r="AB2876" s="5"/>
      <c r="AC2876" s="9"/>
      <c r="AD2876" s="9"/>
      <c r="AE2876" s="9"/>
      <c r="AF2876" s="9"/>
      <c r="AG2876" s="2"/>
      <c r="AH2876" s="3"/>
      <c r="AI2876" s="2"/>
      <c r="AJ2876" s="2"/>
      <c r="AK2876" s="2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</row>
    <row r="2877" spans="1:59" x14ac:dyDescent="0.3">
      <c r="A2877" s="63"/>
      <c r="B2877" s="63"/>
      <c r="C2877" s="39"/>
      <c r="D2877" s="6"/>
      <c r="E2877" s="149"/>
      <c r="F2877" s="153"/>
      <c r="G2877" s="10"/>
      <c r="H2877" s="6"/>
      <c r="I2877" s="6"/>
      <c r="J2877" s="6"/>
      <c r="K2877" s="6"/>
      <c r="L2877" s="6"/>
      <c r="M2877" s="6"/>
      <c r="N2877" s="6"/>
      <c r="O2877" s="6"/>
      <c r="P2877" s="6"/>
      <c r="Q2877" s="6"/>
      <c r="R2877" s="6"/>
      <c r="S2877" s="6"/>
      <c r="T2877" s="6"/>
      <c r="U2877" s="5"/>
      <c r="V2877" s="5"/>
      <c r="W2877" s="13"/>
      <c r="X2877" s="4"/>
      <c r="Y2877" s="4"/>
      <c r="Z2877" s="4"/>
      <c r="AA2877" s="6"/>
      <c r="AB2877" s="5"/>
      <c r="AC2877" s="9"/>
      <c r="AD2877" s="9"/>
      <c r="AE2877" s="9"/>
      <c r="AF2877" s="9"/>
      <c r="AG2877" s="64"/>
      <c r="AH2877" s="3"/>
      <c r="AI2877" s="2"/>
      <c r="AJ2877" s="2"/>
      <c r="AK2877" s="2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</row>
    <row r="2878" spans="1:59" ht="13.5" customHeight="1" x14ac:dyDescent="0.35">
      <c r="A2878" s="49"/>
      <c r="B2878" s="49"/>
      <c r="C2878" s="39"/>
      <c r="D2878" s="1"/>
      <c r="E2878" s="149"/>
      <c r="F2878" s="153"/>
      <c r="G2878" s="10"/>
      <c r="H2878" s="17"/>
      <c r="I2878" s="17"/>
      <c r="J2878" s="17"/>
      <c r="K2878" s="30"/>
      <c r="L2878" s="30"/>
      <c r="M2878" s="30"/>
      <c r="N2878" s="30"/>
      <c r="O2878" s="30"/>
      <c r="P2878" s="30"/>
      <c r="Q2878" s="30"/>
      <c r="R2878" s="30"/>
      <c r="S2878" s="30"/>
      <c r="T2878" s="30"/>
      <c r="U2878" s="30"/>
      <c r="V2878" s="30"/>
      <c r="W2878" s="29"/>
      <c r="X2878" s="15"/>
      <c r="Y2878" s="30"/>
      <c r="Z2878" s="30"/>
      <c r="AA2878" s="30"/>
      <c r="AB2878" s="30"/>
      <c r="AC2878" s="17"/>
      <c r="AD2878" s="17"/>
      <c r="AE2878" s="17"/>
      <c r="AF2878" s="17"/>
      <c r="AG2878" s="21"/>
      <c r="AH2878" s="21"/>
      <c r="AI2878" s="21"/>
      <c r="AJ2878" s="21"/>
      <c r="AK2878" s="21"/>
      <c r="AL2878" s="21"/>
      <c r="AM2878" s="21"/>
      <c r="AN2878" s="21"/>
      <c r="AO2878" s="22"/>
      <c r="AP2878" s="21"/>
      <c r="AQ2878" s="22"/>
      <c r="AR2878" s="21"/>
      <c r="AS2878" s="21"/>
      <c r="AT2878" s="21"/>
      <c r="AU2878" s="21"/>
      <c r="AV2878" s="21"/>
      <c r="AW2878" s="21"/>
      <c r="AX2878" s="22"/>
      <c r="AY2878" s="21"/>
      <c r="AZ2878" s="22"/>
      <c r="BA2878" s="21"/>
      <c r="BB2878" s="21"/>
      <c r="BC2878" s="21"/>
      <c r="BD2878" s="21"/>
      <c r="BE2878" s="26"/>
      <c r="BF2878" s="26"/>
      <c r="BG2878" s="62"/>
    </row>
    <row r="2879" spans="1:59" ht="13.5" customHeight="1" x14ac:dyDescent="0.35">
      <c r="A2879" s="49"/>
      <c r="B2879" s="49"/>
      <c r="C2879" s="14"/>
      <c r="D2879" s="1"/>
      <c r="E2879" s="149"/>
      <c r="F2879" s="153"/>
      <c r="G2879" s="10"/>
      <c r="H2879" s="17"/>
      <c r="I2879" s="17"/>
      <c r="J2879" s="17"/>
      <c r="K2879" s="30"/>
      <c r="L2879" s="30"/>
      <c r="M2879" s="30"/>
      <c r="N2879" s="30"/>
      <c r="O2879" s="30"/>
      <c r="P2879" s="30"/>
      <c r="Q2879" s="30"/>
      <c r="R2879" s="30"/>
      <c r="S2879" s="30"/>
      <c r="T2879" s="30"/>
      <c r="U2879" s="30"/>
      <c r="V2879" s="30"/>
      <c r="W2879" s="29"/>
      <c r="X2879" s="15"/>
      <c r="Y2879" s="30"/>
      <c r="Z2879" s="30"/>
      <c r="AA2879" s="30"/>
      <c r="AB2879" s="30"/>
      <c r="AC2879" s="17"/>
      <c r="AD2879" s="17"/>
      <c r="AE2879" s="17"/>
      <c r="AF2879" s="17"/>
      <c r="AG2879" s="21"/>
      <c r="AH2879" s="21"/>
      <c r="AI2879" s="21"/>
      <c r="AJ2879" s="21"/>
      <c r="AK2879" s="21"/>
      <c r="AL2879" s="21"/>
      <c r="AM2879" s="21"/>
      <c r="AN2879" s="21"/>
      <c r="AO2879" s="22"/>
      <c r="AP2879" s="21"/>
      <c r="AQ2879" s="22"/>
      <c r="AR2879" s="21"/>
      <c r="AS2879" s="21"/>
      <c r="AT2879" s="21"/>
      <c r="AU2879" s="21"/>
      <c r="AV2879" s="21"/>
      <c r="AW2879" s="21"/>
      <c r="AX2879" s="22"/>
      <c r="AY2879" s="21"/>
      <c r="AZ2879" s="22"/>
      <c r="BA2879" s="21"/>
      <c r="BB2879" s="21"/>
      <c r="BC2879" s="21"/>
      <c r="BD2879" s="21"/>
      <c r="BE2879" s="26"/>
      <c r="BF2879" s="26"/>
      <c r="BG2879" s="62"/>
    </row>
    <row r="2880" spans="1:59" ht="13.5" customHeight="1" x14ac:dyDescent="0.35">
      <c r="A2880" s="49"/>
      <c r="B2880" s="49"/>
      <c r="C2880" s="14"/>
      <c r="D2880" s="1"/>
      <c r="E2880" s="149"/>
      <c r="F2880" s="153"/>
      <c r="G2880" s="10"/>
      <c r="H2880" s="17"/>
      <c r="I2880" s="17"/>
      <c r="J2880" s="17"/>
      <c r="K2880" s="30"/>
      <c r="L2880" s="30"/>
      <c r="M2880" s="30"/>
      <c r="N2880" s="30"/>
      <c r="O2880" s="30"/>
      <c r="P2880" s="30"/>
      <c r="Q2880" s="30"/>
      <c r="R2880" s="30"/>
      <c r="S2880" s="30"/>
      <c r="T2880" s="30"/>
      <c r="U2880" s="30"/>
      <c r="V2880" s="30"/>
      <c r="W2880" s="29"/>
      <c r="X2880" s="15"/>
      <c r="Y2880" s="30"/>
      <c r="Z2880" s="30"/>
      <c r="AA2880" s="30"/>
      <c r="AB2880" s="30"/>
      <c r="AC2880" s="17"/>
      <c r="AD2880" s="17"/>
      <c r="AE2880" s="17"/>
      <c r="AF2880" s="17"/>
      <c r="AG2880" s="21"/>
      <c r="AH2880" s="21"/>
      <c r="AI2880" s="21"/>
      <c r="AJ2880" s="21"/>
      <c r="AK2880" s="21"/>
      <c r="AL2880" s="21"/>
      <c r="AM2880" s="21"/>
      <c r="AN2880" s="21"/>
      <c r="AO2880" s="22"/>
      <c r="AP2880" s="21"/>
      <c r="AQ2880" s="22"/>
      <c r="AR2880" s="21"/>
      <c r="AS2880" s="21"/>
      <c r="AT2880" s="21"/>
      <c r="AU2880" s="21"/>
      <c r="AV2880" s="21"/>
      <c r="AW2880" s="21"/>
      <c r="AX2880" s="22"/>
      <c r="AY2880" s="21"/>
      <c r="AZ2880" s="22"/>
      <c r="BA2880" s="21"/>
      <c r="BB2880" s="21"/>
      <c r="BC2880" s="21"/>
      <c r="BD2880" s="21"/>
      <c r="BE2880" s="26"/>
      <c r="BF2880" s="26"/>
      <c r="BG2880" s="62"/>
    </row>
    <row r="2881" spans="1:59" ht="13.5" customHeight="1" x14ac:dyDescent="0.35">
      <c r="A2881" s="49"/>
      <c r="B2881" s="49"/>
      <c r="C2881" s="39"/>
      <c r="D2881" s="1"/>
      <c r="E2881" s="149"/>
      <c r="F2881" s="153"/>
      <c r="G2881" s="10"/>
      <c r="H2881" s="17"/>
      <c r="I2881" s="17"/>
      <c r="J2881" s="17"/>
      <c r="K2881" s="30"/>
      <c r="L2881" s="30"/>
      <c r="M2881" s="30"/>
      <c r="N2881" s="30"/>
      <c r="O2881" s="30"/>
      <c r="P2881" s="30"/>
      <c r="Q2881" s="30"/>
      <c r="R2881" s="30"/>
      <c r="S2881" s="30"/>
      <c r="T2881" s="30"/>
      <c r="U2881" s="30"/>
      <c r="V2881" s="30"/>
      <c r="W2881" s="29"/>
      <c r="X2881" s="15"/>
      <c r="Y2881" s="30"/>
      <c r="Z2881" s="30"/>
      <c r="AA2881" s="30"/>
      <c r="AB2881" s="30"/>
      <c r="AC2881" s="17"/>
      <c r="AD2881" s="17"/>
      <c r="AE2881" s="17"/>
      <c r="AF2881" s="17"/>
      <c r="AG2881" s="21"/>
      <c r="AH2881" s="21"/>
      <c r="AI2881" s="21"/>
      <c r="AJ2881" s="21"/>
      <c r="AK2881" s="21"/>
      <c r="AL2881" s="21"/>
      <c r="AM2881" s="21"/>
      <c r="AN2881" s="21"/>
      <c r="AO2881" s="22"/>
      <c r="AP2881" s="21"/>
      <c r="AQ2881" s="22"/>
      <c r="AR2881" s="21"/>
      <c r="AS2881" s="21"/>
      <c r="AT2881" s="21"/>
      <c r="AU2881" s="21"/>
      <c r="AV2881" s="21"/>
      <c r="AW2881" s="21"/>
      <c r="AX2881" s="22"/>
      <c r="AY2881" s="21"/>
      <c r="AZ2881" s="22"/>
      <c r="BA2881" s="21"/>
      <c r="BB2881" s="21"/>
      <c r="BC2881" s="21"/>
      <c r="BD2881" s="21"/>
      <c r="BE2881" s="26"/>
      <c r="BF2881" s="26"/>
      <c r="BG2881" s="62"/>
    </row>
    <row r="2882" spans="1:59" x14ac:dyDescent="0.3">
      <c r="A2882" s="63"/>
      <c r="B2882" s="63"/>
      <c r="C2882" s="39"/>
      <c r="D2882" s="6"/>
      <c r="E2882" s="149"/>
      <c r="F2882" s="153"/>
      <c r="G2882" s="10"/>
      <c r="H2882" s="6"/>
      <c r="I2882" s="6"/>
      <c r="J2882" s="6"/>
      <c r="K2882" s="6"/>
      <c r="L2882" s="6"/>
      <c r="M2882" s="6"/>
      <c r="N2882" s="6"/>
      <c r="O2882" s="6"/>
      <c r="P2882" s="6"/>
      <c r="Q2882" s="6"/>
      <c r="R2882" s="6"/>
      <c r="S2882" s="6"/>
      <c r="T2882" s="6"/>
      <c r="U2882" s="5"/>
      <c r="V2882" s="5"/>
      <c r="W2882" s="13"/>
      <c r="X2882" s="4"/>
      <c r="Y2882" s="4"/>
      <c r="Z2882" s="4"/>
      <c r="AA2882" s="6"/>
      <c r="AB2882" s="5"/>
      <c r="AC2882" s="9"/>
      <c r="AD2882" s="9"/>
      <c r="AE2882" s="9"/>
      <c r="AF2882" s="9"/>
      <c r="AG2882" s="64"/>
      <c r="AH2882" s="3"/>
      <c r="AI2882" s="2"/>
      <c r="AJ2882" s="2"/>
      <c r="AK2882" s="2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</row>
    <row r="2883" spans="1:59" x14ac:dyDescent="0.3">
      <c r="A2883" s="6"/>
      <c r="B2883" s="6"/>
      <c r="C2883" s="39"/>
      <c r="D2883" s="6"/>
      <c r="E2883" s="149"/>
      <c r="F2883" s="153"/>
      <c r="G2883" s="10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12"/>
      <c r="Y2883" s="6"/>
      <c r="Z2883" s="6"/>
      <c r="AA2883" s="6"/>
      <c r="AB2883" s="6"/>
      <c r="AC2883" s="9"/>
      <c r="AD2883" s="9"/>
      <c r="AE2883" s="9"/>
      <c r="AF2883" s="9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21"/>
      <c r="AS2883" s="21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  <c r="BG2883" s="3"/>
    </row>
    <row r="2884" spans="1:59" x14ac:dyDescent="0.3">
      <c r="A2884" s="63"/>
      <c r="B2884" s="63"/>
      <c r="C2884" s="39"/>
      <c r="D2884" s="6"/>
      <c r="E2884" s="149"/>
      <c r="F2884" s="153"/>
      <c r="G2884" s="10"/>
      <c r="H2884" s="6"/>
      <c r="I2884" s="6"/>
      <c r="J2884" s="6"/>
      <c r="K2884" s="6"/>
      <c r="L2884" s="6"/>
      <c r="M2884" s="6"/>
      <c r="N2884" s="6"/>
      <c r="O2884" s="6"/>
      <c r="P2884" s="6"/>
      <c r="Q2884" s="6"/>
      <c r="R2884" s="6"/>
      <c r="S2884" s="6"/>
      <c r="T2884" s="6"/>
      <c r="U2884" s="5"/>
      <c r="V2884" s="5"/>
      <c r="W2884" s="13"/>
      <c r="X2884" s="4"/>
      <c r="Y2884" s="4"/>
      <c r="Z2884" s="4"/>
      <c r="AA2884" s="6"/>
      <c r="AB2884" s="5"/>
      <c r="AC2884" s="9"/>
      <c r="AD2884" s="9"/>
      <c r="AE2884" s="9"/>
      <c r="AF2884" s="9"/>
      <c r="AG2884" s="64"/>
      <c r="AH2884" s="3"/>
      <c r="AI2884" s="2"/>
      <c r="AJ2884" s="2"/>
      <c r="AK2884" s="2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3"/>
    </row>
    <row r="2885" spans="1:59" ht="15" x14ac:dyDescent="0.35">
      <c r="A2885" s="6"/>
      <c r="B2885" s="6"/>
      <c r="C2885" s="39"/>
      <c r="D2885" s="6"/>
      <c r="E2885" s="149"/>
      <c r="F2885" s="153"/>
      <c r="G2885" s="10"/>
      <c r="H2885" s="6"/>
      <c r="I2885" s="6"/>
      <c r="J2885" s="6"/>
      <c r="K2885" s="6"/>
      <c r="L2885" s="6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12"/>
      <c r="Y2885" s="6"/>
      <c r="Z2885" s="6"/>
      <c r="AA2885" s="6"/>
      <c r="AB2885" s="6"/>
      <c r="AC2885" s="9"/>
      <c r="AD2885" s="9"/>
      <c r="AE2885" s="9"/>
      <c r="AF2885" s="9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65"/>
    </row>
    <row r="2886" spans="1:59" x14ac:dyDescent="0.3">
      <c r="A2886" s="6"/>
      <c r="B2886" s="6"/>
      <c r="C2886" s="39"/>
      <c r="D2886" s="6"/>
      <c r="E2886" s="149"/>
      <c r="F2886" s="153"/>
      <c r="G2886" s="10"/>
      <c r="H2886" s="6"/>
      <c r="I2886" s="6"/>
      <c r="J2886" s="6"/>
      <c r="K2886" s="6"/>
      <c r="L2886" s="6"/>
      <c r="M2886" s="6"/>
      <c r="N2886" s="6"/>
      <c r="O2886" s="6"/>
      <c r="P2886" s="6"/>
      <c r="Q2886" s="6"/>
      <c r="R2886" s="6"/>
      <c r="S2886" s="6"/>
      <c r="T2886" s="6"/>
      <c r="U2886" s="5"/>
      <c r="V2886" s="5"/>
      <c r="W2886" s="13"/>
      <c r="X2886" s="4"/>
      <c r="Y2886" s="4"/>
      <c r="Z2886" s="4"/>
      <c r="AA2886" s="6"/>
      <c r="AB2886" s="5"/>
      <c r="AC2886" s="9"/>
      <c r="AD2886" s="9"/>
      <c r="AE2886" s="9"/>
      <c r="AF2886" s="9"/>
      <c r="AG2886" s="2"/>
      <c r="AH2886" s="3"/>
      <c r="AI2886" s="2"/>
      <c r="AJ2886" s="2"/>
      <c r="AK2886" s="2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</row>
    <row r="2887" spans="1:59" ht="13.5" customHeight="1" x14ac:dyDescent="0.35">
      <c r="A2887" s="49"/>
      <c r="B2887" s="49"/>
      <c r="C2887" s="39"/>
      <c r="D2887" s="1"/>
      <c r="E2887" s="149"/>
      <c r="F2887" s="153"/>
      <c r="G2887" s="10"/>
      <c r="H2887" s="17"/>
      <c r="I2887" s="17"/>
      <c r="J2887" s="17"/>
      <c r="K2887" s="30"/>
      <c r="L2887" s="30"/>
      <c r="M2887" s="30"/>
      <c r="N2887" s="30"/>
      <c r="O2887" s="30"/>
      <c r="P2887" s="30"/>
      <c r="Q2887" s="30"/>
      <c r="R2887" s="30"/>
      <c r="S2887" s="30"/>
      <c r="T2887" s="30"/>
      <c r="U2887" s="30"/>
      <c r="V2887" s="30"/>
      <c r="W2887" s="29"/>
      <c r="X2887" s="15"/>
      <c r="Y2887" s="30"/>
      <c r="Z2887" s="30"/>
      <c r="AA2887" s="30"/>
      <c r="AB2887" s="30"/>
      <c r="AC2887" s="17"/>
      <c r="AD2887" s="17"/>
      <c r="AE2887" s="17"/>
      <c r="AF2887" s="17"/>
      <c r="AG2887" s="21"/>
      <c r="AH2887" s="21"/>
      <c r="AI2887" s="21"/>
      <c r="AJ2887" s="21"/>
      <c r="AK2887" s="21"/>
      <c r="AL2887" s="21"/>
      <c r="AM2887" s="21"/>
      <c r="AN2887" s="21"/>
      <c r="AO2887" s="22"/>
      <c r="AP2887" s="21"/>
      <c r="AQ2887" s="22"/>
      <c r="AR2887" s="21"/>
      <c r="AS2887" s="21"/>
      <c r="AT2887" s="21"/>
      <c r="AU2887" s="21"/>
      <c r="AV2887" s="21"/>
      <c r="AW2887" s="21"/>
      <c r="AX2887" s="22"/>
      <c r="AY2887" s="21"/>
      <c r="AZ2887" s="22"/>
      <c r="BA2887" s="21"/>
      <c r="BB2887" s="21"/>
      <c r="BC2887" s="21"/>
      <c r="BD2887" s="21"/>
      <c r="BE2887" s="26"/>
      <c r="BF2887" s="26"/>
      <c r="BG2887" s="62"/>
    </row>
    <row r="2888" spans="1:59" x14ac:dyDescent="0.3">
      <c r="A2888" s="63"/>
      <c r="B2888" s="63"/>
      <c r="C2888" s="39"/>
      <c r="D2888" s="6"/>
      <c r="E2888" s="149"/>
      <c r="F2888" s="153"/>
      <c r="G2888" s="10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5"/>
      <c r="V2888" s="5"/>
      <c r="W2888" s="13"/>
      <c r="X2888" s="4"/>
      <c r="Y2888" s="4"/>
      <c r="Z2888" s="4"/>
      <c r="AA2888" s="6"/>
      <c r="AB2888" s="5"/>
      <c r="AC2888" s="9"/>
      <c r="AD2888" s="9"/>
      <c r="AE2888" s="9"/>
      <c r="AF2888" s="9"/>
      <c r="AG2888" s="64"/>
      <c r="AH2888" s="3"/>
      <c r="AI2888" s="2"/>
      <c r="AJ2888" s="2"/>
      <c r="AK2888" s="2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</row>
    <row r="2889" spans="1:59" ht="13.5" customHeight="1" x14ac:dyDescent="0.35">
      <c r="A2889" s="49"/>
      <c r="B2889" s="49"/>
      <c r="C2889" s="14"/>
      <c r="D2889" s="1"/>
      <c r="E2889" s="149"/>
      <c r="F2889" s="153"/>
      <c r="G2889" s="10"/>
      <c r="H2889" s="17"/>
      <c r="I2889" s="17"/>
      <c r="J2889" s="17"/>
      <c r="K2889" s="30"/>
      <c r="L2889" s="30"/>
      <c r="M2889" s="30"/>
      <c r="N2889" s="30"/>
      <c r="O2889" s="30"/>
      <c r="P2889" s="30"/>
      <c r="Q2889" s="30"/>
      <c r="R2889" s="30"/>
      <c r="S2889" s="30"/>
      <c r="T2889" s="30"/>
      <c r="U2889" s="30"/>
      <c r="V2889" s="30"/>
      <c r="W2889" s="29"/>
      <c r="X2889" s="15"/>
      <c r="Y2889" s="30"/>
      <c r="Z2889" s="30"/>
      <c r="AA2889" s="30"/>
      <c r="AB2889" s="30"/>
      <c r="AC2889" s="17"/>
      <c r="AD2889" s="17"/>
      <c r="AE2889" s="17"/>
      <c r="AF2889" s="17"/>
      <c r="AG2889" s="21"/>
      <c r="AH2889" s="21"/>
      <c r="AI2889" s="21"/>
      <c r="AJ2889" s="21"/>
      <c r="AK2889" s="21"/>
      <c r="AL2889" s="21"/>
      <c r="AM2889" s="21"/>
      <c r="AN2889" s="21"/>
      <c r="AO2889" s="22"/>
      <c r="AP2889" s="21"/>
      <c r="AQ2889" s="22"/>
      <c r="AR2889" s="21"/>
      <c r="AS2889" s="21"/>
      <c r="AT2889" s="21"/>
      <c r="AU2889" s="21"/>
      <c r="AV2889" s="21"/>
      <c r="AW2889" s="21"/>
      <c r="AX2889" s="22"/>
      <c r="AY2889" s="21"/>
      <c r="AZ2889" s="22"/>
      <c r="BA2889" s="21"/>
      <c r="BB2889" s="21"/>
      <c r="BC2889" s="21"/>
      <c r="BD2889" s="21"/>
      <c r="BE2889" s="26"/>
      <c r="BF2889" s="26"/>
      <c r="BG2889" s="65"/>
    </row>
    <row r="2890" spans="1:59" ht="13.5" customHeight="1" x14ac:dyDescent="0.35">
      <c r="A2890" s="49"/>
      <c r="B2890" s="49"/>
      <c r="C2890" s="39"/>
      <c r="D2890" s="1"/>
      <c r="E2890" s="149"/>
      <c r="F2890" s="153"/>
      <c r="G2890" s="10"/>
      <c r="H2890" s="17"/>
      <c r="I2890" s="17"/>
      <c r="J2890" s="17"/>
      <c r="K2890" s="30"/>
      <c r="L2890" s="30"/>
      <c r="M2890" s="30"/>
      <c r="N2890" s="30"/>
      <c r="O2890" s="30"/>
      <c r="P2890" s="30"/>
      <c r="Q2890" s="30"/>
      <c r="R2890" s="30"/>
      <c r="S2890" s="30"/>
      <c r="T2890" s="30"/>
      <c r="U2890" s="30"/>
      <c r="V2890" s="30"/>
      <c r="W2890" s="29"/>
      <c r="X2890" s="15"/>
      <c r="Y2890" s="30"/>
      <c r="Z2890" s="30"/>
      <c r="AA2890" s="30"/>
      <c r="AB2890" s="30"/>
      <c r="AC2890" s="17"/>
      <c r="AD2890" s="17"/>
      <c r="AE2890" s="17"/>
      <c r="AF2890" s="17"/>
      <c r="AG2890" s="21"/>
      <c r="AH2890" s="21"/>
      <c r="AI2890" s="21"/>
      <c r="AJ2890" s="21"/>
      <c r="AK2890" s="21"/>
      <c r="AL2890" s="21"/>
      <c r="AM2890" s="21"/>
      <c r="AN2890" s="21"/>
      <c r="AO2890" s="22"/>
      <c r="AP2890" s="21"/>
      <c r="AQ2890" s="22"/>
      <c r="AR2890" s="21"/>
      <c r="AS2890" s="21"/>
      <c r="AT2890" s="21"/>
      <c r="AU2890" s="21"/>
      <c r="AV2890" s="21"/>
      <c r="AW2890" s="21"/>
      <c r="AX2890" s="22"/>
      <c r="AY2890" s="21"/>
      <c r="AZ2890" s="22"/>
      <c r="BA2890" s="21"/>
      <c r="BB2890" s="21"/>
      <c r="BC2890" s="21"/>
      <c r="BD2890" s="21"/>
      <c r="BE2890" s="26"/>
      <c r="BF2890" s="26"/>
      <c r="BG2890" s="62"/>
    </row>
    <row r="2891" spans="1:59" x14ac:dyDescent="0.3">
      <c r="A2891" s="6"/>
      <c r="B2891" s="6"/>
      <c r="C2891" s="39"/>
      <c r="D2891" s="6"/>
      <c r="E2891" s="149"/>
      <c r="F2891" s="153"/>
      <c r="G2891" s="10"/>
      <c r="H2891" s="6"/>
      <c r="I2891" s="6"/>
      <c r="J2891" s="6"/>
      <c r="K2891" s="6"/>
      <c r="L2891" s="6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12"/>
      <c r="Y2891" s="6"/>
      <c r="Z2891" s="6"/>
      <c r="AA2891" s="6"/>
      <c r="AB2891" s="6"/>
      <c r="AC2891" s="9"/>
      <c r="AD2891" s="9"/>
      <c r="AE2891" s="9"/>
      <c r="AF2891" s="9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21"/>
      <c r="AS2891" s="21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  <c r="BG2891" s="3"/>
    </row>
    <row r="2892" spans="1:59" x14ac:dyDescent="0.3">
      <c r="A2892" s="6"/>
      <c r="B2892" s="6"/>
      <c r="C2892" s="39"/>
      <c r="D2892" s="6"/>
      <c r="E2892" s="149"/>
      <c r="F2892" s="153"/>
      <c r="G2892" s="10"/>
      <c r="H2892" s="6"/>
      <c r="I2892" s="6"/>
      <c r="J2892" s="6"/>
      <c r="K2892" s="6"/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12"/>
      <c r="Y2892" s="6"/>
      <c r="Z2892" s="6"/>
      <c r="AA2892" s="6"/>
      <c r="AB2892" s="6"/>
      <c r="AC2892" s="9"/>
      <c r="AD2892" s="9"/>
      <c r="AE2892" s="9"/>
      <c r="AF2892" s="9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21"/>
      <c r="AS2892" s="21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  <c r="BG2892" s="3"/>
    </row>
    <row r="2893" spans="1:59" ht="13.5" customHeight="1" x14ac:dyDescent="0.35">
      <c r="A2893" s="49"/>
      <c r="B2893" s="49"/>
      <c r="C2893" s="14"/>
      <c r="D2893" s="1"/>
      <c r="E2893" s="149"/>
      <c r="F2893" s="153"/>
      <c r="G2893" s="10"/>
      <c r="H2893" s="17"/>
      <c r="I2893" s="17"/>
      <c r="J2893" s="17"/>
      <c r="K2893" s="30"/>
      <c r="L2893" s="30"/>
      <c r="M2893" s="30"/>
      <c r="N2893" s="30"/>
      <c r="O2893" s="30"/>
      <c r="P2893" s="30"/>
      <c r="Q2893" s="30"/>
      <c r="R2893" s="30"/>
      <c r="S2893" s="30"/>
      <c r="T2893" s="30"/>
      <c r="U2893" s="30"/>
      <c r="V2893" s="30"/>
      <c r="W2893" s="29"/>
      <c r="X2893" s="15"/>
      <c r="Y2893" s="30"/>
      <c r="Z2893" s="30"/>
      <c r="AA2893" s="30"/>
      <c r="AB2893" s="30"/>
      <c r="AC2893" s="17"/>
      <c r="AD2893" s="17"/>
      <c r="AE2893" s="17"/>
      <c r="AF2893" s="17"/>
      <c r="AG2893" s="21"/>
      <c r="AH2893" s="21"/>
      <c r="AI2893" s="21"/>
      <c r="AJ2893" s="21"/>
      <c r="AK2893" s="21"/>
      <c r="AL2893" s="21"/>
      <c r="AM2893" s="21"/>
      <c r="AN2893" s="21"/>
      <c r="AO2893" s="22"/>
      <c r="AP2893" s="21"/>
      <c r="AQ2893" s="22"/>
      <c r="AR2893" s="21"/>
      <c r="AS2893" s="21"/>
      <c r="AT2893" s="21"/>
      <c r="AU2893" s="21"/>
      <c r="AV2893" s="21"/>
      <c r="AW2893" s="21"/>
      <c r="AX2893" s="22"/>
      <c r="AY2893" s="21"/>
      <c r="AZ2893" s="22"/>
      <c r="BA2893" s="21"/>
      <c r="BB2893" s="21"/>
      <c r="BC2893" s="21"/>
      <c r="BD2893" s="21"/>
      <c r="BE2893" s="26"/>
      <c r="BF2893" s="26"/>
      <c r="BG2893" s="65"/>
    </row>
    <row r="2894" spans="1:59" x14ac:dyDescent="0.3">
      <c r="A2894" s="6"/>
      <c r="B2894" s="6"/>
      <c r="C2894" s="39"/>
      <c r="D2894" s="6"/>
      <c r="E2894" s="149"/>
      <c r="F2894" s="153"/>
      <c r="G2894" s="10"/>
      <c r="H2894" s="6"/>
      <c r="I2894" s="6"/>
      <c r="J2894" s="6"/>
      <c r="K2894" s="6"/>
      <c r="L2894" s="6"/>
      <c r="M2894" s="6"/>
      <c r="N2894" s="6"/>
      <c r="O2894" s="6"/>
      <c r="P2894" s="6"/>
      <c r="Q2894" s="6"/>
      <c r="R2894" s="6"/>
      <c r="S2894" s="6"/>
      <c r="T2894" s="6"/>
      <c r="U2894" s="5"/>
      <c r="V2894" s="5"/>
      <c r="W2894" s="13"/>
      <c r="X2894" s="4"/>
      <c r="Y2894" s="4"/>
      <c r="Z2894" s="4"/>
      <c r="AA2894" s="6"/>
      <c r="AB2894" s="5"/>
      <c r="AC2894" s="9"/>
      <c r="AD2894" s="9"/>
      <c r="AE2894" s="9"/>
      <c r="AF2894" s="9"/>
      <c r="AG2894" s="2"/>
      <c r="AH2894" s="3"/>
      <c r="AI2894" s="2"/>
      <c r="AJ2894" s="2"/>
      <c r="AK2894" s="2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  <c r="BG2894" s="3"/>
    </row>
    <row r="2895" spans="1:59" ht="13.5" customHeight="1" x14ac:dyDescent="0.35">
      <c r="A2895" s="49"/>
      <c r="B2895" s="49"/>
      <c r="C2895" s="14"/>
      <c r="D2895" s="1"/>
      <c r="E2895" s="149"/>
      <c r="F2895" s="153"/>
      <c r="G2895" s="10"/>
      <c r="H2895" s="17"/>
      <c r="I2895" s="17"/>
      <c r="J2895" s="17"/>
      <c r="K2895" s="30"/>
      <c r="L2895" s="30"/>
      <c r="M2895" s="30"/>
      <c r="N2895" s="30"/>
      <c r="O2895" s="30"/>
      <c r="P2895" s="30"/>
      <c r="Q2895" s="30"/>
      <c r="R2895" s="30"/>
      <c r="S2895" s="30"/>
      <c r="T2895" s="30"/>
      <c r="U2895" s="30"/>
      <c r="V2895" s="30"/>
      <c r="W2895" s="29"/>
      <c r="X2895" s="15"/>
      <c r="Y2895" s="30"/>
      <c r="Z2895" s="30"/>
      <c r="AA2895" s="30"/>
      <c r="AB2895" s="30"/>
      <c r="AC2895" s="17"/>
      <c r="AD2895" s="17"/>
      <c r="AE2895" s="17"/>
      <c r="AF2895" s="17"/>
      <c r="AG2895" s="21"/>
      <c r="AH2895" s="21"/>
      <c r="AI2895" s="21"/>
      <c r="AJ2895" s="21"/>
      <c r="AK2895" s="21"/>
      <c r="AL2895" s="21"/>
      <c r="AM2895" s="21"/>
      <c r="AN2895" s="21"/>
      <c r="AO2895" s="22"/>
      <c r="AP2895" s="21"/>
      <c r="AQ2895" s="22"/>
      <c r="AR2895" s="21"/>
      <c r="AS2895" s="21"/>
      <c r="AT2895" s="21"/>
      <c r="AU2895" s="21"/>
      <c r="AV2895" s="21"/>
      <c r="AW2895" s="21"/>
      <c r="AX2895" s="22"/>
      <c r="AY2895" s="21"/>
      <c r="AZ2895" s="22"/>
      <c r="BA2895" s="21"/>
      <c r="BB2895" s="21"/>
      <c r="BC2895" s="21"/>
      <c r="BD2895" s="21"/>
      <c r="BE2895" s="26"/>
      <c r="BF2895" s="26"/>
      <c r="BG2895" s="62"/>
    </row>
    <row r="2896" spans="1:59" x14ac:dyDescent="0.3">
      <c r="A2896" s="6"/>
      <c r="B2896" s="6"/>
      <c r="C2896" s="39"/>
      <c r="D2896" s="6"/>
      <c r="E2896" s="149"/>
      <c r="F2896" s="153"/>
      <c r="G2896" s="10"/>
      <c r="H2896" s="6"/>
      <c r="I2896" s="6"/>
      <c r="J2896" s="6"/>
      <c r="K2896" s="6"/>
      <c r="L2896" s="6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12"/>
      <c r="Y2896" s="6"/>
      <c r="Z2896" s="6"/>
      <c r="AA2896" s="6"/>
      <c r="AB2896" s="6"/>
      <c r="AC2896" s="9"/>
      <c r="AD2896" s="9"/>
      <c r="AE2896" s="9"/>
      <c r="AF2896" s="9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21"/>
      <c r="AS2896" s="21"/>
      <c r="AT2896" s="3"/>
      <c r="AU2896" s="3"/>
      <c r="AV2896" s="3"/>
      <c r="AW2896" s="3"/>
      <c r="AX2896" s="3"/>
      <c r="AY2896" s="3"/>
      <c r="AZ2896" s="3"/>
      <c r="BA2896" s="3"/>
      <c r="BB2896" s="3"/>
      <c r="BC2896" s="3"/>
      <c r="BD2896" s="3"/>
      <c r="BE2896" s="3"/>
      <c r="BF2896" s="3"/>
      <c r="BG2896" s="3"/>
    </row>
    <row r="2897" spans="1:59" x14ac:dyDescent="0.3">
      <c r="A2897" s="6"/>
      <c r="B2897" s="6"/>
      <c r="C2897" s="39"/>
      <c r="D2897" s="6"/>
      <c r="E2897" s="149"/>
      <c r="F2897" s="153"/>
      <c r="G2897" s="10"/>
      <c r="H2897" s="6"/>
      <c r="I2897" s="6"/>
      <c r="J2897" s="6"/>
      <c r="K2897" s="6"/>
      <c r="L2897" s="6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12"/>
      <c r="Y2897" s="6"/>
      <c r="Z2897" s="6"/>
      <c r="AA2897" s="6"/>
      <c r="AB2897" s="6"/>
      <c r="AC2897" s="9"/>
      <c r="AD2897" s="9"/>
      <c r="AE2897" s="9"/>
      <c r="AF2897" s="9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21"/>
      <c r="AS2897" s="21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  <c r="BG2897" s="3"/>
    </row>
    <row r="2898" spans="1:59" x14ac:dyDescent="0.3">
      <c r="A2898" s="6"/>
      <c r="B2898" s="6"/>
      <c r="C2898" s="39"/>
      <c r="D2898" s="6"/>
      <c r="E2898" s="149"/>
      <c r="F2898" s="153"/>
      <c r="G2898" s="10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12"/>
      <c r="Y2898" s="6"/>
      <c r="Z2898" s="6"/>
      <c r="AA2898" s="6"/>
      <c r="AB2898" s="6"/>
      <c r="AC2898" s="9"/>
      <c r="AD2898" s="9"/>
      <c r="AE2898" s="9"/>
      <c r="AF2898" s="9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21"/>
      <c r="AS2898" s="21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</row>
    <row r="2899" spans="1:59" x14ac:dyDescent="0.3">
      <c r="A2899" s="63"/>
      <c r="B2899" s="63"/>
      <c r="C2899" s="39"/>
      <c r="D2899" s="6"/>
      <c r="E2899" s="149"/>
      <c r="F2899" s="153"/>
      <c r="G2899" s="10"/>
      <c r="H2899" s="6"/>
      <c r="I2899" s="6"/>
      <c r="J2899" s="6"/>
      <c r="K2899" s="6"/>
      <c r="L2899" s="6"/>
      <c r="M2899" s="6"/>
      <c r="N2899" s="6"/>
      <c r="O2899" s="6"/>
      <c r="P2899" s="6"/>
      <c r="Q2899" s="6"/>
      <c r="R2899" s="6"/>
      <c r="S2899" s="6"/>
      <c r="T2899" s="6"/>
      <c r="U2899" s="5"/>
      <c r="V2899" s="5"/>
      <c r="W2899" s="13"/>
      <c r="X2899" s="4"/>
      <c r="Y2899" s="4"/>
      <c r="Z2899" s="4"/>
      <c r="AA2899" s="6"/>
      <c r="AB2899" s="5"/>
      <c r="AC2899" s="9"/>
      <c r="AD2899" s="9"/>
      <c r="AE2899" s="9"/>
      <c r="AF2899" s="9"/>
      <c r="AG2899" s="64"/>
      <c r="AH2899" s="3"/>
      <c r="AI2899" s="2"/>
      <c r="AJ2899" s="2"/>
      <c r="AK2899" s="2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  <c r="BG2899" s="3"/>
    </row>
    <row r="2900" spans="1:59" x14ac:dyDescent="0.3">
      <c r="A2900" s="6"/>
      <c r="B2900" s="6"/>
      <c r="C2900" s="39"/>
      <c r="D2900" s="6"/>
      <c r="E2900" s="149"/>
      <c r="F2900" s="153"/>
      <c r="G2900" s="10"/>
      <c r="H2900" s="6"/>
      <c r="I2900" s="6"/>
      <c r="J2900" s="6"/>
      <c r="K2900" s="6"/>
      <c r="L2900" s="6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12"/>
      <c r="Y2900" s="6"/>
      <c r="Z2900" s="6"/>
      <c r="AA2900" s="6"/>
      <c r="AB2900" s="6"/>
      <c r="AC2900" s="9"/>
      <c r="AD2900" s="9"/>
      <c r="AE2900" s="9"/>
      <c r="AF2900" s="9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21"/>
      <c r="AS2900" s="21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  <c r="BG2900" s="3"/>
    </row>
    <row r="2901" spans="1:59" ht="13.5" customHeight="1" x14ac:dyDescent="0.35">
      <c r="A2901" s="49"/>
      <c r="B2901" s="49"/>
      <c r="C2901" s="39"/>
      <c r="D2901" s="1"/>
      <c r="E2901" s="149"/>
      <c r="F2901" s="153"/>
      <c r="G2901" s="10"/>
      <c r="H2901" s="17"/>
      <c r="I2901" s="17"/>
      <c r="J2901" s="17"/>
      <c r="K2901" s="30"/>
      <c r="L2901" s="30"/>
      <c r="M2901" s="30"/>
      <c r="N2901" s="30"/>
      <c r="O2901" s="30"/>
      <c r="P2901" s="30"/>
      <c r="Q2901" s="30"/>
      <c r="R2901" s="30"/>
      <c r="S2901" s="30"/>
      <c r="T2901" s="30"/>
      <c r="U2901" s="30"/>
      <c r="V2901" s="30"/>
      <c r="W2901" s="29"/>
      <c r="X2901" s="15"/>
      <c r="Y2901" s="30"/>
      <c r="Z2901" s="30"/>
      <c r="AA2901" s="30"/>
      <c r="AB2901" s="30"/>
      <c r="AC2901" s="17"/>
      <c r="AD2901" s="17"/>
      <c r="AE2901" s="17"/>
      <c r="AF2901" s="17"/>
      <c r="AG2901" s="21"/>
      <c r="AH2901" s="21"/>
      <c r="AI2901" s="21"/>
      <c r="AJ2901" s="21"/>
      <c r="AK2901" s="21"/>
      <c r="AL2901" s="21"/>
      <c r="AM2901" s="21"/>
      <c r="AN2901" s="21"/>
      <c r="AO2901" s="22"/>
      <c r="AP2901" s="21"/>
      <c r="AQ2901" s="22"/>
      <c r="AR2901" s="21"/>
      <c r="AS2901" s="21"/>
      <c r="AT2901" s="21"/>
      <c r="AU2901" s="21"/>
      <c r="AV2901" s="21"/>
      <c r="AW2901" s="21"/>
      <c r="AX2901" s="22"/>
      <c r="AY2901" s="21"/>
      <c r="AZ2901" s="22"/>
      <c r="BA2901" s="21"/>
      <c r="BB2901" s="21"/>
      <c r="BC2901" s="21"/>
      <c r="BD2901" s="21"/>
      <c r="BE2901" s="26"/>
      <c r="BF2901" s="26"/>
      <c r="BG2901" s="62"/>
    </row>
    <row r="2902" spans="1:59" x14ac:dyDescent="0.3">
      <c r="A2902" s="6"/>
      <c r="B2902" s="6"/>
      <c r="C2902" s="39"/>
      <c r="D2902" s="6"/>
      <c r="E2902" s="149"/>
      <c r="F2902" s="153"/>
      <c r="G2902" s="10"/>
      <c r="H2902" s="6"/>
      <c r="I2902" s="6"/>
      <c r="J2902" s="6"/>
      <c r="K2902" s="6"/>
      <c r="L2902" s="6"/>
      <c r="M2902" s="6"/>
      <c r="N2902" s="6"/>
      <c r="O2902" s="6"/>
      <c r="P2902" s="6"/>
      <c r="Q2902" s="6"/>
      <c r="R2902" s="6"/>
      <c r="S2902" s="6"/>
      <c r="T2902" s="6"/>
      <c r="U2902" s="5"/>
      <c r="V2902" s="5"/>
      <c r="W2902" s="13"/>
      <c r="X2902" s="4"/>
      <c r="Y2902" s="4"/>
      <c r="Z2902" s="4"/>
      <c r="AA2902" s="6"/>
      <c r="AB2902" s="5"/>
      <c r="AC2902" s="9"/>
      <c r="AD2902" s="9"/>
      <c r="AE2902" s="9"/>
      <c r="AF2902" s="9"/>
      <c r="AG2902" s="2"/>
      <c r="AH2902" s="3"/>
      <c r="AI2902" s="2"/>
      <c r="AJ2902" s="2"/>
      <c r="AK2902" s="2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  <c r="BG2902" s="3"/>
    </row>
    <row r="2903" spans="1:59" ht="13.5" customHeight="1" x14ac:dyDescent="0.35">
      <c r="A2903" s="49"/>
      <c r="B2903" s="49"/>
      <c r="C2903" s="14"/>
      <c r="D2903" s="1"/>
      <c r="E2903" s="149"/>
      <c r="F2903" s="153"/>
      <c r="G2903" s="10"/>
      <c r="H2903" s="17"/>
      <c r="I2903" s="17"/>
      <c r="J2903" s="17"/>
      <c r="K2903" s="30"/>
      <c r="L2903" s="30"/>
      <c r="M2903" s="30"/>
      <c r="N2903" s="30"/>
      <c r="O2903" s="30"/>
      <c r="P2903" s="30"/>
      <c r="Q2903" s="30"/>
      <c r="R2903" s="30"/>
      <c r="S2903" s="30"/>
      <c r="T2903" s="30"/>
      <c r="U2903" s="30"/>
      <c r="V2903" s="30"/>
      <c r="W2903" s="29"/>
      <c r="X2903" s="15"/>
      <c r="Y2903" s="30"/>
      <c r="Z2903" s="30"/>
      <c r="AA2903" s="30"/>
      <c r="AB2903" s="30"/>
      <c r="AC2903" s="17"/>
      <c r="AD2903" s="17"/>
      <c r="AE2903" s="17"/>
      <c r="AF2903" s="17"/>
      <c r="AG2903" s="21"/>
      <c r="AH2903" s="21"/>
      <c r="AI2903" s="21"/>
      <c r="AJ2903" s="21"/>
      <c r="AK2903" s="21"/>
      <c r="AL2903" s="21"/>
      <c r="AM2903" s="21"/>
      <c r="AN2903" s="21"/>
      <c r="AO2903" s="22"/>
      <c r="AP2903" s="21"/>
      <c r="AQ2903" s="22"/>
      <c r="AR2903" s="21"/>
      <c r="AS2903" s="21"/>
      <c r="AT2903" s="21"/>
      <c r="AU2903" s="21"/>
      <c r="AV2903" s="21"/>
      <c r="AW2903" s="21"/>
      <c r="AX2903" s="22"/>
      <c r="AY2903" s="21"/>
      <c r="AZ2903" s="22"/>
      <c r="BA2903" s="21"/>
      <c r="BB2903" s="21"/>
      <c r="BC2903" s="21"/>
      <c r="BD2903" s="21"/>
      <c r="BE2903" s="26"/>
      <c r="BF2903" s="26"/>
      <c r="BG2903" s="62"/>
    </row>
    <row r="2904" spans="1:59" x14ac:dyDescent="0.3">
      <c r="A2904" s="6"/>
      <c r="B2904" s="6"/>
      <c r="C2904" s="39"/>
      <c r="D2904" s="6"/>
      <c r="E2904" s="149"/>
      <c r="F2904" s="153"/>
      <c r="G2904" s="10"/>
      <c r="H2904" s="6"/>
      <c r="I2904" s="6"/>
      <c r="J2904" s="6"/>
      <c r="K2904" s="6"/>
      <c r="L2904" s="6"/>
      <c r="M2904" s="6"/>
      <c r="N2904" s="6"/>
      <c r="O2904" s="6"/>
      <c r="P2904" s="6"/>
      <c r="Q2904" s="6"/>
      <c r="R2904" s="6"/>
      <c r="S2904" s="6"/>
      <c r="T2904" s="6"/>
      <c r="U2904" s="5"/>
      <c r="V2904" s="5"/>
      <c r="W2904" s="13"/>
      <c r="X2904" s="4"/>
      <c r="Y2904" s="4"/>
      <c r="Z2904" s="4"/>
      <c r="AA2904" s="6"/>
      <c r="AB2904" s="5"/>
      <c r="AC2904" s="9"/>
      <c r="AD2904" s="9"/>
      <c r="AE2904" s="9"/>
      <c r="AF2904" s="9"/>
      <c r="AG2904" s="2"/>
      <c r="AH2904" s="3"/>
      <c r="AI2904" s="2"/>
      <c r="AJ2904" s="2"/>
      <c r="AK2904" s="2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3"/>
      <c r="BA2904" s="3"/>
      <c r="BB2904" s="3"/>
      <c r="BC2904" s="3"/>
      <c r="BD2904" s="3"/>
      <c r="BE2904" s="3"/>
      <c r="BF2904" s="3"/>
      <c r="BG2904" s="3"/>
    </row>
    <row r="2905" spans="1:59" x14ac:dyDescent="0.3">
      <c r="A2905" s="6"/>
      <c r="B2905" s="6"/>
      <c r="C2905" s="39"/>
      <c r="D2905" s="6"/>
      <c r="E2905" s="149"/>
      <c r="F2905" s="153"/>
      <c r="G2905" s="10"/>
      <c r="H2905" s="6"/>
      <c r="I2905" s="6"/>
      <c r="J2905" s="6"/>
      <c r="K2905" s="6"/>
      <c r="L2905" s="6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12"/>
      <c r="Y2905" s="6"/>
      <c r="Z2905" s="6"/>
      <c r="AA2905" s="6"/>
      <c r="AB2905" s="6"/>
      <c r="AC2905" s="9"/>
      <c r="AD2905" s="9"/>
      <c r="AE2905" s="9"/>
      <c r="AF2905" s="9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21"/>
      <c r="AS2905" s="21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  <c r="BG2905" s="3"/>
    </row>
    <row r="2906" spans="1:59" x14ac:dyDescent="0.3">
      <c r="A2906" s="6"/>
      <c r="B2906" s="6"/>
      <c r="C2906" s="39"/>
      <c r="D2906" s="6"/>
      <c r="E2906" s="149"/>
      <c r="F2906" s="153"/>
      <c r="G2906" s="10"/>
      <c r="H2906" s="6"/>
      <c r="I2906" s="6"/>
      <c r="J2906" s="6"/>
      <c r="K2906" s="6"/>
      <c r="L2906" s="6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12"/>
      <c r="Y2906" s="6"/>
      <c r="Z2906" s="6"/>
      <c r="AA2906" s="6"/>
      <c r="AB2906" s="6"/>
      <c r="AC2906" s="9"/>
      <c r="AD2906" s="9"/>
      <c r="AE2906" s="9"/>
      <c r="AF2906" s="9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</row>
    <row r="2907" spans="1:59" x14ac:dyDescent="0.3">
      <c r="A2907" s="63"/>
      <c r="B2907" s="63"/>
      <c r="C2907" s="39"/>
      <c r="D2907" s="6"/>
      <c r="E2907" s="149"/>
      <c r="F2907" s="153"/>
      <c r="G2907" s="10"/>
      <c r="H2907" s="6"/>
      <c r="I2907" s="6"/>
      <c r="J2907" s="6"/>
      <c r="K2907" s="6"/>
      <c r="L2907" s="6"/>
      <c r="M2907" s="6"/>
      <c r="N2907" s="6"/>
      <c r="O2907" s="6"/>
      <c r="P2907" s="6"/>
      <c r="Q2907" s="6"/>
      <c r="R2907" s="6"/>
      <c r="S2907" s="6"/>
      <c r="T2907" s="6"/>
      <c r="U2907" s="5"/>
      <c r="V2907" s="5"/>
      <c r="W2907" s="13"/>
      <c r="X2907" s="4"/>
      <c r="Y2907" s="4"/>
      <c r="Z2907" s="4"/>
      <c r="AA2907" s="6"/>
      <c r="AB2907" s="5"/>
      <c r="AC2907" s="9"/>
      <c r="AD2907" s="9"/>
      <c r="AE2907" s="9"/>
      <c r="AF2907" s="9"/>
      <c r="AG2907" s="64"/>
      <c r="AH2907" s="3"/>
      <c r="AI2907" s="2"/>
      <c r="AJ2907" s="2"/>
      <c r="AK2907" s="2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  <c r="BG2907" s="3"/>
    </row>
    <row r="2908" spans="1:59" ht="13.5" customHeight="1" x14ac:dyDescent="0.35">
      <c r="A2908" s="49"/>
      <c r="B2908" s="49"/>
      <c r="C2908" s="14"/>
      <c r="D2908" s="1"/>
      <c r="E2908" s="149"/>
      <c r="F2908" s="153"/>
      <c r="G2908" s="10"/>
      <c r="H2908" s="17"/>
      <c r="I2908" s="17"/>
      <c r="J2908" s="17"/>
      <c r="K2908" s="30"/>
      <c r="L2908" s="30"/>
      <c r="M2908" s="30"/>
      <c r="N2908" s="30"/>
      <c r="O2908" s="30"/>
      <c r="P2908" s="30"/>
      <c r="Q2908" s="30"/>
      <c r="R2908" s="30"/>
      <c r="S2908" s="30"/>
      <c r="T2908" s="30"/>
      <c r="U2908" s="30"/>
      <c r="V2908" s="30"/>
      <c r="W2908" s="29"/>
      <c r="X2908" s="15"/>
      <c r="Y2908" s="30"/>
      <c r="Z2908" s="30"/>
      <c r="AA2908" s="30"/>
      <c r="AB2908" s="30"/>
      <c r="AC2908" s="17"/>
      <c r="AD2908" s="17"/>
      <c r="AE2908" s="17"/>
      <c r="AF2908" s="17"/>
      <c r="AG2908" s="21"/>
      <c r="AH2908" s="21"/>
      <c r="AI2908" s="21"/>
      <c r="AJ2908" s="21"/>
      <c r="AK2908" s="21"/>
      <c r="AL2908" s="21"/>
      <c r="AM2908" s="21"/>
      <c r="AN2908" s="21"/>
      <c r="AO2908" s="22"/>
      <c r="AP2908" s="21"/>
      <c r="AQ2908" s="22"/>
      <c r="AR2908" s="21"/>
      <c r="AS2908" s="21"/>
      <c r="AT2908" s="21"/>
      <c r="AU2908" s="21"/>
      <c r="AV2908" s="21"/>
      <c r="AW2908" s="21"/>
      <c r="AX2908" s="22"/>
      <c r="AY2908" s="21"/>
      <c r="AZ2908" s="22"/>
      <c r="BA2908" s="21"/>
      <c r="BB2908" s="21"/>
      <c r="BC2908" s="21"/>
      <c r="BD2908" s="21"/>
      <c r="BE2908" s="26"/>
      <c r="BF2908" s="26"/>
      <c r="BG2908" s="62"/>
    </row>
    <row r="2909" spans="1:59" ht="13.5" customHeight="1" x14ac:dyDescent="0.35">
      <c r="A2909" s="49"/>
      <c r="B2909" s="49"/>
      <c r="C2909" s="14"/>
      <c r="D2909" s="1"/>
      <c r="E2909" s="149"/>
      <c r="F2909" s="153"/>
      <c r="G2909" s="10"/>
      <c r="H2909" s="17"/>
      <c r="I2909" s="17"/>
      <c r="J2909" s="17"/>
      <c r="K2909" s="30"/>
      <c r="L2909" s="30"/>
      <c r="M2909" s="30"/>
      <c r="N2909" s="30"/>
      <c r="O2909" s="30"/>
      <c r="P2909" s="30"/>
      <c r="Q2909" s="30"/>
      <c r="R2909" s="30"/>
      <c r="S2909" s="30"/>
      <c r="T2909" s="30"/>
      <c r="U2909" s="30"/>
      <c r="V2909" s="30"/>
      <c r="W2909" s="29"/>
      <c r="X2909" s="15"/>
      <c r="Y2909" s="30"/>
      <c r="Z2909" s="30"/>
      <c r="AA2909" s="30"/>
      <c r="AB2909" s="30"/>
      <c r="AC2909" s="17"/>
      <c r="AD2909" s="17"/>
      <c r="AE2909" s="17"/>
      <c r="AF2909" s="17"/>
      <c r="AG2909" s="21"/>
      <c r="AH2909" s="21"/>
      <c r="AI2909" s="21"/>
      <c r="AJ2909" s="21"/>
      <c r="AK2909" s="21"/>
      <c r="AL2909" s="21"/>
      <c r="AM2909" s="21"/>
      <c r="AN2909" s="21"/>
      <c r="AO2909" s="22"/>
      <c r="AP2909" s="21"/>
      <c r="AQ2909" s="22"/>
      <c r="AR2909" s="21"/>
      <c r="AS2909" s="21"/>
      <c r="AT2909" s="21"/>
      <c r="AU2909" s="21"/>
      <c r="AV2909" s="21"/>
      <c r="AW2909" s="21"/>
      <c r="AX2909" s="22"/>
      <c r="AY2909" s="21"/>
      <c r="AZ2909" s="22"/>
      <c r="BA2909" s="21"/>
      <c r="BB2909" s="21"/>
      <c r="BC2909" s="21"/>
      <c r="BD2909" s="21"/>
      <c r="BE2909" s="26"/>
      <c r="BF2909" s="26"/>
      <c r="BG2909" s="62"/>
    </row>
    <row r="2910" spans="1:59" x14ac:dyDescent="0.3">
      <c r="A2910" s="6"/>
      <c r="B2910" s="6"/>
      <c r="C2910" s="39"/>
      <c r="D2910" s="6"/>
      <c r="E2910" s="149"/>
      <c r="F2910" s="153"/>
      <c r="G2910" s="10"/>
      <c r="H2910" s="6"/>
      <c r="I2910" s="6"/>
      <c r="J2910" s="6"/>
      <c r="K2910" s="6"/>
      <c r="L2910" s="6"/>
      <c r="M2910" s="6"/>
      <c r="N2910" s="6"/>
      <c r="O2910" s="6"/>
      <c r="P2910" s="6"/>
      <c r="Q2910" s="6"/>
      <c r="R2910" s="6"/>
      <c r="S2910" s="6"/>
      <c r="T2910" s="6"/>
      <c r="U2910" s="5"/>
      <c r="V2910" s="5"/>
      <c r="W2910" s="13"/>
      <c r="X2910" s="4"/>
      <c r="Y2910" s="4"/>
      <c r="Z2910" s="4"/>
      <c r="AA2910" s="6"/>
      <c r="AB2910" s="5"/>
      <c r="AC2910" s="9"/>
      <c r="AD2910" s="9"/>
      <c r="AE2910" s="9"/>
      <c r="AF2910" s="9"/>
      <c r="AG2910" s="2"/>
      <c r="AH2910" s="3"/>
      <c r="AI2910" s="2"/>
      <c r="AJ2910" s="2"/>
      <c r="AK2910" s="2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</row>
    <row r="2911" spans="1:59" ht="13.5" customHeight="1" x14ac:dyDescent="0.35">
      <c r="A2911" s="49"/>
      <c r="B2911" s="49"/>
      <c r="C2911" s="14"/>
      <c r="D2911" s="1"/>
      <c r="E2911" s="149"/>
      <c r="F2911" s="153"/>
      <c r="G2911" s="10"/>
      <c r="H2911" s="17"/>
      <c r="I2911" s="17"/>
      <c r="J2911" s="17"/>
      <c r="K2911" s="30"/>
      <c r="L2911" s="30"/>
      <c r="M2911" s="30"/>
      <c r="N2911" s="30"/>
      <c r="O2911" s="30"/>
      <c r="P2911" s="30"/>
      <c r="Q2911" s="30"/>
      <c r="R2911" s="30"/>
      <c r="S2911" s="30"/>
      <c r="T2911" s="30"/>
      <c r="U2911" s="30"/>
      <c r="V2911" s="30"/>
      <c r="W2911" s="29"/>
      <c r="X2911" s="15"/>
      <c r="Y2911" s="30"/>
      <c r="Z2911" s="30"/>
      <c r="AA2911" s="30"/>
      <c r="AB2911" s="30"/>
      <c r="AC2911" s="17"/>
      <c r="AD2911" s="17"/>
      <c r="AE2911" s="17"/>
      <c r="AF2911" s="17"/>
      <c r="AG2911" s="21"/>
      <c r="AH2911" s="21"/>
      <c r="AI2911" s="21"/>
      <c r="AJ2911" s="21"/>
      <c r="AK2911" s="21"/>
      <c r="AL2911" s="21"/>
      <c r="AM2911" s="21"/>
      <c r="AN2911" s="21"/>
      <c r="AO2911" s="22"/>
      <c r="AP2911" s="21"/>
      <c r="AQ2911" s="22"/>
      <c r="AR2911" s="21"/>
      <c r="AS2911" s="21"/>
      <c r="AT2911" s="21"/>
      <c r="AU2911" s="21"/>
      <c r="AV2911" s="21"/>
      <c r="AW2911" s="21"/>
      <c r="AX2911" s="22"/>
      <c r="AY2911" s="21"/>
      <c r="AZ2911" s="22"/>
      <c r="BA2911" s="21"/>
      <c r="BB2911" s="21"/>
      <c r="BC2911" s="21"/>
      <c r="BD2911" s="21"/>
      <c r="BE2911" s="26"/>
      <c r="BF2911" s="26"/>
      <c r="BG2911" s="62"/>
    </row>
    <row r="2912" spans="1:59" x14ac:dyDescent="0.3">
      <c r="A2912" s="63"/>
      <c r="B2912" s="63"/>
      <c r="C2912" s="39"/>
      <c r="D2912" s="6"/>
      <c r="E2912" s="149"/>
      <c r="F2912" s="153"/>
      <c r="G2912" s="10"/>
      <c r="H2912" s="6"/>
      <c r="I2912" s="6"/>
      <c r="J2912" s="6"/>
      <c r="K2912" s="6"/>
      <c r="L2912" s="6"/>
      <c r="M2912" s="6"/>
      <c r="N2912" s="6"/>
      <c r="O2912" s="6"/>
      <c r="P2912" s="6"/>
      <c r="Q2912" s="6"/>
      <c r="R2912" s="6"/>
      <c r="S2912" s="6"/>
      <c r="T2912" s="6"/>
      <c r="U2912" s="5"/>
      <c r="V2912" s="5"/>
      <c r="W2912" s="13"/>
      <c r="X2912" s="4"/>
      <c r="Y2912" s="4"/>
      <c r="Z2912" s="4"/>
      <c r="AA2912" s="6"/>
      <c r="AB2912" s="5"/>
      <c r="AC2912" s="9"/>
      <c r="AD2912" s="9"/>
      <c r="AE2912" s="9"/>
      <c r="AF2912" s="9"/>
      <c r="AG2912" s="64"/>
      <c r="AH2912" s="3"/>
      <c r="AI2912" s="2"/>
      <c r="AJ2912" s="2"/>
      <c r="AK2912" s="2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</row>
    <row r="2913" spans="1:59" ht="13.5" customHeight="1" x14ac:dyDescent="0.35">
      <c r="A2913" s="49"/>
      <c r="B2913" s="49"/>
      <c r="C2913" s="14"/>
      <c r="D2913" s="1"/>
      <c r="E2913" s="149"/>
      <c r="F2913" s="153"/>
      <c r="G2913" s="10"/>
      <c r="H2913" s="17"/>
      <c r="I2913" s="17"/>
      <c r="J2913" s="17"/>
      <c r="K2913" s="30"/>
      <c r="L2913" s="30"/>
      <c r="M2913" s="30"/>
      <c r="N2913" s="30"/>
      <c r="O2913" s="30"/>
      <c r="P2913" s="30"/>
      <c r="Q2913" s="30"/>
      <c r="R2913" s="30"/>
      <c r="S2913" s="30"/>
      <c r="T2913" s="30"/>
      <c r="U2913" s="30"/>
      <c r="V2913" s="30"/>
      <c r="W2913" s="29"/>
      <c r="X2913" s="15"/>
      <c r="Y2913" s="30"/>
      <c r="Z2913" s="30"/>
      <c r="AA2913" s="30"/>
      <c r="AB2913" s="30"/>
      <c r="AC2913" s="17"/>
      <c r="AD2913" s="17"/>
      <c r="AE2913" s="17"/>
      <c r="AF2913" s="17"/>
      <c r="AG2913" s="21"/>
      <c r="AH2913" s="21"/>
      <c r="AI2913" s="21"/>
      <c r="AJ2913" s="21"/>
      <c r="AK2913" s="21"/>
      <c r="AL2913" s="21"/>
      <c r="AM2913" s="21"/>
      <c r="AN2913" s="21"/>
      <c r="AO2913" s="22"/>
      <c r="AP2913" s="21"/>
      <c r="AQ2913" s="22"/>
      <c r="AR2913" s="21"/>
      <c r="AS2913" s="21"/>
      <c r="AT2913" s="21"/>
      <c r="AU2913" s="21"/>
      <c r="AV2913" s="21"/>
      <c r="AW2913" s="21"/>
      <c r="AX2913" s="22"/>
      <c r="AY2913" s="21"/>
      <c r="AZ2913" s="22"/>
      <c r="BA2913" s="21"/>
      <c r="BB2913" s="21"/>
      <c r="BC2913" s="21"/>
      <c r="BD2913" s="21"/>
      <c r="BE2913" s="26"/>
      <c r="BF2913" s="26"/>
      <c r="BG2913" s="62"/>
    </row>
    <row r="2914" spans="1:59" ht="13.5" customHeight="1" x14ac:dyDescent="0.35">
      <c r="A2914" s="49"/>
      <c r="B2914" s="49"/>
      <c r="C2914" s="14"/>
      <c r="D2914" s="1"/>
      <c r="E2914" s="149"/>
      <c r="F2914" s="153"/>
      <c r="G2914" s="10"/>
      <c r="H2914" s="17"/>
      <c r="I2914" s="17"/>
      <c r="J2914" s="17"/>
      <c r="K2914" s="30"/>
      <c r="L2914" s="30"/>
      <c r="M2914" s="30"/>
      <c r="N2914" s="30"/>
      <c r="O2914" s="30"/>
      <c r="P2914" s="30"/>
      <c r="Q2914" s="30"/>
      <c r="R2914" s="30"/>
      <c r="S2914" s="30"/>
      <c r="T2914" s="30"/>
      <c r="U2914" s="30"/>
      <c r="V2914" s="30"/>
      <c r="W2914" s="29"/>
      <c r="X2914" s="15"/>
      <c r="Y2914" s="30"/>
      <c r="Z2914" s="30"/>
      <c r="AA2914" s="30"/>
      <c r="AB2914" s="30"/>
      <c r="AC2914" s="17"/>
      <c r="AD2914" s="17"/>
      <c r="AE2914" s="17"/>
      <c r="AF2914" s="17"/>
      <c r="AG2914" s="21"/>
      <c r="AH2914" s="21"/>
      <c r="AI2914" s="21"/>
      <c r="AJ2914" s="21"/>
      <c r="AK2914" s="21"/>
      <c r="AL2914" s="21"/>
      <c r="AM2914" s="21"/>
      <c r="AN2914" s="21"/>
      <c r="AO2914" s="22"/>
      <c r="AP2914" s="21"/>
      <c r="AQ2914" s="22"/>
      <c r="AR2914" s="21"/>
      <c r="AS2914" s="21"/>
      <c r="AT2914" s="21"/>
      <c r="AU2914" s="21"/>
      <c r="AV2914" s="21"/>
      <c r="AW2914" s="21"/>
      <c r="AX2914" s="22"/>
      <c r="AY2914" s="21"/>
      <c r="AZ2914" s="22"/>
      <c r="BA2914" s="21"/>
      <c r="BB2914" s="21"/>
      <c r="BC2914" s="21"/>
      <c r="BD2914" s="21"/>
      <c r="BE2914" s="26"/>
      <c r="BF2914" s="26"/>
      <c r="BG2914" s="62"/>
    </row>
    <row r="2915" spans="1:59" ht="13.5" customHeight="1" x14ac:dyDescent="0.35">
      <c r="A2915" s="49"/>
      <c r="B2915" s="49"/>
      <c r="C2915" s="39"/>
      <c r="D2915" s="1"/>
      <c r="E2915" s="149"/>
      <c r="F2915" s="153"/>
      <c r="G2915" s="10"/>
      <c r="H2915" s="17"/>
      <c r="I2915" s="17"/>
      <c r="J2915" s="17"/>
      <c r="K2915" s="30"/>
      <c r="L2915" s="30"/>
      <c r="M2915" s="30"/>
      <c r="N2915" s="30"/>
      <c r="O2915" s="30"/>
      <c r="P2915" s="30"/>
      <c r="Q2915" s="30"/>
      <c r="R2915" s="30"/>
      <c r="S2915" s="30"/>
      <c r="T2915" s="30"/>
      <c r="U2915" s="30"/>
      <c r="V2915" s="30"/>
      <c r="W2915" s="29"/>
      <c r="X2915" s="15"/>
      <c r="Y2915" s="30"/>
      <c r="Z2915" s="30"/>
      <c r="AA2915" s="30"/>
      <c r="AB2915" s="30"/>
      <c r="AC2915" s="17"/>
      <c r="AD2915" s="17"/>
      <c r="AE2915" s="17"/>
      <c r="AF2915" s="17"/>
      <c r="AG2915" s="21"/>
      <c r="AH2915" s="21"/>
      <c r="AI2915" s="21"/>
      <c r="AJ2915" s="21"/>
      <c r="AK2915" s="21"/>
      <c r="AL2915" s="21"/>
      <c r="AM2915" s="21"/>
      <c r="AN2915" s="21"/>
      <c r="AO2915" s="22"/>
      <c r="AP2915" s="21"/>
      <c r="AQ2915" s="22"/>
      <c r="AR2915" s="21"/>
      <c r="AS2915" s="21"/>
      <c r="AT2915" s="21"/>
      <c r="AU2915" s="21"/>
      <c r="AV2915" s="21"/>
      <c r="AW2915" s="21"/>
      <c r="AX2915" s="22"/>
      <c r="AY2915" s="21"/>
      <c r="AZ2915" s="22"/>
      <c r="BA2915" s="21"/>
      <c r="BB2915" s="21"/>
      <c r="BC2915" s="21"/>
      <c r="BD2915" s="21"/>
      <c r="BE2915" s="26"/>
      <c r="BF2915" s="26"/>
      <c r="BG2915" s="62"/>
    </row>
    <row r="2916" spans="1:59" ht="13.5" customHeight="1" x14ac:dyDescent="0.35">
      <c r="A2916" s="49"/>
      <c r="B2916" s="49"/>
      <c r="C2916" s="14"/>
      <c r="D2916" s="1"/>
      <c r="E2916" s="149"/>
      <c r="F2916" s="153"/>
      <c r="G2916" s="10"/>
      <c r="H2916" s="17"/>
      <c r="I2916" s="17"/>
      <c r="J2916" s="17"/>
      <c r="K2916" s="30"/>
      <c r="L2916" s="30"/>
      <c r="M2916" s="30"/>
      <c r="N2916" s="30"/>
      <c r="O2916" s="30"/>
      <c r="P2916" s="30"/>
      <c r="Q2916" s="30"/>
      <c r="R2916" s="30"/>
      <c r="S2916" s="30"/>
      <c r="T2916" s="30"/>
      <c r="U2916" s="30"/>
      <c r="V2916" s="30"/>
      <c r="W2916" s="29"/>
      <c r="X2916" s="15"/>
      <c r="Y2916" s="30"/>
      <c r="Z2916" s="30"/>
      <c r="AA2916" s="30"/>
      <c r="AB2916" s="30"/>
      <c r="AC2916" s="17"/>
      <c r="AD2916" s="17"/>
      <c r="AE2916" s="17"/>
      <c r="AF2916" s="17"/>
      <c r="AG2916" s="21"/>
      <c r="AH2916" s="21"/>
      <c r="AI2916" s="21"/>
      <c r="AJ2916" s="21"/>
      <c r="AK2916" s="21"/>
      <c r="AL2916" s="21"/>
      <c r="AM2916" s="21"/>
      <c r="AN2916" s="21"/>
      <c r="AO2916" s="22"/>
      <c r="AP2916" s="21"/>
      <c r="AQ2916" s="22"/>
      <c r="AR2916" s="21"/>
      <c r="AS2916" s="21"/>
      <c r="AT2916" s="21"/>
      <c r="AU2916" s="21"/>
      <c r="AV2916" s="21"/>
      <c r="AW2916" s="21"/>
      <c r="AX2916" s="22"/>
      <c r="AY2916" s="21"/>
      <c r="AZ2916" s="22"/>
      <c r="BA2916" s="21"/>
      <c r="BB2916" s="21"/>
      <c r="BC2916" s="21"/>
      <c r="BD2916" s="21"/>
      <c r="BE2916" s="26"/>
      <c r="BF2916" s="26"/>
      <c r="BG2916" s="62"/>
    </row>
    <row r="2917" spans="1:59" ht="13.5" customHeight="1" x14ac:dyDescent="0.35">
      <c r="A2917" s="49"/>
      <c r="B2917" s="49"/>
      <c r="C2917" s="39"/>
      <c r="D2917" s="1"/>
      <c r="E2917" s="149"/>
      <c r="F2917" s="153"/>
      <c r="G2917" s="10"/>
      <c r="H2917" s="17"/>
      <c r="I2917" s="17"/>
      <c r="J2917" s="17"/>
      <c r="K2917" s="30"/>
      <c r="L2917" s="30"/>
      <c r="M2917" s="30"/>
      <c r="N2917" s="30"/>
      <c r="O2917" s="30"/>
      <c r="P2917" s="30"/>
      <c r="Q2917" s="30"/>
      <c r="R2917" s="30"/>
      <c r="S2917" s="30"/>
      <c r="T2917" s="30"/>
      <c r="U2917" s="30"/>
      <c r="V2917" s="30"/>
      <c r="W2917" s="29"/>
      <c r="X2917" s="15"/>
      <c r="Y2917" s="30"/>
      <c r="Z2917" s="30"/>
      <c r="AA2917" s="30"/>
      <c r="AB2917" s="30"/>
      <c r="AC2917" s="17"/>
      <c r="AD2917" s="17"/>
      <c r="AE2917" s="17"/>
      <c r="AF2917" s="17"/>
      <c r="AG2917" s="21"/>
      <c r="AH2917" s="21"/>
      <c r="AI2917" s="21"/>
      <c r="AJ2917" s="21"/>
      <c r="AK2917" s="21"/>
      <c r="AL2917" s="21"/>
      <c r="AM2917" s="21"/>
      <c r="AN2917" s="21"/>
      <c r="AO2917" s="22"/>
      <c r="AP2917" s="21"/>
      <c r="AQ2917" s="22"/>
      <c r="AR2917" s="21"/>
      <c r="AS2917" s="21"/>
      <c r="AT2917" s="21"/>
      <c r="AU2917" s="21"/>
      <c r="AV2917" s="21"/>
      <c r="AW2917" s="21"/>
      <c r="AX2917" s="22"/>
      <c r="AY2917" s="21"/>
      <c r="AZ2917" s="22"/>
      <c r="BA2917" s="21"/>
      <c r="BB2917" s="21"/>
      <c r="BC2917" s="21"/>
      <c r="BD2917" s="21"/>
      <c r="BE2917" s="26"/>
      <c r="BF2917" s="26"/>
      <c r="BG2917" s="62"/>
    </row>
    <row r="2918" spans="1:59" x14ac:dyDescent="0.3">
      <c r="A2918" s="6"/>
      <c r="B2918" s="6"/>
      <c r="C2918" s="39"/>
      <c r="D2918" s="6"/>
      <c r="E2918" s="149"/>
      <c r="F2918" s="153"/>
      <c r="G2918" s="10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5"/>
      <c r="V2918" s="5"/>
      <c r="W2918" s="13"/>
      <c r="X2918" s="4"/>
      <c r="Y2918" s="4"/>
      <c r="Z2918" s="4"/>
      <c r="AA2918" s="6"/>
      <c r="AB2918" s="5"/>
      <c r="AC2918" s="9"/>
      <c r="AD2918" s="9"/>
      <c r="AE2918" s="9"/>
      <c r="AF2918" s="9"/>
      <c r="AG2918" s="2"/>
      <c r="AH2918" s="3"/>
      <c r="AI2918" s="2"/>
      <c r="AJ2918" s="2"/>
      <c r="AK2918" s="2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</row>
    <row r="2919" spans="1:59" ht="13.5" customHeight="1" x14ac:dyDescent="0.35">
      <c r="A2919" s="49"/>
      <c r="B2919" s="49"/>
      <c r="C2919" s="14"/>
      <c r="D2919" s="1"/>
      <c r="E2919" s="149"/>
      <c r="F2919" s="153"/>
      <c r="G2919" s="10"/>
      <c r="H2919" s="17"/>
      <c r="I2919" s="17"/>
      <c r="J2919" s="17"/>
      <c r="K2919" s="30"/>
      <c r="L2919" s="30"/>
      <c r="M2919" s="30"/>
      <c r="N2919" s="30"/>
      <c r="O2919" s="30"/>
      <c r="P2919" s="30"/>
      <c r="Q2919" s="30"/>
      <c r="R2919" s="30"/>
      <c r="S2919" s="30"/>
      <c r="T2919" s="30"/>
      <c r="U2919" s="30"/>
      <c r="V2919" s="30"/>
      <c r="W2919" s="29"/>
      <c r="X2919" s="15"/>
      <c r="Y2919" s="30"/>
      <c r="Z2919" s="30"/>
      <c r="AA2919" s="30"/>
      <c r="AB2919" s="30"/>
      <c r="AC2919" s="17"/>
      <c r="AD2919" s="17"/>
      <c r="AE2919" s="17"/>
      <c r="AF2919" s="17"/>
      <c r="AG2919" s="21"/>
      <c r="AH2919" s="21"/>
      <c r="AI2919" s="21"/>
      <c r="AJ2919" s="21"/>
      <c r="AK2919" s="21"/>
      <c r="AL2919" s="21"/>
      <c r="AM2919" s="21"/>
      <c r="AN2919" s="21"/>
      <c r="AO2919" s="22"/>
      <c r="AP2919" s="21"/>
      <c r="AQ2919" s="22"/>
      <c r="AR2919" s="21"/>
      <c r="AS2919" s="21"/>
      <c r="AT2919" s="21"/>
      <c r="AU2919" s="21"/>
      <c r="AV2919" s="21"/>
      <c r="AW2919" s="21"/>
      <c r="AX2919" s="22"/>
      <c r="AY2919" s="21"/>
      <c r="AZ2919" s="22"/>
      <c r="BA2919" s="21"/>
      <c r="BB2919" s="21"/>
      <c r="BC2919" s="21"/>
      <c r="BD2919" s="21"/>
      <c r="BE2919" s="26"/>
      <c r="BF2919" s="26"/>
      <c r="BG2919" s="62"/>
    </row>
    <row r="2920" spans="1:59" ht="13.5" customHeight="1" x14ac:dyDescent="0.35">
      <c r="A2920" s="49"/>
      <c r="B2920" s="49"/>
      <c r="C2920" s="39"/>
      <c r="D2920" s="1"/>
      <c r="E2920" s="149"/>
      <c r="F2920" s="153"/>
      <c r="G2920" s="10"/>
      <c r="H2920" s="17"/>
      <c r="I2920" s="17"/>
      <c r="J2920" s="17"/>
      <c r="K2920" s="30"/>
      <c r="L2920" s="30"/>
      <c r="M2920" s="30"/>
      <c r="N2920" s="30"/>
      <c r="O2920" s="30"/>
      <c r="P2920" s="30"/>
      <c r="Q2920" s="30"/>
      <c r="R2920" s="30"/>
      <c r="S2920" s="30"/>
      <c r="T2920" s="30"/>
      <c r="U2920" s="30"/>
      <c r="V2920" s="30"/>
      <c r="W2920" s="29"/>
      <c r="X2920" s="15"/>
      <c r="Y2920" s="30"/>
      <c r="Z2920" s="30"/>
      <c r="AA2920" s="30"/>
      <c r="AB2920" s="30"/>
      <c r="AC2920" s="17"/>
      <c r="AD2920" s="17"/>
      <c r="AE2920" s="17"/>
      <c r="AF2920" s="17"/>
      <c r="AG2920" s="21"/>
      <c r="AH2920" s="21"/>
      <c r="AI2920" s="21"/>
      <c r="AJ2920" s="21"/>
      <c r="AK2920" s="21"/>
      <c r="AL2920" s="21"/>
      <c r="AM2920" s="21"/>
      <c r="AN2920" s="21"/>
      <c r="AO2920" s="22"/>
      <c r="AP2920" s="21"/>
      <c r="AQ2920" s="22"/>
      <c r="AR2920" s="21"/>
      <c r="AS2920" s="21"/>
      <c r="AT2920" s="21"/>
      <c r="AU2920" s="21"/>
      <c r="AV2920" s="21"/>
      <c r="AW2920" s="21"/>
      <c r="AX2920" s="22"/>
      <c r="AY2920" s="21"/>
      <c r="AZ2920" s="22"/>
      <c r="BA2920" s="21"/>
      <c r="BB2920" s="21"/>
      <c r="BC2920" s="21"/>
      <c r="BD2920" s="21"/>
      <c r="BE2920" s="26"/>
      <c r="BF2920" s="26"/>
      <c r="BG2920" s="62"/>
    </row>
    <row r="2921" spans="1:59" x14ac:dyDescent="0.3">
      <c r="A2921" s="6"/>
      <c r="B2921" s="6"/>
      <c r="C2921" s="39"/>
      <c r="D2921" s="6"/>
      <c r="E2921" s="149"/>
      <c r="F2921" s="153"/>
      <c r="G2921" s="10"/>
      <c r="H2921" s="6"/>
      <c r="I2921" s="6"/>
      <c r="J2921" s="6"/>
      <c r="K2921" s="6"/>
      <c r="L2921" s="6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12"/>
      <c r="Y2921" s="6"/>
      <c r="Z2921" s="6"/>
      <c r="AA2921" s="6"/>
      <c r="AB2921" s="6"/>
      <c r="AC2921" s="9"/>
      <c r="AD2921" s="9"/>
      <c r="AE2921" s="9"/>
      <c r="AF2921" s="9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21"/>
      <c r="AS2921" s="21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  <c r="BG2921" s="3"/>
    </row>
    <row r="2922" spans="1:59" ht="13.5" customHeight="1" x14ac:dyDescent="0.35">
      <c r="A2922" s="49"/>
      <c r="B2922" s="49"/>
      <c r="C2922" s="14"/>
      <c r="D2922" s="1"/>
      <c r="E2922" s="149"/>
      <c r="F2922" s="153"/>
      <c r="G2922" s="10"/>
      <c r="H2922" s="17"/>
      <c r="I2922" s="17"/>
      <c r="J2922" s="17"/>
      <c r="K2922" s="30"/>
      <c r="L2922" s="30"/>
      <c r="M2922" s="30"/>
      <c r="N2922" s="30"/>
      <c r="O2922" s="30"/>
      <c r="P2922" s="30"/>
      <c r="Q2922" s="30"/>
      <c r="R2922" s="30"/>
      <c r="S2922" s="30"/>
      <c r="T2922" s="30"/>
      <c r="U2922" s="30"/>
      <c r="V2922" s="30"/>
      <c r="W2922" s="29"/>
      <c r="X2922" s="15"/>
      <c r="Y2922" s="30"/>
      <c r="Z2922" s="30"/>
      <c r="AA2922" s="30"/>
      <c r="AB2922" s="30"/>
      <c r="AC2922" s="17"/>
      <c r="AD2922" s="17"/>
      <c r="AE2922" s="17"/>
      <c r="AF2922" s="17"/>
      <c r="AG2922" s="21"/>
      <c r="AH2922" s="21"/>
      <c r="AI2922" s="21"/>
      <c r="AJ2922" s="21"/>
      <c r="AK2922" s="21"/>
      <c r="AL2922" s="21"/>
      <c r="AM2922" s="21"/>
      <c r="AN2922" s="21"/>
      <c r="AO2922" s="22"/>
      <c r="AP2922" s="21"/>
      <c r="AQ2922" s="22"/>
      <c r="AR2922" s="21"/>
      <c r="AS2922" s="21"/>
      <c r="AT2922" s="21"/>
      <c r="AU2922" s="21"/>
      <c r="AV2922" s="21"/>
      <c r="AW2922" s="21"/>
      <c r="AX2922" s="22"/>
      <c r="AY2922" s="21"/>
      <c r="AZ2922" s="22"/>
      <c r="BA2922" s="21"/>
      <c r="BB2922" s="21"/>
      <c r="BC2922" s="21"/>
      <c r="BD2922" s="21"/>
      <c r="BE2922" s="26"/>
      <c r="BF2922" s="26"/>
      <c r="BG2922" s="62"/>
    </row>
    <row r="2923" spans="1:59" ht="13.5" customHeight="1" x14ac:dyDescent="0.35">
      <c r="A2923" s="49"/>
      <c r="B2923" s="49"/>
      <c r="C2923" s="39"/>
      <c r="D2923" s="1"/>
      <c r="E2923" s="149"/>
      <c r="F2923" s="153"/>
      <c r="G2923" s="10"/>
      <c r="H2923" s="17"/>
      <c r="I2923" s="17"/>
      <c r="J2923" s="17"/>
      <c r="K2923" s="30"/>
      <c r="L2923" s="30"/>
      <c r="M2923" s="30"/>
      <c r="N2923" s="30"/>
      <c r="O2923" s="30"/>
      <c r="P2923" s="30"/>
      <c r="Q2923" s="30"/>
      <c r="R2923" s="30"/>
      <c r="S2923" s="30"/>
      <c r="T2923" s="30"/>
      <c r="U2923" s="30"/>
      <c r="V2923" s="30"/>
      <c r="W2923" s="29"/>
      <c r="X2923" s="15"/>
      <c r="Y2923" s="30"/>
      <c r="Z2923" s="30"/>
      <c r="AA2923" s="30"/>
      <c r="AB2923" s="30"/>
      <c r="AC2923" s="17"/>
      <c r="AD2923" s="17"/>
      <c r="AE2923" s="17"/>
      <c r="AF2923" s="17"/>
      <c r="AG2923" s="21"/>
      <c r="AH2923" s="21"/>
      <c r="AI2923" s="21"/>
      <c r="AJ2923" s="21"/>
      <c r="AK2923" s="21"/>
      <c r="AL2923" s="21"/>
      <c r="AM2923" s="21"/>
      <c r="AN2923" s="21"/>
      <c r="AO2923" s="22"/>
      <c r="AP2923" s="21"/>
      <c r="AQ2923" s="22"/>
      <c r="AR2923" s="21"/>
      <c r="AS2923" s="21"/>
      <c r="AT2923" s="21"/>
      <c r="AU2923" s="21"/>
      <c r="AV2923" s="21"/>
      <c r="AW2923" s="21"/>
      <c r="AX2923" s="22"/>
      <c r="AY2923" s="21"/>
      <c r="AZ2923" s="22"/>
      <c r="BA2923" s="21"/>
      <c r="BB2923" s="21"/>
      <c r="BC2923" s="21"/>
      <c r="BD2923" s="21"/>
      <c r="BE2923" s="26"/>
      <c r="BF2923" s="26"/>
      <c r="BG2923" s="62"/>
    </row>
    <row r="2924" spans="1:59" x14ac:dyDescent="0.3">
      <c r="A2924" s="6"/>
      <c r="B2924" s="6"/>
      <c r="C2924" s="39"/>
      <c r="D2924" s="6"/>
      <c r="E2924" s="149"/>
      <c r="F2924" s="153"/>
      <c r="G2924" s="10"/>
      <c r="H2924" s="6"/>
      <c r="I2924" s="6"/>
      <c r="J2924" s="6"/>
      <c r="K2924" s="6"/>
      <c r="L2924" s="6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12"/>
      <c r="Y2924" s="6"/>
      <c r="Z2924" s="6"/>
      <c r="AA2924" s="6"/>
      <c r="AB2924" s="6"/>
      <c r="AC2924" s="9"/>
      <c r="AD2924" s="9"/>
      <c r="AE2924" s="9"/>
      <c r="AF2924" s="9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21"/>
      <c r="AS2924" s="21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</row>
    <row r="2925" spans="1:59" x14ac:dyDescent="0.3">
      <c r="A2925" s="63"/>
      <c r="B2925" s="63"/>
      <c r="C2925" s="39"/>
      <c r="D2925" s="6"/>
      <c r="E2925" s="149"/>
      <c r="F2925" s="153"/>
      <c r="G2925" s="10"/>
      <c r="H2925" s="6"/>
      <c r="I2925" s="6"/>
      <c r="J2925" s="6"/>
      <c r="K2925" s="6"/>
      <c r="L2925" s="6"/>
      <c r="M2925" s="6"/>
      <c r="N2925" s="6"/>
      <c r="O2925" s="6"/>
      <c r="P2925" s="6"/>
      <c r="Q2925" s="6"/>
      <c r="R2925" s="6"/>
      <c r="S2925" s="6"/>
      <c r="T2925" s="6"/>
      <c r="U2925" s="5"/>
      <c r="V2925" s="5"/>
      <c r="W2925" s="13"/>
      <c r="X2925" s="4"/>
      <c r="Y2925" s="4"/>
      <c r="Z2925" s="4"/>
      <c r="AA2925" s="6"/>
      <c r="AB2925" s="5"/>
      <c r="AC2925" s="9"/>
      <c r="AD2925" s="9"/>
      <c r="AE2925" s="9"/>
      <c r="AF2925" s="9"/>
      <c r="AG2925" s="64"/>
      <c r="AH2925" s="3"/>
      <c r="AI2925" s="2"/>
      <c r="AJ2925" s="2"/>
      <c r="AK2925" s="2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  <c r="BG2925" s="3"/>
    </row>
    <row r="2926" spans="1:59" x14ac:dyDescent="0.3">
      <c r="A2926" s="6"/>
      <c r="B2926" s="6"/>
      <c r="C2926" s="39"/>
      <c r="D2926" s="6"/>
      <c r="E2926" s="149"/>
      <c r="F2926" s="153"/>
      <c r="G2926" s="10"/>
      <c r="H2926" s="6"/>
      <c r="I2926" s="6"/>
      <c r="J2926" s="6"/>
      <c r="K2926" s="6"/>
      <c r="L2926" s="6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12"/>
      <c r="Y2926" s="6"/>
      <c r="Z2926" s="6"/>
      <c r="AA2926" s="6"/>
      <c r="AB2926" s="6"/>
      <c r="AC2926" s="9"/>
      <c r="AD2926" s="9"/>
      <c r="AE2926" s="9"/>
      <c r="AF2926" s="9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21"/>
      <c r="AS2926" s="21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  <c r="BG2926" s="3"/>
    </row>
    <row r="2927" spans="1:59" ht="13.5" customHeight="1" x14ac:dyDescent="0.35">
      <c r="A2927" s="49"/>
      <c r="B2927" s="49"/>
      <c r="C2927" s="39"/>
      <c r="D2927" s="1"/>
      <c r="E2927" s="149"/>
      <c r="F2927" s="153"/>
      <c r="G2927" s="10"/>
      <c r="H2927" s="17"/>
      <c r="I2927" s="17"/>
      <c r="J2927" s="17"/>
      <c r="K2927" s="30"/>
      <c r="L2927" s="30"/>
      <c r="M2927" s="30"/>
      <c r="N2927" s="30"/>
      <c r="O2927" s="30"/>
      <c r="P2927" s="30"/>
      <c r="Q2927" s="30"/>
      <c r="R2927" s="30"/>
      <c r="S2927" s="30"/>
      <c r="T2927" s="30"/>
      <c r="U2927" s="30"/>
      <c r="V2927" s="30"/>
      <c r="W2927" s="29"/>
      <c r="X2927" s="15"/>
      <c r="Y2927" s="30"/>
      <c r="Z2927" s="30"/>
      <c r="AA2927" s="30"/>
      <c r="AB2927" s="30"/>
      <c r="AC2927" s="17"/>
      <c r="AD2927" s="17"/>
      <c r="AE2927" s="17"/>
      <c r="AF2927" s="17"/>
      <c r="AG2927" s="21"/>
      <c r="AH2927" s="21"/>
      <c r="AI2927" s="21"/>
      <c r="AJ2927" s="21"/>
      <c r="AK2927" s="21"/>
      <c r="AL2927" s="21"/>
      <c r="AM2927" s="21"/>
      <c r="AN2927" s="21"/>
      <c r="AO2927" s="22"/>
      <c r="AP2927" s="21"/>
      <c r="AQ2927" s="22"/>
      <c r="AR2927" s="21"/>
      <c r="AS2927" s="21"/>
      <c r="AT2927" s="21"/>
      <c r="AU2927" s="21"/>
      <c r="AV2927" s="21"/>
      <c r="AW2927" s="21"/>
      <c r="AX2927" s="22"/>
      <c r="AY2927" s="21"/>
      <c r="AZ2927" s="22"/>
      <c r="BA2927" s="21"/>
      <c r="BB2927" s="21"/>
      <c r="BC2927" s="21"/>
      <c r="BD2927" s="21"/>
      <c r="BE2927" s="26"/>
      <c r="BF2927" s="26"/>
      <c r="BG2927" s="65"/>
    </row>
    <row r="2928" spans="1:59" x14ac:dyDescent="0.3">
      <c r="A2928" s="6"/>
      <c r="B2928" s="6"/>
      <c r="C2928" s="39"/>
      <c r="D2928" s="6"/>
      <c r="E2928" s="149"/>
      <c r="F2928" s="153"/>
      <c r="G2928" s="10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5"/>
      <c r="V2928" s="5"/>
      <c r="W2928" s="13"/>
      <c r="X2928" s="4"/>
      <c r="Y2928" s="4"/>
      <c r="Z2928" s="4"/>
      <c r="AA2928" s="6"/>
      <c r="AB2928" s="5"/>
      <c r="AC2928" s="9"/>
      <c r="AD2928" s="9"/>
      <c r="AE2928" s="9"/>
      <c r="AF2928" s="9"/>
      <c r="AG2928" s="2"/>
      <c r="AH2928" s="3"/>
      <c r="AI2928" s="2"/>
      <c r="AJ2928" s="2"/>
      <c r="AK2928" s="2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</row>
    <row r="2929" spans="1:59" ht="13.5" customHeight="1" x14ac:dyDescent="0.35">
      <c r="A2929" s="49"/>
      <c r="B2929" s="49"/>
      <c r="C2929" s="39"/>
      <c r="D2929" s="1"/>
      <c r="E2929" s="149"/>
      <c r="F2929" s="153"/>
      <c r="G2929" s="10"/>
      <c r="H2929" s="17"/>
      <c r="I2929" s="17"/>
      <c r="J2929" s="17"/>
      <c r="K2929" s="30"/>
      <c r="L2929" s="30"/>
      <c r="M2929" s="30"/>
      <c r="N2929" s="30"/>
      <c r="O2929" s="30"/>
      <c r="P2929" s="30"/>
      <c r="Q2929" s="30"/>
      <c r="R2929" s="30"/>
      <c r="S2929" s="30"/>
      <c r="T2929" s="30"/>
      <c r="U2929" s="30"/>
      <c r="V2929" s="30"/>
      <c r="W2929" s="29"/>
      <c r="X2929" s="15"/>
      <c r="Y2929" s="30"/>
      <c r="Z2929" s="30"/>
      <c r="AA2929" s="30"/>
      <c r="AB2929" s="30"/>
      <c r="AC2929" s="17"/>
      <c r="AD2929" s="17"/>
      <c r="AE2929" s="17"/>
      <c r="AF2929" s="17"/>
      <c r="AG2929" s="21"/>
      <c r="AH2929" s="21"/>
      <c r="AI2929" s="21"/>
      <c r="AJ2929" s="21"/>
      <c r="AK2929" s="21"/>
      <c r="AL2929" s="21"/>
      <c r="AM2929" s="21"/>
      <c r="AN2929" s="21"/>
      <c r="AO2929" s="22"/>
      <c r="AP2929" s="21"/>
      <c r="AQ2929" s="22"/>
      <c r="AR2929" s="21"/>
      <c r="AS2929" s="21"/>
      <c r="AT2929" s="21"/>
      <c r="AU2929" s="21"/>
      <c r="AV2929" s="21"/>
      <c r="AW2929" s="21"/>
      <c r="AX2929" s="22"/>
      <c r="AY2929" s="21"/>
      <c r="AZ2929" s="22"/>
      <c r="BA2929" s="21"/>
      <c r="BB2929" s="21"/>
      <c r="BC2929" s="21"/>
      <c r="BD2929" s="21"/>
      <c r="BE2929" s="26"/>
      <c r="BF2929" s="26"/>
      <c r="BG2929" s="62"/>
    </row>
    <row r="2930" spans="1:59" ht="13.5" customHeight="1" x14ac:dyDescent="0.35">
      <c r="A2930" s="49"/>
      <c r="B2930" s="49"/>
      <c r="C2930" s="39"/>
      <c r="D2930" s="1"/>
      <c r="E2930" s="149"/>
      <c r="F2930" s="153"/>
      <c r="G2930" s="10"/>
      <c r="H2930" s="17"/>
      <c r="I2930" s="17"/>
      <c r="J2930" s="17"/>
      <c r="K2930" s="30"/>
      <c r="L2930" s="30"/>
      <c r="M2930" s="30"/>
      <c r="N2930" s="30"/>
      <c r="O2930" s="30"/>
      <c r="P2930" s="30"/>
      <c r="Q2930" s="30"/>
      <c r="R2930" s="30"/>
      <c r="S2930" s="30"/>
      <c r="T2930" s="30"/>
      <c r="U2930" s="30"/>
      <c r="V2930" s="30"/>
      <c r="W2930" s="29"/>
      <c r="X2930" s="15"/>
      <c r="Y2930" s="30"/>
      <c r="Z2930" s="30"/>
      <c r="AA2930" s="30"/>
      <c r="AB2930" s="30"/>
      <c r="AC2930" s="17"/>
      <c r="AD2930" s="17"/>
      <c r="AE2930" s="17"/>
      <c r="AF2930" s="17"/>
      <c r="AG2930" s="21"/>
      <c r="AH2930" s="21"/>
      <c r="AI2930" s="21"/>
      <c r="AJ2930" s="21"/>
      <c r="AK2930" s="21"/>
      <c r="AL2930" s="21"/>
      <c r="AM2930" s="21"/>
      <c r="AN2930" s="21"/>
      <c r="AO2930" s="22"/>
      <c r="AP2930" s="21"/>
      <c r="AQ2930" s="22"/>
      <c r="AR2930" s="21"/>
      <c r="AS2930" s="21"/>
      <c r="AT2930" s="21"/>
      <c r="AU2930" s="21"/>
      <c r="AV2930" s="21"/>
      <c r="AW2930" s="21"/>
      <c r="AX2930" s="22"/>
      <c r="AY2930" s="21"/>
      <c r="AZ2930" s="22"/>
      <c r="BA2930" s="21"/>
      <c r="BB2930" s="21"/>
      <c r="BC2930" s="21"/>
      <c r="BD2930" s="21"/>
      <c r="BE2930" s="26"/>
      <c r="BF2930" s="26"/>
      <c r="BG2930" s="62"/>
    </row>
    <row r="2931" spans="1:59" x14ac:dyDescent="0.3">
      <c r="A2931" s="6"/>
      <c r="B2931" s="6"/>
      <c r="C2931" s="39"/>
      <c r="D2931" s="6"/>
      <c r="E2931" s="149"/>
      <c r="F2931" s="153"/>
      <c r="G2931" s="10"/>
      <c r="H2931" s="6"/>
      <c r="I2931" s="6"/>
      <c r="J2931" s="6"/>
      <c r="K2931" s="6"/>
      <c r="L2931" s="6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12"/>
      <c r="Y2931" s="6"/>
      <c r="Z2931" s="6"/>
      <c r="AA2931" s="6"/>
      <c r="AB2931" s="6"/>
      <c r="AC2931" s="9"/>
      <c r="AD2931" s="9"/>
      <c r="AE2931" s="9"/>
      <c r="AF2931" s="9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21"/>
      <c r="AS2931" s="21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  <c r="BG2931" s="3"/>
    </row>
    <row r="2932" spans="1:59" ht="13.5" customHeight="1" x14ac:dyDescent="0.35">
      <c r="A2932" s="49"/>
      <c r="B2932" s="49"/>
      <c r="C2932" s="14"/>
      <c r="D2932" s="1"/>
      <c r="E2932" s="149"/>
      <c r="F2932" s="153"/>
      <c r="G2932" s="10"/>
      <c r="H2932" s="17"/>
      <c r="I2932" s="17"/>
      <c r="J2932" s="17"/>
      <c r="K2932" s="30"/>
      <c r="L2932" s="30"/>
      <c r="M2932" s="30"/>
      <c r="N2932" s="30"/>
      <c r="O2932" s="30"/>
      <c r="P2932" s="30"/>
      <c r="Q2932" s="30"/>
      <c r="R2932" s="30"/>
      <c r="S2932" s="30"/>
      <c r="T2932" s="30"/>
      <c r="U2932" s="30"/>
      <c r="V2932" s="30"/>
      <c r="W2932" s="29"/>
      <c r="X2932" s="15"/>
      <c r="Y2932" s="30"/>
      <c r="Z2932" s="30"/>
      <c r="AA2932" s="30"/>
      <c r="AB2932" s="30"/>
      <c r="AC2932" s="17"/>
      <c r="AD2932" s="17"/>
      <c r="AE2932" s="17"/>
      <c r="AF2932" s="17"/>
      <c r="AG2932" s="21"/>
      <c r="AH2932" s="21"/>
      <c r="AI2932" s="21"/>
      <c r="AJ2932" s="21"/>
      <c r="AK2932" s="21"/>
      <c r="AL2932" s="21"/>
      <c r="AM2932" s="21"/>
      <c r="AN2932" s="21"/>
      <c r="AO2932" s="22"/>
      <c r="AP2932" s="21"/>
      <c r="AQ2932" s="22"/>
      <c r="AR2932" s="21"/>
      <c r="AS2932" s="21"/>
      <c r="AT2932" s="21"/>
      <c r="AU2932" s="21"/>
      <c r="AV2932" s="21"/>
      <c r="AW2932" s="21"/>
      <c r="AX2932" s="22"/>
      <c r="AY2932" s="21"/>
      <c r="AZ2932" s="22"/>
      <c r="BA2932" s="21"/>
      <c r="BB2932" s="21"/>
      <c r="BC2932" s="21"/>
      <c r="BD2932" s="21"/>
      <c r="BE2932" s="26"/>
      <c r="BF2932" s="26"/>
      <c r="BG2932" s="62"/>
    </row>
    <row r="2933" spans="1:59" ht="13.5" customHeight="1" x14ac:dyDescent="0.35">
      <c r="A2933" s="49"/>
      <c r="B2933" s="49"/>
      <c r="C2933" s="14"/>
      <c r="D2933" s="1"/>
      <c r="E2933" s="149"/>
      <c r="F2933" s="153"/>
      <c r="G2933" s="10"/>
      <c r="H2933" s="17"/>
      <c r="I2933" s="17"/>
      <c r="J2933" s="17"/>
      <c r="K2933" s="30"/>
      <c r="L2933" s="30"/>
      <c r="M2933" s="30"/>
      <c r="N2933" s="30"/>
      <c r="O2933" s="30"/>
      <c r="P2933" s="30"/>
      <c r="Q2933" s="30"/>
      <c r="R2933" s="30"/>
      <c r="S2933" s="30"/>
      <c r="T2933" s="30"/>
      <c r="U2933" s="30"/>
      <c r="V2933" s="30"/>
      <c r="W2933" s="29"/>
      <c r="X2933" s="15"/>
      <c r="Y2933" s="30"/>
      <c r="Z2933" s="30"/>
      <c r="AA2933" s="30"/>
      <c r="AB2933" s="30"/>
      <c r="AC2933" s="17"/>
      <c r="AD2933" s="17"/>
      <c r="AE2933" s="17"/>
      <c r="AF2933" s="17"/>
      <c r="AG2933" s="21"/>
      <c r="AH2933" s="21"/>
      <c r="AI2933" s="21"/>
      <c r="AJ2933" s="21"/>
      <c r="AK2933" s="21"/>
      <c r="AL2933" s="21"/>
      <c r="AM2933" s="21"/>
      <c r="AN2933" s="21"/>
      <c r="AO2933" s="22"/>
      <c r="AP2933" s="21"/>
      <c r="AQ2933" s="22"/>
      <c r="AR2933" s="21"/>
      <c r="AS2933" s="21"/>
      <c r="AT2933" s="21"/>
      <c r="AU2933" s="21"/>
      <c r="AV2933" s="21"/>
      <c r="AW2933" s="21"/>
      <c r="AX2933" s="22"/>
      <c r="AY2933" s="21"/>
      <c r="AZ2933" s="22"/>
      <c r="BA2933" s="21"/>
      <c r="BB2933" s="21"/>
      <c r="BC2933" s="21"/>
      <c r="BD2933" s="21"/>
      <c r="BE2933" s="26"/>
      <c r="BF2933" s="26"/>
      <c r="BG2933" s="62"/>
    </row>
    <row r="2934" spans="1:59" ht="13.5" customHeight="1" x14ac:dyDescent="0.35">
      <c r="A2934" s="49"/>
      <c r="B2934" s="49"/>
      <c r="C2934" s="14"/>
      <c r="D2934" s="1"/>
      <c r="E2934" s="149"/>
      <c r="F2934" s="153"/>
      <c r="G2934" s="10"/>
      <c r="H2934" s="17"/>
      <c r="I2934" s="17"/>
      <c r="J2934" s="17"/>
      <c r="K2934" s="30"/>
      <c r="L2934" s="30"/>
      <c r="M2934" s="30"/>
      <c r="N2934" s="30"/>
      <c r="O2934" s="30"/>
      <c r="P2934" s="30"/>
      <c r="Q2934" s="30"/>
      <c r="R2934" s="30"/>
      <c r="S2934" s="30"/>
      <c r="T2934" s="30"/>
      <c r="U2934" s="30"/>
      <c r="V2934" s="30"/>
      <c r="W2934" s="29"/>
      <c r="X2934" s="15"/>
      <c r="Y2934" s="30"/>
      <c r="Z2934" s="30"/>
      <c r="AA2934" s="30"/>
      <c r="AB2934" s="30"/>
      <c r="AC2934" s="17"/>
      <c r="AD2934" s="17"/>
      <c r="AE2934" s="17"/>
      <c r="AF2934" s="17"/>
      <c r="AG2934" s="21"/>
      <c r="AH2934" s="21"/>
      <c r="AI2934" s="21"/>
      <c r="AJ2934" s="21"/>
      <c r="AK2934" s="21"/>
      <c r="AL2934" s="21"/>
      <c r="AM2934" s="21"/>
      <c r="AN2934" s="21"/>
      <c r="AO2934" s="22"/>
      <c r="AP2934" s="21"/>
      <c r="AQ2934" s="22"/>
      <c r="AR2934" s="21"/>
      <c r="AS2934" s="21"/>
      <c r="AT2934" s="21"/>
      <c r="AU2934" s="21"/>
      <c r="AV2934" s="21"/>
      <c r="AW2934" s="21"/>
      <c r="AX2934" s="22"/>
      <c r="AY2934" s="21"/>
      <c r="AZ2934" s="22"/>
      <c r="BA2934" s="21"/>
      <c r="BB2934" s="21"/>
      <c r="BC2934" s="21"/>
      <c r="BD2934" s="21"/>
      <c r="BE2934" s="26"/>
      <c r="BF2934" s="26"/>
      <c r="BG2934" s="62"/>
    </row>
    <row r="2935" spans="1:59" x14ac:dyDescent="0.3">
      <c r="A2935" s="6"/>
      <c r="B2935" s="6"/>
      <c r="C2935" s="39"/>
      <c r="D2935" s="6"/>
      <c r="E2935" s="149"/>
      <c r="F2935" s="153"/>
      <c r="G2935" s="10"/>
      <c r="H2935" s="6"/>
      <c r="I2935" s="6"/>
      <c r="J2935" s="6"/>
      <c r="K2935" s="6"/>
      <c r="L2935" s="6"/>
      <c r="M2935" s="6"/>
      <c r="N2935" s="6"/>
      <c r="O2935" s="6"/>
      <c r="P2935" s="6"/>
      <c r="Q2935" s="6"/>
      <c r="R2935" s="6"/>
      <c r="S2935" s="6"/>
      <c r="T2935" s="6"/>
      <c r="U2935" s="5"/>
      <c r="V2935" s="5"/>
      <c r="W2935" s="13"/>
      <c r="X2935" s="4"/>
      <c r="Y2935" s="4"/>
      <c r="Z2935" s="4"/>
      <c r="AA2935" s="6"/>
      <c r="AB2935" s="5"/>
      <c r="AC2935" s="9"/>
      <c r="AD2935" s="9"/>
      <c r="AE2935" s="9"/>
      <c r="AF2935" s="9"/>
      <c r="AG2935" s="2"/>
      <c r="AH2935" s="3"/>
      <c r="AI2935" s="2"/>
      <c r="AJ2935" s="2"/>
      <c r="AK2935" s="2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3"/>
    </row>
    <row r="2936" spans="1:59" ht="13.5" customHeight="1" x14ac:dyDescent="0.3">
      <c r="A2936" s="49"/>
      <c r="B2936" s="49"/>
      <c r="C2936" s="14"/>
      <c r="D2936" s="6"/>
      <c r="E2936" s="149"/>
      <c r="F2936" s="153"/>
      <c r="G2936" s="10"/>
      <c r="H2936" s="17"/>
      <c r="I2936" s="17"/>
      <c r="J2936" s="17"/>
      <c r="K2936" s="30"/>
      <c r="L2936" s="30"/>
      <c r="M2936" s="30"/>
      <c r="N2936" s="30"/>
      <c r="O2936" s="30"/>
      <c r="P2936" s="30"/>
      <c r="Q2936" s="30"/>
      <c r="R2936" s="30"/>
      <c r="S2936" s="30"/>
      <c r="T2936" s="30"/>
      <c r="U2936" s="30"/>
      <c r="V2936" s="30"/>
      <c r="W2936" s="29"/>
      <c r="X2936" s="15"/>
      <c r="Y2936" s="30"/>
      <c r="Z2936" s="30"/>
      <c r="AA2936" s="30"/>
      <c r="AB2936" s="30"/>
      <c r="AC2936" s="17"/>
      <c r="AD2936" s="17"/>
      <c r="AE2936" s="17"/>
      <c r="AF2936" s="17"/>
      <c r="AG2936" s="21"/>
      <c r="AH2936" s="21"/>
      <c r="AI2936" s="21"/>
      <c r="AJ2936" s="21"/>
      <c r="AK2936" s="21"/>
      <c r="AL2936" s="21"/>
      <c r="AM2936" s="21"/>
      <c r="AN2936" s="21"/>
      <c r="AO2936" s="22"/>
      <c r="AP2936" s="21"/>
      <c r="AQ2936" s="22"/>
      <c r="AR2936" s="21"/>
      <c r="AS2936" s="21"/>
      <c r="AT2936" s="21"/>
      <c r="AU2936" s="21"/>
      <c r="AV2936" s="21"/>
      <c r="AW2936" s="21"/>
      <c r="AX2936" s="22"/>
      <c r="AY2936" s="21"/>
      <c r="AZ2936" s="22"/>
      <c r="BA2936" s="21"/>
      <c r="BB2936" s="21"/>
      <c r="BC2936" s="21"/>
      <c r="BD2936" s="21"/>
      <c r="BE2936" s="26"/>
      <c r="BF2936" s="26"/>
      <c r="BG2936" s="62"/>
    </row>
    <row r="2937" spans="1:59" ht="13.5" customHeight="1" x14ac:dyDescent="0.35">
      <c r="A2937" s="49"/>
      <c r="B2937" s="49"/>
      <c r="C2937" s="14"/>
      <c r="D2937" s="6"/>
      <c r="E2937" s="149"/>
      <c r="F2937" s="153"/>
      <c r="G2937" s="10"/>
      <c r="H2937" s="17"/>
      <c r="I2937" s="17"/>
      <c r="J2937" s="17"/>
      <c r="K2937" s="30"/>
      <c r="L2937" s="30"/>
      <c r="M2937" s="30"/>
      <c r="N2937" s="30"/>
      <c r="O2937" s="30"/>
      <c r="P2937" s="30"/>
      <c r="Q2937" s="30"/>
      <c r="R2937" s="30"/>
      <c r="S2937" s="30"/>
      <c r="T2937" s="30"/>
      <c r="U2937" s="30"/>
      <c r="V2937" s="30"/>
      <c r="W2937" s="29"/>
      <c r="X2937" s="15"/>
      <c r="Y2937" s="30"/>
      <c r="Z2937" s="30"/>
      <c r="AA2937" s="30"/>
      <c r="AB2937" s="30"/>
      <c r="AC2937" s="17"/>
      <c r="AD2937" s="17"/>
      <c r="AE2937" s="17"/>
      <c r="AF2937" s="17"/>
      <c r="AG2937" s="21"/>
      <c r="AH2937" s="21"/>
      <c r="AI2937" s="21"/>
      <c r="AJ2937" s="21"/>
      <c r="AK2937" s="21"/>
      <c r="AL2937" s="21"/>
      <c r="AM2937" s="21"/>
      <c r="AN2937" s="21"/>
      <c r="AO2937" s="22"/>
      <c r="AP2937" s="21"/>
      <c r="AQ2937" s="22"/>
      <c r="AR2937" s="21"/>
      <c r="AS2937" s="21"/>
      <c r="AT2937" s="21"/>
      <c r="AU2937" s="21"/>
      <c r="AV2937" s="21"/>
      <c r="AW2937" s="21"/>
      <c r="AX2937" s="22"/>
      <c r="AY2937" s="21"/>
      <c r="AZ2937" s="22"/>
      <c r="BA2937" s="21"/>
      <c r="BB2937" s="21"/>
      <c r="BC2937" s="21"/>
      <c r="BD2937" s="21"/>
      <c r="BE2937" s="26"/>
      <c r="BF2937" s="26"/>
      <c r="BG2937" s="65"/>
    </row>
    <row r="2938" spans="1:59" ht="13.5" customHeight="1" x14ac:dyDescent="0.35">
      <c r="A2938" s="49"/>
      <c r="B2938" s="49"/>
      <c r="C2938" s="39"/>
      <c r="D2938" s="1"/>
      <c r="E2938" s="149"/>
      <c r="F2938" s="153"/>
      <c r="G2938" s="10"/>
      <c r="H2938" s="17"/>
      <c r="I2938" s="17"/>
      <c r="J2938" s="17"/>
      <c r="K2938" s="30"/>
      <c r="L2938" s="30"/>
      <c r="M2938" s="30"/>
      <c r="N2938" s="30"/>
      <c r="O2938" s="30"/>
      <c r="P2938" s="30"/>
      <c r="Q2938" s="30"/>
      <c r="R2938" s="30"/>
      <c r="S2938" s="30"/>
      <c r="T2938" s="30"/>
      <c r="U2938" s="30"/>
      <c r="V2938" s="30"/>
      <c r="W2938" s="29"/>
      <c r="X2938" s="15"/>
      <c r="Y2938" s="30"/>
      <c r="Z2938" s="30"/>
      <c r="AA2938" s="30"/>
      <c r="AB2938" s="30"/>
      <c r="AC2938" s="17"/>
      <c r="AD2938" s="17"/>
      <c r="AE2938" s="17"/>
      <c r="AF2938" s="17"/>
      <c r="AG2938" s="21"/>
      <c r="AH2938" s="21"/>
      <c r="AI2938" s="21"/>
      <c r="AJ2938" s="21"/>
      <c r="AK2938" s="21"/>
      <c r="AL2938" s="21"/>
      <c r="AM2938" s="21"/>
      <c r="AN2938" s="21"/>
      <c r="AO2938" s="22"/>
      <c r="AP2938" s="21"/>
      <c r="AQ2938" s="22"/>
      <c r="AR2938" s="21"/>
      <c r="AS2938" s="21"/>
      <c r="AT2938" s="21"/>
      <c r="AU2938" s="21"/>
      <c r="AV2938" s="21"/>
      <c r="AW2938" s="21"/>
      <c r="AX2938" s="22"/>
      <c r="AY2938" s="21"/>
      <c r="AZ2938" s="22"/>
      <c r="BA2938" s="21"/>
      <c r="BB2938" s="21"/>
      <c r="BC2938" s="21"/>
      <c r="BD2938" s="21"/>
      <c r="BE2938" s="26"/>
      <c r="BF2938" s="26"/>
      <c r="BG2938" s="62"/>
    </row>
    <row r="2939" spans="1:59" x14ac:dyDescent="0.3">
      <c r="A2939" s="6"/>
      <c r="B2939" s="6"/>
      <c r="C2939" s="39"/>
      <c r="D2939" s="6"/>
      <c r="E2939" s="149"/>
      <c r="F2939" s="153"/>
      <c r="G2939" s="10"/>
      <c r="H2939" s="6"/>
      <c r="I2939" s="6"/>
      <c r="J2939" s="6"/>
      <c r="K2939" s="6"/>
      <c r="L2939" s="6"/>
      <c r="M2939" s="6"/>
      <c r="N2939" s="6"/>
      <c r="O2939" s="6"/>
      <c r="P2939" s="6"/>
      <c r="Q2939" s="6"/>
      <c r="R2939" s="6"/>
      <c r="S2939" s="6"/>
      <c r="T2939" s="6"/>
      <c r="U2939" s="5"/>
      <c r="V2939" s="5"/>
      <c r="W2939" s="13"/>
      <c r="X2939" s="4"/>
      <c r="Y2939" s="4"/>
      <c r="Z2939" s="4"/>
      <c r="AA2939" s="6"/>
      <c r="AB2939" s="5"/>
      <c r="AC2939" s="9"/>
      <c r="AD2939" s="9"/>
      <c r="AE2939" s="9"/>
      <c r="AF2939" s="9"/>
      <c r="AG2939" s="2"/>
      <c r="AH2939" s="3"/>
      <c r="AI2939" s="2"/>
      <c r="AJ2939" s="2"/>
      <c r="AK2939" s="2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</row>
    <row r="2940" spans="1:59" ht="13.5" customHeight="1" x14ac:dyDescent="0.35">
      <c r="A2940" s="49"/>
      <c r="B2940" s="49"/>
      <c r="C2940" s="14"/>
      <c r="D2940" s="1"/>
      <c r="E2940" s="149"/>
      <c r="F2940" s="153"/>
      <c r="G2940" s="10"/>
      <c r="H2940" s="17"/>
      <c r="I2940" s="17"/>
      <c r="J2940" s="17"/>
      <c r="K2940" s="30"/>
      <c r="L2940" s="30"/>
      <c r="M2940" s="30"/>
      <c r="N2940" s="30"/>
      <c r="O2940" s="30"/>
      <c r="P2940" s="30"/>
      <c r="Q2940" s="30"/>
      <c r="R2940" s="30"/>
      <c r="S2940" s="30"/>
      <c r="T2940" s="30"/>
      <c r="U2940" s="30"/>
      <c r="V2940" s="30"/>
      <c r="W2940" s="29"/>
      <c r="X2940" s="15"/>
      <c r="Y2940" s="30"/>
      <c r="Z2940" s="30"/>
      <c r="AA2940" s="30"/>
      <c r="AB2940" s="30"/>
      <c r="AC2940" s="17"/>
      <c r="AD2940" s="17"/>
      <c r="AE2940" s="17"/>
      <c r="AF2940" s="17"/>
      <c r="AG2940" s="21"/>
      <c r="AH2940" s="21"/>
      <c r="AI2940" s="21"/>
      <c r="AJ2940" s="21"/>
      <c r="AK2940" s="21"/>
      <c r="AL2940" s="21"/>
      <c r="AM2940" s="21"/>
      <c r="AN2940" s="21"/>
      <c r="AO2940" s="22"/>
      <c r="AP2940" s="21"/>
      <c r="AQ2940" s="22"/>
      <c r="AR2940" s="21"/>
      <c r="AS2940" s="21"/>
      <c r="AT2940" s="21"/>
      <c r="AU2940" s="21"/>
      <c r="AV2940" s="21"/>
      <c r="AW2940" s="21"/>
      <c r="AX2940" s="22"/>
      <c r="AY2940" s="21"/>
      <c r="AZ2940" s="22"/>
      <c r="BA2940" s="21"/>
      <c r="BB2940" s="21"/>
      <c r="BC2940" s="21"/>
      <c r="BD2940" s="21"/>
      <c r="BE2940" s="26"/>
      <c r="BF2940" s="26"/>
      <c r="BG2940" s="62"/>
    </row>
    <row r="2941" spans="1:59" x14ac:dyDescent="0.3">
      <c r="A2941" s="6"/>
      <c r="B2941" s="6"/>
      <c r="C2941" s="39"/>
      <c r="D2941" s="6"/>
      <c r="E2941" s="149"/>
      <c r="F2941" s="153"/>
      <c r="G2941" s="10"/>
      <c r="H2941" s="6"/>
      <c r="I2941" s="6"/>
      <c r="J2941" s="6"/>
      <c r="K2941" s="6"/>
      <c r="L2941" s="6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12"/>
      <c r="Y2941" s="6"/>
      <c r="Z2941" s="6"/>
      <c r="AA2941" s="6"/>
      <c r="AB2941" s="6"/>
      <c r="AC2941" s="9"/>
      <c r="AD2941" s="9"/>
      <c r="AE2941" s="9"/>
      <c r="AF2941" s="9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21"/>
      <c r="AS2941" s="21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</row>
    <row r="2942" spans="1:59" x14ac:dyDescent="0.3">
      <c r="A2942" s="63"/>
      <c r="B2942" s="63"/>
      <c r="C2942" s="39"/>
      <c r="D2942" s="6"/>
      <c r="E2942" s="149"/>
      <c r="F2942" s="153"/>
      <c r="G2942" s="10"/>
      <c r="H2942" s="6"/>
      <c r="I2942" s="6"/>
      <c r="J2942" s="6"/>
      <c r="K2942" s="6"/>
      <c r="L2942" s="6"/>
      <c r="M2942" s="6"/>
      <c r="N2942" s="6"/>
      <c r="O2942" s="6"/>
      <c r="P2942" s="6"/>
      <c r="Q2942" s="6"/>
      <c r="R2942" s="6"/>
      <c r="S2942" s="6"/>
      <c r="T2942" s="6"/>
      <c r="U2942" s="5"/>
      <c r="V2942" s="5"/>
      <c r="W2942" s="13"/>
      <c r="X2942" s="4"/>
      <c r="Y2942" s="4"/>
      <c r="Z2942" s="4"/>
      <c r="AA2942" s="6"/>
      <c r="AB2942" s="5"/>
      <c r="AC2942" s="9"/>
      <c r="AD2942" s="9"/>
      <c r="AE2942" s="9"/>
      <c r="AF2942" s="9"/>
      <c r="AG2942" s="64"/>
      <c r="AH2942" s="3"/>
      <c r="AI2942" s="2"/>
      <c r="AJ2942" s="2"/>
      <c r="AK2942" s="2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</row>
    <row r="2943" spans="1:59" x14ac:dyDescent="0.3">
      <c r="A2943" s="6"/>
      <c r="B2943" s="6"/>
      <c r="C2943" s="39"/>
      <c r="D2943" s="6"/>
      <c r="E2943" s="149"/>
      <c r="F2943" s="153"/>
      <c r="G2943" s="10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12"/>
      <c r="Y2943" s="6"/>
      <c r="Z2943" s="6"/>
      <c r="AA2943" s="6"/>
      <c r="AB2943" s="6"/>
      <c r="AC2943" s="9"/>
      <c r="AD2943" s="9"/>
      <c r="AE2943" s="9"/>
      <c r="AF2943" s="9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21"/>
      <c r="AS2943" s="21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  <c r="BG2943" s="3"/>
    </row>
    <row r="2944" spans="1:59" ht="15" x14ac:dyDescent="0.35">
      <c r="A2944" s="63"/>
      <c r="B2944" s="63"/>
      <c r="C2944" s="39"/>
      <c r="D2944" s="6"/>
      <c r="E2944" s="149"/>
      <c r="F2944" s="153"/>
      <c r="G2944" s="10"/>
      <c r="H2944" s="6"/>
      <c r="I2944" s="6"/>
      <c r="J2944" s="6"/>
      <c r="K2944" s="6"/>
      <c r="L2944" s="6"/>
      <c r="M2944" s="6"/>
      <c r="N2944" s="6"/>
      <c r="O2944" s="6"/>
      <c r="P2944" s="6"/>
      <c r="Q2944" s="6"/>
      <c r="R2944" s="6"/>
      <c r="S2944" s="6"/>
      <c r="T2944" s="6"/>
      <c r="U2944" s="5"/>
      <c r="V2944" s="5"/>
      <c r="W2944" s="13"/>
      <c r="X2944" s="4"/>
      <c r="Y2944" s="4"/>
      <c r="Z2944" s="4"/>
      <c r="AA2944" s="6"/>
      <c r="AB2944" s="5"/>
      <c r="AC2944" s="9"/>
      <c r="AD2944" s="9"/>
      <c r="AE2944" s="9"/>
      <c r="AF2944" s="9"/>
      <c r="AG2944" s="64"/>
      <c r="AH2944" s="3"/>
      <c r="AI2944" s="2"/>
      <c r="AJ2944" s="2"/>
      <c r="AK2944" s="2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65"/>
    </row>
    <row r="2945" spans="1:59" x14ac:dyDescent="0.3">
      <c r="A2945" s="6"/>
      <c r="B2945" s="6"/>
      <c r="C2945" s="39"/>
      <c r="D2945" s="6"/>
      <c r="E2945" s="149"/>
      <c r="F2945" s="153"/>
      <c r="G2945" s="10"/>
      <c r="H2945" s="6"/>
      <c r="I2945" s="6"/>
      <c r="J2945" s="6"/>
      <c r="K2945" s="6"/>
      <c r="L2945" s="6"/>
      <c r="M2945" s="6"/>
      <c r="N2945" s="6"/>
      <c r="O2945" s="6"/>
      <c r="P2945" s="6"/>
      <c r="Q2945" s="6"/>
      <c r="R2945" s="6"/>
      <c r="S2945" s="6"/>
      <c r="T2945" s="6"/>
      <c r="U2945" s="5"/>
      <c r="V2945" s="5"/>
      <c r="W2945" s="13"/>
      <c r="X2945" s="4"/>
      <c r="Y2945" s="4"/>
      <c r="Z2945" s="4"/>
      <c r="AA2945" s="6"/>
      <c r="AB2945" s="5"/>
      <c r="AC2945" s="9"/>
      <c r="AD2945" s="9"/>
      <c r="AE2945" s="9"/>
      <c r="AF2945" s="9"/>
      <c r="AG2945" s="2"/>
      <c r="AH2945" s="3"/>
      <c r="AI2945" s="2"/>
      <c r="AJ2945" s="2"/>
      <c r="AK2945" s="2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</row>
    <row r="2946" spans="1:59" x14ac:dyDescent="0.3">
      <c r="A2946" s="63"/>
      <c r="B2946" s="63"/>
      <c r="C2946" s="39"/>
      <c r="D2946" s="6"/>
      <c r="E2946" s="149"/>
      <c r="F2946" s="153"/>
      <c r="G2946" s="10"/>
      <c r="H2946" s="6"/>
      <c r="I2946" s="6"/>
      <c r="J2946" s="6"/>
      <c r="K2946" s="6"/>
      <c r="L2946" s="6"/>
      <c r="M2946" s="6"/>
      <c r="N2946" s="6"/>
      <c r="O2946" s="6"/>
      <c r="P2946" s="6"/>
      <c r="Q2946" s="6"/>
      <c r="R2946" s="6"/>
      <c r="S2946" s="6"/>
      <c r="T2946" s="6"/>
      <c r="U2946" s="5"/>
      <c r="V2946" s="5"/>
      <c r="W2946" s="13"/>
      <c r="X2946" s="4"/>
      <c r="Y2946" s="4"/>
      <c r="Z2946" s="4"/>
      <c r="AA2946" s="6"/>
      <c r="AB2946" s="5"/>
      <c r="AC2946" s="9"/>
      <c r="AD2946" s="9"/>
      <c r="AE2946" s="9"/>
      <c r="AF2946" s="9"/>
      <c r="AG2946" s="64"/>
      <c r="AH2946" s="3"/>
      <c r="AI2946" s="2"/>
      <c r="AJ2946" s="2"/>
      <c r="AK2946" s="2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</row>
    <row r="2947" spans="1:59" ht="13.5" customHeight="1" x14ac:dyDescent="0.35">
      <c r="A2947" s="49"/>
      <c r="B2947" s="49"/>
      <c r="C2947" s="14"/>
      <c r="D2947" s="1"/>
      <c r="E2947" s="149"/>
      <c r="F2947" s="153"/>
      <c r="G2947" s="10"/>
      <c r="H2947" s="17"/>
      <c r="I2947" s="17"/>
      <c r="J2947" s="17"/>
      <c r="K2947" s="30"/>
      <c r="L2947" s="30"/>
      <c r="M2947" s="30"/>
      <c r="N2947" s="30"/>
      <c r="O2947" s="30"/>
      <c r="P2947" s="30"/>
      <c r="Q2947" s="30"/>
      <c r="R2947" s="30"/>
      <c r="S2947" s="30"/>
      <c r="T2947" s="30"/>
      <c r="U2947" s="30"/>
      <c r="V2947" s="30"/>
      <c r="W2947" s="29"/>
      <c r="X2947" s="15"/>
      <c r="Y2947" s="30"/>
      <c r="Z2947" s="30"/>
      <c r="AA2947" s="30"/>
      <c r="AB2947" s="30"/>
      <c r="AC2947" s="17"/>
      <c r="AD2947" s="17"/>
      <c r="AE2947" s="17"/>
      <c r="AF2947" s="17"/>
      <c r="AG2947" s="21"/>
      <c r="AH2947" s="21"/>
      <c r="AI2947" s="21"/>
      <c r="AJ2947" s="21"/>
      <c r="AK2947" s="21"/>
      <c r="AL2947" s="21"/>
      <c r="AM2947" s="21"/>
      <c r="AN2947" s="21"/>
      <c r="AO2947" s="22"/>
      <c r="AP2947" s="21"/>
      <c r="AQ2947" s="22"/>
      <c r="AR2947" s="21"/>
      <c r="AS2947" s="21"/>
      <c r="AT2947" s="21"/>
      <c r="AU2947" s="21"/>
      <c r="AV2947" s="21"/>
      <c r="AW2947" s="21"/>
      <c r="AX2947" s="22"/>
      <c r="AY2947" s="21"/>
      <c r="AZ2947" s="22"/>
      <c r="BA2947" s="21"/>
      <c r="BB2947" s="21"/>
      <c r="BC2947" s="21"/>
      <c r="BD2947" s="21"/>
      <c r="BE2947" s="26"/>
      <c r="BF2947" s="26"/>
      <c r="BG2947" s="62"/>
    </row>
    <row r="2948" spans="1:59" ht="13.5" customHeight="1" x14ac:dyDescent="0.35">
      <c r="A2948" s="49"/>
      <c r="B2948" s="49"/>
      <c r="C2948" s="39"/>
      <c r="D2948" s="1"/>
      <c r="E2948" s="149"/>
      <c r="F2948" s="153"/>
      <c r="G2948" s="10"/>
      <c r="H2948" s="17"/>
      <c r="I2948" s="17"/>
      <c r="J2948" s="17"/>
      <c r="K2948" s="30"/>
      <c r="L2948" s="30"/>
      <c r="M2948" s="30"/>
      <c r="N2948" s="30"/>
      <c r="O2948" s="30"/>
      <c r="P2948" s="30"/>
      <c r="Q2948" s="30"/>
      <c r="R2948" s="30"/>
      <c r="S2948" s="30"/>
      <c r="T2948" s="30"/>
      <c r="U2948" s="30"/>
      <c r="V2948" s="30"/>
      <c r="W2948" s="29"/>
      <c r="X2948" s="15"/>
      <c r="Y2948" s="30"/>
      <c r="Z2948" s="30"/>
      <c r="AA2948" s="30"/>
      <c r="AB2948" s="30"/>
      <c r="AC2948" s="17"/>
      <c r="AD2948" s="17"/>
      <c r="AE2948" s="17"/>
      <c r="AF2948" s="17"/>
      <c r="AG2948" s="21"/>
      <c r="AH2948" s="21"/>
      <c r="AI2948" s="21"/>
      <c r="AJ2948" s="21"/>
      <c r="AK2948" s="21"/>
      <c r="AL2948" s="21"/>
      <c r="AM2948" s="21"/>
      <c r="AN2948" s="21"/>
      <c r="AO2948" s="22"/>
      <c r="AP2948" s="21"/>
      <c r="AQ2948" s="22"/>
      <c r="AR2948" s="21"/>
      <c r="AS2948" s="21"/>
      <c r="AT2948" s="21"/>
      <c r="AU2948" s="21"/>
      <c r="AV2948" s="21"/>
      <c r="AW2948" s="21"/>
      <c r="AX2948" s="22"/>
      <c r="AY2948" s="21"/>
      <c r="AZ2948" s="22"/>
      <c r="BA2948" s="21"/>
      <c r="BB2948" s="21"/>
      <c r="BC2948" s="21"/>
      <c r="BD2948" s="21"/>
      <c r="BE2948" s="26"/>
      <c r="BF2948" s="26"/>
      <c r="BG2948" s="62"/>
    </row>
    <row r="2949" spans="1:59" ht="13.5" customHeight="1" x14ac:dyDescent="0.35">
      <c r="A2949" s="49"/>
      <c r="B2949" s="49"/>
      <c r="C2949" s="39"/>
      <c r="D2949" s="1"/>
      <c r="E2949" s="149"/>
      <c r="F2949" s="153"/>
      <c r="G2949" s="10"/>
      <c r="H2949" s="17"/>
      <c r="I2949" s="17"/>
      <c r="J2949" s="17"/>
      <c r="K2949" s="30"/>
      <c r="L2949" s="30"/>
      <c r="M2949" s="30"/>
      <c r="N2949" s="30"/>
      <c r="O2949" s="30"/>
      <c r="P2949" s="30"/>
      <c r="Q2949" s="30"/>
      <c r="R2949" s="30"/>
      <c r="S2949" s="30"/>
      <c r="T2949" s="30"/>
      <c r="U2949" s="30"/>
      <c r="V2949" s="30"/>
      <c r="W2949" s="29"/>
      <c r="X2949" s="15"/>
      <c r="Y2949" s="30"/>
      <c r="Z2949" s="30"/>
      <c r="AA2949" s="30"/>
      <c r="AB2949" s="30"/>
      <c r="AC2949" s="17"/>
      <c r="AD2949" s="17"/>
      <c r="AE2949" s="17"/>
      <c r="AF2949" s="17"/>
      <c r="AG2949" s="21"/>
      <c r="AH2949" s="21"/>
      <c r="AI2949" s="21"/>
      <c r="AJ2949" s="21"/>
      <c r="AK2949" s="21"/>
      <c r="AL2949" s="21"/>
      <c r="AM2949" s="21"/>
      <c r="AN2949" s="21"/>
      <c r="AO2949" s="22"/>
      <c r="AP2949" s="21"/>
      <c r="AQ2949" s="22"/>
      <c r="AR2949" s="21"/>
      <c r="AS2949" s="21"/>
      <c r="AT2949" s="21"/>
      <c r="AU2949" s="21"/>
      <c r="AV2949" s="21"/>
      <c r="AW2949" s="21"/>
      <c r="AX2949" s="22"/>
      <c r="AY2949" s="21"/>
      <c r="AZ2949" s="22"/>
      <c r="BA2949" s="21"/>
      <c r="BB2949" s="21"/>
      <c r="BC2949" s="21"/>
      <c r="BD2949" s="21"/>
      <c r="BE2949" s="26"/>
      <c r="BF2949" s="26"/>
      <c r="BG2949" s="62"/>
    </row>
    <row r="2950" spans="1:59" ht="13.5" customHeight="1" x14ac:dyDescent="0.35">
      <c r="A2950" s="49"/>
      <c r="B2950" s="49"/>
      <c r="C2950" s="39"/>
      <c r="D2950" s="1"/>
      <c r="E2950" s="149"/>
      <c r="F2950" s="153"/>
      <c r="G2950" s="10"/>
      <c r="H2950" s="17"/>
      <c r="I2950" s="17"/>
      <c r="J2950" s="17"/>
      <c r="K2950" s="30"/>
      <c r="L2950" s="30"/>
      <c r="M2950" s="30"/>
      <c r="N2950" s="30"/>
      <c r="O2950" s="30"/>
      <c r="P2950" s="30"/>
      <c r="Q2950" s="30"/>
      <c r="R2950" s="30"/>
      <c r="S2950" s="30"/>
      <c r="T2950" s="30"/>
      <c r="U2950" s="30"/>
      <c r="V2950" s="30"/>
      <c r="W2950" s="29"/>
      <c r="X2950" s="15"/>
      <c r="Y2950" s="30"/>
      <c r="Z2950" s="30"/>
      <c r="AA2950" s="30"/>
      <c r="AB2950" s="30"/>
      <c r="AC2950" s="17"/>
      <c r="AD2950" s="17"/>
      <c r="AE2950" s="17"/>
      <c r="AF2950" s="17"/>
      <c r="AG2950" s="21"/>
      <c r="AH2950" s="21"/>
      <c r="AI2950" s="21"/>
      <c r="AJ2950" s="21"/>
      <c r="AK2950" s="21"/>
      <c r="AL2950" s="21"/>
      <c r="AM2950" s="21"/>
      <c r="AN2950" s="21"/>
      <c r="AO2950" s="22"/>
      <c r="AP2950" s="21"/>
      <c r="AQ2950" s="22"/>
      <c r="AR2950" s="21"/>
      <c r="AS2950" s="21"/>
      <c r="AT2950" s="21"/>
      <c r="AU2950" s="21"/>
      <c r="AV2950" s="21"/>
      <c r="AW2950" s="21"/>
      <c r="AX2950" s="22"/>
      <c r="AY2950" s="21"/>
      <c r="AZ2950" s="22"/>
      <c r="BA2950" s="21"/>
      <c r="BB2950" s="21"/>
      <c r="BC2950" s="21"/>
      <c r="BD2950" s="21"/>
      <c r="BE2950" s="26"/>
      <c r="BF2950" s="26"/>
      <c r="BG2950" s="62"/>
    </row>
    <row r="2951" spans="1:59" ht="15" x14ac:dyDescent="0.35">
      <c r="A2951" s="6"/>
      <c r="B2951" s="6"/>
      <c r="C2951" s="39"/>
      <c r="D2951" s="6"/>
      <c r="E2951" s="149"/>
      <c r="F2951" s="153"/>
      <c r="G2951" s="10"/>
      <c r="H2951" s="6"/>
      <c r="I2951" s="6"/>
      <c r="J2951" s="6"/>
      <c r="K2951" s="6"/>
      <c r="L2951" s="6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12"/>
      <c r="Y2951" s="6"/>
      <c r="Z2951" s="6"/>
      <c r="AA2951" s="6"/>
      <c r="AB2951" s="6"/>
      <c r="AC2951" s="9"/>
      <c r="AD2951" s="9"/>
      <c r="AE2951" s="9"/>
      <c r="AF2951" s="9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65"/>
    </row>
    <row r="2952" spans="1:59" x14ac:dyDescent="0.3">
      <c r="A2952" s="63"/>
      <c r="B2952" s="63"/>
      <c r="C2952" s="39"/>
      <c r="D2952" s="6"/>
      <c r="E2952" s="149"/>
      <c r="F2952" s="153"/>
      <c r="G2952" s="10"/>
      <c r="H2952" s="6"/>
      <c r="I2952" s="6"/>
      <c r="J2952" s="6"/>
      <c r="K2952" s="6"/>
      <c r="L2952" s="6"/>
      <c r="M2952" s="6"/>
      <c r="N2952" s="6"/>
      <c r="O2952" s="6"/>
      <c r="P2952" s="6"/>
      <c r="Q2952" s="6"/>
      <c r="R2952" s="6"/>
      <c r="S2952" s="6"/>
      <c r="T2952" s="6"/>
      <c r="U2952" s="5"/>
      <c r="V2952" s="5"/>
      <c r="W2952" s="13"/>
      <c r="X2952" s="4"/>
      <c r="Y2952" s="4"/>
      <c r="Z2952" s="4"/>
      <c r="AA2952" s="6"/>
      <c r="AB2952" s="5"/>
      <c r="AC2952" s="9"/>
      <c r="AD2952" s="9"/>
      <c r="AE2952" s="9"/>
      <c r="AF2952" s="9"/>
      <c r="AG2952" s="64"/>
      <c r="AH2952" s="3"/>
      <c r="AI2952" s="2"/>
      <c r="AJ2952" s="2"/>
      <c r="AK2952" s="2"/>
      <c r="AL2952" s="3"/>
      <c r="AM2952" s="3"/>
      <c r="AN2952" s="3"/>
      <c r="AO2952" s="3"/>
      <c r="AP2952" s="3"/>
      <c r="AQ2952" s="3"/>
      <c r="AR2952" s="21"/>
      <c r="AS2952" s="21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</row>
    <row r="2953" spans="1:59" ht="13.5" customHeight="1" x14ac:dyDescent="0.35">
      <c r="A2953" s="49"/>
      <c r="B2953" s="49"/>
      <c r="C2953" s="14"/>
      <c r="D2953" s="1"/>
      <c r="E2953" s="149"/>
      <c r="F2953" s="153"/>
      <c r="G2953" s="10"/>
      <c r="H2953" s="17"/>
      <c r="I2953" s="17"/>
      <c r="J2953" s="17"/>
      <c r="K2953" s="30"/>
      <c r="L2953" s="30"/>
      <c r="M2953" s="30"/>
      <c r="N2953" s="30"/>
      <c r="O2953" s="30"/>
      <c r="P2953" s="30"/>
      <c r="Q2953" s="30"/>
      <c r="R2953" s="30"/>
      <c r="S2953" s="30"/>
      <c r="T2953" s="30"/>
      <c r="U2953" s="30"/>
      <c r="V2953" s="30"/>
      <c r="W2953" s="29"/>
      <c r="X2953" s="15"/>
      <c r="Y2953" s="30"/>
      <c r="Z2953" s="30"/>
      <c r="AA2953" s="30"/>
      <c r="AB2953" s="30"/>
      <c r="AC2953" s="17"/>
      <c r="AD2953" s="17"/>
      <c r="AE2953" s="17"/>
      <c r="AF2953" s="17"/>
      <c r="AG2953" s="21"/>
      <c r="AH2953" s="21"/>
      <c r="AI2953" s="21"/>
      <c r="AJ2953" s="21"/>
      <c r="AK2953" s="21"/>
      <c r="AL2953" s="21"/>
      <c r="AM2953" s="21"/>
      <c r="AN2953" s="21"/>
      <c r="AO2953" s="22"/>
      <c r="AP2953" s="21"/>
      <c r="AQ2953" s="22"/>
      <c r="AR2953" s="21"/>
      <c r="AS2953" s="21"/>
      <c r="AT2953" s="21"/>
      <c r="AU2953" s="21"/>
      <c r="AV2953" s="21"/>
      <c r="AW2953" s="21"/>
      <c r="AX2953" s="22"/>
      <c r="AY2953" s="21"/>
      <c r="AZ2953" s="22"/>
      <c r="BA2953" s="21"/>
      <c r="BB2953" s="21"/>
      <c r="BC2953" s="21"/>
      <c r="BD2953" s="21"/>
      <c r="BE2953" s="26"/>
      <c r="BF2953" s="26"/>
      <c r="BG2953" s="62"/>
    </row>
    <row r="2954" spans="1:59" ht="15" x14ac:dyDescent="0.35">
      <c r="A2954" s="63"/>
      <c r="B2954" s="63"/>
      <c r="C2954" s="39"/>
      <c r="D2954" s="6"/>
      <c r="E2954" s="149"/>
      <c r="F2954" s="153"/>
      <c r="G2954" s="10"/>
      <c r="H2954" s="6"/>
      <c r="I2954" s="6"/>
      <c r="J2954" s="6"/>
      <c r="K2954" s="6"/>
      <c r="L2954" s="6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12"/>
      <c r="Y2954" s="6"/>
      <c r="Z2954" s="6"/>
      <c r="AA2954" s="6"/>
      <c r="AB2954" s="6"/>
      <c r="AC2954" s="9"/>
      <c r="AD2954" s="9"/>
      <c r="AE2954" s="9"/>
      <c r="AF2954" s="9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21"/>
      <c r="AS2954" s="21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65"/>
    </row>
    <row r="2955" spans="1:59" x14ac:dyDescent="0.3">
      <c r="A2955" s="6"/>
      <c r="B2955" s="6"/>
      <c r="C2955" s="39"/>
      <c r="D2955" s="6"/>
      <c r="E2955" s="149"/>
      <c r="F2955" s="153"/>
      <c r="G2955" s="10"/>
      <c r="H2955" s="6"/>
      <c r="I2955" s="6"/>
      <c r="J2955" s="6"/>
      <c r="K2955" s="6"/>
      <c r="L2955" s="6"/>
      <c r="M2955" s="6"/>
      <c r="N2955" s="6"/>
      <c r="O2955" s="6"/>
      <c r="P2955" s="6"/>
      <c r="Q2955" s="6"/>
      <c r="R2955" s="6"/>
      <c r="S2955" s="6"/>
      <c r="T2955" s="6"/>
      <c r="U2955" s="5"/>
      <c r="V2955" s="5"/>
      <c r="W2955" s="13"/>
      <c r="X2955" s="4"/>
      <c r="Y2955" s="4"/>
      <c r="Z2955" s="4"/>
      <c r="AA2955" s="6"/>
      <c r="AB2955" s="5"/>
      <c r="AC2955" s="9"/>
      <c r="AD2955" s="9"/>
      <c r="AE2955" s="9"/>
      <c r="AF2955" s="9"/>
      <c r="AG2955" s="2"/>
      <c r="AH2955" s="3"/>
      <c r="AI2955" s="2"/>
      <c r="AJ2955" s="2"/>
      <c r="AK2955" s="2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  <c r="BG2955" s="3"/>
    </row>
    <row r="2956" spans="1:59" ht="13.5" customHeight="1" x14ac:dyDescent="0.35">
      <c r="A2956" s="49"/>
      <c r="B2956" s="49"/>
      <c r="C2956" s="14"/>
      <c r="D2956" s="1"/>
      <c r="E2956" s="149"/>
      <c r="F2956" s="153"/>
      <c r="G2956" s="10"/>
      <c r="H2956" s="17"/>
      <c r="I2956" s="17"/>
      <c r="J2956" s="17"/>
      <c r="K2956" s="30"/>
      <c r="L2956" s="30"/>
      <c r="M2956" s="30"/>
      <c r="N2956" s="30"/>
      <c r="O2956" s="30"/>
      <c r="P2956" s="30"/>
      <c r="Q2956" s="30"/>
      <c r="R2956" s="30"/>
      <c r="S2956" s="30"/>
      <c r="T2956" s="30"/>
      <c r="U2956" s="30"/>
      <c r="V2956" s="30"/>
      <c r="W2956" s="29"/>
      <c r="X2956" s="15"/>
      <c r="Y2956" s="30"/>
      <c r="Z2956" s="30"/>
      <c r="AA2956" s="30"/>
      <c r="AB2956" s="30"/>
      <c r="AC2956" s="17"/>
      <c r="AD2956" s="17"/>
      <c r="AE2956" s="17"/>
      <c r="AF2956" s="17"/>
      <c r="AG2956" s="21"/>
      <c r="AH2956" s="21"/>
      <c r="AI2956" s="21"/>
      <c r="AJ2956" s="21"/>
      <c r="AK2956" s="21"/>
      <c r="AL2956" s="21"/>
      <c r="AM2956" s="21"/>
      <c r="AN2956" s="21"/>
      <c r="AO2956" s="22"/>
      <c r="AP2956" s="21"/>
      <c r="AQ2956" s="22"/>
      <c r="AR2956" s="21"/>
      <c r="AS2956" s="21"/>
      <c r="AT2956" s="21"/>
      <c r="AU2956" s="21"/>
      <c r="AV2956" s="21"/>
      <c r="AW2956" s="21"/>
      <c r="AX2956" s="22"/>
      <c r="AY2956" s="21"/>
      <c r="AZ2956" s="22"/>
      <c r="BA2956" s="21"/>
      <c r="BB2956" s="21"/>
      <c r="BC2956" s="21"/>
      <c r="BD2956" s="21"/>
      <c r="BE2956" s="26"/>
      <c r="BF2956" s="26"/>
      <c r="BG2956" s="62"/>
    </row>
    <row r="2957" spans="1:59" x14ac:dyDescent="0.3">
      <c r="A2957" s="6"/>
      <c r="B2957" s="6"/>
      <c r="C2957" s="39"/>
      <c r="D2957" s="6"/>
      <c r="E2957" s="149"/>
      <c r="F2957" s="153"/>
      <c r="G2957" s="10"/>
      <c r="H2957" s="6"/>
      <c r="I2957" s="6"/>
      <c r="J2957" s="6"/>
      <c r="K2957" s="6"/>
      <c r="L2957" s="6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12"/>
      <c r="Y2957" s="6"/>
      <c r="Z2957" s="6"/>
      <c r="AA2957" s="6"/>
      <c r="AB2957" s="6"/>
      <c r="AC2957" s="9"/>
      <c r="AD2957" s="9"/>
      <c r="AE2957" s="9"/>
      <c r="AF2957" s="9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21"/>
      <c r="AS2957" s="21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  <c r="BG2957" s="3"/>
    </row>
    <row r="2958" spans="1:59" ht="13.5" customHeight="1" x14ac:dyDescent="0.35">
      <c r="A2958" s="49"/>
      <c r="B2958" s="49"/>
      <c r="C2958" s="14"/>
      <c r="D2958" s="1"/>
      <c r="E2958" s="149"/>
      <c r="F2958" s="153"/>
      <c r="G2958" s="10"/>
      <c r="H2958" s="17"/>
      <c r="I2958" s="17"/>
      <c r="J2958" s="17"/>
      <c r="K2958" s="30"/>
      <c r="L2958" s="30"/>
      <c r="M2958" s="30"/>
      <c r="N2958" s="30"/>
      <c r="O2958" s="30"/>
      <c r="P2958" s="30"/>
      <c r="Q2958" s="30"/>
      <c r="R2958" s="30"/>
      <c r="S2958" s="30"/>
      <c r="T2958" s="30"/>
      <c r="U2958" s="30"/>
      <c r="V2958" s="30"/>
      <c r="W2958" s="29"/>
      <c r="X2958" s="15"/>
      <c r="Y2958" s="30"/>
      <c r="Z2958" s="30"/>
      <c r="AA2958" s="30"/>
      <c r="AB2958" s="30"/>
      <c r="AC2958" s="17"/>
      <c r="AD2958" s="17"/>
      <c r="AE2958" s="17"/>
      <c r="AF2958" s="17"/>
      <c r="AG2958" s="21"/>
      <c r="AH2958" s="21"/>
      <c r="AI2958" s="21"/>
      <c r="AJ2958" s="21"/>
      <c r="AK2958" s="21"/>
      <c r="AL2958" s="21"/>
      <c r="AM2958" s="21"/>
      <c r="AN2958" s="21"/>
      <c r="AO2958" s="22"/>
      <c r="AP2958" s="21"/>
      <c r="AQ2958" s="22"/>
      <c r="AR2958" s="21"/>
      <c r="AS2958" s="21"/>
      <c r="AT2958" s="21"/>
      <c r="AU2958" s="21"/>
      <c r="AV2958" s="21"/>
      <c r="AW2958" s="21"/>
      <c r="AX2958" s="22"/>
      <c r="AY2958" s="21"/>
      <c r="AZ2958" s="22"/>
      <c r="BA2958" s="21"/>
      <c r="BB2958" s="21"/>
      <c r="BC2958" s="21"/>
      <c r="BD2958" s="21"/>
      <c r="BE2958" s="26"/>
      <c r="BF2958" s="26"/>
      <c r="BG2958" s="65"/>
    </row>
    <row r="2959" spans="1:59" x14ac:dyDescent="0.3">
      <c r="A2959" s="63"/>
      <c r="B2959" s="63"/>
      <c r="C2959" s="39"/>
      <c r="D2959" s="6"/>
      <c r="E2959" s="149"/>
      <c r="F2959" s="153"/>
      <c r="G2959" s="10"/>
      <c r="H2959" s="6"/>
      <c r="I2959" s="6"/>
      <c r="J2959" s="6"/>
      <c r="K2959" s="6"/>
      <c r="L2959" s="6"/>
      <c r="M2959" s="6"/>
      <c r="N2959" s="6"/>
      <c r="O2959" s="6"/>
      <c r="P2959" s="6"/>
      <c r="Q2959" s="6"/>
      <c r="R2959" s="6"/>
      <c r="S2959" s="6"/>
      <c r="T2959" s="6"/>
      <c r="U2959" s="5"/>
      <c r="V2959" s="5"/>
      <c r="W2959" s="13"/>
      <c r="X2959" s="4"/>
      <c r="Y2959" s="4"/>
      <c r="Z2959" s="4"/>
      <c r="AA2959" s="6"/>
      <c r="AB2959" s="5"/>
      <c r="AC2959" s="9"/>
      <c r="AD2959" s="9"/>
      <c r="AE2959" s="9"/>
      <c r="AF2959" s="9"/>
      <c r="AG2959" s="64"/>
      <c r="AH2959" s="3"/>
      <c r="AI2959" s="2"/>
      <c r="AJ2959" s="2"/>
      <c r="AK2959" s="2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3"/>
      <c r="BA2959" s="3"/>
      <c r="BB2959" s="3"/>
      <c r="BC2959" s="3"/>
      <c r="BD2959" s="3"/>
      <c r="BE2959" s="3"/>
      <c r="BF2959" s="3"/>
      <c r="BG2959" s="3"/>
    </row>
    <row r="2960" spans="1:59" ht="15" x14ac:dyDescent="0.35">
      <c r="A2960" s="6"/>
      <c r="B2960" s="6"/>
      <c r="C2960" s="39"/>
      <c r="D2960" s="6"/>
      <c r="E2960" s="149"/>
      <c r="F2960" s="153"/>
      <c r="G2960" s="10"/>
      <c r="H2960" s="6"/>
      <c r="I2960" s="6"/>
      <c r="J2960" s="6"/>
      <c r="K2960" s="6"/>
      <c r="L2960" s="6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12"/>
      <c r="Y2960" s="6"/>
      <c r="Z2960" s="6"/>
      <c r="AA2960" s="6"/>
      <c r="AB2960" s="6"/>
      <c r="AC2960" s="9"/>
      <c r="AD2960" s="9"/>
      <c r="AE2960" s="9"/>
      <c r="AF2960" s="9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21"/>
      <c r="AS2960" s="21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65"/>
    </row>
    <row r="2961" spans="1:59" ht="13.5" customHeight="1" x14ac:dyDescent="0.35">
      <c r="A2961" s="49"/>
      <c r="B2961" s="49"/>
      <c r="C2961" s="14"/>
      <c r="D2961" s="1"/>
      <c r="E2961" s="149"/>
      <c r="F2961" s="153"/>
      <c r="G2961" s="10"/>
      <c r="H2961" s="17"/>
      <c r="I2961" s="17"/>
      <c r="J2961" s="17"/>
      <c r="K2961" s="30"/>
      <c r="L2961" s="30"/>
      <c r="M2961" s="30"/>
      <c r="N2961" s="30"/>
      <c r="O2961" s="30"/>
      <c r="P2961" s="30"/>
      <c r="Q2961" s="30"/>
      <c r="R2961" s="30"/>
      <c r="S2961" s="30"/>
      <c r="T2961" s="30"/>
      <c r="U2961" s="30"/>
      <c r="V2961" s="30"/>
      <c r="W2961" s="29"/>
      <c r="X2961" s="15"/>
      <c r="Y2961" s="30"/>
      <c r="Z2961" s="30"/>
      <c r="AA2961" s="30"/>
      <c r="AB2961" s="30"/>
      <c r="AC2961" s="17"/>
      <c r="AD2961" s="17"/>
      <c r="AE2961" s="17"/>
      <c r="AF2961" s="17"/>
      <c r="AG2961" s="21"/>
      <c r="AH2961" s="21"/>
      <c r="AI2961" s="21"/>
      <c r="AJ2961" s="21"/>
      <c r="AK2961" s="21"/>
      <c r="AL2961" s="21"/>
      <c r="AM2961" s="21"/>
      <c r="AN2961" s="21"/>
      <c r="AO2961" s="22"/>
      <c r="AP2961" s="21"/>
      <c r="AQ2961" s="22"/>
      <c r="AR2961" s="21"/>
      <c r="AS2961" s="21"/>
      <c r="AT2961" s="21"/>
      <c r="AU2961" s="21"/>
      <c r="AV2961" s="21"/>
      <c r="AW2961" s="21"/>
      <c r="AX2961" s="22"/>
      <c r="AY2961" s="21"/>
      <c r="AZ2961" s="22"/>
      <c r="BA2961" s="21"/>
      <c r="BB2961" s="21"/>
      <c r="BC2961" s="21"/>
      <c r="BD2961" s="21"/>
      <c r="BE2961" s="26"/>
      <c r="BF2961" s="26"/>
      <c r="BG2961" s="62"/>
    </row>
    <row r="2962" spans="1:59" ht="13.5" customHeight="1" x14ac:dyDescent="0.35">
      <c r="A2962" s="49"/>
      <c r="B2962" s="49"/>
      <c r="C2962" s="39"/>
      <c r="D2962" s="1"/>
      <c r="E2962" s="149"/>
      <c r="F2962" s="153"/>
      <c r="G2962" s="10"/>
      <c r="H2962" s="17"/>
      <c r="I2962" s="17"/>
      <c r="J2962" s="17"/>
      <c r="K2962" s="30"/>
      <c r="L2962" s="30"/>
      <c r="M2962" s="30"/>
      <c r="N2962" s="30"/>
      <c r="O2962" s="30"/>
      <c r="P2962" s="30"/>
      <c r="Q2962" s="30"/>
      <c r="R2962" s="30"/>
      <c r="S2962" s="30"/>
      <c r="T2962" s="30"/>
      <c r="U2962" s="30"/>
      <c r="V2962" s="30"/>
      <c r="W2962" s="29"/>
      <c r="X2962" s="15"/>
      <c r="Y2962" s="30"/>
      <c r="Z2962" s="30"/>
      <c r="AA2962" s="30"/>
      <c r="AB2962" s="30"/>
      <c r="AC2962" s="17"/>
      <c r="AD2962" s="17"/>
      <c r="AE2962" s="17"/>
      <c r="AF2962" s="17"/>
      <c r="AG2962" s="21"/>
      <c r="AH2962" s="21"/>
      <c r="AI2962" s="21"/>
      <c r="AJ2962" s="21"/>
      <c r="AK2962" s="21"/>
      <c r="AL2962" s="21"/>
      <c r="AM2962" s="21"/>
      <c r="AN2962" s="21"/>
      <c r="AO2962" s="22"/>
      <c r="AP2962" s="21"/>
      <c r="AQ2962" s="22"/>
      <c r="AR2962" s="21"/>
      <c r="AS2962" s="21"/>
      <c r="AT2962" s="21"/>
      <c r="AU2962" s="21"/>
      <c r="AV2962" s="21"/>
      <c r="AW2962" s="21"/>
      <c r="AX2962" s="22"/>
      <c r="AY2962" s="21"/>
      <c r="AZ2962" s="22"/>
      <c r="BA2962" s="21"/>
      <c r="BB2962" s="21"/>
      <c r="BC2962" s="21"/>
      <c r="BD2962" s="21"/>
      <c r="BE2962" s="26"/>
      <c r="BF2962" s="26"/>
      <c r="BG2962" s="62"/>
    </row>
    <row r="2963" spans="1:59" ht="13.5" customHeight="1" x14ac:dyDescent="0.35">
      <c r="A2963" s="49"/>
      <c r="B2963" s="49"/>
      <c r="C2963" s="39"/>
      <c r="D2963" s="1"/>
      <c r="E2963" s="149"/>
      <c r="F2963" s="153"/>
      <c r="G2963" s="10"/>
      <c r="H2963" s="17"/>
      <c r="I2963" s="17"/>
      <c r="J2963" s="17"/>
      <c r="K2963" s="30"/>
      <c r="L2963" s="30"/>
      <c r="M2963" s="30"/>
      <c r="N2963" s="30"/>
      <c r="O2963" s="30"/>
      <c r="P2963" s="30"/>
      <c r="Q2963" s="30"/>
      <c r="R2963" s="30"/>
      <c r="S2963" s="30"/>
      <c r="T2963" s="30"/>
      <c r="U2963" s="30"/>
      <c r="V2963" s="30"/>
      <c r="W2963" s="29"/>
      <c r="X2963" s="15"/>
      <c r="Y2963" s="30"/>
      <c r="Z2963" s="30"/>
      <c r="AA2963" s="30"/>
      <c r="AB2963" s="30"/>
      <c r="AC2963" s="17"/>
      <c r="AD2963" s="17"/>
      <c r="AE2963" s="17"/>
      <c r="AF2963" s="17"/>
      <c r="AG2963" s="21"/>
      <c r="AH2963" s="21"/>
      <c r="AI2963" s="21"/>
      <c r="AJ2963" s="21"/>
      <c r="AK2963" s="21"/>
      <c r="AL2963" s="21"/>
      <c r="AM2963" s="21"/>
      <c r="AN2963" s="21"/>
      <c r="AO2963" s="22"/>
      <c r="AP2963" s="21"/>
      <c r="AQ2963" s="22"/>
      <c r="AR2963" s="21"/>
      <c r="AS2963" s="21"/>
      <c r="AT2963" s="21"/>
      <c r="AU2963" s="21"/>
      <c r="AV2963" s="21"/>
      <c r="AW2963" s="21"/>
      <c r="AX2963" s="22"/>
      <c r="AY2963" s="21"/>
      <c r="AZ2963" s="22"/>
      <c r="BA2963" s="21"/>
      <c r="BB2963" s="21"/>
      <c r="BC2963" s="21"/>
      <c r="BD2963" s="21"/>
      <c r="BE2963" s="26"/>
      <c r="BF2963" s="26"/>
      <c r="BG2963" s="62"/>
    </row>
    <row r="2964" spans="1:59" ht="13.5" customHeight="1" x14ac:dyDescent="0.35">
      <c r="A2964" s="49"/>
      <c r="B2964" s="49"/>
      <c r="C2964" s="14"/>
      <c r="D2964" s="1"/>
      <c r="E2964" s="149"/>
      <c r="F2964" s="153"/>
      <c r="G2964" s="10"/>
      <c r="H2964" s="17"/>
      <c r="I2964" s="17"/>
      <c r="J2964" s="17"/>
      <c r="K2964" s="30"/>
      <c r="L2964" s="30"/>
      <c r="M2964" s="30"/>
      <c r="N2964" s="30"/>
      <c r="O2964" s="30"/>
      <c r="P2964" s="30"/>
      <c r="Q2964" s="30"/>
      <c r="R2964" s="30"/>
      <c r="S2964" s="30"/>
      <c r="T2964" s="30"/>
      <c r="U2964" s="30"/>
      <c r="V2964" s="30"/>
      <c r="W2964" s="29"/>
      <c r="X2964" s="15"/>
      <c r="Y2964" s="30"/>
      <c r="Z2964" s="30"/>
      <c r="AA2964" s="30"/>
      <c r="AB2964" s="30"/>
      <c r="AC2964" s="17"/>
      <c r="AD2964" s="17"/>
      <c r="AE2964" s="17"/>
      <c r="AF2964" s="17"/>
      <c r="AG2964" s="21"/>
      <c r="AH2964" s="21"/>
      <c r="AI2964" s="21"/>
      <c r="AJ2964" s="21"/>
      <c r="AK2964" s="21"/>
      <c r="AL2964" s="21"/>
      <c r="AM2964" s="21"/>
      <c r="AN2964" s="21"/>
      <c r="AO2964" s="22"/>
      <c r="AP2964" s="21"/>
      <c r="AQ2964" s="22"/>
      <c r="AR2964" s="21"/>
      <c r="AS2964" s="21"/>
      <c r="AT2964" s="21"/>
      <c r="AU2964" s="21"/>
      <c r="AV2964" s="21"/>
      <c r="AW2964" s="21"/>
      <c r="AX2964" s="22"/>
      <c r="AY2964" s="21"/>
      <c r="AZ2964" s="22"/>
      <c r="BA2964" s="21"/>
      <c r="BB2964" s="21"/>
      <c r="BC2964" s="21"/>
      <c r="BD2964" s="21"/>
      <c r="BE2964" s="26"/>
      <c r="BF2964" s="26"/>
      <c r="BG2964" s="62"/>
    </row>
    <row r="2965" spans="1:59" x14ac:dyDescent="0.3">
      <c r="A2965" s="6"/>
      <c r="B2965" s="6"/>
      <c r="C2965" s="39"/>
      <c r="D2965" s="6"/>
      <c r="E2965" s="149"/>
      <c r="F2965" s="153"/>
      <c r="G2965" s="10"/>
      <c r="H2965" s="6"/>
      <c r="I2965" s="6"/>
      <c r="J2965" s="6"/>
      <c r="K2965" s="6"/>
      <c r="L2965" s="6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12"/>
      <c r="Y2965" s="6"/>
      <c r="Z2965" s="6"/>
      <c r="AA2965" s="6"/>
      <c r="AB2965" s="6"/>
      <c r="AC2965" s="9"/>
      <c r="AD2965" s="9"/>
      <c r="AE2965" s="9"/>
      <c r="AF2965" s="9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21"/>
      <c r="AS2965" s="21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</row>
    <row r="2966" spans="1:59" x14ac:dyDescent="0.3">
      <c r="A2966" s="63"/>
      <c r="B2966" s="63"/>
      <c r="C2966" s="39"/>
      <c r="D2966" s="6"/>
      <c r="E2966" s="149"/>
      <c r="F2966" s="153"/>
      <c r="G2966" s="10"/>
      <c r="H2966" s="6"/>
      <c r="I2966" s="6"/>
      <c r="J2966" s="6"/>
      <c r="K2966" s="6"/>
      <c r="L2966" s="6"/>
      <c r="M2966" s="6"/>
      <c r="N2966" s="6"/>
      <c r="O2966" s="6"/>
      <c r="P2966" s="6"/>
      <c r="Q2966" s="6"/>
      <c r="R2966" s="6"/>
      <c r="S2966" s="6"/>
      <c r="T2966" s="6"/>
      <c r="U2966" s="5"/>
      <c r="V2966" s="5"/>
      <c r="W2966" s="13"/>
      <c r="X2966" s="4"/>
      <c r="Y2966" s="4"/>
      <c r="Z2966" s="4"/>
      <c r="AA2966" s="6"/>
      <c r="AB2966" s="5"/>
      <c r="AC2966" s="9"/>
      <c r="AD2966" s="9"/>
      <c r="AE2966" s="9"/>
      <c r="AF2966" s="9"/>
      <c r="AG2966" s="64"/>
      <c r="AH2966" s="3"/>
      <c r="AI2966" s="2"/>
      <c r="AJ2966" s="2"/>
      <c r="AK2966" s="2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3"/>
      <c r="BA2966" s="3"/>
      <c r="BB2966" s="3"/>
      <c r="BC2966" s="3"/>
      <c r="BD2966" s="3"/>
      <c r="BE2966" s="3"/>
      <c r="BF2966" s="3"/>
      <c r="BG2966" s="3"/>
    </row>
    <row r="2967" spans="1:59" ht="13.5" customHeight="1" x14ac:dyDescent="0.35">
      <c r="A2967" s="49"/>
      <c r="B2967" s="49"/>
      <c r="C2967" s="39"/>
      <c r="D2967" s="1"/>
      <c r="E2967" s="149"/>
      <c r="F2967" s="153"/>
      <c r="G2967" s="10"/>
      <c r="H2967" s="17"/>
      <c r="I2967" s="17"/>
      <c r="J2967" s="17"/>
      <c r="K2967" s="30"/>
      <c r="L2967" s="30"/>
      <c r="M2967" s="30"/>
      <c r="N2967" s="30"/>
      <c r="O2967" s="30"/>
      <c r="P2967" s="30"/>
      <c r="Q2967" s="30"/>
      <c r="R2967" s="30"/>
      <c r="S2967" s="30"/>
      <c r="T2967" s="30"/>
      <c r="U2967" s="30"/>
      <c r="V2967" s="30"/>
      <c r="W2967" s="29"/>
      <c r="X2967" s="15"/>
      <c r="Y2967" s="30"/>
      <c r="Z2967" s="30"/>
      <c r="AA2967" s="30"/>
      <c r="AB2967" s="30"/>
      <c r="AC2967" s="17"/>
      <c r="AD2967" s="17"/>
      <c r="AE2967" s="17"/>
      <c r="AF2967" s="17"/>
      <c r="AG2967" s="21"/>
      <c r="AH2967" s="21"/>
      <c r="AI2967" s="21"/>
      <c r="AJ2967" s="21"/>
      <c r="AK2967" s="21"/>
      <c r="AL2967" s="21"/>
      <c r="AM2967" s="21"/>
      <c r="AN2967" s="21"/>
      <c r="AO2967" s="22"/>
      <c r="AP2967" s="21"/>
      <c r="AQ2967" s="22"/>
      <c r="AR2967" s="21"/>
      <c r="AS2967" s="21"/>
      <c r="AT2967" s="21"/>
      <c r="AU2967" s="21"/>
      <c r="AV2967" s="21"/>
      <c r="AW2967" s="21"/>
      <c r="AX2967" s="22"/>
      <c r="AY2967" s="21"/>
      <c r="AZ2967" s="22"/>
      <c r="BA2967" s="21"/>
      <c r="BB2967" s="21"/>
      <c r="BC2967" s="21"/>
      <c r="BD2967" s="21"/>
      <c r="BE2967" s="26"/>
      <c r="BF2967" s="26"/>
      <c r="BG2967" s="62"/>
    </row>
    <row r="2968" spans="1:59" ht="13.5" customHeight="1" x14ac:dyDescent="0.35">
      <c r="A2968" s="49"/>
      <c r="B2968" s="49"/>
      <c r="C2968" s="14"/>
      <c r="D2968" s="1"/>
      <c r="E2968" s="149"/>
      <c r="F2968" s="153"/>
      <c r="G2968" s="10"/>
      <c r="H2968" s="17"/>
      <c r="I2968" s="17"/>
      <c r="J2968" s="17"/>
      <c r="K2968" s="30"/>
      <c r="L2968" s="30"/>
      <c r="M2968" s="30"/>
      <c r="N2968" s="30"/>
      <c r="O2968" s="30"/>
      <c r="P2968" s="30"/>
      <c r="Q2968" s="30"/>
      <c r="R2968" s="30"/>
      <c r="S2968" s="30"/>
      <c r="T2968" s="30"/>
      <c r="U2968" s="30"/>
      <c r="V2968" s="30"/>
      <c r="W2968" s="29"/>
      <c r="X2968" s="15"/>
      <c r="Y2968" s="30"/>
      <c r="Z2968" s="30"/>
      <c r="AA2968" s="30"/>
      <c r="AB2968" s="30"/>
      <c r="AC2968" s="17"/>
      <c r="AD2968" s="17"/>
      <c r="AE2968" s="17"/>
      <c r="AF2968" s="17"/>
      <c r="AG2968" s="21"/>
      <c r="AH2968" s="21"/>
      <c r="AI2968" s="21"/>
      <c r="AJ2968" s="21"/>
      <c r="AK2968" s="21"/>
      <c r="AL2968" s="21"/>
      <c r="AM2968" s="21"/>
      <c r="AN2968" s="21"/>
      <c r="AO2968" s="22"/>
      <c r="AP2968" s="21"/>
      <c r="AQ2968" s="22"/>
      <c r="AR2968" s="21"/>
      <c r="AS2968" s="21"/>
      <c r="AT2968" s="21"/>
      <c r="AU2968" s="21"/>
      <c r="AV2968" s="21"/>
      <c r="AW2968" s="21"/>
      <c r="AX2968" s="22"/>
      <c r="AY2968" s="21"/>
      <c r="AZ2968" s="22"/>
      <c r="BA2968" s="21"/>
      <c r="BB2968" s="21"/>
      <c r="BC2968" s="21"/>
      <c r="BD2968" s="21"/>
      <c r="BE2968" s="26"/>
      <c r="BF2968" s="26"/>
      <c r="BG2968" s="62"/>
    </row>
    <row r="2969" spans="1:59" ht="13.5" customHeight="1" x14ac:dyDescent="0.35">
      <c r="A2969" s="49"/>
      <c r="B2969" s="49"/>
      <c r="C2969" s="39"/>
      <c r="D2969" s="1"/>
      <c r="E2969" s="149"/>
      <c r="F2969" s="153"/>
      <c r="G2969" s="10"/>
      <c r="H2969" s="17"/>
      <c r="I2969" s="17"/>
      <c r="J2969" s="17"/>
      <c r="K2969" s="30"/>
      <c r="L2969" s="30"/>
      <c r="M2969" s="30"/>
      <c r="N2969" s="30"/>
      <c r="O2969" s="30"/>
      <c r="P2969" s="30"/>
      <c r="Q2969" s="30"/>
      <c r="R2969" s="30"/>
      <c r="S2969" s="30"/>
      <c r="T2969" s="30"/>
      <c r="U2969" s="30"/>
      <c r="V2969" s="30"/>
      <c r="W2969" s="29"/>
      <c r="X2969" s="15"/>
      <c r="Y2969" s="30"/>
      <c r="Z2969" s="30"/>
      <c r="AA2969" s="30"/>
      <c r="AB2969" s="30"/>
      <c r="AC2969" s="17"/>
      <c r="AD2969" s="17"/>
      <c r="AE2969" s="17"/>
      <c r="AF2969" s="17"/>
      <c r="AG2969" s="21"/>
      <c r="AH2969" s="21"/>
      <c r="AI2969" s="21"/>
      <c r="AJ2969" s="21"/>
      <c r="AK2969" s="21"/>
      <c r="AL2969" s="21"/>
      <c r="AM2969" s="21"/>
      <c r="AN2969" s="21"/>
      <c r="AO2969" s="22"/>
      <c r="AP2969" s="21"/>
      <c r="AQ2969" s="22"/>
      <c r="AR2969" s="21"/>
      <c r="AS2969" s="21"/>
      <c r="AT2969" s="21"/>
      <c r="AU2969" s="21"/>
      <c r="AV2969" s="21"/>
      <c r="AW2969" s="21"/>
      <c r="AX2969" s="22"/>
      <c r="AY2969" s="21"/>
      <c r="AZ2969" s="22"/>
      <c r="BA2969" s="21"/>
      <c r="BB2969" s="21"/>
      <c r="BC2969" s="21"/>
      <c r="BD2969" s="21"/>
      <c r="BE2969" s="26"/>
      <c r="BF2969" s="26"/>
      <c r="BG2969" s="62"/>
    </row>
    <row r="2970" spans="1:59" ht="15" x14ac:dyDescent="0.35">
      <c r="A2970" s="6"/>
      <c r="B2970" s="6"/>
      <c r="C2970" s="39"/>
      <c r="D2970" s="6"/>
      <c r="E2970" s="149"/>
      <c r="F2970" s="153"/>
      <c r="G2970" s="10"/>
      <c r="H2970" s="6"/>
      <c r="I2970" s="6"/>
      <c r="J2970" s="6"/>
      <c r="K2970" s="6"/>
      <c r="L2970" s="6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12"/>
      <c r="Y2970" s="6"/>
      <c r="Z2970" s="6"/>
      <c r="AA2970" s="6"/>
      <c r="AB2970" s="6"/>
      <c r="AC2970" s="9"/>
      <c r="AD2970" s="9"/>
      <c r="AE2970" s="9"/>
      <c r="AF2970" s="9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21"/>
      <c r="AS2970" s="21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65"/>
    </row>
    <row r="2971" spans="1:59" x14ac:dyDescent="0.3">
      <c r="A2971" s="63"/>
      <c r="B2971" s="63"/>
      <c r="C2971" s="39"/>
      <c r="D2971" s="6"/>
      <c r="E2971" s="149"/>
      <c r="F2971" s="153"/>
      <c r="G2971" s="10"/>
      <c r="H2971" s="6"/>
      <c r="I2971" s="6"/>
      <c r="J2971" s="6"/>
      <c r="K2971" s="6"/>
      <c r="L2971" s="6"/>
      <c r="M2971" s="6"/>
      <c r="N2971" s="6"/>
      <c r="O2971" s="6"/>
      <c r="P2971" s="6"/>
      <c r="Q2971" s="6"/>
      <c r="R2971" s="6"/>
      <c r="S2971" s="6"/>
      <c r="T2971" s="6"/>
      <c r="U2971" s="5"/>
      <c r="V2971" s="5"/>
      <c r="W2971" s="13"/>
      <c r="X2971" s="4"/>
      <c r="Y2971" s="4"/>
      <c r="Z2971" s="4"/>
      <c r="AA2971" s="6"/>
      <c r="AB2971" s="5"/>
      <c r="AC2971" s="9"/>
      <c r="AD2971" s="9"/>
      <c r="AE2971" s="9"/>
      <c r="AF2971" s="9"/>
      <c r="AG2971" s="64"/>
      <c r="AH2971" s="3"/>
      <c r="AI2971" s="2"/>
      <c r="AJ2971" s="2"/>
      <c r="AK2971" s="2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</row>
    <row r="2972" spans="1:59" x14ac:dyDescent="0.3">
      <c r="A2972" s="6"/>
      <c r="B2972" s="6"/>
      <c r="C2972" s="39"/>
      <c r="D2972" s="6"/>
      <c r="E2972" s="149"/>
      <c r="F2972" s="153"/>
      <c r="G2972" s="10"/>
      <c r="H2972" s="6"/>
      <c r="I2972" s="6"/>
      <c r="J2972" s="6"/>
      <c r="K2972" s="6"/>
      <c r="L2972" s="6"/>
      <c r="M2972" s="6"/>
      <c r="N2972" s="6"/>
      <c r="O2972" s="6"/>
      <c r="P2972" s="6"/>
      <c r="Q2972" s="6"/>
      <c r="R2972" s="6"/>
      <c r="S2972" s="6"/>
      <c r="T2972" s="6"/>
      <c r="U2972" s="5"/>
      <c r="V2972" s="5"/>
      <c r="W2972" s="13"/>
      <c r="X2972" s="4"/>
      <c r="Y2972" s="4"/>
      <c r="Z2972" s="4"/>
      <c r="AA2972" s="6"/>
      <c r="AB2972" s="5"/>
      <c r="AC2972" s="9"/>
      <c r="AD2972" s="9"/>
      <c r="AE2972" s="9"/>
      <c r="AF2972" s="9"/>
      <c r="AG2972" s="2"/>
      <c r="AH2972" s="3"/>
      <c r="AI2972" s="2"/>
      <c r="AJ2972" s="2"/>
      <c r="AK2972" s="2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</row>
    <row r="2973" spans="1:59" x14ac:dyDescent="0.3">
      <c r="A2973" s="6"/>
      <c r="B2973" s="6"/>
      <c r="C2973" s="39"/>
      <c r="D2973" s="6"/>
      <c r="E2973" s="149"/>
      <c r="F2973" s="153"/>
      <c r="G2973" s="10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12"/>
      <c r="Y2973" s="6"/>
      <c r="Z2973" s="6"/>
      <c r="AA2973" s="6"/>
      <c r="AB2973" s="6"/>
      <c r="AC2973" s="9"/>
      <c r="AD2973" s="9"/>
      <c r="AE2973" s="9"/>
      <c r="AF2973" s="9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21"/>
      <c r="AS2973" s="21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</row>
    <row r="2974" spans="1:59" x14ac:dyDescent="0.3">
      <c r="A2974" s="63"/>
      <c r="B2974" s="63"/>
      <c r="C2974" s="39"/>
      <c r="D2974" s="6"/>
      <c r="E2974" s="149"/>
      <c r="F2974" s="153"/>
      <c r="G2974" s="10"/>
      <c r="H2974" s="6"/>
      <c r="I2974" s="6"/>
      <c r="J2974" s="6"/>
      <c r="K2974" s="6"/>
      <c r="L2974" s="6"/>
      <c r="M2974" s="6"/>
      <c r="N2974" s="6"/>
      <c r="O2974" s="6"/>
      <c r="P2974" s="6"/>
      <c r="Q2974" s="6"/>
      <c r="R2974" s="6"/>
      <c r="S2974" s="6"/>
      <c r="T2974" s="6"/>
      <c r="U2974" s="5"/>
      <c r="V2974" s="5"/>
      <c r="W2974" s="13"/>
      <c r="X2974" s="4"/>
      <c r="Y2974" s="4"/>
      <c r="Z2974" s="4"/>
      <c r="AA2974" s="6"/>
      <c r="AB2974" s="5"/>
      <c r="AC2974" s="9"/>
      <c r="AD2974" s="9"/>
      <c r="AE2974" s="9"/>
      <c r="AF2974" s="9"/>
      <c r="AG2974" s="64"/>
      <c r="AH2974" s="3"/>
      <c r="AI2974" s="2"/>
      <c r="AJ2974" s="2"/>
      <c r="AK2974" s="2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</row>
    <row r="2975" spans="1:59" ht="13.5" customHeight="1" x14ac:dyDescent="0.35">
      <c r="A2975" s="49"/>
      <c r="B2975" s="49"/>
      <c r="C2975" s="39"/>
      <c r="D2975" s="1"/>
      <c r="E2975" s="149"/>
      <c r="F2975" s="153"/>
      <c r="G2975" s="10"/>
      <c r="H2975" s="17"/>
      <c r="I2975" s="17"/>
      <c r="J2975" s="17"/>
      <c r="K2975" s="30"/>
      <c r="L2975" s="30"/>
      <c r="M2975" s="30"/>
      <c r="N2975" s="30"/>
      <c r="O2975" s="30"/>
      <c r="P2975" s="30"/>
      <c r="Q2975" s="30"/>
      <c r="R2975" s="30"/>
      <c r="S2975" s="30"/>
      <c r="T2975" s="30"/>
      <c r="U2975" s="30"/>
      <c r="V2975" s="30"/>
      <c r="W2975" s="29"/>
      <c r="X2975" s="15"/>
      <c r="Y2975" s="30"/>
      <c r="Z2975" s="30"/>
      <c r="AA2975" s="30"/>
      <c r="AB2975" s="30"/>
      <c r="AC2975" s="17"/>
      <c r="AD2975" s="17"/>
      <c r="AE2975" s="17"/>
      <c r="AF2975" s="17"/>
      <c r="AG2975" s="21"/>
      <c r="AH2975" s="21"/>
      <c r="AI2975" s="21"/>
      <c r="AJ2975" s="21"/>
      <c r="AK2975" s="21"/>
      <c r="AL2975" s="21"/>
      <c r="AM2975" s="21"/>
      <c r="AN2975" s="21"/>
      <c r="AO2975" s="22"/>
      <c r="AP2975" s="21"/>
      <c r="AQ2975" s="22"/>
      <c r="AR2975" s="21"/>
      <c r="AS2975" s="21"/>
      <c r="AT2975" s="21"/>
      <c r="AU2975" s="21"/>
      <c r="AV2975" s="21"/>
      <c r="AW2975" s="21"/>
      <c r="AX2975" s="22"/>
      <c r="AY2975" s="21"/>
      <c r="AZ2975" s="22"/>
      <c r="BA2975" s="21"/>
      <c r="BB2975" s="21"/>
      <c r="BC2975" s="21"/>
      <c r="BD2975" s="21"/>
      <c r="BE2975" s="26"/>
      <c r="BF2975" s="26"/>
      <c r="BG2975" s="62"/>
    </row>
    <row r="2976" spans="1:59" ht="13.5" customHeight="1" x14ac:dyDescent="0.35">
      <c r="A2976" s="49"/>
      <c r="B2976" s="49"/>
      <c r="C2976" s="14"/>
      <c r="D2976" s="1"/>
      <c r="E2976" s="149"/>
      <c r="F2976" s="153"/>
      <c r="G2976" s="10"/>
      <c r="H2976" s="17"/>
      <c r="I2976" s="17"/>
      <c r="J2976" s="17"/>
      <c r="K2976" s="30"/>
      <c r="L2976" s="30"/>
      <c r="M2976" s="30"/>
      <c r="N2976" s="30"/>
      <c r="O2976" s="30"/>
      <c r="P2976" s="30"/>
      <c r="Q2976" s="30"/>
      <c r="R2976" s="30"/>
      <c r="S2976" s="30"/>
      <c r="T2976" s="30"/>
      <c r="U2976" s="30"/>
      <c r="V2976" s="30"/>
      <c r="W2976" s="29"/>
      <c r="X2976" s="15"/>
      <c r="Y2976" s="30"/>
      <c r="Z2976" s="30"/>
      <c r="AA2976" s="30"/>
      <c r="AB2976" s="30"/>
      <c r="AC2976" s="17"/>
      <c r="AD2976" s="17"/>
      <c r="AE2976" s="17"/>
      <c r="AF2976" s="17"/>
      <c r="AG2976" s="21"/>
      <c r="AH2976" s="21"/>
      <c r="AI2976" s="21"/>
      <c r="AJ2976" s="21"/>
      <c r="AK2976" s="21"/>
      <c r="AL2976" s="21"/>
      <c r="AM2976" s="21"/>
      <c r="AN2976" s="21"/>
      <c r="AO2976" s="22"/>
      <c r="AP2976" s="21"/>
      <c r="AQ2976" s="22"/>
      <c r="AR2976" s="21"/>
      <c r="AS2976" s="21"/>
      <c r="AT2976" s="21"/>
      <c r="AU2976" s="21"/>
      <c r="AV2976" s="21"/>
      <c r="AW2976" s="21"/>
      <c r="AX2976" s="22"/>
      <c r="AY2976" s="21"/>
      <c r="AZ2976" s="22"/>
      <c r="BA2976" s="21"/>
      <c r="BB2976" s="21"/>
      <c r="BC2976" s="21"/>
      <c r="BD2976" s="21"/>
      <c r="BE2976" s="26"/>
      <c r="BF2976" s="26"/>
      <c r="BG2976" s="62"/>
    </row>
    <row r="2977" spans="1:59" x14ac:dyDescent="0.3">
      <c r="A2977" s="63"/>
      <c r="B2977" s="63"/>
      <c r="C2977" s="39"/>
      <c r="D2977" s="6"/>
      <c r="E2977" s="149"/>
      <c r="F2977" s="153"/>
      <c r="G2977" s="10"/>
      <c r="H2977" s="6"/>
      <c r="I2977" s="6"/>
      <c r="J2977" s="6"/>
      <c r="K2977" s="6"/>
      <c r="L2977" s="6"/>
      <c r="M2977" s="6"/>
      <c r="N2977" s="6"/>
      <c r="O2977" s="6"/>
      <c r="P2977" s="6"/>
      <c r="Q2977" s="6"/>
      <c r="R2977" s="6"/>
      <c r="S2977" s="6"/>
      <c r="T2977" s="6"/>
      <c r="U2977" s="5"/>
      <c r="V2977" s="5"/>
      <c r="W2977" s="13"/>
      <c r="X2977" s="4"/>
      <c r="Y2977" s="4"/>
      <c r="Z2977" s="4"/>
      <c r="AA2977" s="6"/>
      <c r="AB2977" s="5"/>
      <c r="AC2977" s="9"/>
      <c r="AD2977" s="9"/>
      <c r="AE2977" s="9"/>
      <c r="AF2977" s="9"/>
      <c r="AG2977" s="64"/>
      <c r="AH2977" s="3"/>
      <c r="AI2977" s="2"/>
      <c r="AJ2977" s="2"/>
      <c r="AK2977" s="2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  <c r="BG2977" s="3"/>
    </row>
    <row r="2978" spans="1:59" x14ac:dyDescent="0.3">
      <c r="A2978" s="63"/>
      <c r="B2978" s="63"/>
      <c r="C2978" s="39"/>
      <c r="D2978" s="6"/>
      <c r="E2978" s="149"/>
      <c r="F2978" s="153"/>
      <c r="G2978" s="10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5"/>
      <c r="V2978" s="5"/>
      <c r="W2978" s="13"/>
      <c r="X2978" s="4"/>
      <c r="Y2978" s="4"/>
      <c r="Z2978" s="4"/>
      <c r="AA2978" s="6"/>
      <c r="AB2978" s="5"/>
      <c r="AC2978" s="9"/>
      <c r="AD2978" s="9"/>
      <c r="AE2978" s="9"/>
      <c r="AF2978" s="9"/>
      <c r="AG2978" s="64"/>
      <c r="AH2978" s="3"/>
      <c r="AI2978" s="2"/>
      <c r="AJ2978" s="2"/>
      <c r="AK2978" s="2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</row>
    <row r="2979" spans="1:59" ht="13.5" customHeight="1" x14ac:dyDescent="0.35">
      <c r="A2979" s="49"/>
      <c r="B2979" s="49"/>
      <c r="C2979" s="14"/>
      <c r="D2979" s="1"/>
      <c r="E2979" s="149"/>
      <c r="F2979" s="153"/>
      <c r="G2979" s="10"/>
      <c r="H2979" s="17"/>
      <c r="I2979" s="17"/>
      <c r="J2979" s="17"/>
      <c r="K2979" s="30"/>
      <c r="L2979" s="30"/>
      <c r="M2979" s="30"/>
      <c r="N2979" s="30"/>
      <c r="O2979" s="30"/>
      <c r="P2979" s="30"/>
      <c r="Q2979" s="30"/>
      <c r="R2979" s="30"/>
      <c r="S2979" s="30"/>
      <c r="T2979" s="30"/>
      <c r="U2979" s="30"/>
      <c r="V2979" s="30"/>
      <c r="W2979" s="29"/>
      <c r="X2979" s="15"/>
      <c r="Y2979" s="30"/>
      <c r="Z2979" s="30"/>
      <c r="AA2979" s="30"/>
      <c r="AB2979" s="30"/>
      <c r="AC2979" s="17"/>
      <c r="AD2979" s="17"/>
      <c r="AE2979" s="17"/>
      <c r="AF2979" s="17"/>
      <c r="AG2979" s="21"/>
      <c r="AH2979" s="21"/>
      <c r="AI2979" s="21"/>
      <c r="AJ2979" s="21"/>
      <c r="AK2979" s="21"/>
      <c r="AL2979" s="21"/>
      <c r="AM2979" s="21"/>
      <c r="AN2979" s="21"/>
      <c r="AO2979" s="22"/>
      <c r="AP2979" s="21"/>
      <c r="AQ2979" s="22"/>
      <c r="AR2979" s="21"/>
      <c r="AS2979" s="21"/>
      <c r="AT2979" s="21"/>
      <c r="AU2979" s="21"/>
      <c r="AV2979" s="21"/>
      <c r="AW2979" s="21"/>
      <c r="AX2979" s="22"/>
      <c r="AY2979" s="21"/>
      <c r="AZ2979" s="22"/>
      <c r="BA2979" s="21"/>
      <c r="BB2979" s="21"/>
      <c r="BC2979" s="21"/>
      <c r="BD2979" s="21"/>
      <c r="BE2979" s="26"/>
      <c r="BF2979" s="26"/>
      <c r="BG2979" s="62"/>
    </row>
    <row r="2980" spans="1:59" ht="13.5" customHeight="1" x14ac:dyDescent="0.35">
      <c r="A2980" s="49"/>
      <c r="B2980" s="49"/>
      <c r="C2980" s="14"/>
      <c r="D2980" s="1"/>
      <c r="E2980" s="149"/>
      <c r="F2980" s="153"/>
      <c r="G2980" s="10"/>
      <c r="H2980" s="17"/>
      <c r="I2980" s="17"/>
      <c r="J2980" s="17"/>
      <c r="K2980" s="30"/>
      <c r="L2980" s="30"/>
      <c r="M2980" s="30"/>
      <c r="N2980" s="30"/>
      <c r="O2980" s="30"/>
      <c r="P2980" s="30"/>
      <c r="Q2980" s="30"/>
      <c r="R2980" s="30"/>
      <c r="S2980" s="30"/>
      <c r="T2980" s="30"/>
      <c r="U2980" s="30"/>
      <c r="V2980" s="30"/>
      <c r="W2980" s="29"/>
      <c r="X2980" s="15"/>
      <c r="Y2980" s="30"/>
      <c r="Z2980" s="30"/>
      <c r="AA2980" s="30"/>
      <c r="AB2980" s="30"/>
      <c r="AC2980" s="17"/>
      <c r="AD2980" s="17"/>
      <c r="AE2980" s="17"/>
      <c r="AF2980" s="17"/>
      <c r="AG2980" s="21"/>
      <c r="AH2980" s="21"/>
      <c r="AI2980" s="21"/>
      <c r="AJ2980" s="21"/>
      <c r="AK2980" s="21"/>
      <c r="AL2980" s="21"/>
      <c r="AM2980" s="21"/>
      <c r="AN2980" s="21"/>
      <c r="AO2980" s="22"/>
      <c r="AP2980" s="21"/>
      <c r="AQ2980" s="22"/>
      <c r="AR2980" s="21"/>
      <c r="AS2980" s="21"/>
      <c r="AT2980" s="21"/>
      <c r="AU2980" s="21"/>
      <c r="AV2980" s="21"/>
      <c r="AW2980" s="21"/>
      <c r="AX2980" s="22"/>
      <c r="AY2980" s="21"/>
      <c r="AZ2980" s="22"/>
      <c r="BA2980" s="21"/>
      <c r="BB2980" s="21"/>
      <c r="BC2980" s="21"/>
      <c r="BD2980" s="21"/>
      <c r="BE2980" s="26"/>
      <c r="BF2980" s="26"/>
      <c r="BG2980" s="62"/>
    </row>
    <row r="2981" spans="1:59" ht="13.5" customHeight="1" x14ac:dyDescent="0.35">
      <c r="A2981" s="49"/>
      <c r="B2981" s="49"/>
      <c r="C2981" s="39"/>
      <c r="D2981" s="1"/>
      <c r="E2981" s="149"/>
      <c r="F2981" s="153"/>
      <c r="G2981" s="10"/>
      <c r="H2981" s="17"/>
      <c r="I2981" s="17"/>
      <c r="J2981" s="17"/>
      <c r="K2981" s="30"/>
      <c r="L2981" s="30"/>
      <c r="M2981" s="30"/>
      <c r="N2981" s="30"/>
      <c r="O2981" s="30"/>
      <c r="P2981" s="30"/>
      <c r="Q2981" s="30"/>
      <c r="R2981" s="30"/>
      <c r="S2981" s="30"/>
      <c r="T2981" s="30"/>
      <c r="U2981" s="30"/>
      <c r="V2981" s="30"/>
      <c r="W2981" s="29"/>
      <c r="X2981" s="15"/>
      <c r="Y2981" s="30"/>
      <c r="Z2981" s="30"/>
      <c r="AA2981" s="30"/>
      <c r="AB2981" s="30"/>
      <c r="AC2981" s="17"/>
      <c r="AD2981" s="17"/>
      <c r="AE2981" s="17"/>
      <c r="AF2981" s="17"/>
      <c r="AG2981" s="21"/>
      <c r="AH2981" s="21"/>
      <c r="AI2981" s="21"/>
      <c r="AJ2981" s="21"/>
      <c r="AK2981" s="21"/>
      <c r="AL2981" s="21"/>
      <c r="AM2981" s="21"/>
      <c r="AN2981" s="21"/>
      <c r="AO2981" s="22"/>
      <c r="AP2981" s="21"/>
      <c r="AQ2981" s="22"/>
      <c r="AR2981" s="21"/>
      <c r="AS2981" s="21"/>
      <c r="AT2981" s="21"/>
      <c r="AU2981" s="21"/>
      <c r="AV2981" s="21"/>
      <c r="AW2981" s="21"/>
      <c r="AX2981" s="22"/>
      <c r="AY2981" s="21"/>
      <c r="AZ2981" s="22"/>
      <c r="BA2981" s="21"/>
      <c r="BB2981" s="21"/>
      <c r="BC2981" s="21"/>
      <c r="BD2981" s="21"/>
      <c r="BE2981" s="26"/>
      <c r="BF2981" s="26"/>
      <c r="BG2981" s="62"/>
    </row>
    <row r="2982" spans="1:59" x14ac:dyDescent="0.3">
      <c r="A2982" s="63"/>
      <c r="B2982" s="63"/>
      <c r="C2982" s="39"/>
      <c r="D2982" s="6"/>
      <c r="E2982" s="149"/>
      <c r="F2982" s="153"/>
      <c r="G2982" s="10"/>
      <c r="H2982" s="6"/>
      <c r="I2982" s="6"/>
      <c r="J2982" s="6"/>
      <c r="K2982" s="6"/>
      <c r="L2982" s="6"/>
      <c r="M2982" s="6"/>
      <c r="N2982" s="6"/>
      <c r="O2982" s="6"/>
      <c r="P2982" s="6"/>
      <c r="Q2982" s="6"/>
      <c r="R2982" s="6"/>
      <c r="S2982" s="6"/>
      <c r="T2982" s="6"/>
      <c r="U2982" s="5"/>
      <c r="V2982" s="5"/>
      <c r="W2982" s="13"/>
      <c r="X2982" s="4"/>
      <c r="Y2982" s="4"/>
      <c r="Z2982" s="4"/>
      <c r="AA2982" s="6"/>
      <c r="AB2982" s="5"/>
      <c r="AC2982" s="9"/>
      <c r="AD2982" s="9"/>
      <c r="AE2982" s="9"/>
      <c r="AF2982" s="9"/>
      <c r="AG2982" s="64"/>
      <c r="AH2982" s="3"/>
      <c r="AI2982" s="2"/>
      <c r="AJ2982" s="2"/>
      <c r="AK2982" s="2"/>
      <c r="AL2982" s="3"/>
      <c r="AM2982" s="3"/>
      <c r="AN2982" s="3"/>
      <c r="AO2982" s="3"/>
      <c r="AP2982" s="3"/>
      <c r="AQ2982" s="3"/>
      <c r="AR2982" s="21"/>
      <c r="AS2982" s="21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</row>
    <row r="2983" spans="1:59" ht="13.5" customHeight="1" x14ac:dyDescent="0.35">
      <c r="A2983" s="49"/>
      <c r="B2983" s="49"/>
      <c r="C2983" s="14"/>
      <c r="D2983" s="1"/>
      <c r="E2983" s="149"/>
      <c r="F2983" s="153"/>
      <c r="G2983" s="10"/>
      <c r="H2983" s="17"/>
      <c r="I2983" s="17"/>
      <c r="J2983" s="17"/>
      <c r="K2983" s="30"/>
      <c r="L2983" s="30"/>
      <c r="M2983" s="30"/>
      <c r="N2983" s="30"/>
      <c r="O2983" s="30"/>
      <c r="P2983" s="30"/>
      <c r="Q2983" s="30"/>
      <c r="R2983" s="30"/>
      <c r="S2983" s="30"/>
      <c r="T2983" s="30"/>
      <c r="U2983" s="30"/>
      <c r="V2983" s="30"/>
      <c r="W2983" s="29"/>
      <c r="X2983" s="15"/>
      <c r="Y2983" s="30"/>
      <c r="Z2983" s="30"/>
      <c r="AA2983" s="30"/>
      <c r="AB2983" s="30"/>
      <c r="AC2983" s="17"/>
      <c r="AD2983" s="17"/>
      <c r="AE2983" s="17"/>
      <c r="AF2983" s="17"/>
      <c r="AG2983" s="21"/>
      <c r="AH2983" s="21"/>
      <c r="AI2983" s="21"/>
      <c r="AJ2983" s="21"/>
      <c r="AK2983" s="21"/>
      <c r="AL2983" s="21"/>
      <c r="AM2983" s="21"/>
      <c r="AN2983" s="21"/>
      <c r="AO2983" s="22"/>
      <c r="AP2983" s="21"/>
      <c r="AQ2983" s="22"/>
      <c r="AR2983" s="21"/>
      <c r="AS2983" s="21"/>
      <c r="AT2983" s="21"/>
      <c r="AU2983" s="21"/>
      <c r="AV2983" s="21"/>
      <c r="AW2983" s="21"/>
      <c r="AX2983" s="22"/>
      <c r="AY2983" s="21"/>
      <c r="AZ2983" s="22"/>
      <c r="BA2983" s="21"/>
      <c r="BB2983" s="21"/>
      <c r="BC2983" s="21"/>
      <c r="BD2983" s="21"/>
      <c r="BE2983" s="26"/>
      <c r="BF2983" s="26"/>
      <c r="BG2983" s="62"/>
    </row>
    <row r="2984" spans="1:59" ht="15" x14ac:dyDescent="0.35">
      <c r="A2984" s="6"/>
      <c r="B2984" s="6"/>
      <c r="C2984" s="39"/>
      <c r="D2984" s="6"/>
      <c r="E2984" s="149"/>
      <c r="F2984" s="153"/>
      <c r="G2984" s="10"/>
      <c r="H2984" s="6"/>
      <c r="I2984" s="6"/>
      <c r="J2984" s="6"/>
      <c r="K2984" s="6"/>
      <c r="L2984" s="6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12"/>
      <c r="Y2984" s="6"/>
      <c r="Z2984" s="6"/>
      <c r="AA2984" s="6"/>
      <c r="AB2984" s="6"/>
      <c r="AC2984" s="9"/>
      <c r="AD2984" s="9"/>
      <c r="AE2984" s="9"/>
      <c r="AF2984" s="9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21"/>
      <c r="AS2984" s="21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65"/>
    </row>
    <row r="2985" spans="1:59" ht="13.5" customHeight="1" x14ac:dyDescent="0.35">
      <c r="A2985" s="49"/>
      <c r="B2985" s="49"/>
      <c r="C2985" s="14"/>
      <c r="D2985" s="1"/>
      <c r="E2985" s="149"/>
      <c r="F2985" s="153"/>
      <c r="G2985" s="10"/>
      <c r="H2985" s="17"/>
      <c r="I2985" s="17"/>
      <c r="J2985" s="17"/>
      <c r="K2985" s="30"/>
      <c r="L2985" s="30"/>
      <c r="M2985" s="30"/>
      <c r="N2985" s="30"/>
      <c r="O2985" s="30"/>
      <c r="P2985" s="30"/>
      <c r="Q2985" s="30"/>
      <c r="R2985" s="30"/>
      <c r="S2985" s="30"/>
      <c r="T2985" s="30"/>
      <c r="U2985" s="30"/>
      <c r="V2985" s="30"/>
      <c r="W2985" s="29"/>
      <c r="X2985" s="15"/>
      <c r="Y2985" s="30"/>
      <c r="Z2985" s="30"/>
      <c r="AA2985" s="30"/>
      <c r="AB2985" s="30"/>
      <c r="AC2985" s="17"/>
      <c r="AD2985" s="17"/>
      <c r="AE2985" s="17"/>
      <c r="AF2985" s="17"/>
      <c r="AG2985" s="21"/>
      <c r="AH2985" s="21"/>
      <c r="AI2985" s="21"/>
      <c r="AJ2985" s="21"/>
      <c r="AK2985" s="21"/>
      <c r="AL2985" s="21"/>
      <c r="AM2985" s="21"/>
      <c r="AN2985" s="21"/>
      <c r="AO2985" s="22"/>
      <c r="AP2985" s="21"/>
      <c r="AQ2985" s="22"/>
      <c r="AR2985" s="21"/>
      <c r="AS2985" s="21"/>
      <c r="AT2985" s="21"/>
      <c r="AU2985" s="21"/>
      <c r="AV2985" s="21"/>
      <c r="AW2985" s="21"/>
      <c r="AX2985" s="22"/>
      <c r="AY2985" s="21"/>
      <c r="AZ2985" s="22"/>
      <c r="BA2985" s="21"/>
      <c r="BB2985" s="21"/>
      <c r="BC2985" s="21"/>
      <c r="BD2985" s="21"/>
      <c r="BE2985" s="26"/>
      <c r="BF2985" s="26"/>
      <c r="BG2985" s="62"/>
    </row>
    <row r="2986" spans="1:59" ht="13.5" customHeight="1" x14ac:dyDescent="0.35">
      <c r="A2986" s="49"/>
      <c r="B2986" s="49"/>
      <c r="C2986" s="14"/>
      <c r="D2986" s="1"/>
      <c r="E2986" s="149"/>
      <c r="F2986" s="153"/>
      <c r="G2986" s="10"/>
      <c r="H2986" s="17"/>
      <c r="I2986" s="17"/>
      <c r="J2986" s="17"/>
      <c r="K2986" s="30"/>
      <c r="L2986" s="30"/>
      <c r="M2986" s="30"/>
      <c r="N2986" s="30"/>
      <c r="O2986" s="30"/>
      <c r="P2986" s="30"/>
      <c r="Q2986" s="30"/>
      <c r="R2986" s="30"/>
      <c r="S2986" s="30"/>
      <c r="T2986" s="30"/>
      <c r="U2986" s="30"/>
      <c r="V2986" s="30"/>
      <c r="W2986" s="29"/>
      <c r="X2986" s="15"/>
      <c r="Y2986" s="30"/>
      <c r="Z2986" s="30"/>
      <c r="AA2986" s="30"/>
      <c r="AB2986" s="30"/>
      <c r="AC2986" s="17"/>
      <c r="AD2986" s="17"/>
      <c r="AE2986" s="17"/>
      <c r="AF2986" s="17"/>
      <c r="AG2986" s="21"/>
      <c r="AH2986" s="21"/>
      <c r="AI2986" s="21"/>
      <c r="AJ2986" s="21"/>
      <c r="AK2986" s="21"/>
      <c r="AL2986" s="21"/>
      <c r="AM2986" s="21"/>
      <c r="AN2986" s="21"/>
      <c r="AO2986" s="22"/>
      <c r="AP2986" s="21"/>
      <c r="AQ2986" s="22"/>
      <c r="AR2986" s="21"/>
      <c r="AS2986" s="21"/>
      <c r="AT2986" s="21"/>
      <c r="AU2986" s="21"/>
      <c r="AV2986" s="21"/>
      <c r="AW2986" s="21"/>
      <c r="AX2986" s="22"/>
      <c r="AY2986" s="21"/>
      <c r="AZ2986" s="22"/>
      <c r="BA2986" s="21"/>
      <c r="BB2986" s="21"/>
      <c r="BC2986" s="21"/>
      <c r="BD2986" s="21"/>
      <c r="BE2986" s="26"/>
      <c r="BF2986" s="26"/>
      <c r="BG2986" s="62"/>
    </row>
    <row r="2987" spans="1:59" ht="13.5" customHeight="1" x14ac:dyDescent="0.35">
      <c r="A2987" s="49"/>
      <c r="B2987" s="49"/>
      <c r="C2987" s="14"/>
      <c r="D2987" s="1"/>
      <c r="E2987" s="149"/>
      <c r="F2987" s="153"/>
      <c r="G2987" s="10"/>
      <c r="H2987" s="17"/>
      <c r="I2987" s="17"/>
      <c r="J2987" s="17"/>
      <c r="K2987" s="30"/>
      <c r="L2987" s="30"/>
      <c r="M2987" s="30"/>
      <c r="N2987" s="30"/>
      <c r="O2987" s="30"/>
      <c r="P2987" s="30"/>
      <c r="Q2987" s="30"/>
      <c r="R2987" s="30"/>
      <c r="S2987" s="30"/>
      <c r="T2987" s="30"/>
      <c r="U2987" s="30"/>
      <c r="V2987" s="30"/>
      <c r="W2987" s="29"/>
      <c r="X2987" s="15"/>
      <c r="Y2987" s="30"/>
      <c r="Z2987" s="30"/>
      <c r="AA2987" s="30"/>
      <c r="AB2987" s="30"/>
      <c r="AC2987" s="17"/>
      <c r="AD2987" s="17"/>
      <c r="AE2987" s="17"/>
      <c r="AF2987" s="17"/>
      <c r="AG2987" s="21"/>
      <c r="AH2987" s="21"/>
      <c r="AI2987" s="21"/>
      <c r="AJ2987" s="21"/>
      <c r="AK2987" s="21"/>
      <c r="AL2987" s="21"/>
      <c r="AM2987" s="21"/>
      <c r="AN2987" s="21"/>
      <c r="AO2987" s="22"/>
      <c r="AP2987" s="21"/>
      <c r="AQ2987" s="22"/>
      <c r="AR2987" s="21"/>
      <c r="AS2987" s="21"/>
      <c r="AT2987" s="21"/>
      <c r="AU2987" s="21"/>
      <c r="AV2987" s="21"/>
      <c r="AW2987" s="21"/>
      <c r="AX2987" s="22"/>
      <c r="AY2987" s="21"/>
      <c r="AZ2987" s="22"/>
      <c r="BA2987" s="21"/>
      <c r="BB2987" s="21"/>
      <c r="BC2987" s="21"/>
      <c r="BD2987" s="21"/>
      <c r="BE2987" s="26"/>
      <c r="BF2987" s="26"/>
      <c r="BG2987" s="65"/>
    </row>
    <row r="2988" spans="1:59" ht="15" x14ac:dyDescent="0.35">
      <c r="A2988" s="6"/>
      <c r="B2988" s="6"/>
      <c r="C2988" s="39"/>
      <c r="D2988" s="6"/>
      <c r="E2988" s="149"/>
      <c r="F2988" s="153"/>
      <c r="G2988" s="10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12"/>
      <c r="Y2988" s="6"/>
      <c r="Z2988" s="6"/>
      <c r="AA2988" s="6"/>
      <c r="AB2988" s="6"/>
      <c r="AC2988" s="9"/>
      <c r="AD2988" s="9"/>
      <c r="AE2988" s="9"/>
      <c r="AF2988" s="9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65"/>
    </row>
    <row r="2989" spans="1:59" ht="15" x14ac:dyDescent="0.35">
      <c r="A2989" s="63"/>
      <c r="B2989" s="63"/>
      <c r="C2989" s="39"/>
      <c r="D2989" s="6"/>
      <c r="E2989" s="149"/>
      <c r="F2989" s="153"/>
      <c r="G2989" s="10"/>
      <c r="H2989" s="6"/>
      <c r="I2989" s="6"/>
      <c r="J2989" s="6"/>
      <c r="K2989" s="6"/>
      <c r="L2989" s="6"/>
      <c r="M2989" s="6"/>
      <c r="N2989" s="6"/>
      <c r="O2989" s="6"/>
      <c r="P2989" s="6"/>
      <c r="Q2989" s="6"/>
      <c r="R2989" s="6"/>
      <c r="S2989" s="6"/>
      <c r="T2989" s="6"/>
      <c r="U2989" s="5"/>
      <c r="V2989" s="5"/>
      <c r="W2989" s="13"/>
      <c r="X2989" s="4"/>
      <c r="Y2989" s="4"/>
      <c r="Z2989" s="4"/>
      <c r="AA2989" s="6"/>
      <c r="AB2989" s="5"/>
      <c r="AC2989" s="9"/>
      <c r="AD2989" s="9"/>
      <c r="AE2989" s="9"/>
      <c r="AF2989" s="9"/>
      <c r="AG2989" s="64"/>
      <c r="AH2989" s="3"/>
      <c r="AI2989" s="2"/>
      <c r="AJ2989" s="2"/>
      <c r="AK2989" s="2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  <c r="BG2989" s="65"/>
    </row>
    <row r="2990" spans="1:59" x14ac:dyDescent="0.3">
      <c r="A2990" s="6"/>
      <c r="B2990" s="6"/>
      <c r="C2990" s="39"/>
      <c r="D2990" s="6"/>
      <c r="E2990" s="149"/>
      <c r="F2990" s="153"/>
      <c r="G2990" s="10"/>
      <c r="H2990" s="6"/>
      <c r="I2990" s="6"/>
      <c r="J2990" s="6"/>
      <c r="K2990" s="6"/>
      <c r="L2990" s="6"/>
      <c r="M2990" s="6"/>
      <c r="N2990" s="6"/>
      <c r="O2990" s="6"/>
      <c r="P2990" s="6"/>
      <c r="Q2990" s="6"/>
      <c r="R2990" s="6"/>
      <c r="S2990" s="6"/>
      <c r="T2990" s="6"/>
      <c r="U2990" s="5"/>
      <c r="V2990" s="5"/>
      <c r="W2990" s="13"/>
      <c r="X2990" s="4"/>
      <c r="Y2990" s="4"/>
      <c r="Z2990" s="4"/>
      <c r="AA2990" s="6"/>
      <c r="AB2990" s="5"/>
      <c r="AC2990" s="9"/>
      <c r="AD2990" s="9"/>
      <c r="AE2990" s="9"/>
      <c r="AF2990" s="9"/>
      <c r="AG2990" s="2"/>
      <c r="AH2990" s="3"/>
      <c r="AI2990" s="2"/>
      <c r="AJ2990" s="2"/>
      <c r="AK2990" s="2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</row>
    <row r="2991" spans="1:59" ht="13.5" customHeight="1" x14ac:dyDescent="0.35">
      <c r="A2991" s="49"/>
      <c r="B2991" s="49"/>
      <c r="C2991" s="14"/>
      <c r="D2991" s="1"/>
      <c r="E2991" s="149"/>
      <c r="F2991" s="153"/>
      <c r="G2991" s="10"/>
      <c r="H2991" s="17"/>
      <c r="I2991" s="17"/>
      <c r="J2991" s="17"/>
      <c r="K2991" s="30"/>
      <c r="L2991" s="30"/>
      <c r="M2991" s="30"/>
      <c r="N2991" s="30"/>
      <c r="O2991" s="30"/>
      <c r="P2991" s="30"/>
      <c r="Q2991" s="30"/>
      <c r="R2991" s="30"/>
      <c r="S2991" s="30"/>
      <c r="T2991" s="30"/>
      <c r="U2991" s="30"/>
      <c r="V2991" s="30"/>
      <c r="W2991" s="29"/>
      <c r="X2991" s="15"/>
      <c r="Y2991" s="30"/>
      <c r="Z2991" s="30"/>
      <c r="AA2991" s="30"/>
      <c r="AB2991" s="30"/>
      <c r="AC2991" s="17"/>
      <c r="AD2991" s="17"/>
      <c r="AE2991" s="17"/>
      <c r="AF2991" s="17"/>
      <c r="AG2991" s="21"/>
      <c r="AH2991" s="21"/>
      <c r="AI2991" s="21"/>
      <c r="AJ2991" s="21"/>
      <c r="AK2991" s="21"/>
      <c r="AL2991" s="21"/>
      <c r="AM2991" s="21"/>
      <c r="AN2991" s="21"/>
      <c r="AO2991" s="22"/>
      <c r="AP2991" s="21"/>
      <c r="AQ2991" s="22"/>
      <c r="AR2991" s="21"/>
      <c r="AS2991" s="21"/>
      <c r="AT2991" s="21"/>
      <c r="AU2991" s="21"/>
      <c r="AV2991" s="21"/>
      <c r="AW2991" s="21"/>
      <c r="AX2991" s="22"/>
      <c r="AY2991" s="21"/>
      <c r="AZ2991" s="22"/>
      <c r="BA2991" s="21"/>
      <c r="BB2991" s="21"/>
      <c r="BC2991" s="21"/>
      <c r="BD2991" s="21"/>
      <c r="BE2991" s="26"/>
      <c r="BF2991" s="26"/>
      <c r="BG2991" s="62"/>
    </row>
    <row r="2992" spans="1:59" ht="13.5" customHeight="1" x14ac:dyDescent="0.35">
      <c r="A2992" s="49"/>
      <c r="B2992" s="49"/>
      <c r="C2992" s="39"/>
      <c r="D2992" s="1"/>
      <c r="E2992" s="149"/>
      <c r="F2992" s="153"/>
      <c r="G2992" s="10"/>
      <c r="H2992" s="17"/>
      <c r="I2992" s="17"/>
      <c r="J2992" s="17"/>
      <c r="K2992" s="30"/>
      <c r="L2992" s="30"/>
      <c r="M2992" s="30"/>
      <c r="N2992" s="30"/>
      <c r="O2992" s="30"/>
      <c r="P2992" s="30"/>
      <c r="Q2992" s="30"/>
      <c r="R2992" s="30"/>
      <c r="S2992" s="30"/>
      <c r="T2992" s="30"/>
      <c r="U2992" s="30"/>
      <c r="V2992" s="30"/>
      <c r="W2992" s="29"/>
      <c r="X2992" s="15"/>
      <c r="Y2992" s="30"/>
      <c r="Z2992" s="30"/>
      <c r="AA2992" s="30"/>
      <c r="AB2992" s="30"/>
      <c r="AC2992" s="17"/>
      <c r="AD2992" s="17"/>
      <c r="AE2992" s="17"/>
      <c r="AF2992" s="17"/>
      <c r="AG2992" s="21"/>
      <c r="AH2992" s="21"/>
      <c r="AI2992" s="21"/>
      <c r="AJ2992" s="21"/>
      <c r="AK2992" s="21"/>
      <c r="AL2992" s="21"/>
      <c r="AM2992" s="21"/>
      <c r="AN2992" s="21"/>
      <c r="AO2992" s="22"/>
      <c r="AP2992" s="21"/>
      <c r="AQ2992" s="22"/>
      <c r="AR2992" s="21"/>
      <c r="AS2992" s="21"/>
      <c r="AT2992" s="21"/>
      <c r="AU2992" s="21"/>
      <c r="AV2992" s="21"/>
      <c r="AW2992" s="21"/>
      <c r="AX2992" s="22"/>
      <c r="AY2992" s="21"/>
      <c r="AZ2992" s="22"/>
      <c r="BA2992" s="21"/>
      <c r="BB2992" s="21"/>
      <c r="BC2992" s="21"/>
      <c r="BD2992" s="21"/>
      <c r="BE2992" s="26"/>
      <c r="BF2992" s="26"/>
      <c r="BG2992" s="65"/>
    </row>
    <row r="2993" spans="1:59" ht="13.5" customHeight="1" x14ac:dyDescent="0.35">
      <c r="A2993" s="49"/>
      <c r="B2993" s="49"/>
      <c r="C2993" s="14"/>
      <c r="D2993" s="1"/>
      <c r="E2993" s="149"/>
      <c r="F2993" s="153"/>
      <c r="G2993" s="10"/>
      <c r="H2993" s="17"/>
      <c r="I2993" s="17"/>
      <c r="J2993" s="17"/>
      <c r="K2993" s="30"/>
      <c r="L2993" s="30"/>
      <c r="M2993" s="30"/>
      <c r="N2993" s="30"/>
      <c r="O2993" s="30"/>
      <c r="P2993" s="30"/>
      <c r="Q2993" s="30"/>
      <c r="R2993" s="30"/>
      <c r="S2993" s="30"/>
      <c r="T2993" s="30"/>
      <c r="U2993" s="30"/>
      <c r="V2993" s="30"/>
      <c r="W2993" s="29"/>
      <c r="X2993" s="15"/>
      <c r="Y2993" s="30"/>
      <c r="Z2993" s="30"/>
      <c r="AA2993" s="30"/>
      <c r="AB2993" s="30"/>
      <c r="AC2993" s="17"/>
      <c r="AD2993" s="17"/>
      <c r="AE2993" s="17"/>
      <c r="AF2993" s="17"/>
      <c r="AG2993" s="21"/>
      <c r="AH2993" s="21"/>
      <c r="AI2993" s="21"/>
      <c r="AJ2993" s="21"/>
      <c r="AK2993" s="21"/>
      <c r="AL2993" s="21"/>
      <c r="AM2993" s="21"/>
      <c r="AN2993" s="21"/>
      <c r="AO2993" s="22"/>
      <c r="AP2993" s="21"/>
      <c r="AQ2993" s="22"/>
      <c r="AR2993" s="21"/>
      <c r="AS2993" s="21"/>
      <c r="AT2993" s="21"/>
      <c r="AU2993" s="21"/>
      <c r="AV2993" s="21"/>
      <c r="AW2993" s="21"/>
      <c r="AX2993" s="22"/>
      <c r="AY2993" s="21"/>
      <c r="AZ2993" s="22"/>
      <c r="BA2993" s="21"/>
      <c r="BB2993" s="21"/>
      <c r="BC2993" s="21"/>
      <c r="BD2993" s="21"/>
      <c r="BE2993" s="26"/>
      <c r="BF2993" s="26"/>
      <c r="BG2993" s="62"/>
    </row>
    <row r="2994" spans="1:59" x14ac:dyDescent="0.3">
      <c r="A2994" s="6"/>
      <c r="B2994" s="6"/>
      <c r="C2994" s="39"/>
      <c r="D2994" s="6"/>
      <c r="E2994" s="149"/>
      <c r="F2994" s="153"/>
      <c r="G2994" s="10"/>
      <c r="H2994" s="6"/>
      <c r="I2994" s="6"/>
      <c r="J2994" s="6"/>
      <c r="K2994" s="6"/>
      <c r="L2994" s="6"/>
      <c r="M2994" s="6"/>
      <c r="N2994" s="6"/>
      <c r="O2994" s="6"/>
      <c r="P2994" s="6"/>
      <c r="Q2994" s="6"/>
      <c r="R2994" s="6"/>
      <c r="S2994" s="6"/>
      <c r="T2994" s="6"/>
      <c r="U2994" s="5"/>
      <c r="V2994" s="5"/>
      <c r="W2994" s="13"/>
      <c r="X2994" s="4"/>
      <c r="Y2994" s="4"/>
      <c r="Z2994" s="4"/>
      <c r="AA2994" s="6"/>
      <c r="AB2994" s="5"/>
      <c r="AC2994" s="9"/>
      <c r="AD2994" s="9"/>
      <c r="AE2994" s="9"/>
      <c r="AF2994" s="9"/>
      <c r="AG2994" s="2"/>
      <c r="AH2994" s="3"/>
      <c r="AI2994" s="2"/>
      <c r="AJ2994" s="2"/>
      <c r="AK2994" s="2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</row>
    <row r="2995" spans="1:59" x14ac:dyDescent="0.3">
      <c r="A2995" s="63"/>
      <c r="B2995" s="63"/>
      <c r="C2995" s="39"/>
      <c r="D2995" s="6"/>
      <c r="E2995" s="149"/>
      <c r="F2995" s="153"/>
      <c r="G2995" s="10"/>
      <c r="H2995" s="6"/>
      <c r="I2995" s="6"/>
      <c r="J2995" s="6"/>
      <c r="K2995" s="6"/>
      <c r="L2995" s="6"/>
      <c r="M2995" s="6"/>
      <c r="N2995" s="6"/>
      <c r="O2995" s="6"/>
      <c r="P2995" s="6"/>
      <c r="Q2995" s="6"/>
      <c r="R2995" s="6"/>
      <c r="S2995" s="6"/>
      <c r="T2995" s="6"/>
      <c r="U2995" s="5"/>
      <c r="V2995" s="5"/>
      <c r="W2995" s="13"/>
      <c r="X2995" s="4"/>
      <c r="Y2995" s="4"/>
      <c r="Z2995" s="4"/>
      <c r="AA2995" s="6"/>
      <c r="AB2995" s="5"/>
      <c r="AC2995" s="9"/>
      <c r="AD2995" s="9"/>
      <c r="AE2995" s="9"/>
      <c r="AF2995" s="9"/>
      <c r="AG2995" s="64"/>
      <c r="AH2995" s="3"/>
      <c r="AI2995" s="2"/>
      <c r="AJ2995" s="2"/>
      <c r="AK2995" s="2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  <c r="BG2995" s="3"/>
    </row>
    <row r="2996" spans="1:59" ht="15" x14ac:dyDescent="0.35">
      <c r="A2996" s="63"/>
      <c r="B2996" s="63"/>
      <c r="C2996" s="39"/>
      <c r="D2996" s="6"/>
      <c r="E2996" s="149"/>
      <c r="F2996" s="153"/>
      <c r="G2996" s="10"/>
      <c r="H2996" s="6"/>
      <c r="I2996" s="6"/>
      <c r="J2996" s="6"/>
      <c r="K2996" s="6"/>
      <c r="L2996" s="6"/>
      <c r="M2996" s="6"/>
      <c r="N2996" s="6"/>
      <c r="O2996" s="6"/>
      <c r="P2996" s="6"/>
      <c r="Q2996" s="6"/>
      <c r="R2996" s="6"/>
      <c r="S2996" s="6"/>
      <c r="T2996" s="6"/>
      <c r="U2996" s="5"/>
      <c r="V2996" s="5"/>
      <c r="W2996" s="13"/>
      <c r="X2996" s="4"/>
      <c r="Y2996" s="4"/>
      <c r="Z2996" s="4"/>
      <c r="AA2996" s="6"/>
      <c r="AB2996" s="5"/>
      <c r="AC2996" s="9"/>
      <c r="AD2996" s="9"/>
      <c r="AE2996" s="9"/>
      <c r="AF2996" s="9"/>
      <c r="AG2996" s="64"/>
      <c r="AH2996" s="3"/>
      <c r="AI2996" s="2"/>
      <c r="AJ2996" s="2"/>
      <c r="AK2996" s="2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/>
      <c r="BF2996" s="3"/>
      <c r="BG2996" s="65"/>
    </row>
    <row r="2997" spans="1:59" ht="13.5" customHeight="1" x14ac:dyDescent="0.35">
      <c r="A2997" s="49"/>
      <c r="B2997" s="49"/>
      <c r="C2997" s="14"/>
      <c r="D2997" s="1"/>
      <c r="E2997" s="149"/>
      <c r="F2997" s="153"/>
      <c r="G2997" s="10"/>
      <c r="H2997" s="17"/>
      <c r="I2997" s="17"/>
      <c r="J2997" s="17"/>
      <c r="K2997" s="30"/>
      <c r="L2997" s="30"/>
      <c r="M2997" s="30"/>
      <c r="N2997" s="30"/>
      <c r="O2997" s="30"/>
      <c r="P2997" s="30"/>
      <c r="Q2997" s="30"/>
      <c r="R2997" s="30"/>
      <c r="S2997" s="30"/>
      <c r="T2997" s="30"/>
      <c r="U2997" s="30"/>
      <c r="V2997" s="30"/>
      <c r="W2997" s="29"/>
      <c r="X2997" s="15"/>
      <c r="Y2997" s="30"/>
      <c r="Z2997" s="30"/>
      <c r="AA2997" s="30"/>
      <c r="AB2997" s="30"/>
      <c r="AC2997" s="17"/>
      <c r="AD2997" s="17"/>
      <c r="AE2997" s="17"/>
      <c r="AF2997" s="17"/>
      <c r="AG2997" s="21"/>
      <c r="AH2997" s="21"/>
      <c r="AI2997" s="21"/>
      <c r="AJ2997" s="21"/>
      <c r="AK2997" s="21"/>
      <c r="AL2997" s="21"/>
      <c r="AM2997" s="21"/>
      <c r="AN2997" s="21"/>
      <c r="AO2997" s="22"/>
      <c r="AP2997" s="21"/>
      <c r="AQ2997" s="22"/>
      <c r="AR2997" s="21"/>
      <c r="AS2997" s="21"/>
      <c r="AT2997" s="21"/>
      <c r="AU2997" s="21"/>
      <c r="AV2997" s="21"/>
      <c r="AW2997" s="21"/>
      <c r="AX2997" s="22"/>
      <c r="AY2997" s="21"/>
      <c r="AZ2997" s="22"/>
      <c r="BA2997" s="21"/>
      <c r="BB2997" s="21"/>
      <c r="BC2997" s="21"/>
      <c r="BD2997" s="21"/>
      <c r="BE2997" s="26"/>
      <c r="BF2997" s="26"/>
      <c r="BG2997" s="65"/>
    </row>
    <row r="2998" spans="1:59" x14ac:dyDescent="0.3">
      <c r="A2998" s="63"/>
      <c r="B2998" s="63"/>
      <c r="C2998" s="39"/>
      <c r="D2998" s="6"/>
      <c r="E2998" s="149"/>
      <c r="F2998" s="153"/>
      <c r="G2998" s="10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5"/>
      <c r="V2998" s="5"/>
      <c r="W2998" s="13"/>
      <c r="X2998" s="4"/>
      <c r="Y2998" s="4"/>
      <c r="Z2998" s="4"/>
      <c r="AA2998" s="6"/>
      <c r="AB2998" s="5"/>
      <c r="AC2998" s="9"/>
      <c r="AD2998" s="9"/>
      <c r="AE2998" s="9"/>
      <c r="AF2998" s="9"/>
      <c r="AG2998" s="64"/>
      <c r="AH2998" s="3"/>
      <c r="AI2998" s="2"/>
      <c r="AJ2998" s="2"/>
      <c r="AK2998" s="2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</row>
    <row r="2999" spans="1:59" ht="13.5" customHeight="1" x14ac:dyDescent="0.35">
      <c r="A2999" s="49"/>
      <c r="B2999" s="49"/>
      <c r="C2999" s="14"/>
      <c r="D2999" s="6"/>
      <c r="E2999" s="149"/>
      <c r="F2999" s="153"/>
      <c r="G2999" s="10"/>
      <c r="H2999" s="17"/>
      <c r="I2999" s="17"/>
      <c r="J2999" s="17"/>
      <c r="K2999" s="30"/>
      <c r="L2999" s="30"/>
      <c r="M2999" s="30"/>
      <c r="N2999" s="30"/>
      <c r="O2999" s="30"/>
      <c r="P2999" s="30"/>
      <c r="Q2999" s="30"/>
      <c r="R2999" s="30"/>
      <c r="S2999" s="30"/>
      <c r="T2999" s="30"/>
      <c r="U2999" s="30"/>
      <c r="V2999" s="30"/>
      <c r="W2999" s="29"/>
      <c r="X2999" s="15"/>
      <c r="Y2999" s="30"/>
      <c r="Z2999" s="30"/>
      <c r="AA2999" s="30"/>
      <c r="AB2999" s="30"/>
      <c r="AC2999" s="17"/>
      <c r="AD2999" s="17"/>
      <c r="AE2999" s="17"/>
      <c r="AF2999" s="17"/>
      <c r="AG2999" s="21"/>
      <c r="AH2999" s="21"/>
      <c r="AI2999" s="21"/>
      <c r="AJ2999" s="21"/>
      <c r="AK2999" s="21"/>
      <c r="AL2999" s="21"/>
      <c r="AM2999" s="21"/>
      <c r="AN2999" s="21"/>
      <c r="AO2999" s="22"/>
      <c r="AP2999" s="21"/>
      <c r="AQ2999" s="22"/>
      <c r="AR2999" s="21"/>
      <c r="AS2999" s="21"/>
      <c r="AT2999" s="21"/>
      <c r="AU2999" s="21"/>
      <c r="AV2999" s="21"/>
      <c r="AW2999" s="21"/>
      <c r="AX2999" s="22"/>
      <c r="AY2999" s="21"/>
      <c r="AZ2999" s="22"/>
      <c r="BA2999" s="21"/>
      <c r="BB2999" s="21"/>
      <c r="BC2999" s="21"/>
      <c r="BD2999" s="21"/>
      <c r="BE2999" s="26"/>
      <c r="BF2999" s="26"/>
      <c r="BG2999" s="65"/>
    </row>
    <row r="3000" spans="1:59" ht="13.5" customHeight="1" x14ac:dyDescent="0.35">
      <c r="A3000" s="49"/>
      <c r="B3000" s="49"/>
      <c r="C3000" s="14"/>
      <c r="D3000" s="1"/>
      <c r="E3000" s="149"/>
      <c r="F3000" s="153"/>
      <c r="G3000" s="10"/>
      <c r="H3000" s="17"/>
      <c r="I3000" s="17"/>
      <c r="J3000" s="17"/>
      <c r="K3000" s="30"/>
      <c r="L3000" s="30"/>
      <c r="M3000" s="30"/>
      <c r="N3000" s="30"/>
      <c r="O3000" s="30"/>
      <c r="P3000" s="30"/>
      <c r="Q3000" s="30"/>
      <c r="R3000" s="30"/>
      <c r="S3000" s="30"/>
      <c r="T3000" s="30"/>
      <c r="U3000" s="30"/>
      <c r="V3000" s="30"/>
      <c r="W3000" s="29"/>
      <c r="X3000" s="15"/>
      <c r="Y3000" s="30"/>
      <c r="Z3000" s="30"/>
      <c r="AA3000" s="30"/>
      <c r="AB3000" s="30"/>
      <c r="AC3000" s="17"/>
      <c r="AD3000" s="17"/>
      <c r="AE3000" s="17"/>
      <c r="AF3000" s="17"/>
      <c r="AG3000" s="21"/>
      <c r="AH3000" s="21"/>
      <c r="AI3000" s="21"/>
      <c r="AJ3000" s="21"/>
      <c r="AK3000" s="21"/>
      <c r="AL3000" s="21"/>
      <c r="AM3000" s="21"/>
      <c r="AN3000" s="21"/>
      <c r="AO3000" s="22"/>
      <c r="AP3000" s="21"/>
      <c r="AQ3000" s="22"/>
      <c r="AR3000" s="21"/>
      <c r="AS3000" s="21"/>
      <c r="AT3000" s="21"/>
      <c r="AU3000" s="21"/>
      <c r="AV3000" s="21"/>
      <c r="AW3000" s="21"/>
      <c r="AX3000" s="22"/>
      <c r="AY3000" s="21"/>
      <c r="AZ3000" s="22"/>
      <c r="BA3000" s="21"/>
      <c r="BB3000" s="21"/>
      <c r="BC3000" s="21"/>
      <c r="BD3000" s="21"/>
      <c r="BE3000" s="26"/>
      <c r="BF3000" s="26"/>
      <c r="BG3000" s="62"/>
    </row>
    <row r="3001" spans="1:59" x14ac:dyDescent="0.3">
      <c r="A3001" s="63"/>
      <c r="B3001" s="63"/>
      <c r="C3001" s="39"/>
      <c r="D3001" s="6"/>
      <c r="E3001" s="149"/>
      <c r="F3001" s="153"/>
      <c r="G3001" s="10"/>
      <c r="H3001" s="6"/>
      <c r="I3001" s="6"/>
      <c r="J3001" s="6"/>
      <c r="K3001" s="6"/>
      <c r="L3001" s="6"/>
      <c r="M3001" s="6"/>
      <c r="N3001" s="6"/>
      <c r="O3001" s="6"/>
      <c r="P3001" s="6"/>
      <c r="Q3001" s="6"/>
      <c r="R3001" s="6"/>
      <c r="S3001" s="6"/>
      <c r="T3001" s="6"/>
      <c r="U3001" s="5"/>
      <c r="V3001" s="5"/>
      <c r="W3001" s="13"/>
      <c r="X3001" s="4"/>
      <c r="Y3001" s="4"/>
      <c r="Z3001" s="4"/>
      <c r="AA3001" s="6"/>
      <c r="AB3001" s="5"/>
      <c r="AC3001" s="9"/>
      <c r="AD3001" s="9"/>
      <c r="AE3001" s="9"/>
      <c r="AF3001" s="9"/>
      <c r="AG3001" s="64"/>
      <c r="AH3001" s="3"/>
      <c r="AI3001" s="2"/>
      <c r="AJ3001" s="2"/>
      <c r="AK3001" s="2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3"/>
    </row>
    <row r="3002" spans="1:59" x14ac:dyDescent="0.3">
      <c r="A3002" s="6"/>
      <c r="B3002" s="6"/>
      <c r="C3002" s="39"/>
      <c r="D3002" s="6"/>
      <c r="E3002" s="149"/>
      <c r="F3002" s="153"/>
      <c r="G3002" s="10"/>
      <c r="H3002" s="6"/>
      <c r="I3002" s="6"/>
      <c r="J3002" s="6"/>
      <c r="K3002" s="6"/>
      <c r="L3002" s="6"/>
      <c r="M3002" s="6"/>
      <c r="N3002" s="6"/>
      <c r="O3002" s="6"/>
      <c r="P3002" s="6"/>
      <c r="Q3002" s="6"/>
      <c r="R3002" s="6"/>
      <c r="S3002" s="6"/>
      <c r="T3002" s="6"/>
      <c r="U3002" s="5"/>
      <c r="V3002" s="5"/>
      <c r="W3002" s="13"/>
      <c r="X3002" s="4"/>
      <c r="Y3002" s="4"/>
      <c r="Z3002" s="4"/>
      <c r="AA3002" s="6"/>
      <c r="AB3002" s="5"/>
      <c r="AC3002" s="9"/>
      <c r="AD3002" s="9"/>
      <c r="AE3002" s="9"/>
      <c r="AF3002" s="9"/>
      <c r="AG3002" s="2"/>
      <c r="AH3002" s="3"/>
      <c r="AI3002" s="2"/>
      <c r="AJ3002" s="2"/>
      <c r="AK3002" s="2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</row>
    <row r="3003" spans="1:59" x14ac:dyDescent="0.3">
      <c r="A3003" s="6"/>
      <c r="B3003" s="6"/>
      <c r="C3003" s="39"/>
      <c r="D3003" s="6"/>
      <c r="E3003" s="149"/>
      <c r="F3003" s="153"/>
      <c r="G3003" s="10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12"/>
      <c r="Y3003" s="6"/>
      <c r="Z3003" s="6"/>
      <c r="AA3003" s="6"/>
      <c r="AB3003" s="6"/>
      <c r="AC3003" s="9"/>
      <c r="AD3003" s="9"/>
      <c r="AE3003" s="9"/>
      <c r="AF3003" s="9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</row>
    <row r="3004" spans="1:59" x14ac:dyDescent="0.3">
      <c r="A3004" s="6"/>
      <c r="B3004" s="6"/>
      <c r="C3004" s="39"/>
      <c r="D3004" s="6"/>
      <c r="E3004" s="149"/>
      <c r="F3004" s="153"/>
      <c r="G3004" s="10"/>
      <c r="H3004" s="6"/>
      <c r="I3004" s="6"/>
      <c r="J3004" s="6"/>
      <c r="K3004" s="6"/>
      <c r="L3004" s="6"/>
      <c r="M3004" s="6"/>
      <c r="N3004" s="6"/>
      <c r="O3004" s="6"/>
      <c r="P3004" s="6"/>
      <c r="Q3004" s="6"/>
      <c r="R3004" s="6"/>
      <c r="S3004" s="6"/>
      <c r="T3004" s="6"/>
      <c r="U3004" s="5"/>
      <c r="V3004" s="5"/>
      <c r="W3004" s="13"/>
      <c r="X3004" s="4"/>
      <c r="Y3004" s="4"/>
      <c r="Z3004" s="4"/>
      <c r="AA3004" s="6"/>
      <c r="AB3004" s="5"/>
      <c r="AC3004" s="9"/>
      <c r="AD3004" s="9"/>
      <c r="AE3004" s="9"/>
      <c r="AF3004" s="9"/>
      <c r="AG3004" s="2"/>
      <c r="AH3004" s="3"/>
      <c r="AI3004" s="2"/>
      <c r="AJ3004" s="2"/>
      <c r="AK3004" s="2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</row>
    <row r="3005" spans="1:59" x14ac:dyDescent="0.3">
      <c r="A3005" s="6"/>
      <c r="B3005" s="6"/>
      <c r="C3005" s="39"/>
      <c r="D3005" s="6"/>
      <c r="E3005" s="149"/>
      <c r="F3005" s="153"/>
      <c r="G3005" s="10"/>
      <c r="H3005" s="6"/>
      <c r="I3005" s="6"/>
      <c r="J3005" s="6"/>
      <c r="K3005" s="6"/>
      <c r="L3005" s="6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12"/>
      <c r="Y3005" s="6"/>
      <c r="Z3005" s="6"/>
      <c r="AA3005" s="6"/>
      <c r="AB3005" s="6"/>
      <c r="AC3005" s="9"/>
      <c r="AD3005" s="9"/>
      <c r="AE3005" s="9"/>
      <c r="AF3005" s="9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21"/>
      <c r="AS3005" s="21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</row>
    <row r="3006" spans="1:59" x14ac:dyDescent="0.3">
      <c r="A3006" s="63"/>
      <c r="B3006" s="63"/>
      <c r="C3006" s="39"/>
      <c r="D3006" s="6"/>
      <c r="E3006" s="149"/>
      <c r="F3006" s="153"/>
      <c r="G3006" s="10"/>
      <c r="H3006" s="6"/>
      <c r="I3006" s="6"/>
      <c r="J3006" s="6"/>
      <c r="K3006" s="6"/>
      <c r="L3006" s="6"/>
      <c r="M3006" s="6"/>
      <c r="N3006" s="6"/>
      <c r="O3006" s="6"/>
      <c r="P3006" s="6"/>
      <c r="Q3006" s="6"/>
      <c r="R3006" s="6"/>
      <c r="S3006" s="6"/>
      <c r="T3006" s="6"/>
      <c r="U3006" s="5"/>
      <c r="V3006" s="5"/>
      <c r="W3006" s="13"/>
      <c r="X3006" s="4"/>
      <c r="Y3006" s="4"/>
      <c r="Z3006" s="4"/>
      <c r="AA3006" s="6"/>
      <c r="AB3006" s="5"/>
      <c r="AC3006" s="9"/>
      <c r="AD3006" s="9"/>
      <c r="AE3006" s="9"/>
      <c r="AF3006" s="9"/>
      <c r="AG3006" s="64"/>
      <c r="AH3006" s="3"/>
      <c r="AI3006" s="2"/>
      <c r="AJ3006" s="2"/>
      <c r="AK3006" s="2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</row>
    <row r="3007" spans="1:59" ht="13.5" customHeight="1" x14ac:dyDescent="0.35">
      <c r="A3007" s="6"/>
      <c r="B3007" s="6"/>
      <c r="C3007" s="39"/>
      <c r="D3007" s="6"/>
      <c r="E3007" s="149"/>
      <c r="F3007" s="153"/>
      <c r="G3007" s="10"/>
      <c r="H3007" s="6"/>
      <c r="I3007" s="6"/>
      <c r="J3007" s="6"/>
      <c r="K3007" s="6"/>
      <c r="L3007" s="6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12"/>
      <c r="Y3007" s="6"/>
      <c r="Z3007" s="6"/>
      <c r="AA3007" s="6"/>
      <c r="AB3007" s="6"/>
      <c r="AC3007" s="9"/>
      <c r="AD3007" s="9"/>
      <c r="AE3007" s="9"/>
      <c r="AF3007" s="9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21"/>
      <c r="AS3007" s="21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65"/>
    </row>
    <row r="3008" spans="1:59" ht="13.5" customHeight="1" x14ac:dyDescent="0.35">
      <c r="A3008" s="49"/>
      <c r="B3008" s="49"/>
      <c r="C3008" s="14"/>
      <c r="D3008" s="1"/>
      <c r="E3008" s="149"/>
      <c r="F3008" s="153"/>
      <c r="G3008" s="10"/>
      <c r="H3008" s="17"/>
      <c r="I3008" s="17"/>
      <c r="J3008" s="17"/>
      <c r="K3008" s="30"/>
      <c r="L3008" s="30"/>
      <c r="M3008" s="30"/>
      <c r="N3008" s="30"/>
      <c r="O3008" s="30"/>
      <c r="P3008" s="30"/>
      <c r="Q3008" s="30"/>
      <c r="R3008" s="30"/>
      <c r="S3008" s="30"/>
      <c r="T3008" s="30"/>
      <c r="U3008" s="30"/>
      <c r="V3008" s="30"/>
      <c r="W3008" s="29"/>
      <c r="X3008" s="15"/>
      <c r="Y3008" s="30"/>
      <c r="Z3008" s="30"/>
      <c r="AA3008" s="30"/>
      <c r="AB3008" s="30"/>
      <c r="AC3008" s="17"/>
      <c r="AD3008" s="17"/>
      <c r="AE3008" s="17"/>
      <c r="AF3008" s="17"/>
      <c r="AG3008" s="21"/>
      <c r="AH3008" s="21"/>
      <c r="AI3008" s="21"/>
      <c r="AJ3008" s="21"/>
      <c r="AK3008" s="21"/>
      <c r="AL3008" s="21"/>
      <c r="AM3008" s="21"/>
      <c r="AN3008" s="21"/>
      <c r="AO3008" s="22"/>
      <c r="AP3008" s="21"/>
      <c r="AQ3008" s="22"/>
      <c r="AR3008" s="21"/>
      <c r="AS3008" s="21"/>
      <c r="AT3008" s="21"/>
      <c r="AU3008" s="21"/>
      <c r="AV3008" s="21"/>
      <c r="AW3008" s="21"/>
      <c r="AX3008" s="22"/>
      <c r="AY3008" s="21"/>
      <c r="AZ3008" s="22"/>
      <c r="BA3008" s="21"/>
      <c r="BB3008" s="21"/>
      <c r="BC3008" s="21"/>
      <c r="BD3008" s="21"/>
      <c r="BE3008" s="26"/>
      <c r="BF3008" s="26"/>
      <c r="BG3008" s="62"/>
    </row>
    <row r="3009" spans="1:59" x14ac:dyDescent="0.3">
      <c r="A3009" s="6"/>
      <c r="B3009" s="6"/>
      <c r="C3009" s="39"/>
      <c r="D3009" s="6"/>
      <c r="E3009" s="149"/>
      <c r="F3009" s="153"/>
      <c r="G3009" s="10"/>
      <c r="H3009" s="6"/>
      <c r="I3009" s="6"/>
      <c r="J3009" s="6"/>
      <c r="K3009" s="6"/>
      <c r="L3009" s="6"/>
      <c r="M3009" s="6"/>
      <c r="N3009" s="6"/>
      <c r="O3009" s="6"/>
      <c r="P3009" s="6"/>
      <c r="Q3009" s="6"/>
      <c r="R3009" s="6"/>
      <c r="S3009" s="6"/>
      <c r="T3009" s="6"/>
      <c r="U3009" s="5"/>
      <c r="V3009" s="5"/>
      <c r="W3009" s="13"/>
      <c r="X3009" s="4"/>
      <c r="Y3009" s="4"/>
      <c r="Z3009" s="4"/>
      <c r="AA3009" s="6"/>
      <c r="AB3009" s="5"/>
      <c r="AC3009" s="9"/>
      <c r="AD3009" s="9"/>
      <c r="AE3009" s="9"/>
      <c r="AF3009" s="9"/>
      <c r="AG3009" s="2"/>
      <c r="AH3009" s="3"/>
      <c r="AI3009" s="2"/>
      <c r="AJ3009" s="2"/>
      <c r="AK3009" s="2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3"/>
    </row>
    <row r="3010" spans="1:59" ht="13.5" customHeight="1" x14ac:dyDescent="0.35">
      <c r="A3010" s="49"/>
      <c r="B3010" s="49"/>
      <c r="C3010" s="14"/>
      <c r="D3010" s="1"/>
      <c r="E3010" s="149"/>
      <c r="F3010" s="153"/>
      <c r="G3010" s="10"/>
      <c r="H3010" s="17"/>
      <c r="I3010" s="17"/>
      <c r="J3010" s="17"/>
      <c r="K3010" s="30"/>
      <c r="L3010" s="30"/>
      <c r="M3010" s="30"/>
      <c r="N3010" s="30"/>
      <c r="O3010" s="30"/>
      <c r="P3010" s="30"/>
      <c r="Q3010" s="30"/>
      <c r="R3010" s="30"/>
      <c r="S3010" s="30"/>
      <c r="T3010" s="30"/>
      <c r="U3010" s="30"/>
      <c r="V3010" s="30"/>
      <c r="W3010" s="29"/>
      <c r="X3010" s="15"/>
      <c r="Y3010" s="30"/>
      <c r="Z3010" s="30"/>
      <c r="AA3010" s="30"/>
      <c r="AB3010" s="30"/>
      <c r="AC3010" s="17"/>
      <c r="AD3010" s="17"/>
      <c r="AE3010" s="17"/>
      <c r="AF3010" s="17"/>
      <c r="AG3010" s="21"/>
      <c r="AH3010" s="21"/>
      <c r="AI3010" s="21"/>
      <c r="AJ3010" s="21"/>
      <c r="AK3010" s="21"/>
      <c r="AL3010" s="21"/>
      <c r="AM3010" s="21"/>
      <c r="AN3010" s="21"/>
      <c r="AO3010" s="22"/>
      <c r="AP3010" s="21"/>
      <c r="AQ3010" s="22"/>
      <c r="AR3010" s="21"/>
      <c r="AS3010" s="21"/>
      <c r="AT3010" s="21"/>
      <c r="AU3010" s="21"/>
      <c r="AV3010" s="21"/>
      <c r="AW3010" s="21"/>
      <c r="AX3010" s="22"/>
      <c r="AY3010" s="21"/>
      <c r="AZ3010" s="22"/>
      <c r="BA3010" s="21"/>
      <c r="BB3010" s="21"/>
      <c r="BC3010" s="21"/>
      <c r="BD3010" s="21"/>
      <c r="BE3010" s="26"/>
      <c r="BF3010" s="26"/>
      <c r="BG3010" s="62"/>
    </row>
    <row r="3011" spans="1:59" ht="13.5" customHeight="1" x14ac:dyDescent="0.35">
      <c r="A3011" s="49"/>
      <c r="B3011" s="49"/>
      <c r="C3011" s="14"/>
      <c r="D3011" s="1"/>
      <c r="E3011" s="149"/>
      <c r="F3011" s="153"/>
      <c r="G3011" s="10"/>
      <c r="H3011" s="17"/>
      <c r="I3011" s="17"/>
      <c r="J3011" s="17"/>
      <c r="K3011" s="30"/>
      <c r="L3011" s="30"/>
      <c r="M3011" s="30"/>
      <c r="N3011" s="30"/>
      <c r="O3011" s="30"/>
      <c r="P3011" s="30"/>
      <c r="Q3011" s="30"/>
      <c r="R3011" s="30"/>
      <c r="S3011" s="30"/>
      <c r="T3011" s="30"/>
      <c r="U3011" s="30"/>
      <c r="V3011" s="30"/>
      <c r="W3011" s="29"/>
      <c r="X3011" s="15"/>
      <c r="Y3011" s="30"/>
      <c r="Z3011" s="30"/>
      <c r="AA3011" s="30"/>
      <c r="AB3011" s="30"/>
      <c r="AC3011" s="17"/>
      <c r="AD3011" s="17"/>
      <c r="AE3011" s="17"/>
      <c r="AF3011" s="17"/>
      <c r="AG3011" s="21"/>
      <c r="AH3011" s="21"/>
      <c r="AI3011" s="21"/>
      <c r="AJ3011" s="21"/>
      <c r="AK3011" s="21"/>
      <c r="AL3011" s="21"/>
      <c r="AM3011" s="21"/>
      <c r="AN3011" s="21"/>
      <c r="AO3011" s="22"/>
      <c r="AP3011" s="21"/>
      <c r="AQ3011" s="22"/>
      <c r="AR3011" s="21"/>
      <c r="AS3011" s="21"/>
      <c r="AT3011" s="21"/>
      <c r="AU3011" s="21"/>
      <c r="AV3011" s="21"/>
      <c r="AW3011" s="21"/>
      <c r="AX3011" s="22"/>
      <c r="AY3011" s="21"/>
      <c r="AZ3011" s="22"/>
      <c r="BA3011" s="21"/>
      <c r="BB3011" s="21"/>
      <c r="BC3011" s="21"/>
      <c r="BD3011" s="21"/>
      <c r="BE3011" s="26"/>
      <c r="BF3011" s="26"/>
      <c r="BG3011" s="62"/>
    </row>
    <row r="3012" spans="1:59" ht="13.5" customHeight="1" x14ac:dyDescent="0.35">
      <c r="A3012" s="49"/>
      <c r="B3012" s="49"/>
      <c r="C3012" s="14"/>
      <c r="D3012" s="1"/>
      <c r="E3012" s="149"/>
      <c r="F3012" s="153"/>
      <c r="G3012" s="10"/>
      <c r="H3012" s="17"/>
      <c r="I3012" s="17"/>
      <c r="J3012" s="17"/>
      <c r="K3012" s="30"/>
      <c r="L3012" s="30"/>
      <c r="M3012" s="30"/>
      <c r="N3012" s="30"/>
      <c r="O3012" s="30"/>
      <c r="P3012" s="30"/>
      <c r="Q3012" s="30"/>
      <c r="R3012" s="30"/>
      <c r="S3012" s="30"/>
      <c r="T3012" s="30"/>
      <c r="U3012" s="30"/>
      <c r="V3012" s="30"/>
      <c r="W3012" s="29"/>
      <c r="X3012" s="15"/>
      <c r="Y3012" s="30"/>
      <c r="Z3012" s="30"/>
      <c r="AA3012" s="30"/>
      <c r="AB3012" s="30"/>
      <c r="AC3012" s="17"/>
      <c r="AD3012" s="17"/>
      <c r="AE3012" s="17"/>
      <c r="AF3012" s="17"/>
      <c r="AG3012" s="21"/>
      <c r="AH3012" s="21"/>
      <c r="AI3012" s="21"/>
      <c r="AJ3012" s="21"/>
      <c r="AK3012" s="21"/>
      <c r="AL3012" s="21"/>
      <c r="AM3012" s="21"/>
      <c r="AN3012" s="21"/>
      <c r="AO3012" s="22"/>
      <c r="AP3012" s="21"/>
      <c r="AQ3012" s="22"/>
      <c r="AR3012" s="21"/>
      <c r="AS3012" s="21"/>
      <c r="AT3012" s="21"/>
      <c r="AU3012" s="21"/>
      <c r="AV3012" s="21"/>
      <c r="AW3012" s="21"/>
      <c r="AX3012" s="22"/>
      <c r="AY3012" s="21"/>
      <c r="AZ3012" s="22"/>
      <c r="BA3012" s="21"/>
      <c r="BB3012" s="21"/>
      <c r="BC3012" s="21"/>
      <c r="BD3012" s="21"/>
      <c r="BE3012" s="26"/>
      <c r="BF3012" s="26"/>
      <c r="BG3012" s="62"/>
    </row>
    <row r="3013" spans="1:59" x14ac:dyDescent="0.3">
      <c r="A3013" s="6"/>
      <c r="B3013" s="6"/>
      <c r="C3013" s="39"/>
      <c r="D3013" s="6"/>
      <c r="E3013" s="149"/>
      <c r="F3013" s="153"/>
      <c r="G3013" s="10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12"/>
      <c r="Y3013" s="6"/>
      <c r="Z3013" s="6"/>
      <c r="AA3013" s="6"/>
      <c r="AB3013" s="6"/>
      <c r="AC3013" s="9"/>
      <c r="AD3013" s="9"/>
      <c r="AE3013" s="9"/>
      <c r="AF3013" s="9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21"/>
      <c r="AS3013" s="21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</row>
    <row r="3014" spans="1:59" ht="13.5" customHeight="1" x14ac:dyDescent="0.35">
      <c r="A3014" s="49"/>
      <c r="B3014" s="49"/>
      <c r="C3014" s="14"/>
      <c r="D3014" s="1"/>
      <c r="E3014" s="149"/>
      <c r="F3014" s="153"/>
      <c r="G3014" s="10"/>
      <c r="H3014" s="17"/>
      <c r="I3014" s="17"/>
      <c r="J3014" s="17"/>
      <c r="K3014" s="30"/>
      <c r="L3014" s="30"/>
      <c r="M3014" s="30"/>
      <c r="N3014" s="30"/>
      <c r="O3014" s="30"/>
      <c r="P3014" s="30"/>
      <c r="Q3014" s="30"/>
      <c r="R3014" s="30"/>
      <c r="S3014" s="30"/>
      <c r="T3014" s="30"/>
      <c r="U3014" s="30"/>
      <c r="V3014" s="30"/>
      <c r="W3014" s="29"/>
      <c r="X3014" s="15"/>
      <c r="Y3014" s="30"/>
      <c r="Z3014" s="30"/>
      <c r="AA3014" s="30"/>
      <c r="AB3014" s="30"/>
      <c r="AC3014" s="17"/>
      <c r="AD3014" s="17"/>
      <c r="AE3014" s="17"/>
      <c r="AF3014" s="17"/>
      <c r="AG3014" s="21"/>
      <c r="AH3014" s="21"/>
      <c r="AI3014" s="21"/>
      <c r="AJ3014" s="21"/>
      <c r="AK3014" s="21"/>
      <c r="AL3014" s="21"/>
      <c r="AM3014" s="21"/>
      <c r="AN3014" s="21"/>
      <c r="AO3014" s="22"/>
      <c r="AP3014" s="21"/>
      <c r="AQ3014" s="22"/>
      <c r="AR3014" s="21"/>
      <c r="AS3014" s="21"/>
      <c r="AT3014" s="21"/>
      <c r="AU3014" s="21"/>
      <c r="AV3014" s="21"/>
      <c r="AW3014" s="21"/>
      <c r="AX3014" s="22"/>
      <c r="AY3014" s="21"/>
      <c r="AZ3014" s="22"/>
      <c r="BA3014" s="21"/>
      <c r="BB3014" s="21"/>
      <c r="BC3014" s="21"/>
      <c r="BD3014" s="21"/>
      <c r="BE3014" s="26"/>
      <c r="BF3014" s="26"/>
      <c r="BG3014" s="65"/>
    </row>
    <row r="3015" spans="1:59" ht="13.5" customHeight="1" x14ac:dyDescent="0.35">
      <c r="A3015" s="49"/>
      <c r="B3015" s="49"/>
      <c r="C3015" s="39"/>
      <c r="D3015" s="1"/>
      <c r="E3015" s="149"/>
      <c r="F3015" s="153"/>
      <c r="G3015" s="10"/>
      <c r="H3015" s="17"/>
      <c r="I3015" s="17"/>
      <c r="J3015" s="17"/>
      <c r="K3015" s="30"/>
      <c r="L3015" s="30"/>
      <c r="M3015" s="30"/>
      <c r="N3015" s="30"/>
      <c r="O3015" s="30"/>
      <c r="P3015" s="30"/>
      <c r="Q3015" s="30"/>
      <c r="R3015" s="30"/>
      <c r="S3015" s="30"/>
      <c r="T3015" s="30"/>
      <c r="U3015" s="30"/>
      <c r="V3015" s="30"/>
      <c r="W3015" s="29"/>
      <c r="X3015" s="15"/>
      <c r="Y3015" s="30"/>
      <c r="Z3015" s="30"/>
      <c r="AA3015" s="30"/>
      <c r="AB3015" s="30"/>
      <c r="AC3015" s="17"/>
      <c r="AD3015" s="17"/>
      <c r="AE3015" s="17"/>
      <c r="AF3015" s="17"/>
      <c r="AG3015" s="21"/>
      <c r="AH3015" s="21"/>
      <c r="AI3015" s="21"/>
      <c r="AJ3015" s="21"/>
      <c r="AK3015" s="21"/>
      <c r="AL3015" s="21"/>
      <c r="AM3015" s="21"/>
      <c r="AN3015" s="21"/>
      <c r="AO3015" s="22"/>
      <c r="AP3015" s="21"/>
      <c r="AQ3015" s="22"/>
      <c r="AR3015" s="21"/>
      <c r="AS3015" s="21"/>
      <c r="AT3015" s="21"/>
      <c r="AU3015" s="21"/>
      <c r="AV3015" s="21"/>
      <c r="AW3015" s="21"/>
      <c r="AX3015" s="22"/>
      <c r="AY3015" s="21"/>
      <c r="AZ3015" s="22"/>
      <c r="BA3015" s="21"/>
      <c r="BB3015" s="21"/>
      <c r="BC3015" s="21"/>
      <c r="BD3015" s="21"/>
      <c r="BE3015" s="26"/>
      <c r="BF3015" s="26"/>
      <c r="BG3015" s="62"/>
    </row>
    <row r="3016" spans="1:59" x14ac:dyDescent="0.3">
      <c r="A3016" s="6"/>
      <c r="B3016" s="6"/>
      <c r="C3016" s="39"/>
      <c r="D3016" s="6"/>
      <c r="E3016" s="149"/>
      <c r="F3016" s="153"/>
      <c r="G3016" s="10"/>
      <c r="H3016" s="6"/>
      <c r="I3016" s="6"/>
      <c r="J3016" s="6"/>
      <c r="K3016" s="6"/>
      <c r="L3016" s="6"/>
      <c r="M3016" s="6"/>
      <c r="N3016" s="6"/>
      <c r="O3016" s="6"/>
      <c r="P3016" s="6"/>
      <c r="Q3016" s="6"/>
      <c r="R3016" s="6"/>
      <c r="S3016" s="6"/>
      <c r="T3016" s="6"/>
      <c r="U3016" s="5"/>
      <c r="V3016" s="5"/>
      <c r="W3016" s="13"/>
      <c r="X3016" s="4"/>
      <c r="Y3016" s="4"/>
      <c r="Z3016" s="4"/>
      <c r="AA3016" s="6"/>
      <c r="AB3016" s="5"/>
      <c r="AC3016" s="9"/>
      <c r="AD3016" s="9"/>
      <c r="AE3016" s="9"/>
      <c r="AF3016" s="9"/>
      <c r="AG3016" s="2"/>
      <c r="AH3016" s="3"/>
      <c r="AI3016" s="2"/>
      <c r="AJ3016" s="2"/>
      <c r="AK3016" s="2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</row>
    <row r="3017" spans="1:59" x14ac:dyDescent="0.3">
      <c r="A3017" s="6"/>
      <c r="B3017" s="6"/>
      <c r="C3017" s="39"/>
      <c r="D3017" s="6"/>
      <c r="E3017" s="149"/>
      <c r="F3017" s="153"/>
      <c r="G3017" s="10"/>
      <c r="H3017" s="6"/>
      <c r="I3017" s="6"/>
      <c r="J3017" s="6"/>
      <c r="K3017" s="6"/>
      <c r="L3017" s="6"/>
      <c r="M3017" s="6"/>
      <c r="N3017" s="6"/>
      <c r="O3017" s="6"/>
      <c r="P3017" s="6"/>
      <c r="Q3017" s="6"/>
      <c r="R3017" s="6"/>
      <c r="S3017" s="6"/>
      <c r="T3017" s="6"/>
      <c r="U3017" s="5"/>
      <c r="V3017" s="5"/>
      <c r="W3017" s="13"/>
      <c r="X3017" s="4"/>
      <c r="Y3017" s="4"/>
      <c r="Z3017" s="4"/>
      <c r="AA3017" s="6"/>
      <c r="AB3017" s="5"/>
      <c r="AC3017" s="9"/>
      <c r="AD3017" s="9"/>
      <c r="AE3017" s="9"/>
      <c r="AF3017" s="9"/>
      <c r="AG3017" s="2"/>
      <c r="AH3017" s="3"/>
      <c r="AI3017" s="2"/>
      <c r="AJ3017" s="2"/>
      <c r="AK3017" s="2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  <c r="BG3017" s="3"/>
    </row>
    <row r="3018" spans="1:59" ht="13.5" customHeight="1" x14ac:dyDescent="0.35">
      <c r="A3018" s="49"/>
      <c r="B3018" s="49"/>
      <c r="C3018" s="14"/>
      <c r="D3018" s="1"/>
      <c r="E3018" s="149"/>
      <c r="F3018" s="153"/>
      <c r="G3018" s="10"/>
      <c r="H3018" s="17"/>
      <c r="I3018" s="17"/>
      <c r="J3018" s="17"/>
      <c r="K3018" s="30"/>
      <c r="L3018" s="30"/>
      <c r="M3018" s="30"/>
      <c r="N3018" s="30"/>
      <c r="O3018" s="30"/>
      <c r="P3018" s="30"/>
      <c r="Q3018" s="30"/>
      <c r="R3018" s="30"/>
      <c r="S3018" s="30"/>
      <c r="T3018" s="30"/>
      <c r="U3018" s="30"/>
      <c r="V3018" s="30"/>
      <c r="W3018" s="29"/>
      <c r="X3018" s="15"/>
      <c r="Y3018" s="30"/>
      <c r="Z3018" s="30"/>
      <c r="AA3018" s="30"/>
      <c r="AB3018" s="30"/>
      <c r="AC3018" s="17"/>
      <c r="AD3018" s="17"/>
      <c r="AE3018" s="17"/>
      <c r="AF3018" s="17"/>
      <c r="AG3018" s="21"/>
      <c r="AH3018" s="21"/>
      <c r="AI3018" s="21"/>
      <c r="AJ3018" s="21"/>
      <c r="AK3018" s="21"/>
      <c r="AL3018" s="21"/>
      <c r="AM3018" s="21"/>
      <c r="AN3018" s="21"/>
      <c r="AO3018" s="22"/>
      <c r="AP3018" s="21"/>
      <c r="AQ3018" s="22"/>
      <c r="AR3018" s="21"/>
      <c r="AS3018" s="21"/>
      <c r="AT3018" s="21"/>
      <c r="AU3018" s="21"/>
      <c r="AV3018" s="21"/>
      <c r="AW3018" s="21"/>
      <c r="AX3018" s="22"/>
      <c r="AY3018" s="21"/>
      <c r="AZ3018" s="22"/>
      <c r="BA3018" s="21"/>
      <c r="BB3018" s="21"/>
      <c r="BC3018" s="21"/>
      <c r="BD3018" s="21"/>
      <c r="BE3018" s="26"/>
      <c r="BF3018" s="26"/>
      <c r="BG3018" s="65"/>
    </row>
    <row r="3019" spans="1:59" ht="15" x14ac:dyDescent="0.35">
      <c r="A3019" s="63"/>
      <c r="B3019" s="63"/>
      <c r="C3019" s="39"/>
      <c r="D3019" s="6"/>
      <c r="E3019" s="149"/>
      <c r="F3019" s="153"/>
      <c r="G3019" s="10"/>
      <c r="H3019" s="6"/>
      <c r="I3019" s="6"/>
      <c r="J3019" s="6"/>
      <c r="K3019" s="6"/>
      <c r="L3019" s="6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12"/>
      <c r="Y3019" s="6"/>
      <c r="Z3019" s="6"/>
      <c r="AA3019" s="6"/>
      <c r="AB3019" s="6"/>
      <c r="AC3019" s="9"/>
      <c r="AD3019" s="9"/>
      <c r="AE3019" s="9"/>
      <c r="AF3019" s="9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21"/>
      <c r="AS3019" s="21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  <c r="BG3019" s="65"/>
    </row>
    <row r="3020" spans="1:59" x14ac:dyDescent="0.3">
      <c r="A3020" s="6"/>
      <c r="B3020" s="6"/>
      <c r="C3020" s="39"/>
      <c r="D3020" s="6"/>
      <c r="E3020" s="149"/>
      <c r="F3020" s="153"/>
      <c r="G3020" s="10"/>
      <c r="H3020" s="6"/>
      <c r="I3020" s="6"/>
      <c r="J3020" s="6"/>
      <c r="K3020" s="6"/>
      <c r="L3020" s="6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12"/>
      <c r="Y3020" s="6"/>
      <c r="Z3020" s="6"/>
      <c r="AA3020" s="6"/>
      <c r="AB3020" s="6"/>
      <c r="AC3020" s="9"/>
      <c r="AD3020" s="9"/>
      <c r="AE3020" s="9"/>
      <c r="AF3020" s="9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21"/>
      <c r="AS3020" s="21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</row>
    <row r="3021" spans="1:59" x14ac:dyDescent="0.3">
      <c r="A3021" s="6"/>
      <c r="B3021" s="6"/>
      <c r="C3021" s="39"/>
      <c r="D3021" s="6"/>
      <c r="E3021" s="149"/>
      <c r="F3021" s="153"/>
      <c r="G3021" s="10"/>
      <c r="H3021" s="6"/>
      <c r="I3021" s="6"/>
      <c r="J3021" s="6"/>
      <c r="K3021" s="6"/>
      <c r="L3021" s="6"/>
      <c r="M3021" s="6"/>
      <c r="N3021" s="6"/>
      <c r="O3021" s="6"/>
      <c r="P3021" s="6"/>
      <c r="Q3021" s="6"/>
      <c r="R3021" s="6"/>
      <c r="S3021" s="6"/>
      <c r="T3021" s="6"/>
      <c r="U3021" s="5"/>
      <c r="V3021" s="5"/>
      <c r="W3021" s="13"/>
      <c r="X3021" s="4"/>
      <c r="Y3021" s="4"/>
      <c r="Z3021" s="4"/>
      <c r="AA3021" s="6"/>
      <c r="AB3021" s="5"/>
      <c r="AC3021" s="9"/>
      <c r="AD3021" s="9"/>
      <c r="AE3021" s="9"/>
      <c r="AF3021" s="9"/>
      <c r="AG3021" s="2"/>
      <c r="AH3021" s="3"/>
      <c r="AI3021" s="2"/>
      <c r="AJ3021" s="2"/>
      <c r="AK3021" s="2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</row>
    <row r="3022" spans="1:59" ht="13.5" customHeight="1" x14ac:dyDescent="0.35">
      <c r="A3022" s="49"/>
      <c r="B3022" s="49"/>
      <c r="C3022" s="14"/>
      <c r="D3022" s="1"/>
      <c r="E3022" s="149"/>
      <c r="F3022" s="153"/>
      <c r="G3022" s="10"/>
      <c r="H3022" s="17"/>
      <c r="I3022" s="17"/>
      <c r="J3022" s="17"/>
      <c r="K3022" s="30"/>
      <c r="L3022" s="30"/>
      <c r="M3022" s="30"/>
      <c r="N3022" s="30"/>
      <c r="O3022" s="30"/>
      <c r="P3022" s="30"/>
      <c r="Q3022" s="30"/>
      <c r="R3022" s="30"/>
      <c r="S3022" s="30"/>
      <c r="T3022" s="30"/>
      <c r="U3022" s="30"/>
      <c r="V3022" s="30"/>
      <c r="W3022" s="29"/>
      <c r="X3022" s="15"/>
      <c r="Y3022" s="30"/>
      <c r="Z3022" s="30"/>
      <c r="AA3022" s="30"/>
      <c r="AB3022" s="30"/>
      <c r="AC3022" s="17"/>
      <c r="AD3022" s="17"/>
      <c r="AE3022" s="17"/>
      <c r="AF3022" s="17"/>
      <c r="AG3022" s="21"/>
      <c r="AH3022" s="21"/>
      <c r="AI3022" s="21"/>
      <c r="AJ3022" s="21"/>
      <c r="AK3022" s="21"/>
      <c r="AL3022" s="21"/>
      <c r="AM3022" s="21"/>
      <c r="AN3022" s="21"/>
      <c r="AO3022" s="22"/>
      <c r="AP3022" s="21"/>
      <c r="AQ3022" s="22"/>
      <c r="AR3022" s="21"/>
      <c r="AS3022" s="21"/>
      <c r="AT3022" s="21"/>
      <c r="AU3022" s="21"/>
      <c r="AV3022" s="21"/>
      <c r="AW3022" s="21"/>
      <c r="AX3022" s="22"/>
      <c r="AY3022" s="21"/>
      <c r="AZ3022" s="22"/>
      <c r="BA3022" s="21"/>
      <c r="BB3022" s="21"/>
      <c r="BC3022" s="21"/>
      <c r="BD3022" s="21"/>
      <c r="BE3022" s="26"/>
      <c r="BF3022" s="26"/>
      <c r="BG3022" s="65"/>
    </row>
    <row r="3023" spans="1:59" x14ac:dyDescent="0.3">
      <c r="A3023" s="63"/>
      <c r="B3023" s="63"/>
      <c r="C3023" s="39"/>
      <c r="D3023" s="6"/>
      <c r="E3023" s="149"/>
      <c r="F3023" s="153"/>
      <c r="G3023" s="10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5"/>
      <c r="V3023" s="5"/>
      <c r="W3023" s="13"/>
      <c r="X3023" s="4"/>
      <c r="Y3023" s="4"/>
      <c r="Z3023" s="4"/>
      <c r="AA3023" s="6"/>
      <c r="AB3023" s="5"/>
      <c r="AC3023" s="9"/>
      <c r="AD3023" s="9"/>
      <c r="AE3023" s="9"/>
      <c r="AF3023" s="9"/>
      <c r="AG3023" s="64"/>
      <c r="AH3023" s="3"/>
      <c r="AI3023" s="2"/>
      <c r="AJ3023" s="2"/>
      <c r="AK3023" s="2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3"/>
      <c r="BA3023" s="3"/>
      <c r="BB3023" s="3"/>
      <c r="BC3023" s="3"/>
      <c r="BD3023" s="3"/>
      <c r="BE3023" s="3"/>
      <c r="BF3023" s="3"/>
      <c r="BG3023" s="3"/>
    </row>
    <row r="3024" spans="1:59" ht="13.5" customHeight="1" x14ac:dyDescent="0.35">
      <c r="A3024" s="49"/>
      <c r="B3024" s="49"/>
      <c r="C3024" s="39"/>
      <c r="D3024" s="1"/>
      <c r="E3024" s="149"/>
      <c r="F3024" s="153"/>
      <c r="G3024" s="10"/>
      <c r="H3024" s="17"/>
      <c r="I3024" s="17"/>
      <c r="J3024" s="17"/>
      <c r="K3024" s="30"/>
      <c r="L3024" s="30"/>
      <c r="M3024" s="30"/>
      <c r="N3024" s="30"/>
      <c r="O3024" s="30"/>
      <c r="P3024" s="30"/>
      <c r="Q3024" s="30"/>
      <c r="R3024" s="30"/>
      <c r="S3024" s="30"/>
      <c r="T3024" s="30"/>
      <c r="U3024" s="30"/>
      <c r="V3024" s="30"/>
      <c r="W3024" s="29"/>
      <c r="X3024" s="15"/>
      <c r="Y3024" s="30"/>
      <c r="Z3024" s="30"/>
      <c r="AA3024" s="30"/>
      <c r="AB3024" s="30"/>
      <c r="AC3024" s="17"/>
      <c r="AD3024" s="17"/>
      <c r="AE3024" s="17"/>
      <c r="AF3024" s="17"/>
      <c r="AG3024" s="21"/>
      <c r="AH3024" s="21"/>
      <c r="AI3024" s="21"/>
      <c r="AJ3024" s="21"/>
      <c r="AK3024" s="21"/>
      <c r="AL3024" s="21"/>
      <c r="AM3024" s="21"/>
      <c r="AN3024" s="21"/>
      <c r="AO3024" s="22"/>
      <c r="AP3024" s="21"/>
      <c r="AQ3024" s="22"/>
      <c r="AR3024" s="21"/>
      <c r="AS3024" s="21"/>
      <c r="AT3024" s="21"/>
      <c r="AU3024" s="21"/>
      <c r="AV3024" s="21"/>
      <c r="AW3024" s="21"/>
      <c r="AX3024" s="22"/>
      <c r="AY3024" s="21"/>
      <c r="AZ3024" s="22"/>
      <c r="BA3024" s="21"/>
      <c r="BB3024" s="21"/>
      <c r="BC3024" s="21"/>
      <c r="BD3024" s="21"/>
      <c r="BE3024" s="26"/>
      <c r="BF3024" s="26"/>
      <c r="BG3024" s="62"/>
    </row>
    <row r="3025" spans="1:59" ht="13.5" customHeight="1" x14ac:dyDescent="0.35">
      <c r="A3025" s="49"/>
      <c r="B3025" s="49"/>
      <c r="C3025" s="14"/>
      <c r="D3025" s="1"/>
      <c r="E3025" s="149"/>
      <c r="F3025" s="153"/>
      <c r="G3025" s="10"/>
      <c r="H3025" s="17"/>
      <c r="I3025" s="17"/>
      <c r="J3025" s="17"/>
      <c r="K3025" s="30"/>
      <c r="L3025" s="30"/>
      <c r="M3025" s="30"/>
      <c r="N3025" s="30"/>
      <c r="O3025" s="30"/>
      <c r="P3025" s="30"/>
      <c r="Q3025" s="30"/>
      <c r="R3025" s="30"/>
      <c r="S3025" s="30"/>
      <c r="T3025" s="30"/>
      <c r="U3025" s="30"/>
      <c r="V3025" s="30"/>
      <c r="W3025" s="29"/>
      <c r="X3025" s="15"/>
      <c r="Y3025" s="30"/>
      <c r="Z3025" s="30"/>
      <c r="AA3025" s="30"/>
      <c r="AB3025" s="30"/>
      <c r="AC3025" s="17"/>
      <c r="AD3025" s="17"/>
      <c r="AE3025" s="17"/>
      <c r="AF3025" s="17"/>
      <c r="AG3025" s="21"/>
      <c r="AH3025" s="21"/>
      <c r="AI3025" s="21"/>
      <c r="AJ3025" s="21"/>
      <c r="AK3025" s="21"/>
      <c r="AL3025" s="21"/>
      <c r="AM3025" s="21"/>
      <c r="AN3025" s="21"/>
      <c r="AO3025" s="22"/>
      <c r="AP3025" s="21"/>
      <c r="AQ3025" s="22"/>
      <c r="AR3025" s="21"/>
      <c r="AS3025" s="21"/>
      <c r="AT3025" s="21"/>
      <c r="AU3025" s="21"/>
      <c r="AV3025" s="21"/>
      <c r="AW3025" s="21"/>
      <c r="AX3025" s="22"/>
      <c r="AY3025" s="21"/>
      <c r="AZ3025" s="22"/>
      <c r="BA3025" s="21"/>
      <c r="BB3025" s="21"/>
      <c r="BC3025" s="21"/>
      <c r="BD3025" s="21"/>
      <c r="BE3025" s="26"/>
      <c r="BF3025" s="26"/>
      <c r="BG3025" s="62"/>
    </row>
    <row r="3026" spans="1:59" x14ac:dyDescent="0.3">
      <c r="A3026" s="63"/>
      <c r="B3026" s="63"/>
      <c r="C3026" s="39"/>
      <c r="D3026" s="6"/>
      <c r="E3026" s="149"/>
      <c r="F3026" s="153"/>
      <c r="G3026" s="10"/>
      <c r="H3026" s="6"/>
      <c r="I3026" s="6"/>
      <c r="J3026" s="6"/>
      <c r="K3026" s="6"/>
      <c r="L3026" s="6"/>
      <c r="M3026" s="6"/>
      <c r="N3026" s="6"/>
      <c r="O3026" s="6"/>
      <c r="P3026" s="6"/>
      <c r="Q3026" s="6"/>
      <c r="R3026" s="6"/>
      <c r="S3026" s="6"/>
      <c r="T3026" s="6"/>
      <c r="U3026" s="5"/>
      <c r="V3026" s="5"/>
      <c r="W3026" s="13"/>
      <c r="X3026" s="4"/>
      <c r="Y3026" s="4"/>
      <c r="Z3026" s="4"/>
      <c r="AA3026" s="6"/>
      <c r="AB3026" s="5"/>
      <c r="AC3026" s="9"/>
      <c r="AD3026" s="9"/>
      <c r="AE3026" s="9"/>
      <c r="AF3026" s="9"/>
      <c r="AG3026" s="64"/>
      <c r="AH3026" s="3"/>
      <c r="AI3026" s="2"/>
      <c r="AJ3026" s="2"/>
      <c r="AK3026" s="2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</row>
    <row r="3027" spans="1:59" x14ac:dyDescent="0.3">
      <c r="A3027" s="6"/>
      <c r="B3027" s="6"/>
      <c r="C3027" s="39"/>
      <c r="D3027" s="6"/>
      <c r="E3027" s="149"/>
      <c r="F3027" s="153"/>
      <c r="G3027" s="10"/>
      <c r="H3027" s="6"/>
      <c r="I3027" s="6"/>
      <c r="J3027" s="6"/>
      <c r="K3027" s="6"/>
      <c r="L3027" s="6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12"/>
      <c r="Y3027" s="6"/>
      <c r="Z3027" s="6"/>
      <c r="AA3027" s="6"/>
      <c r="AB3027" s="6"/>
      <c r="AC3027" s="9"/>
      <c r="AD3027" s="9"/>
      <c r="AE3027" s="9"/>
      <c r="AF3027" s="9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21"/>
      <c r="AS3027" s="21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</row>
    <row r="3028" spans="1:59" x14ac:dyDescent="0.3">
      <c r="A3028" s="6"/>
      <c r="B3028" s="6"/>
      <c r="C3028" s="39"/>
      <c r="D3028" s="6"/>
      <c r="E3028" s="149"/>
      <c r="F3028" s="153"/>
      <c r="G3028" s="10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12"/>
      <c r="Y3028" s="6"/>
      <c r="Z3028" s="6"/>
      <c r="AA3028" s="6"/>
      <c r="AB3028" s="6"/>
      <c r="AC3028" s="9"/>
      <c r="AD3028" s="9"/>
      <c r="AE3028" s="9"/>
      <c r="AF3028" s="9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21"/>
      <c r="AS3028" s="21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</row>
    <row r="3029" spans="1:59" ht="13.5" customHeight="1" x14ac:dyDescent="0.35">
      <c r="A3029" s="49"/>
      <c r="B3029" s="49"/>
      <c r="C3029" s="14"/>
      <c r="D3029" s="1"/>
      <c r="E3029" s="149"/>
      <c r="F3029" s="153"/>
      <c r="G3029" s="10"/>
      <c r="H3029" s="17"/>
      <c r="I3029" s="17"/>
      <c r="J3029" s="17"/>
      <c r="K3029" s="30"/>
      <c r="L3029" s="30"/>
      <c r="M3029" s="30"/>
      <c r="N3029" s="30"/>
      <c r="O3029" s="30"/>
      <c r="P3029" s="30"/>
      <c r="Q3029" s="30"/>
      <c r="R3029" s="30"/>
      <c r="S3029" s="30"/>
      <c r="T3029" s="30"/>
      <c r="U3029" s="30"/>
      <c r="V3029" s="30"/>
      <c r="W3029" s="29"/>
      <c r="X3029" s="15"/>
      <c r="Y3029" s="30"/>
      <c r="Z3029" s="30"/>
      <c r="AA3029" s="30"/>
      <c r="AB3029" s="30"/>
      <c r="AC3029" s="17"/>
      <c r="AD3029" s="17"/>
      <c r="AE3029" s="17"/>
      <c r="AF3029" s="17"/>
      <c r="AG3029" s="21"/>
      <c r="AH3029" s="21"/>
      <c r="AI3029" s="21"/>
      <c r="AJ3029" s="21"/>
      <c r="AK3029" s="21"/>
      <c r="AL3029" s="21"/>
      <c r="AM3029" s="21"/>
      <c r="AN3029" s="21"/>
      <c r="AO3029" s="22"/>
      <c r="AP3029" s="21"/>
      <c r="AQ3029" s="22"/>
      <c r="AR3029" s="21"/>
      <c r="AS3029" s="21"/>
      <c r="AT3029" s="21"/>
      <c r="AU3029" s="21"/>
      <c r="AV3029" s="21"/>
      <c r="AW3029" s="21"/>
      <c r="AX3029" s="22"/>
      <c r="AY3029" s="21"/>
      <c r="AZ3029" s="22"/>
      <c r="BA3029" s="21"/>
      <c r="BB3029" s="21"/>
      <c r="BC3029" s="21"/>
      <c r="BD3029" s="21"/>
      <c r="BE3029" s="26"/>
      <c r="BF3029" s="26"/>
      <c r="BG3029" s="62"/>
    </row>
    <row r="3030" spans="1:59" ht="13.5" customHeight="1" x14ac:dyDescent="0.35">
      <c r="A3030" s="49"/>
      <c r="B3030" s="49"/>
      <c r="C3030" s="39"/>
      <c r="D3030" s="1"/>
      <c r="E3030" s="149"/>
      <c r="F3030" s="153"/>
      <c r="G3030" s="10"/>
      <c r="H3030" s="17"/>
      <c r="I3030" s="17"/>
      <c r="J3030" s="17"/>
      <c r="K3030" s="30"/>
      <c r="L3030" s="30"/>
      <c r="M3030" s="30"/>
      <c r="N3030" s="30"/>
      <c r="O3030" s="30"/>
      <c r="P3030" s="30"/>
      <c r="Q3030" s="30"/>
      <c r="R3030" s="30"/>
      <c r="S3030" s="30"/>
      <c r="T3030" s="30"/>
      <c r="U3030" s="30"/>
      <c r="V3030" s="30"/>
      <c r="W3030" s="29"/>
      <c r="X3030" s="15"/>
      <c r="Y3030" s="30"/>
      <c r="Z3030" s="30"/>
      <c r="AA3030" s="30"/>
      <c r="AB3030" s="30"/>
      <c r="AC3030" s="17"/>
      <c r="AD3030" s="17"/>
      <c r="AE3030" s="17"/>
      <c r="AF3030" s="17"/>
      <c r="AG3030" s="21"/>
      <c r="AH3030" s="21"/>
      <c r="AI3030" s="21"/>
      <c r="AJ3030" s="21"/>
      <c r="AK3030" s="21"/>
      <c r="AL3030" s="21"/>
      <c r="AM3030" s="21"/>
      <c r="AN3030" s="21"/>
      <c r="AO3030" s="22"/>
      <c r="AP3030" s="21"/>
      <c r="AQ3030" s="22"/>
      <c r="AR3030" s="21"/>
      <c r="AS3030" s="21"/>
      <c r="AT3030" s="21"/>
      <c r="AU3030" s="21"/>
      <c r="AV3030" s="21"/>
      <c r="AW3030" s="21"/>
      <c r="AX3030" s="22"/>
      <c r="AY3030" s="21"/>
      <c r="AZ3030" s="22"/>
      <c r="BA3030" s="21"/>
      <c r="BB3030" s="21"/>
      <c r="BC3030" s="21"/>
      <c r="BD3030" s="21"/>
      <c r="BE3030" s="26"/>
      <c r="BF3030" s="26"/>
      <c r="BG3030" s="62"/>
    </row>
    <row r="3031" spans="1:59" x14ac:dyDescent="0.3">
      <c r="A3031" s="6"/>
      <c r="B3031" s="6"/>
      <c r="C3031" s="39"/>
      <c r="D3031" s="6"/>
      <c r="E3031" s="149"/>
      <c r="F3031" s="153"/>
      <c r="G3031" s="10"/>
      <c r="H3031" s="6"/>
      <c r="I3031" s="6"/>
      <c r="J3031" s="6"/>
      <c r="K3031" s="6"/>
      <c r="L3031" s="6"/>
      <c r="M3031" s="6"/>
      <c r="N3031" s="6"/>
      <c r="O3031" s="6"/>
      <c r="P3031" s="6"/>
      <c r="Q3031" s="6"/>
      <c r="R3031" s="6"/>
      <c r="S3031" s="6"/>
      <c r="T3031" s="6"/>
      <c r="U3031" s="5"/>
      <c r="V3031" s="5"/>
      <c r="W3031" s="13"/>
      <c r="X3031" s="4"/>
      <c r="Y3031" s="4"/>
      <c r="Z3031" s="4"/>
      <c r="AA3031" s="6"/>
      <c r="AB3031" s="5"/>
      <c r="AC3031" s="9"/>
      <c r="AD3031" s="9"/>
      <c r="AE3031" s="9"/>
      <c r="AF3031" s="9"/>
      <c r="AG3031" s="2"/>
      <c r="AH3031" s="3"/>
      <c r="AI3031" s="2"/>
      <c r="AJ3031" s="2"/>
      <c r="AK3031" s="2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</row>
    <row r="3032" spans="1:59" ht="13.5" customHeight="1" x14ac:dyDescent="0.35">
      <c r="A3032" s="49"/>
      <c r="B3032" s="49"/>
      <c r="C3032" s="39"/>
      <c r="D3032" s="1"/>
      <c r="E3032" s="149"/>
      <c r="F3032" s="153"/>
      <c r="G3032" s="10"/>
      <c r="H3032" s="17"/>
      <c r="I3032" s="17"/>
      <c r="J3032" s="17"/>
      <c r="K3032" s="30"/>
      <c r="L3032" s="30"/>
      <c r="M3032" s="30"/>
      <c r="N3032" s="30"/>
      <c r="O3032" s="30"/>
      <c r="P3032" s="30"/>
      <c r="Q3032" s="30"/>
      <c r="R3032" s="30"/>
      <c r="S3032" s="30"/>
      <c r="T3032" s="30"/>
      <c r="U3032" s="30"/>
      <c r="V3032" s="30"/>
      <c r="W3032" s="29"/>
      <c r="X3032" s="15"/>
      <c r="Y3032" s="30"/>
      <c r="Z3032" s="30"/>
      <c r="AA3032" s="30"/>
      <c r="AB3032" s="30"/>
      <c r="AC3032" s="17"/>
      <c r="AD3032" s="17"/>
      <c r="AE3032" s="17"/>
      <c r="AF3032" s="17"/>
      <c r="AG3032" s="21"/>
      <c r="AH3032" s="21"/>
      <c r="AI3032" s="21"/>
      <c r="AJ3032" s="21"/>
      <c r="AK3032" s="21"/>
      <c r="AL3032" s="21"/>
      <c r="AM3032" s="21"/>
      <c r="AN3032" s="21"/>
      <c r="AO3032" s="22"/>
      <c r="AP3032" s="21"/>
      <c r="AQ3032" s="22"/>
      <c r="AR3032" s="21"/>
      <c r="AS3032" s="21"/>
      <c r="AT3032" s="21"/>
      <c r="AU3032" s="21"/>
      <c r="AV3032" s="21"/>
      <c r="AW3032" s="21"/>
      <c r="AX3032" s="22"/>
      <c r="AY3032" s="21"/>
      <c r="AZ3032" s="22"/>
      <c r="BA3032" s="21"/>
      <c r="BB3032" s="21"/>
      <c r="BC3032" s="21"/>
      <c r="BD3032" s="21"/>
      <c r="BE3032" s="26"/>
      <c r="BF3032" s="26"/>
      <c r="BG3032" s="62"/>
    </row>
    <row r="3033" spans="1:59" ht="13.5" customHeight="1" x14ac:dyDescent="0.3">
      <c r="A3033" s="49"/>
      <c r="B3033" s="49"/>
      <c r="C3033" s="14"/>
      <c r="D3033" s="6"/>
      <c r="E3033" s="149"/>
      <c r="F3033" s="153"/>
      <c r="G3033" s="10"/>
      <c r="H3033" s="17"/>
      <c r="I3033" s="17"/>
      <c r="J3033" s="17"/>
      <c r="K3033" s="30"/>
      <c r="L3033" s="30"/>
      <c r="M3033" s="30"/>
      <c r="N3033" s="30"/>
      <c r="O3033" s="30"/>
      <c r="P3033" s="30"/>
      <c r="Q3033" s="30"/>
      <c r="R3033" s="30"/>
      <c r="S3033" s="30"/>
      <c r="T3033" s="30"/>
      <c r="U3033" s="30"/>
      <c r="V3033" s="30"/>
      <c r="W3033" s="29"/>
      <c r="X3033" s="15"/>
      <c r="Y3033" s="30"/>
      <c r="Z3033" s="30"/>
      <c r="AA3033" s="30"/>
      <c r="AB3033" s="30"/>
      <c r="AC3033" s="17"/>
      <c r="AD3033" s="17"/>
      <c r="AE3033" s="17"/>
      <c r="AF3033" s="17"/>
      <c r="AG3033" s="21"/>
      <c r="AH3033" s="21"/>
      <c r="AI3033" s="21"/>
      <c r="AJ3033" s="21"/>
      <c r="AK3033" s="21"/>
      <c r="AL3033" s="21"/>
      <c r="AM3033" s="21"/>
      <c r="AN3033" s="21"/>
      <c r="AO3033" s="22"/>
      <c r="AP3033" s="21"/>
      <c r="AQ3033" s="22"/>
      <c r="AR3033" s="21"/>
      <c r="AS3033" s="21"/>
      <c r="AT3033" s="21"/>
      <c r="AU3033" s="21"/>
      <c r="AV3033" s="21"/>
      <c r="AW3033" s="21"/>
      <c r="AX3033" s="22"/>
      <c r="AY3033" s="21"/>
      <c r="AZ3033" s="22"/>
      <c r="BA3033" s="21"/>
      <c r="BB3033" s="21"/>
      <c r="BC3033" s="21"/>
      <c r="BD3033" s="21"/>
      <c r="BE3033" s="26"/>
      <c r="BF3033" s="26"/>
      <c r="BG3033" s="62"/>
    </row>
    <row r="3034" spans="1:59" ht="13.5" customHeight="1" x14ac:dyDescent="0.35">
      <c r="A3034" s="49"/>
      <c r="B3034" s="49"/>
      <c r="C3034" s="39"/>
      <c r="D3034" s="1"/>
      <c r="E3034" s="149"/>
      <c r="F3034" s="153"/>
      <c r="G3034" s="10"/>
      <c r="H3034" s="17"/>
      <c r="I3034" s="17"/>
      <c r="J3034" s="17"/>
      <c r="K3034" s="30"/>
      <c r="L3034" s="30"/>
      <c r="M3034" s="30"/>
      <c r="N3034" s="30"/>
      <c r="O3034" s="30"/>
      <c r="P3034" s="30"/>
      <c r="Q3034" s="30"/>
      <c r="R3034" s="30"/>
      <c r="S3034" s="30"/>
      <c r="T3034" s="30"/>
      <c r="U3034" s="30"/>
      <c r="V3034" s="30"/>
      <c r="W3034" s="29"/>
      <c r="X3034" s="15"/>
      <c r="Y3034" s="30"/>
      <c r="Z3034" s="30"/>
      <c r="AA3034" s="30"/>
      <c r="AB3034" s="30"/>
      <c r="AC3034" s="17"/>
      <c r="AD3034" s="17"/>
      <c r="AE3034" s="17"/>
      <c r="AF3034" s="17"/>
      <c r="AG3034" s="21"/>
      <c r="AH3034" s="21"/>
      <c r="AI3034" s="21"/>
      <c r="AJ3034" s="21"/>
      <c r="AK3034" s="21"/>
      <c r="AL3034" s="21"/>
      <c r="AM3034" s="21"/>
      <c r="AN3034" s="21"/>
      <c r="AO3034" s="22"/>
      <c r="AP3034" s="21"/>
      <c r="AQ3034" s="22"/>
      <c r="AR3034" s="21"/>
      <c r="AS3034" s="21"/>
      <c r="AT3034" s="21"/>
      <c r="AU3034" s="21"/>
      <c r="AV3034" s="21"/>
      <c r="AW3034" s="21"/>
      <c r="AX3034" s="22"/>
      <c r="AY3034" s="21"/>
      <c r="AZ3034" s="22"/>
      <c r="BA3034" s="21"/>
      <c r="BB3034" s="21"/>
      <c r="BC3034" s="21"/>
      <c r="BD3034" s="21"/>
      <c r="BE3034" s="26"/>
      <c r="BF3034" s="26"/>
      <c r="BG3034" s="62"/>
    </row>
    <row r="3035" spans="1:59" ht="13.5" customHeight="1" x14ac:dyDescent="0.35">
      <c r="A3035" s="49"/>
      <c r="B3035" s="49"/>
      <c r="C3035" s="14"/>
      <c r="D3035" s="1"/>
      <c r="E3035" s="149"/>
      <c r="F3035" s="153"/>
      <c r="G3035" s="10"/>
      <c r="H3035" s="17"/>
      <c r="I3035" s="17"/>
      <c r="J3035" s="17"/>
      <c r="K3035" s="30"/>
      <c r="L3035" s="30"/>
      <c r="M3035" s="30"/>
      <c r="N3035" s="30"/>
      <c r="O3035" s="30"/>
      <c r="P3035" s="30"/>
      <c r="Q3035" s="30"/>
      <c r="R3035" s="30"/>
      <c r="S3035" s="30"/>
      <c r="T3035" s="30"/>
      <c r="U3035" s="30"/>
      <c r="V3035" s="30"/>
      <c r="W3035" s="29"/>
      <c r="X3035" s="15"/>
      <c r="Y3035" s="30"/>
      <c r="Z3035" s="30"/>
      <c r="AA3035" s="30"/>
      <c r="AB3035" s="30"/>
      <c r="AC3035" s="17"/>
      <c r="AD3035" s="17"/>
      <c r="AE3035" s="17"/>
      <c r="AF3035" s="17"/>
      <c r="AG3035" s="21"/>
      <c r="AH3035" s="21"/>
      <c r="AI3035" s="21"/>
      <c r="AJ3035" s="21"/>
      <c r="AK3035" s="21"/>
      <c r="AL3035" s="21"/>
      <c r="AM3035" s="21"/>
      <c r="AN3035" s="21"/>
      <c r="AO3035" s="22"/>
      <c r="AP3035" s="21"/>
      <c r="AQ3035" s="22"/>
      <c r="AR3035" s="21"/>
      <c r="AS3035" s="21"/>
      <c r="AT3035" s="21"/>
      <c r="AU3035" s="21"/>
      <c r="AV3035" s="21"/>
      <c r="AW3035" s="21"/>
      <c r="AX3035" s="22"/>
      <c r="AY3035" s="21"/>
      <c r="AZ3035" s="22"/>
      <c r="BA3035" s="21"/>
      <c r="BB3035" s="21"/>
      <c r="BC3035" s="21"/>
      <c r="BD3035" s="21"/>
      <c r="BE3035" s="26"/>
      <c r="BF3035" s="26"/>
      <c r="BG3035" s="62"/>
    </row>
    <row r="3036" spans="1:59" x14ac:dyDescent="0.3">
      <c r="A3036" s="63"/>
      <c r="B3036" s="63"/>
      <c r="C3036" s="39"/>
      <c r="D3036" s="6"/>
      <c r="E3036" s="149"/>
      <c r="F3036" s="153"/>
      <c r="G3036" s="10"/>
      <c r="H3036" s="6"/>
      <c r="I3036" s="6"/>
      <c r="J3036" s="6"/>
      <c r="K3036" s="6"/>
      <c r="L3036" s="6"/>
      <c r="M3036" s="6"/>
      <c r="N3036" s="6"/>
      <c r="O3036" s="6"/>
      <c r="P3036" s="6"/>
      <c r="Q3036" s="6"/>
      <c r="R3036" s="6"/>
      <c r="S3036" s="6"/>
      <c r="T3036" s="6"/>
      <c r="U3036" s="5"/>
      <c r="V3036" s="5"/>
      <c r="W3036" s="13"/>
      <c r="X3036" s="4"/>
      <c r="Y3036" s="4"/>
      <c r="Z3036" s="4"/>
      <c r="AA3036" s="6"/>
      <c r="AB3036" s="5"/>
      <c r="AC3036" s="9"/>
      <c r="AD3036" s="9"/>
      <c r="AE3036" s="9"/>
      <c r="AF3036" s="9"/>
      <c r="AG3036" s="64"/>
      <c r="AH3036" s="3"/>
      <c r="AI3036" s="2"/>
      <c r="AJ3036" s="2"/>
      <c r="AK3036" s="2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</row>
    <row r="3037" spans="1:59" ht="13.5" customHeight="1" x14ac:dyDescent="0.35">
      <c r="A3037" s="49"/>
      <c r="B3037" s="49"/>
      <c r="C3037" s="14"/>
      <c r="D3037" s="1"/>
      <c r="E3037" s="149"/>
      <c r="F3037" s="153"/>
      <c r="G3037" s="10"/>
      <c r="H3037" s="17"/>
      <c r="I3037" s="17"/>
      <c r="J3037" s="17"/>
      <c r="K3037" s="30"/>
      <c r="L3037" s="30"/>
      <c r="M3037" s="30"/>
      <c r="N3037" s="30"/>
      <c r="O3037" s="30"/>
      <c r="P3037" s="30"/>
      <c r="Q3037" s="30"/>
      <c r="R3037" s="30"/>
      <c r="S3037" s="30"/>
      <c r="T3037" s="30"/>
      <c r="U3037" s="30"/>
      <c r="V3037" s="30"/>
      <c r="W3037" s="29"/>
      <c r="X3037" s="15"/>
      <c r="Y3037" s="30"/>
      <c r="Z3037" s="30"/>
      <c r="AA3037" s="30"/>
      <c r="AB3037" s="30"/>
      <c r="AC3037" s="17"/>
      <c r="AD3037" s="17"/>
      <c r="AE3037" s="17"/>
      <c r="AF3037" s="17"/>
      <c r="AG3037" s="21"/>
      <c r="AH3037" s="21"/>
      <c r="AI3037" s="21"/>
      <c r="AJ3037" s="21"/>
      <c r="AK3037" s="21"/>
      <c r="AL3037" s="21"/>
      <c r="AM3037" s="21"/>
      <c r="AN3037" s="21"/>
      <c r="AO3037" s="22"/>
      <c r="AP3037" s="21"/>
      <c r="AQ3037" s="22"/>
      <c r="AR3037" s="21"/>
      <c r="AS3037" s="21"/>
      <c r="AT3037" s="21"/>
      <c r="AU3037" s="21"/>
      <c r="AV3037" s="21"/>
      <c r="AW3037" s="21"/>
      <c r="AX3037" s="22"/>
      <c r="AY3037" s="21"/>
      <c r="AZ3037" s="22"/>
      <c r="BA3037" s="21"/>
      <c r="BB3037" s="21"/>
      <c r="BC3037" s="21"/>
      <c r="BD3037" s="21"/>
      <c r="BE3037" s="26"/>
      <c r="BF3037" s="26"/>
      <c r="BG3037" s="62"/>
    </row>
    <row r="3038" spans="1:59" ht="13.5" customHeight="1" x14ac:dyDescent="0.35">
      <c r="A3038" s="49"/>
      <c r="B3038" s="49"/>
      <c r="C3038" s="39"/>
      <c r="D3038" s="1"/>
      <c r="E3038" s="149"/>
      <c r="F3038" s="153"/>
      <c r="G3038" s="10"/>
      <c r="H3038" s="17"/>
      <c r="I3038" s="17"/>
      <c r="J3038" s="17"/>
      <c r="K3038" s="30"/>
      <c r="L3038" s="30"/>
      <c r="M3038" s="30"/>
      <c r="N3038" s="30"/>
      <c r="O3038" s="30"/>
      <c r="P3038" s="30"/>
      <c r="Q3038" s="30"/>
      <c r="R3038" s="30"/>
      <c r="S3038" s="30"/>
      <c r="T3038" s="30"/>
      <c r="U3038" s="30"/>
      <c r="V3038" s="30"/>
      <c r="W3038" s="29"/>
      <c r="X3038" s="15"/>
      <c r="Y3038" s="30"/>
      <c r="Z3038" s="30"/>
      <c r="AA3038" s="30"/>
      <c r="AB3038" s="30"/>
      <c r="AC3038" s="17"/>
      <c r="AD3038" s="17"/>
      <c r="AE3038" s="17"/>
      <c r="AF3038" s="17"/>
      <c r="AG3038" s="21"/>
      <c r="AH3038" s="21"/>
      <c r="AI3038" s="21"/>
      <c r="AJ3038" s="21"/>
      <c r="AK3038" s="21"/>
      <c r="AL3038" s="21"/>
      <c r="AM3038" s="21"/>
      <c r="AN3038" s="21"/>
      <c r="AO3038" s="22"/>
      <c r="AP3038" s="21"/>
      <c r="AQ3038" s="22"/>
      <c r="AR3038" s="21"/>
      <c r="AS3038" s="21"/>
      <c r="AT3038" s="21"/>
      <c r="AU3038" s="21"/>
      <c r="AV3038" s="21"/>
      <c r="AW3038" s="21"/>
      <c r="AX3038" s="22"/>
      <c r="AY3038" s="21"/>
      <c r="AZ3038" s="22"/>
      <c r="BA3038" s="21"/>
      <c r="BB3038" s="21"/>
      <c r="BC3038" s="21"/>
      <c r="BD3038" s="21"/>
      <c r="BE3038" s="26"/>
      <c r="BF3038" s="26"/>
      <c r="BG3038" s="62"/>
    </row>
    <row r="3039" spans="1:59" x14ac:dyDescent="0.3">
      <c r="A3039" s="6"/>
      <c r="B3039" s="6"/>
      <c r="C3039" s="39"/>
      <c r="D3039" s="6"/>
      <c r="E3039" s="149"/>
      <c r="F3039" s="153"/>
      <c r="G3039" s="10"/>
      <c r="H3039" s="6"/>
      <c r="I3039" s="6"/>
      <c r="J3039" s="6"/>
      <c r="K3039" s="6"/>
      <c r="L3039" s="6"/>
      <c r="M3039" s="6"/>
      <c r="N3039" s="6"/>
      <c r="O3039" s="6"/>
      <c r="P3039" s="6"/>
      <c r="Q3039" s="6"/>
      <c r="R3039" s="6"/>
      <c r="S3039" s="6"/>
      <c r="T3039" s="6"/>
      <c r="U3039" s="5"/>
      <c r="V3039" s="5"/>
      <c r="W3039" s="13"/>
      <c r="X3039" s="4"/>
      <c r="Y3039" s="4"/>
      <c r="Z3039" s="4"/>
      <c r="AA3039" s="6"/>
      <c r="AB3039" s="5"/>
      <c r="AC3039" s="9"/>
      <c r="AD3039" s="9"/>
      <c r="AE3039" s="9"/>
      <c r="AF3039" s="9"/>
      <c r="AG3039" s="2"/>
      <c r="AH3039" s="3"/>
      <c r="AI3039" s="2"/>
      <c r="AJ3039" s="2"/>
      <c r="AK3039" s="2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  <c r="BG3039" s="3"/>
    </row>
    <row r="3040" spans="1:59" ht="13.5" customHeight="1" x14ac:dyDescent="0.3">
      <c r="A3040" s="49"/>
      <c r="B3040" s="49"/>
      <c r="C3040" s="14"/>
      <c r="D3040" s="6"/>
      <c r="E3040" s="149"/>
      <c r="F3040" s="153"/>
      <c r="G3040" s="10"/>
      <c r="H3040" s="17"/>
      <c r="I3040" s="17"/>
      <c r="J3040" s="17"/>
      <c r="K3040" s="30"/>
      <c r="L3040" s="30"/>
      <c r="M3040" s="30"/>
      <c r="N3040" s="30"/>
      <c r="O3040" s="30"/>
      <c r="P3040" s="30"/>
      <c r="Q3040" s="30"/>
      <c r="R3040" s="30"/>
      <c r="S3040" s="30"/>
      <c r="T3040" s="30"/>
      <c r="U3040" s="30"/>
      <c r="V3040" s="30"/>
      <c r="W3040" s="29"/>
      <c r="X3040" s="15"/>
      <c r="Y3040" s="30"/>
      <c r="Z3040" s="30"/>
      <c r="AA3040" s="30"/>
      <c r="AB3040" s="30"/>
      <c r="AC3040" s="17"/>
      <c r="AD3040" s="17"/>
      <c r="AE3040" s="17"/>
      <c r="AF3040" s="17"/>
      <c r="AG3040" s="21"/>
      <c r="AH3040" s="21"/>
      <c r="AI3040" s="21"/>
      <c r="AJ3040" s="21"/>
      <c r="AK3040" s="21"/>
      <c r="AL3040" s="21"/>
      <c r="AM3040" s="21"/>
      <c r="AN3040" s="21"/>
      <c r="AO3040" s="22"/>
      <c r="AP3040" s="21"/>
      <c r="AQ3040" s="22"/>
      <c r="AR3040" s="21"/>
      <c r="AS3040" s="21"/>
      <c r="AT3040" s="21"/>
      <c r="AU3040" s="21"/>
      <c r="AV3040" s="21"/>
      <c r="AW3040" s="21"/>
      <c r="AX3040" s="22"/>
      <c r="AY3040" s="21"/>
      <c r="AZ3040" s="22"/>
      <c r="BA3040" s="21"/>
      <c r="BB3040" s="21"/>
      <c r="BC3040" s="21"/>
      <c r="BD3040" s="21"/>
      <c r="BE3040" s="26"/>
      <c r="BF3040" s="26"/>
      <c r="BG3040" s="62"/>
    </row>
    <row r="3041" spans="1:59" ht="13.5" customHeight="1" x14ac:dyDescent="0.35">
      <c r="A3041" s="49"/>
      <c r="B3041" s="49"/>
      <c r="C3041" s="14"/>
      <c r="D3041" s="1"/>
      <c r="E3041" s="149"/>
      <c r="F3041" s="153"/>
      <c r="G3041" s="10"/>
      <c r="H3041" s="17"/>
      <c r="I3041" s="17"/>
      <c r="J3041" s="17"/>
      <c r="K3041" s="30"/>
      <c r="L3041" s="30"/>
      <c r="M3041" s="30"/>
      <c r="N3041" s="30"/>
      <c r="O3041" s="30"/>
      <c r="P3041" s="30"/>
      <c r="Q3041" s="30"/>
      <c r="R3041" s="30"/>
      <c r="S3041" s="30"/>
      <c r="T3041" s="30"/>
      <c r="U3041" s="30"/>
      <c r="V3041" s="30"/>
      <c r="W3041" s="29"/>
      <c r="X3041" s="15"/>
      <c r="Y3041" s="30"/>
      <c r="Z3041" s="30"/>
      <c r="AA3041" s="30"/>
      <c r="AB3041" s="30"/>
      <c r="AC3041" s="17"/>
      <c r="AD3041" s="17"/>
      <c r="AE3041" s="17"/>
      <c r="AF3041" s="17"/>
      <c r="AG3041" s="21"/>
      <c r="AH3041" s="21"/>
      <c r="AI3041" s="21"/>
      <c r="AJ3041" s="21"/>
      <c r="AK3041" s="21"/>
      <c r="AL3041" s="21"/>
      <c r="AM3041" s="21"/>
      <c r="AN3041" s="21"/>
      <c r="AO3041" s="22"/>
      <c r="AP3041" s="21"/>
      <c r="AQ3041" s="22"/>
      <c r="AR3041" s="21"/>
      <c r="AS3041" s="21"/>
      <c r="AT3041" s="21"/>
      <c r="AU3041" s="21"/>
      <c r="AV3041" s="21"/>
      <c r="AW3041" s="21"/>
      <c r="AX3041" s="22"/>
      <c r="AY3041" s="21"/>
      <c r="AZ3041" s="22"/>
      <c r="BA3041" s="21"/>
      <c r="BB3041" s="21"/>
      <c r="BC3041" s="21"/>
      <c r="BD3041" s="21"/>
      <c r="BE3041" s="26"/>
      <c r="BF3041" s="26"/>
      <c r="BG3041" s="62"/>
    </row>
    <row r="3042" spans="1:59" x14ac:dyDescent="0.3">
      <c r="A3042" s="6"/>
      <c r="B3042" s="6"/>
      <c r="C3042" s="39"/>
      <c r="D3042" s="6"/>
      <c r="E3042" s="149"/>
      <c r="F3042" s="153"/>
      <c r="G3042" s="10"/>
      <c r="H3042" s="6"/>
      <c r="I3042" s="6"/>
      <c r="J3042" s="6"/>
      <c r="K3042" s="6"/>
      <c r="L3042" s="6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12"/>
      <c r="Y3042" s="6"/>
      <c r="Z3042" s="6"/>
      <c r="AA3042" s="6"/>
      <c r="AB3042" s="6"/>
      <c r="AC3042" s="9"/>
      <c r="AD3042" s="9"/>
      <c r="AE3042" s="9"/>
      <c r="AF3042" s="9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21"/>
      <c r="AS3042" s="21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</row>
    <row r="3043" spans="1:59" ht="13.5" customHeight="1" x14ac:dyDescent="0.35">
      <c r="A3043" s="6"/>
      <c r="B3043" s="6"/>
      <c r="C3043" s="39"/>
      <c r="D3043" s="6"/>
      <c r="E3043" s="149"/>
      <c r="F3043" s="153"/>
      <c r="G3043" s="10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12"/>
      <c r="Y3043" s="6"/>
      <c r="Z3043" s="6"/>
      <c r="AA3043" s="6"/>
      <c r="AB3043" s="6"/>
      <c r="AC3043" s="9"/>
      <c r="AD3043" s="9"/>
      <c r="AE3043" s="9"/>
      <c r="AF3043" s="9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21"/>
      <c r="AS3043" s="21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  <c r="BG3043" s="65"/>
    </row>
    <row r="3044" spans="1:59" x14ac:dyDescent="0.3">
      <c r="A3044" s="6"/>
      <c r="B3044" s="6"/>
      <c r="C3044" s="39"/>
      <c r="D3044" s="6"/>
      <c r="E3044" s="149"/>
      <c r="F3044" s="153"/>
      <c r="G3044" s="10"/>
      <c r="H3044" s="6"/>
      <c r="I3044" s="6"/>
      <c r="J3044" s="6"/>
      <c r="K3044" s="6"/>
      <c r="L3044" s="6"/>
      <c r="M3044" s="6"/>
      <c r="N3044" s="6"/>
      <c r="O3044" s="6"/>
      <c r="P3044" s="6"/>
      <c r="Q3044" s="6"/>
      <c r="R3044" s="6"/>
      <c r="S3044" s="6"/>
      <c r="T3044" s="6"/>
      <c r="U3044" s="5"/>
      <c r="V3044" s="5"/>
      <c r="W3044" s="13"/>
      <c r="X3044" s="4"/>
      <c r="Y3044" s="4"/>
      <c r="Z3044" s="4"/>
      <c r="AA3044" s="6"/>
      <c r="AB3044" s="5"/>
      <c r="AC3044" s="9"/>
      <c r="AD3044" s="9"/>
      <c r="AE3044" s="9"/>
      <c r="AF3044" s="9"/>
      <c r="AG3044" s="2"/>
      <c r="AH3044" s="3"/>
      <c r="AI3044" s="2"/>
      <c r="AJ3044" s="2"/>
      <c r="AK3044" s="2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</row>
    <row r="3045" spans="1:59" ht="13.5" customHeight="1" x14ac:dyDescent="0.35">
      <c r="A3045" s="49"/>
      <c r="B3045" s="49"/>
      <c r="C3045" s="14"/>
      <c r="D3045" s="1"/>
      <c r="E3045" s="149"/>
      <c r="F3045" s="153"/>
      <c r="G3045" s="10"/>
      <c r="H3045" s="17"/>
      <c r="I3045" s="17"/>
      <c r="J3045" s="17"/>
      <c r="K3045" s="30"/>
      <c r="L3045" s="30"/>
      <c r="M3045" s="30"/>
      <c r="N3045" s="30"/>
      <c r="O3045" s="30"/>
      <c r="P3045" s="30"/>
      <c r="Q3045" s="30"/>
      <c r="R3045" s="30"/>
      <c r="S3045" s="30"/>
      <c r="T3045" s="30"/>
      <c r="U3045" s="30"/>
      <c r="V3045" s="30"/>
      <c r="W3045" s="29"/>
      <c r="X3045" s="15"/>
      <c r="Y3045" s="30"/>
      <c r="Z3045" s="30"/>
      <c r="AA3045" s="30"/>
      <c r="AB3045" s="30"/>
      <c r="AC3045" s="17"/>
      <c r="AD3045" s="17"/>
      <c r="AE3045" s="17"/>
      <c r="AF3045" s="17"/>
      <c r="AG3045" s="21"/>
      <c r="AH3045" s="21"/>
      <c r="AI3045" s="21"/>
      <c r="AJ3045" s="21"/>
      <c r="AK3045" s="21"/>
      <c r="AL3045" s="21"/>
      <c r="AM3045" s="21"/>
      <c r="AN3045" s="21"/>
      <c r="AO3045" s="22"/>
      <c r="AP3045" s="21"/>
      <c r="AQ3045" s="22"/>
      <c r="AR3045" s="21"/>
      <c r="AS3045" s="21"/>
      <c r="AT3045" s="21"/>
      <c r="AU3045" s="21"/>
      <c r="AV3045" s="21"/>
      <c r="AW3045" s="21"/>
      <c r="AX3045" s="22"/>
      <c r="AY3045" s="21"/>
      <c r="AZ3045" s="22"/>
      <c r="BA3045" s="21"/>
      <c r="BB3045" s="21"/>
      <c r="BC3045" s="21"/>
      <c r="BD3045" s="21"/>
      <c r="BE3045" s="26"/>
      <c r="BF3045" s="26"/>
      <c r="BG3045" s="62"/>
    </row>
    <row r="3046" spans="1:59" x14ac:dyDescent="0.3">
      <c r="A3046" s="6"/>
      <c r="B3046" s="6"/>
      <c r="C3046" s="39"/>
      <c r="D3046" s="6"/>
      <c r="E3046" s="149"/>
      <c r="F3046" s="153"/>
      <c r="G3046" s="10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12"/>
      <c r="Y3046" s="6"/>
      <c r="Z3046" s="6"/>
      <c r="AA3046" s="6"/>
      <c r="AB3046" s="6"/>
      <c r="AC3046" s="9"/>
      <c r="AD3046" s="9"/>
      <c r="AE3046" s="9"/>
      <c r="AF3046" s="9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21"/>
      <c r="AS3046" s="21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</row>
    <row r="3047" spans="1:59" ht="15" x14ac:dyDescent="0.35">
      <c r="A3047" s="6"/>
      <c r="B3047" s="6"/>
      <c r="C3047" s="39"/>
      <c r="D3047" s="6"/>
      <c r="E3047" s="149"/>
      <c r="F3047" s="153"/>
      <c r="G3047" s="10"/>
      <c r="H3047" s="6"/>
      <c r="I3047" s="6"/>
      <c r="J3047" s="6"/>
      <c r="K3047" s="6"/>
      <c r="L3047" s="6"/>
      <c r="M3047" s="6"/>
      <c r="N3047" s="6"/>
      <c r="O3047" s="6"/>
      <c r="P3047" s="6"/>
      <c r="Q3047" s="6"/>
      <c r="R3047" s="6"/>
      <c r="S3047" s="6"/>
      <c r="T3047" s="6"/>
      <c r="U3047" s="5"/>
      <c r="V3047" s="5"/>
      <c r="W3047" s="13"/>
      <c r="X3047" s="4"/>
      <c r="Y3047" s="4"/>
      <c r="Z3047" s="4"/>
      <c r="AA3047" s="6"/>
      <c r="AB3047" s="5"/>
      <c r="AC3047" s="9"/>
      <c r="AD3047" s="9"/>
      <c r="AE3047" s="9"/>
      <c r="AF3047" s="9"/>
      <c r="AG3047" s="2"/>
      <c r="AH3047" s="3"/>
      <c r="AI3047" s="2"/>
      <c r="AJ3047" s="2"/>
      <c r="AK3047" s="2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65"/>
    </row>
    <row r="3048" spans="1:59" ht="13.5" customHeight="1" x14ac:dyDescent="0.35">
      <c r="A3048" s="49"/>
      <c r="B3048" s="49"/>
      <c r="C3048" s="14"/>
      <c r="D3048" s="1"/>
      <c r="E3048" s="149"/>
      <c r="F3048" s="153"/>
      <c r="G3048" s="10"/>
      <c r="H3048" s="17"/>
      <c r="I3048" s="17"/>
      <c r="J3048" s="17"/>
      <c r="K3048" s="30"/>
      <c r="L3048" s="30"/>
      <c r="M3048" s="30"/>
      <c r="N3048" s="30"/>
      <c r="O3048" s="30"/>
      <c r="P3048" s="30"/>
      <c r="Q3048" s="30"/>
      <c r="R3048" s="30"/>
      <c r="S3048" s="30"/>
      <c r="T3048" s="30"/>
      <c r="U3048" s="30"/>
      <c r="V3048" s="30"/>
      <c r="W3048" s="29"/>
      <c r="X3048" s="15"/>
      <c r="Y3048" s="30"/>
      <c r="Z3048" s="30"/>
      <c r="AA3048" s="30"/>
      <c r="AB3048" s="30"/>
      <c r="AC3048" s="17"/>
      <c r="AD3048" s="17"/>
      <c r="AE3048" s="17"/>
      <c r="AF3048" s="17"/>
      <c r="AG3048" s="21"/>
      <c r="AH3048" s="21"/>
      <c r="AI3048" s="21"/>
      <c r="AJ3048" s="21"/>
      <c r="AK3048" s="21"/>
      <c r="AL3048" s="21"/>
      <c r="AM3048" s="21"/>
      <c r="AN3048" s="21"/>
      <c r="AO3048" s="22"/>
      <c r="AP3048" s="21"/>
      <c r="AQ3048" s="22"/>
      <c r="AR3048" s="21"/>
      <c r="AS3048" s="21"/>
      <c r="AT3048" s="21"/>
      <c r="AU3048" s="21"/>
      <c r="AV3048" s="21"/>
      <c r="AW3048" s="21"/>
      <c r="AX3048" s="22"/>
      <c r="AY3048" s="21"/>
      <c r="AZ3048" s="22"/>
      <c r="BA3048" s="21"/>
      <c r="BB3048" s="21"/>
      <c r="BC3048" s="21"/>
      <c r="BD3048" s="21"/>
      <c r="BE3048" s="26"/>
      <c r="BF3048" s="26"/>
      <c r="BG3048" s="62"/>
    </row>
    <row r="3049" spans="1:59" ht="13.5" customHeight="1" x14ac:dyDescent="0.35">
      <c r="A3049" s="49"/>
      <c r="B3049" s="49"/>
      <c r="C3049" s="14"/>
      <c r="D3049" s="1"/>
      <c r="E3049" s="149"/>
      <c r="F3049" s="153"/>
      <c r="G3049" s="10"/>
      <c r="H3049" s="17"/>
      <c r="I3049" s="17"/>
      <c r="J3049" s="17"/>
      <c r="K3049" s="30"/>
      <c r="L3049" s="30"/>
      <c r="M3049" s="30"/>
      <c r="N3049" s="30"/>
      <c r="O3049" s="30"/>
      <c r="P3049" s="30"/>
      <c r="Q3049" s="30"/>
      <c r="R3049" s="30"/>
      <c r="S3049" s="30"/>
      <c r="T3049" s="30"/>
      <c r="U3049" s="30"/>
      <c r="V3049" s="30"/>
      <c r="W3049" s="29"/>
      <c r="X3049" s="15"/>
      <c r="Y3049" s="30"/>
      <c r="Z3049" s="30"/>
      <c r="AA3049" s="30"/>
      <c r="AB3049" s="30"/>
      <c r="AC3049" s="17"/>
      <c r="AD3049" s="17"/>
      <c r="AE3049" s="17"/>
      <c r="AF3049" s="17"/>
      <c r="AG3049" s="21"/>
      <c r="AH3049" s="21"/>
      <c r="AI3049" s="21"/>
      <c r="AJ3049" s="21"/>
      <c r="AK3049" s="21"/>
      <c r="AL3049" s="21"/>
      <c r="AM3049" s="21"/>
      <c r="AN3049" s="21"/>
      <c r="AO3049" s="22"/>
      <c r="AP3049" s="21"/>
      <c r="AQ3049" s="22"/>
      <c r="AR3049" s="21"/>
      <c r="AS3049" s="21"/>
      <c r="AT3049" s="21"/>
      <c r="AU3049" s="21"/>
      <c r="AV3049" s="21"/>
      <c r="AW3049" s="21"/>
      <c r="AX3049" s="22"/>
      <c r="AY3049" s="21"/>
      <c r="AZ3049" s="22"/>
      <c r="BA3049" s="21"/>
      <c r="BB3049" s="21"/>
      <c r="BC3049" s="21"/>
      <c r="BD3049" s="21"/>
      <c r="BE3049" s="26"/>
      <c r="BF3049" s="26"/>
      <c r="BG3049" s="62"/>
    </row>
    <row r="3050" spans="1:59" ht="13.5" customHeight="1" x14ac:dyDescent="0.35">
      <c r="A3050" s="49"/>
      <c r="B3050" s="49"/>
      <c r="C3050" s="14"/>
      <c r="D3050" s="1"/>
      <c r="E3050" s="149"/>
      <c r="F3050" s="153"/>
      <c r="G3050" s="10"/>
      <c r="H3050" s="17"/>
      <c r="I3050" s="17"/>
      <c r="J3050" s="17"/>
      <c r="K3050" s="30"/>
      <c r="L3050" s="30"/>
      <c r="M3050" s="30"/>
      <c r="N3050" s="30"/>
      <c r="O3050" s="30"/>
      <c r="P3050" s="30"/>
      <c r="Q3050" s="30"/>
      <c r="R3050" s="30"/>
      <c r="S3050" s="30"/>
      <c r="T3050" s="30"/>
      <c r="U3050" s="30"/>
      <c r="V3050" s="30"/>
      <c r="W3050" s="29"/>
      <c r="X3050" s="15"/>
      <c r="Y3050" s="30"/>
      <c r="Z3050" s="30"/>
      <c r="AA3050" s="30"/>
      <c r="AB3050" s="30"/>
      <c r="AC3050" s="17"/>
      <c r="AD3050" s="17"/>
      <c r="AE3050" s="17"/>
      <c r="AF3050" s="17"/>
      <c r="AG3050" s="21"/>
      <c r="AH3050" s="21"/>
      <c r="AI3050" s="21"/>
      <c r="AJ3050" s="21"/>
      <c r="AK3050" s="21"/>
      <c r="AL3050" s="21"/>
      <c r="AM3050" s="21"/>
      <c r="AN3050" s="21"/>
      <c r="AO3050" s="22"/>
      <c r="AP3050" s="21"/>
      <c r="AQ3050" s="22"/>
      <c r="AR3050" s="21"/>
      <c r="AS3050" s="21"/>
      <c r="AT3050" s="21"/>
      <c r="AU3050" s="21"/>
      <c r="AV3050" s="21"/>
      <c r="AW3050" s="21"/>
      <c r="AX3050" s="22"/>
      <c r="AY3050" s="21"/>
      <c r="AZ3050" s="22"/>
      <c r="BA3050" s="21"/>
      <c r="BB3050" s="21"/>
      <c r="BC3050" s="21"/>
      <c r="BD3050" s="21"/>
      <c r="BE3050" s="26"/>
      <c r="BF3050" s="26"/>
      <c r="BG3050" s="62"/>
    </row>
    <row r="3051" spans="1:59" x14ac:dyDescent="0.3">
      <c r="A3051" s="6"/>
      <c r="B3051" s="6"/>
      <c r="C3051" s="39"/>
      <c r="D3051" s="6"/>
      <c r="E3051" s="149"/>
      <c r="F3051" s="153"/>
      <c r="G3051" s="10"/>
      <c r="H3051" s="6"/>
      <c r="I3051" s="6"/>
      <c r="J3051" s="6"/>
      <c r="K3051" s="6"/>
      <c r="L3051" s="6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12"/>
      <c r="Y3051" s="6"/>
      <c r="Z3051" s="6"/>
      <c r="AA3051" s="6"/>
      <c r="AB3051" s="6"/>
      <c r="AC3051" s="9"/>
      <c r="AD3051" s="9"/>
      <c r="AE3051" s="9"/>
      <c r="AF3051" s="9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21"/>
      <c r="AS3051" s="21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  <c r="BG3051" s="3"/>
    </row>
    <row r="3052" spans="1:59" ht="13.5" customHeight="1" x14ac:dyDescent="0.35">
      <c r="A3052" s="49"/>
      <c r="B3052" s="49"/>
      <c r="C3052" s="14"/>
      <c r="D3052" s="1"/>
      <c r="E3052" s="149"/>
      <c r="F3052" s="153"/>
      <c r="G3052" s="10"/>
      <c r="H3052" s="17"/>
      <c r="I3052" s="17"/>
      <c r="J3052" s="17"/>
      <c r="K3052" s="30"/>
      <c r="L3052" s="30"/>
      <c r="M3052" s="30"/>
      <c r="N3052" s="30"/>
      <c r="O3052" s="30"/>
      <c r="P3052" s="30"/>
      <c r="Q3052" s="30"/>
      <c r="R3052" s="30"/>
      <c r="S3052" s="30"/>
      <c r="T3052" s="30"/>
      <c r="U3052" s="30"/>
      <c r="V3052" s="30"/>
      <c r="W3052" s="29"/>
      <c r="X3052" s="15"/>
      <c r="Y3052" s="30"/>
      <c r="Z3052" s="30"/>
      <c r="AA3052" s="30"/>
      <c r="AB3052" s="30"/>
      <c r="AC3052" s="17"/>
      <c r="AD3052" s="17"/>
      <c r="AE3052" s="17"/>
      <c r="AF3052" s="17"/>
      <c r="AG3052" s="21"/>
      <c r="AH3052" s="21"/>
      <c r="AI3052" s="21"/>
      <c r="AJ3052" s="21"/>
      <c r="AK3052" s="21"/>
      <c r="AL3052" s="21"/>
      <c r="AM3052" s="21"/>
      <c r="AN3052" s="23"/>
      <c r="AO3052" s="22"/>
      <c r="AP3052" s="21"/>
      <c r="AQ3052" s="22"/>
      <c r="AR3052" s="21"/>
      <c r="AS3052" s="21"/>
      <c r="AT3052" s="21"/>
      <c r="AU3052" s="21"/>
      <c r="AV3052" s="21"/>
      <c r="AW3052" s="21"/>
      <c r="AX3052" s="22"/>
      <c r="AY3052" s="21"/>
      <c r="AZ3052" s="22"/>
      <c r="BA3052" s="21"/>
      <c r="BB3052" s="21"/>
      <c r="BC3052" s="21"/>
      <c r="BD3052" s="21"/>
      <c r="BE3052" s="26"/>
      <c r="BF3052" s="26"/>
      <c r="BG3052" s="65"/>
    </row>
    <row r="3053" spans="1:59" x14ac:dyDescent="0.3">
      <c r="A3053" s="6"/>
      <c r="B3053" s="6"/>
      <c r="C3053" s="39"/>
      <c r="D3053" s="6"/>
      <c r="E3053" s="149"/>
      <c r="F3053" s="153"/>
      <c r="G3053" s="10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12"/>
      <c r="Y3053" s="6"/>
      <c r="Z3053" s="6"/>
      <c r="AA3053" s="6"/>
      <c r="AB3053" s="6"/>
      <c r="AC3053" s="9"/>
      <c r="AD3053" s="9"/>
      <c r="AE3053" s="9"/>
      <c r="AF3053" s="9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21"/>
      <c r="AS3053" s="21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  <c r="BG3053" s="3"/>
    </row>
    <row r="3054" spans="1:59" x14ac:dyDescent="0.3">
      <c r="A3054" s="63"/>
      <c r="B3054" s="63"/>
      <c r="C3054" s="39"/>
      <c r="D3054" s="6"/>
      <c r="E3054" s="149"/>
      <c r="F3054" s="153"/>
      <c r="G3054" s="10"/>
      <c r="H3054" s="6"/>
      <c r="I3054" s="6"/>
      <c r="J3054" s="6"/>
      <c r="K3054" s="6"/>
      <c r="L3054" s="6"/>
      <c r="M3054" s="6"/>
      <c r="N3054" s="6"/>
      <c r="O3054" s="6"/>
      <c r="P3054" s="6"/>
      <c r="Q3054" s="6"/>
      <c r="R3054" s="6"/>
      <c r="S3054" s="6"/>
      <c r="T3054" s="6"/>
      <c r="U3054" s="5"/>
      <c r="V3054" s="5"/>
      <c r="W3054" s="13"/>
      <c r="X3054" s="4"/>
      <c r="Y3054" s="4"/>
      <c r="Z3054" s="4"/>
      <c r="AA3054" s="6"/>
      <c r="AB3054" s="5"/>
      <c r="AC3054" s="9"/>
      <c r="AD3054" s="9"/>
      <c r="AE3054" s="9"/>
      <c r="AF3054" s="9"/>
      <c r="AG3054" s="64"/>
      <c r="AH3054" s="3"/>
      <c r="AI3054" s="2"/>
      <c r="AJ3054" s="2"/>
      <c r="AK3054" s="2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</row>
    <row r="3055" spans="1:59" x14ac:dyDescent="0.3">
      <c r="A3055" s="6"/>
      <c r="B3055" s="6"/>
      <c r="C3055" s="39"/>
      <c r="D3055" s="6"/>
      <c r="E3055" s="149"/>
      <c r="F3055" s="153"/>
      <c r="G3055" s="10"/>
      <c r="H3055" s="6"/>
      <c r="I3055" s="6"/>
      <c r="J3055" s="6"/>
      <c r="K3055" s="6"/>
      <c r="L3055" s="6"/>
      <c r="M3055" s="6"/>
      <c r="N3055" s="6"/>
      <c r="O3055" s="6"/>
      <c r="P3055" s="6"/>
      <c r="Q3055" s="6"/>
      <c r="R3055" s="6"/>
      <c r="S3055" s="6"/>
      <c r="T3055" s="6"/>
      <c r="U3055" s="5"/>
      <c r="V3055" s="5"/>
      <c r="W3055" s="13"/>
      <c r="X3055" s="4"/>
      <c r="Y3055" s="4"/>
      <c r="Z3055" s="4"/>
      <c r="AA3055" s="6"/>
      <c r="AB3055" s="5"/>
      <c r="AC3055" s="9"/>
      <c r="AD3055" s="9"/>
      <c r="AE3055" s="9"/>
      <c r="AF3055" s="9"/>
      <c r="AG3055" s="2"/>
      <c r="AH3055" s="3"/>
      <c r="AI3055" s="2"/>
      <c r="AJ3055" s="2"/>
      <c r="AK3055" s="2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  <c r="BG3055" s="3"/>
    </row>
    <row r="3056" spans="1:59" x14ac:dyDescent="0.3">
      <c r="A3056" s="6"/>
      <c r="B3056" s="6"/>
      <c r="C3056" s="39"/>
      <c r="D3056" s="6"/>
      <c r="E3056" s="149"/>
      <c r="F3056" s="153"/>
      <c r="G3056" s="10"/>
      <c r="H3056" s="6"/>
      <c r="I3056" s="6"/>
      <c r="J3056" s="6"/>
      <c r="K3056" s="6"/>
      <c r="L3056" s="6"/>
      <c r="M3056" s="6"/>
      <c r="N3056" s="6"/>
      <c r="O3056" s="6"/>
      <c r="P3056" s="6"/>
      <c r="Q3056" s="6"/>
      <c r="R3056" s="6"/>
      <c r="S3056" s="6"/>
      <c r="T3056" s="6"/>
      <c r="U3056" s="5"/>
      <c r="V3056" s="5"/>
      <c r="W3056" s="13"/>
      <c r="X3056" s="4"/>
      <c r="Y3056" s="4"/>
      <c r="Z3056" s="4"/>
      <c r="AA3056" s="6"/>
      <c r="AB3056" s="5"/>
      <c r="AC3056" s="9"/>
      <c r="AD3056" s="9"/>
      <c r="AE3056" s="9"/>
      <c r="AF3056" s="9"/>
      <c r="AG3056" s="2"/>
      <c r="AH3056" s="3"/>
      <c r="AI3056" s="2"/>
      <c r="AJ3056" s="2"/>
      <c r="AK3056" s="2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</row>
    <row r="3057" spans="1:59" ht="13.5" customHeight="1" x14ac:dyDescent="0.35">
      <c r="A3057" s="49"/>
      <c r="B3057" s="49"/>
      <c r="C3057" s="14"/>
      <c r="D3057" s="1"/>
      <c r="E3057" s="149"/>
      <c r="F3057" s="153"/>
      <c r="G3057" s="10"/>
      <c r="H3057" s="17"/>
      <c r="I3057" s="17"/>
      <c r="J3057" s="17"/>
      <c r="K3057" s="30"/>
      <c r="L3057" s="30"/>
      <c r="M3057" s="30"/>
      <c r="N3057" s="30"/>
      <c r="O3057" s="30"/>
      <c r="P3057" s="30"/>
      <c r="Q3057" s="30"/>
      <c r="R3057" s="30"/>
      <c r="S3057" s="30"/>
      <c r="T3057" s="30"/>
      <c r="U3057" s="30"/>
      <c r="V3057" s="30"/>
      <c r="W3057" s="29"/>
      <c r="X3057" s="15"/>
      <c r="Y3057" s="30"/>
      <c r="Z3057" s="30"/>
      <c r="AA3057" s="30"/>
      <c r="AB3057" s="30"/>
      <c r="AC3057" s="17"/>
      <c r="AD3057" s="17"/>
      <c r="AE3057" s="17"/>
      <c r="AF3057" s="17"/>
      <c r="AG3057" s="21"/>
      <c r="AH3057" s="21"/>
      <c r="AI3057" s="21"/>
      <c r="AJ3057" s="21"/>
      <c r="AK3057" s="21"/>
      <c r="AL3057" s="21"/>
      <c r="AM3057" s="21"/>
      <c r="AN3057" s="21"/>
      <c r="AO3057" s="22"/>
      <c r="AP3057" s="21"/>
      <c r="AQ3057" s="22"/>
      <c r="AR3057" s="21"/>
      <c r="AS3057" s="21"/>
      <c r="AT3057" s="21"/>
      <c r="AU3057" s="21"/>
      <c r="AV3057" s="21"/>
      <c r="AW3057" s="21"/>
      <c r="AX3057" s="22"/>
      <c r="AY3057" s="21"/>
      <c r="AZ3057" s="22"/>
      <c r="BA3057" s="21"/>
      <c r="BB3057" s="21"/>
      <c r="BC3057" s="21"/>
      <c r="BD3057" s="21"/>
      <c r="BE3057" s="26"/>
      <c r="BF3057" s="26"/>
      <c r="BG3057" s="65"/>
    </row>
    <row r="3058" spans="1:59" ht="13.5" customHeight="1" x14ac:dyDescent="0.35">
      <c r="A3058" s="49"/>
      <c r="B3058" s="49"/>
      <c r="C3058" s="39"/>
      <c r="D3058" s="1"/>
      <c r="E3058" s="149"/>
      <c r="F3058" s="153"/>
      <c r="G3058" s="10"/>
      <c r="H3058" s="17"/>
      <c r="I3058" s="17"/>
      <c r="J3058" s="17"/>
      <c r="K3058" s="30"/>
      <c r="L3058" s="30"/>
      <c r="M3058" s="30"/>
      <c r="N3058" s="30"/>
      <c r="O3058" s="30"/>
      <c r="P3058" s="30"/>
      <c r="Q3058" s="30"/>
      <c r="R3058" s="30"/>
      <c r="S3058" s="30"/>
      <c r="T3058" s="30"/>
      <c r="U3058" s="30"/>
      <c r="V3058" s="30"/>
      <c r="W3058" s="29"/>
      <c r="X3058" s="15"/>
      <c r="Y3058" s="30"/>
      <c r="Z3058" s="30"/>
      <c r="AA3058" s="30"/>
      <c r="AB3058" s="30"/>
      <c r="AC3058" s="17"/>
      <c r="AD3058" s="17"/>
      <c r="AE3058" s="17"/>
      <c r="AF3058" s="17"/>
      <c r="AG3058" s="21"/>
      <c r="AH3058" s="21"/>
      <c r="AI3058" s="21"/>
      <c r="AJ3058" s="21"/>
      <c r="AK3058" s="21"/>
      <c r="AL3058" s="21"/>
      <c r="AM3058" s="21"/>
      <c r="AN3058" s="21"/>
      <c r="AO3058" s="22"/>
      <c r="AP3058" s="21"/>
      <c r="AQ3058" s="22"/>
      <c r="AR3058" s="21"/>
      <c r="AS3058" s="21"/>
      <c r="AT3058" s="21"/>
      <c r="AU3058" s="21"/>
      <c r="AV3058" s="21"/>
      <c r="AW3058" s="21"/>
      <c r="AX3058" s="22"/>
      <c r="AY3058" s="21"/>
      <c r="AZ3058" s="22"/>
      <c r="BA3058" s="21"/>
      <c r="BB3058" s="21"/>
      <c r="BC3058" s="21"/>
      <c r="BD3058" s="21"/>
      <c r="BE3058" s="26"/>
      <c r="BF3058" s="26"/>
      <c r="BG3058" s="65"/>
    </row>
    <row r="3059" spans="1:59" x14ac:dyDescent="0.3">
      <c r="A3059" s="63"/>
      <c r="B3059" s="63"/>
      <c r="C3059" s="39"/>
      <c r="D3059" s="6"/>
      <c r="E3059" s="149"/>
      <c r="F3059" s="153"/>
      <c r="G3059" s="10"/>
      <c r="H3059" s="6"/>
      <c r="I3059" s="6"/>
      <c r="J3059" s="6"/>
      <c r="K3059" s="6"/>
      <c r="L3059" s="6"/>
      <c r="M3059" s="6"/>
      <c r="N3059" s="6"/>
      <c r="O3059" s="6"/>
      <c r="P3059" s="6"/>
      <c r="Q3059" s="6"/>
      <c r="R3059" s="6"/>
      <c r="S3059" s="6"/>
      <c r="T3059" s="6"/>
      <c r="U3059" s="5"/>
      <c r="V3059" s="5"/>
      <c r="W3059" s="13"/>
      <c r="X3059" s="4"/>
      <c r="Y3059" s="4"/>
      <c r="Z3059" s="4"/>
      <c r="AA3059" s="6"/>
      <c r="AB3059" s="5"/>
      <c r="AC3059" s="9"/>
      <c r="AD3059" s="9"/>
      <c r="AE3059" s="9"/>
      <c r="AF3059" s="9"/>
      <c r="AG3059" s="64"/>
      <c r="AH3059" s="3"/>
      <c r="AI3059" s="2"/>
      <c r="AJ3059" s="2"/>
      <c r="AK3059" s="2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  <c r="BG3059" s="3"/>
    </row>
    <row r="3060" spans="1:59" ht="13.5" customHeight="1" x14ac:dyDescent="0.35">
      <c r="A3060" s="49"/>
      <c r="B3060" s="49"/>
      <c r="C3060" s="14"/>
      <c r="D3060" s="1"/>
      <c r="E3060" s="149"/>
      <c r="F3060" s="153"/>
      <c r="G3060" s="10"/>
      <c r="H3060" s="17"/>
      <c r="I3060" s="17"/>
      <c r="J3060" s="17"/>
      <c r="K3060" s="30"/>
      <c r="L3060" s="30"/>
      <c r="M3060" s="30"/>
      <c r="N3060" s="30"/>
      <c r="O3060" s="30"/>
      <c r="P3060" s="30"/>
      <c r="Q3060" s="30"/>
      <c r="R3060" s="30"/>
      <c r="S3060" s="30"/>
      <c r="T3060" s="30"/>
      <c r="U3060" s="30"/>
      <c r="V3060" s="30"/>
      <c r="W3060" s="29"/>
      <c r="X3060" s="15"/>
      <c r="Y3060" s="30"/>
      <c r="Z3060" s="30"/>
      <c r="AA3060" s="30"/>
      <c r="AB3060" s="30"/>
      <c r="AC3060" s="17"/>
      <c r="AD3060" s="17"/>
      <c r="AE3060" s="17"/>
      <c r="AF3060" s="17"/>
      <c r="AG3060" s="21"/>
      <c r="AH3060" s="21"/>
      <c r="AI3060" s="21"/>
      <c r="AJ3060" s="21"/>
      <c r="AK3060" s="21"/>
      <c r="AL3060" s="21"/>
      <c r="AM3060" s="21"/>
      <c r="AN3060" s="21"/>
      <c r="AO3060" s="22"/>
      <c r="AP3060" s="21"/>
      <c r="AQ3060" s="22"/>
      <c r="AR3060" s="21"/>
      <c r="AS3060" s="21"/>
      <c r="AT3060" s="21"/>
      <c r="AU3060" s="21"/>
      <c r="AV3060" s="21"/>
      <c r="AW3060" s="21"/>
      <c r="AX3060" s="22"/>
      <c r="AY3060" s="21"/>
      <c r="AZ3060" s="22"/>
      <c r="BA3060" s="21"/>
      <c r="BB3060" s="21"/>
      <c r="BC3060" s="21"/>
      <c r="BD3060" s="21"/>
      <c r="BE3060" s="26"/>
      <c r="BF3060" s="26"/>
      <c r="BG3060" s="62"/>
    </row>
    <row r="3061" spans="1:59" x14ac:dyDescent="0.3">
      <c r="A3061" s="63"/>
      <c r="B3061" s="63"/>
      <c r="C3061" s="39"/>
      <c r="D3061" s="6"/>
      <c r="E3061" s="149"/>
      <c r="F3061" s="153"/>
      <c r="G3061" s="10"/>
      <c r="H3061" s="6"/>
      <c r="I3061" s="6"/>
      <c r="J3061" s="6"/>
      <c r="K3061" s="6"/>
      <c r="L3061" s="6"/>
      <c r="M3061" s="6"/>
      <c r="N3061" s="6"/>
      <c r="O3061" s="6"/>
      <c r="P3061" s="6"/>
      <c r="Q3061" s="6"/>
      <c r="R3061" s="6"/>
      <c r="S3061" s="6"/>
      <c r="T3061" s="6"/>
      <c r="U3061" s="5"/>
      <c r="V3061" s="5"/>
      <c r="W3061" s="13"/>
      <c r="X3061" s="4"/>
      <c r="Y3061" s="4"/>
      <c r="Z3061" s="4"/>
      <c r="AA3061" s="6"/>
      <c r="AB3061" s="5"/>
      <c r="AC3061" s="9"/>
      <c r="AD3061" s="9"/>
      <c r="AE3061" s="9"/>
      <c r="AF3061" s="9"/>
      <c r="AG3061" s="64"/>
      <c r="AH3061" s="3"/>
      <c r="AI3061" s="2"/>
      <c r="AJ3061" s="2"/>
      <c r="AK3061" s="2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  <c r="BG3061" s="3"/>
    </row>
    <row r="3062" spans="1:59" x14ac:dyDescent="0.3">
      <c r="A3062" s="6"/>
      <c r="B3062" s="6"/>
      <c r="C3062" s="39"/>
      <c r="D3062" s="6"/>
      <c r="E3062" s="149"/>
      <c r="F3062" s="153"/>
      <c r="G3062" s="10"/>
      <c r="H3062" s="6"/>
      <c r="I3062" s="6"/>
      <c r="J3062" s="6"/>
      <c r="K3062" s="6"/>
      <c r="L3062" s="6"/>
      <c r="M3062" s="6"/>
      <c r="N3062" s="6"/>
      <c r="O3062" s="6"/>
      <c r="P3062" s="6"/>
      <c r="Q3062" s="6"/>
      <c r="R3062" s="6"/>
      <c r="S3062" s="6"/>
      <c r="T3062" s="6"/>
      <c r="U3062" s="5"/>
      <c r="V3062" s="5"/>
      <c r="W3062" s="13"/>
      <c r="X3062" s="4"/>
      <c r="Y3062" s="4"/>
      <c r="Z3062" s="4"/>
      <c r="AA3062" s="6"/>
      <c r="AB3062" s="5"/>
      <c r="AC3062" s="9"/>
      <c r="AD3062" s="9"/>
      <c r="AE3062" s="9"/>
      <c r="AF3062" s="9"/>
      <c r="AG3062" s="2"/>
      <c r="AH3062" s="3"/>
      <c r="AI3062" s="2"/>
      <c r="AJ3062" s="2"/>
      <c r="AK3062" s="2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/>
    </row>
    <row r="3063" spans="1:59" ht="13.5" customHeight="1" x14ac:dyDescent="0.35">
      <c r="A3063" s="49"/>
      <c r="B3063" s="49"/>
      <c r="C3063" s="14"/>
      <c r="D3063" s="1"/>
      <c r="E3063" s="149"/>
      <c r="F3063" s="153"/>
      <c r="G3063" s="10"/>
      <c r="H3063" s="17"/>
      <c r="I3063" s="17"/>
      <c r="J3063" s="17"/>
      <c r="K3063" s="30"/>
      <c r="L3063" s="30"/>
      <c r="M3063" s="30"/>
      <c r="N3063" s="30"/>
      <c r="O3063" s="30"/>
      <c r="P3063" s="30"/>
      <c r="Q3063" s="30"/>
      <c r="R3063" s="30"/>
      <c r="S3063" s="30"/>
      <c r="T3063" s="30"/>
      <c r="U3063" s="30"/>
      <c r="V3063" s="30"/>
      <c r="W3063" s="29"/>
      <c r="X3063" s="15"/>
      <c r="Y3063" s="30"/>
      <c r="Z3063" s="30"/>
      <c r="AA3063" s="30"/>
      <c r="AB3063" s="30"/>
      <c r="AC3063" s="17"/>
      <c r="AD3063" s="17"/>
      <c r="AE3063" s="17"/>
      <c r="AF3063" s="17"/>
      <c r="AG3063" s="21"/>
      <c r="AH3063" s="21"/>
      <c r="AI3063" s="21"/>
      <c r="AJ3063" s="21"/>
      <c r="AK3063" s="21"/>
      <c r="AL3063" s="21"/>
      <c r="AM3063" s="21"/>
      <c r="AN3063" s="21"/>
      <c r="AO3063" s="22"/>
      <c r="AP3063" s="21"/>
      <c r="AQ3063" s="22"/>
      <c r="AR3063" s="21"/>
      <c r="AS3063" s="21"/>
      <c r="AT3063" s="21"/>
      <c r="AU3063" s="21"/>
      <c r="AV3063" s="21"/>
      <c r="AW3063" s="21"/>
      <c r="AX3063" s="22"/>
      <c r="AY3063" s="21"/>
      <c r="AZ3063" s="22"/>
      <c r="BA3063" s="21"/>
      <c r="BB3063" s="21"/>
      <c r="BC3063" s="21"/>
      <c r="BD3063" s="21"/>
      <c r="BE3063" s="26"/>
      <c r="BF3063" s="26"/>
      <c r="BG3063" s="62"/>
    </row>
    <row r="3064" spans="1:59" ht="13.5" customHeight="1" x14ac:dyDescent="0.35">
      <c r="A3064" s="49"/>
      <c r="B3064" s="49"/>
      <c r="C3064" s="14"/>
      <c r="D3064" s="1"/>
      <c r="E3064" s="149"/>
      <c r="F3064" s="153"/>
      <c r="G3064" s="10"/>
      <c r="H3064" s="17"/>
      <c r="I3064" s="17"/>
      <c r="J3064" s="17"/>
      <c r="K3064" s="30"/>
      <c r="L3064" s="30"/>
      <c r="M3064" s="30"/>
      <c r="N3064" s="30"/>
      <c r="O3064" s="30"/>
      <c r="P3064" s="30"/>
      <c r="Q3064" s="30"/>
      <c r="R3064" s="30"/>
      <c r="S3064" s="30"/>
      <c r="T3064" s="30"/>
      <c r="U3064" s="30"/>
      <c r="V3064" s="30"/>
      <c r="W3064" s="29"/>
      <c r="X3064" s="15"/>
      <c r="Y3064" s="30"/>
      <c r="Z3064" s="30"/>
      <c r="AA3064" s="30"/>
      <c r="AB3064" s="30"/>
      <c r="AC3064" s="17"/>
      <c r="AD3064" s="17"/>
      <c r="AE3064" s="17"/>
      <c r="AF3064" s="17"/>
      <c r="AG3064" s="21"/>
      <c r="AH3064" s="21"/>
      <c r="AI3064" s="21"/>
      <c r="AJ3064" s="21"/>
      <c r="AK3064" s="21"/>
      <c r="AL3064" s="21"/>
      <c r="AM3064" s="21"/>
      <c r="AN3064" s="21"/>
      <c r="AO3064" s="22"/>
      <c r="AP3064" s="21"/>
      <c r="AQ3064" s="22"/>
      <c r="AR3064" s="21"/>
      <c r="AS3064" s="21"/>
      <c r="AT3064" s="21"/>
      <c r="AU3064" s="21"/>
      <c r="AV3064" s="21"/>
      <c r="AW3064" s="21"/>
      <c r="AX3064" s="22"/>
      <c r="AY3064" s="21"/>
      <c r="AZ3064" s="22"/>
      <c r="BA3064" s="21"/>
      <c r="BB3064" s="21"/>
      <c r="BC3064" s="21"/>
      <c r="BD3064" s="21"/>
      <c r="BE3064" s="26"/>
      <c r="BF3064" s="26"/>
      <c r="BG3064" s="62"/>
    </row>
    <row r="3065" spans="1:59" ht="13.5" customHeight="1" x14ac:dyDescent="0.35">
      <c r="A3065" s="49"/>
      <c r="B3065" s="49"/>
      <c r="C3065" s="14"/>
      <c r="D3065" s="1"/>
      <c r="E3065" s="149"/>
      <c r="F3065" s="153"/>
      <c r="G3065" s="10"/>
      <c r="H3065" s="17"/>
      <c r="I3065" s="17"/>
      <c r="J3065" s="17"/>
      <c r="K3065" s="30"/>
      <c r="L3065" s="30"/>
      <c r="M3065" s="30"/>
      <c r="N3065" s="30"/>
      <c r="O3065" s="30"/>
      <c r="P3065" s="30"/>
      <c r="Q3065" s="30"/>
      <c r="R3065" s="30"/>
      <c r="S3065" s="30"/>
      <c r="T3065" s="30"/>
      <c r="U3065" s="30"/>
      <c r="V3065" s="30"/>
      <c r="W3065" s="29"/>
      <c r="X3065" s="15"/>
      <c r="Y3065" s="30"/>
      <c r="Z3065" s="30"/>
      <c r="AA3065" s="30"/>
      <c r="AB3065" s="30"/>
      <c r="AC3065" s="17"/>
      <c r="AD3065" s="17"/>
      <c r="AE3065" s="17"/>
      <c r="AF3065" s="17"/>
      <c r="AG3065" s="21"/>
      <c r="AH3065" s="21"/>
      <c r="AI3065" s="21"/>
      <c r="AJ3065" s="21"/>
      <c r="AK3065" s="21"/>
      <c r="AL3065" s="21"/>
      <c r="AM3065" s="21"/>
      <c r="AN3065" s="21"/>
      <c r="AO3065" s="22"/>
      <c r="AP3065" s="21"/>
      <c r="AQ3065" s="22"/>
      <c r="AR3065" s="21"/>
      <c r="AS3065" s="21"/>
      <c r="AT3065" s="21"/>
      <c r="AU3065" s="21"/>
      <c r="AV3065" s="21"/>
      <c r="AW3065" s="21"/>
      <c r="AX3065" s="22"/>
      <c r="AY3065" s="21"/>
      <c r="AZ3065" s="22"/>
      <c r="BA3065" s="21"/>
      <c r="BB3065" s="21"/>
      <c r="BC3065" s="21"/>
      <c r="BD3065" s="21"/>
      <c r="BE3065" s="26"/>
      <c r="BF3065" s="26"/>
      <c r="BG3065" s="62"/>
    </row>
    <row r="3066" spans="1:59" ht="13.5" customHeight="1" x14ac:dyDescent="0.35">
      <c r="A3066" s="49"/>
      <c r="B3066" s="49"/>
      <c r="C3066" s="14"/>
      <c r="D3066" s="1"/>
      <c r="E3066" s="149"/>
      <c r="F3066" s="153"/>
      <c r="G3066" s="10"/>
      <c r="H3066" s="17"/>
      <c r="I3066" s="17"/>
      <c r="J3066" s="17"/>
      <c r="K3066" s="30"/>
      <c r="L3066" s="30"/>
      <c r="M3066" s="30"/>
      <c r="N3066" s="30"/>
      <c r="O3066" s="30"/>
      <c r="P3066" s="30"/>
      <c r="Q3066" s="30"/>
      <c r="R3066" s="30"/>
      <c r="S3066" s="30"/>
      <c r="T3066" s="30"/>
      <c r="U3066" s="30"/>
      <c r="V3066" s="30"/>
      <c r="W3066" s="29"/>
      <c r="X3066" s="15"/>
      <c r="Y3066" s="30"/>
      <c r="Z3066" s="30"/>
      <c r="AA3066" s="30"/>
      <c r="AB3066" s="30"/>
      <c r="AC3066" s="17"/>
      <c r="AD3066" s="17"/>
      <c r="AE3066" s="17"/>
      <c r="AF3066" s="17"/>
      <c r="AG3066" s="21"/>
      <c r="AH3066" s="21"/>
      <c r="AI3066" s="21"/>
      <c r="AJ3066" s="21"/>
      <c r="AK3066" s="21"/>
      <c r="AL3066" s="21"/>
      <c r="AM3066" s="21"/>
      <c r="AN3066" s="21"/>
      <c r="AO3066" s="22"/>
      <c r="AP3066" s="21"/>
      <c r="AQ3066" s="22"/>
      <c r="AR3066" s="21"/>
      <c r="AS3066" s="21"/>
      <c r="AT3066" s="21"/>
      <c r="AU3066" s="21"/>
      <c r="AV3066" s="21"/>
      <c r="AW3066" s="21"/>
      <c r="AX3066" s="22"/>
      <c r="AY3066" s="21"/>
      <c r="AZ3066" s="22"/>
      <c r="BA3066" s="21"/>
      <c r="BB3066" s="21"/>
      <c r="BC3066" s="21"/>
      <c r="BD3066" s="21"/>
      <c r="BE3066" s="26"/>
      <c r="BF3066" s="26"/>
      <c r="BG3066" s="62"/>
    </row>
    <row r="3067" spans="1:59" ht="15" x14ac:dyDescent="0.35">
      <c r="A3067" s="6"/>
      <c r="B3067" s="6"/>
      <c r="C3067" s="39"/>
      <c r="D3067" s="6"/>
      <c r="E3067" s="149"/>
      <c r="F3067" s="153"/>
      <c r="G3067" s="10"/>
      <c r="H3067" s="6"/>
      <c r="I3067" s="6"/>
      <c r="J3067" s="6"/>
      <c r="K3067" s="6"/>
      <c r="L3067" s="6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12"/>
      <c r="Y3067" s="6"/>
      <c r="Z3067" s="6"/>
      <c r="AA3067" s="6"/>
      <c r="AB3067" s="6"/>
      <c r="AC3067" s="9"/>
      <c r="AD3067" s="9"/>
      <c r="AE3067" s="9"/>
      <c r="AF3067" s="9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21"/>
      <c r="AS3067" s="21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/>
      <c r="BF3067" s="3"/>
      <c r="BG3067" s="65"/>
    </row>
    <row r="3068" spans="1:59" ht="13.5" customHeight="1" x14ac:dyDescent="0.35">
      <c r="A3068" s="49"/>
      <c r="B3068" s="49"/>
      <c r="C3068" s="39"/>
      <c r="D3068" s="1"/>
      <c r="E3068" s="149"/>
      <c r="F3068" s="153"/>
      <c r="G3068" s="10"/>
      <c r="H3068" s="17"/>
      <c r="I3068" s="17"/>
      <c r="J3068" s="17"/>
      <c r="K3068" s="30"/>
      <c r="L3068" s="30"/>
      <c r="M3068" s="30"/>
      <c r="N3068" s="30"/>
      <c r="O3068" s="30"/>
      <c r="P3068" s="30"/>
      <c r="Q3068" s="30"/>
      <c r="R3068" s="30"/>
      <c r="S3068" s="30"/>
      <c r="T3068" s="30"/>
      <c r="U3068" s="30"/>
      <c r="V3068" s="30"/>
      <c r="W3068" s="29"/>
      <c r="X3068" s="15"/>
      <c r="Y3068" s="30"/>
      <c r="Z3068" s="30"/>
      <c r="AA3068" s="30"/>
      <c r="AB3068" s="30"/>
      <c r="AC3068" s="17"/>
      <c r="AD3068" s="17"/>
      <c r="AE3068" s="17"/>
      <c r="AF3068" s="17"/>
      <c r="AG3068" s="21"/>
      <c r="AH3068" s="21"/>
      <c r="AI3068" s="21"/>
      <c r="AJ3068" s="21"/>
      <c r="AK3068" s="21"/>
      <c r="AL3068" s="21"/>
      <c r="AM3068" s="21"/>
      <c r="AN3068" s="21"/>
      <c r="AO3068" s="22"/>
      <c r="AP3068" s="21"/>
      <c r="AQ3068" s="22"/>
      <c r="AR3068" s="21"/>
      <c r="AS3068" s="21"/>
      <c r="AT3068" s="21"/>
      <c r="AU3068" s="21"/>
      <c r="AV3068" s="21"/>
      <c r="AW3068" s="21"/>
      <c r="AX3068" s="22"/>
      <c r="AY3068" s="21"/>
      <c r="AZ3068" s="22"/>
      <c r="BA3068" s="21"/>
      <c r="BB3068" s="21"/>
      <c r="BC3068" s="21"/>
      <c r="BD3068" s="21"/>
      <c r="BE3068" s="26"/>
      <c r="BF3068" s="26"/>
      <c r="BG3068" s="62"/>
    </row>
    <row r="3069" spans="1:59" x14ac:dyDescent="0.3">
      <c r="A3069" s="6"/>
      <c r="B3069" s="6"/>
      <c r="C3069" s="39"/>
      <c r="D3069" s="6"/>
      <c r="E3069" s="149"/>
      <c r="F3069" s="153"/>
      <c r="G3069" s="10"/>
      <c r="H3069" s="6"/>
      <c r="I3069" s="6"/>
      <c r="J3069" s="6"/>
      <c r="K3069" s="6"/>
      <c r="L3069" s="6"/>
      <c r="M3069" s="6"/>
      <c r="N3069" s="6"/>
      <c r="O3069" s="6"/>
      <c r="P3069" s="6"/>
      <c r="Q3069" s="6"/>
      <c r="R3069" s="6"/>
      <c r="S3069" s="6"/>
      <c r="T3069" s="6"/>
      <c r="U3069" s="5"/>
      <c r="V3069" s="5"/>
      <c r="W3069" s="13"/>
      <c r="X3069" s="4"/>
      <c r="Y3069" s="4"/>
      <c r="Z3069" s="4"/>
      <c r="AA3069" s="6"/>
      <c r="AB3069" s="5"/>
      <c r="AC3069" s="9"/>
      <c r="AD3069" s="9"/>
      <c r="AE3069" s="9"/>
      <c r="AF3069" s="9"/>
      <c r="AG3069" s="2"/>
      <c r="AH3069" s="3"/>
      <c r="AI3069" s="2"/>
      <c r="AJ3069" s="2"/>
      <c r="AK3069" s="2"/>
      <c r="AL3069" s="3"/>
      <c r="AM3069" s="3"/>
      <c r="AN3069" s="3"/>
      <c r="AO3069" s="3"/>
      <c r="AP3069" s="3"/>
      <c r="AQ3069" s="3"/>
      <c r="AR3069" s="21"/>
      <c r="AS3069" s="21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  <c r="BG3069" s="3"/>
    </row>
    <row r="3070" spans="1:59" ht="13.5" customHeight="1" x14ac:dyDescent="0.35">
      <c r="A3070" s="49"/>
      <c r="B3070" s="49"/>
      <c r="C3070" s="14"/>
      <c r="D3070" s="1"/>
      <c r="E3070" s="149"/>
      <c r="F3070" s="153"/>
      <c r="G3070" s="10"/>
      <c r="H3070" s="17"/>
      <c r="I3070" s="17"/>
      <c r="J3070" s="17"/>
      <c r="K3070" s="30"/>
      <c r="L3070" s="30"/>
      <c r="M3070" s="30"/>
      <c r="N3070" s="30"/>
      <c r="O3070" s="30"/>
      <c r="P3070" s="30"/>
      <c r="Q3070" s="30"/>
      <c r="R3070" s="30"/>
      <c r="S3070" s="30"/>
      <c r="T3070" s="30"/>
      <c r="U3070" s="30"/>
      <c r="V3070" s="30"/>
      <c r="W3070" s="29"/>
      <c r="X3070" s="15"/>
      <c r="Y3070" s="30"/>
      <c r="Z3070" s="30"/>
      <c r="AA3070" s="30"/>
      <c r="AB3070" s="30"/>
      <c r="AC3070" s="17"/>
      <c r="AD3070" s="17"/>
      <c r="AE3070" s="17"/>
      <c r="AF3070" s="17"/>
      <c r="AG3070" s="21"/>
      <c r="AH3070" s="21"/>
      <c r="AI3070" s="21"/>
      <c r="AJ3070" s="21"/>
      <c r="AK3070" s="21"/>
      <c r="AL3070" s="21"/>
      <c r="AM3070" s="21"/>
      <c r="AN3070" s="21"/>
      <c r="AO3070" s="22"/>
      <c r="AP3070" s="21"/>
      <c r="AQ3070" s="22"/>
      <c r="AR3070" s="21"/>
      <c r="AS3070" s="21"/>
      <c r="AT3070" s="21"/>
      <c r="AU3070" s="21"/>
      <c r="AV3070" s="21"/>
      <c r="AW3070" s="21"/>
      <c r="AX3070" s="22"/>
      <c r="AY3070" s="21"/>
      <c r="AZ3070" s="22"/>
      <c r="BA3070" s="21"/>
      <c r="BB3070" s="21"/>
      <c r="BC3070" s="21"/>
      <c r="BD3070" s="21"/>
      <c r="BE3070" s="26"/>
      <c r="BF3070" s="26"/>
      <c r="BG3070" s="62"/>
    </row>
    <row r="3071" spans="1:59" ht="13.5" customHeight="1" x14ac:dyDescent="0.35">
      <c r="A3071" s="49"/>
      <c r="B3071" s="49"/>
      <c r="C3071" s="14"/>
      <c r="D3071" s="1"/>
      <c r="E3071" s="149"/>
      <c r="F3071" s="153"/>
      <c r="G3071" s="10"/>
      <c r="H3071" s="17"/>
      <c r="I3071" s="17"/>
      <c r="J3071" s="17"/>
      <c r="K3071" s="30"/>
      <c r="L3071" s="30"/>
      <c r="M3071" s="30"/>
      <c r="N3071" s="30"/>
      <c r="O3071" s="30"/>
      <c r="P3071" s="30"/>
      <c r="Q3071" s="30"/>
      <c r="R3071" s="30"/>
      <c r="S3071" s="30"/>
      <c r="T3071" s="30"/>
      <c r="U3071" s="30"/>
      <c r="V3071" s="30"/>
      <c r="W3071" s="29"/>
      <c r="X3071" s="15"/>
      <c r="Y3071" s="30"/>
      <c r="Z3071" s="30"/>
      <c r="AA3071" s="30"/>
      <c r="AB3071" s="30"/>
      <c r="AC3071" s="17"/>
      <c r="AD3071" s="17"/>
      <c r="AE3071" s="17"/>
      <c r="AF3071" s="17"/>
      <c r="AG3071" s="21"/>
      <c r="AH3071" s="21"/>
      <c r="AI3071" s="21"/>
      <c r="AJ3071" s="21"/>
      <c r="AK3071" s="21"/>
      <c r="AL3071" s="21"/>
      <c r="AM3071" s="21"/>
      <c r="AN3071" s="21"/>
      <c r="AO3071" s="22"/>
      <c r="AP3071" s="21"/>
      <c r="AQ3071" s="22"/>
      <c r="AR3071" s="21"/>
      <c r="AS3071" s="21"/>
      <c r="AT3071" s="21"/>
      <c r="AU3071" s="21"/>
      <c r="AV3071" s="21"/>
      <c r="AW3071" s="21"/>
      <c r="AX3071" s="22"/>
      <c r="AY3071" s="21"/>
      <c r="AZ3071" s="22"/>
      <c r="BA3071" s="21"/>
      <c r="BB3071" s="21"/>
      <c r="BC3071" s="21"/>
      <c r="BD3071" s="21"/>
      <c r="BE3071" s="26"/>
      <c r="BF3071" s="26"/>
      <c r="BG3071" s="62"/>
    </row>
    <row r="3072" spans="1:59" x14ac:dyDescent="0.3">
      <c r="A3072" s="63"/>
      <c r="B3072" s="63"/>
      <c r="C3072" s="39"/>
      <c r="D3072" s="6"/>
      <c r="E3072" s="149"/>
      <c r="F3072" s="153"/>
      <c r="G3072" s="10"/>
      <c r="H3072" s="6"/>
      <c r="I3072" s="6"/>
      <c r="J3072" s="6"/>
      <c r="K3072" s="6"/>
      <c r="L3072" s="6"/>
      <c r="M3072" s="6"/>
      <c r="N3072" s="6"/>
      <c r="O3072" s="6"/>
      <c r="P3072" s="6"/>
      <c r="Q3072" s="6"/>
      <c r="R3072" s="6"/>
      <c r="S3072" s="6"/>
      <c r="T3072" s="6"/>
      <c r="U3072" s="5"/>
      <c r="V3072" s="5"/>
      <c r="W3072" s="13"/>
      <c r="X3072" s="4"/>
      <c r="Y3072" s="4"/>
      <c r="Z3072" s="4"/>
      <c r="AA3072" s="6"/>
      <c r="AB3072" s="5"/>
      <c r="AC3072" s="9"/>
      <c r="AD3072" s="9"/>
      <c r="AE3072" s="9"/>
      <c r="AF3072" s="9"/>
      <c r="AG3072" s="64"/>
      <c r="AH3072" s="3"/>
      <c r="AI3072" s="2"/>
      <c r="AJ3072" s="2"/>
      <c r="AK3072" s="2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</row>
    <row r="3073" spans="1:59" ht="13.5" customHeight="1" x14ac:dyDescent="0.35">
      <c r="A3073" s="49"/>
      <c r="B3073" s="49"/>
      <c r="C3073" s="39"/>
      <c r="D3073" s="1"/>
      <c r="E3073" s="149"/>
      <c r="F3073" s="153"/>
      <c r="G3073" s="10"/>
      <c r="H3073" s="17"/>
      <c r="I3073" s="17"/>
      <c r="J3073" s="17"/>
      <c r="K3073" s="30"/>
      <c r="L3073" s="30"/>
      <c r="M3073" s="30"/>
      <c r="N3073" s="30"/>
      <c r="O3073" s="30"/>
      <c r="P3073" s="30"/>
      <c r="Q3073" s="30"/>
      <c r="R3073" s="30"/>
      <c r="S3073" s="30"/>
      <c r="T3073" s="30"/>
      <c r="U3073" s="30"/>
      <c r="V3073" s="30"/>
      <c r="W3073" s="29"/>
      <c r="X3073" s="15"/>
      <c r="Y3073" s="30"/>
      <c r="Z3073" s="30"/>
      <c r="AA3073" s="30"/>
      <c r="AB3073" s="30"/>
      <c r="AC3073" s="17"/>
      <c r="AD3073" s="17"/>
      <c r="AE3073" s="17"/>
      <c r="AF3073" s="17"/>
      <c r="AG3073" s="21"/>
      <c r="AH3073" s="21"/>
      <c r="AI3073" s="21"/>
      <c r="AJ3073" s="21"/>
      <c r="AK3073" s="21"/>
      <c r="AL3073" s="21"/>
      <c r="AM3073" s="21"/>
      <c r="AN3073" s="21"/>
      <c r="AO3073" s="22"/>
      <c r="AP3073" s="21"/>
      <c r="AQ3073" s="22"/>
      <c r="AR3073" s="21"/>
      <c r="AS3073" s="21"/>
      <c r="AT3073" s="21"/>
      <c r="AU3073" s="21"/>
      <c r="AV3073" s="21"/>
      <c r="AW3073" s="21"/>
      <c r="AX3073" s="22"/>
      <c r="AY3073" s="21"/>
      <c r="AZ3073" s="22"/>
      <c r="BA3073" s="21"/>
      <c r="BB3073" s="21"/>
      <c r="BC3073" s="21"/>
      <c r="BD3073" s="21"/>
      <c r="BE3073" s="26"/>
      <c r="BF3073" s="26"/>
      <c r="BG3073" s="62"/>
    </row>
    <row r="3074" spans="1:59" ht="13.5" customHeight="1" x14ac:dyDescent="0.35">
      <c r="A3074" s="49"/>
      <c r="B3074" s="49"/>
      <c r="C3074" s="39"/>
      <c r="D3074" s="1"/>
      <c r="E3074" s="149"/>
      <c r="F3074" s="153"/>
      <c r="G3074" s="10"/>
      <c r="H3074" s="17"/>
      <c r="I3074" s="17"/>
      <c r="J3074" s="17"/>
      <c r="K3074" s="30"/>
      <c r="L3074" s="30"/>
      <c r="M3074" s="30"/>
      <c r="N3074" s="30"/>
      <c r="O3074" s="30"/>
      <c r="P3074" s="30"/>
      <c r="Q3074" s="30"/>
      <c r="R3074" s="30"/>
      <c r="S3074" s="30"/>
      <c r="T3074" s="30"/>
      <c r="U3074" s="30"/>
      <c r="V3074" s="30"/>
      <c r="W3074" s="29"/>
      <c r="X3074" s="15"/>
      <c r="Y3074" s="30"/>
      <c r="Z3074" s="30"/>
      <c r="AA3074" s="30"/>
      <c r="AB3074" s="30"/>
      <c r="AC3074" s="17"/>
      <c r="AD3074" s="17"/>
      <c r="AE3074" s="17"/>
      <c r="AF3074" s="17"/>
      <c r="AG3074" s="21"/>
      <c r="AH3074" s="21"/>
      <c r="AI3074" s="21"/>
      <c r="AJ3074" s="21"/>
      <c r="AK3074" s="21"/>
      <c r="AL3074" s="21"/>
      <c r="AM3074" s="21"/>
      <c r="AN3074" s="21"/>
      <c r="AO3074" s="22"/>
      <c r="AP3074" s="21"/>
      <c r="AQ3074" s="22"/>
      <c r="AR3074" s="21"/>
      <c r="AS3074" s="21"/>
      <c r="AT3074" s="21"/>
      <c r="AU3074" s="21"/>
      <c r="AV3074" s="21"/>
      <c r="AW3074" s="21"/>
      <c r="AX3074" s="22"/>
      <c r="AY3074" s="21"/>
      <c r="AZ3074" s="22"/>
      <c r="BA3074" s="21"/>
      <c r="BB3074" s="21"/>
      <c r="BC3074" s="21"/>
      <c r="BD3074" s="21"/>
      <c r="BE3074" s="26"/>
      <c r="BF3074" s="26"/>
      <c r="BG3074" s="62"/>
    </row>
    <row r="3075" spans="1:59" ht="13.5" customHeight="1" x14ac:dyDescent="0.35">
      <c r="A3075" s="63"/>
      <c r="B3075" s="63"/>
      <c r="C3075" s="39"/>
      <c r="D3075" s="6"/>
      <c r="E3075" s="149"/>
      <c r="F3075" s="153"/>
      <c r="G3075" s="10"/>
      <c r="H3075" s="6"/>
      <c r="I3075" s="6"/>
      <c r="J3075" s="6"/>
      <c r="K3075" s="6"/>
      <c r="L3075" s="6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12"/>
      <c r="Y3075" s="6"/>
      <c r="Z3075" s="6"/>
      <c r="AA3075" s="6"/>
      <c r="AB3075" s="6"/>
      <c r="AC3075" s="9"/>
      <c r="AD3075" s="9"/>
      <c r="AE3075" s="9"/>
      <c r="AF3075" s="9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21"/>
      <c r="AS3075" s="21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  <c r="BG3075" s="65"/>
    </row>
    <row r="3076" spans="1:59" x14ac:dyDescent="0.3">
      <c r="A3076" s="6"/>
      <c r="B3076" s="6"/>
      <c r="C3076" s="39"/>
      <c r="D3076" s="6"/>
      <c r="E3076" s="149"/>
      <c r="F3076" s="153"/>
      <c r="G3076" s="10"/>
      <c r="H3076" s="6"/>
      <c r="I3076" s="6"/>
      <c r="J3076" s="6"/>
      <c r="K3076" s="6"/>
      <c r="L3076" s="6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12"/>
      <c r="Y3076" s="6"/>
      <c r="Z3076" s="6"/>
      <c r="AA3076" s="6"/>
      <c r="AB3076" s="6"/>
      <c r="AC3076" s="9"/>
      <c r="AD3076" s="9"/>
      <c r="AE3076" s="9"/>
      <c r="AF3076" s="9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21"/>
      <c r="AS3076" s="21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</row>
    <row r="3077" spans="1:59" x14ac:dyDescent="0.3">
      <c r="A3077" s="63"/>
      <c r="B3077" s="63"/>
      <c r="C3077" s="39"/>
      <c r="D3077" s="6"/>
      <c r="E3077" s="149"/>
      <c r="F3077" s="153"/>
      <c r="G3077" s="10"/>
      <c r="H3077" s="6"/>
      <c r="I3077" s="6"/>
      <c r="J3077" s="6"/>
      <c r="K3077" s="6"/>
      <c r="L3077" s="6"/>
      <c r="M3077" s="6"/>
      <c r="N3077" s="6"/>
      <c r="O3077" s="6"/>
      <c r="P3077" s="6"/>
      <c r="Q3077" s="6"/>
      <c r="R3077" s="6"/>
      <c r="S3077" s="6"/>
      <c r="T3077" s="6"/>
      <c r="U3077" s="5"/>
      <c r="V3077" s="5"/>
      <c r="W3077" s="13"/>
      <c r="X3077" s="4"/>
      <c r="Y3077" s="4"/>
      <c r="Z3077" s="4"/>
      <c r="AA3077" s="6"/>
      <c r="AB3077" s="5"/>
      <c r="AC3077" s="9"/>
      <c r="AD3077" s="9"/>
      <c r="AE3077" s="9"/>
      <c r="AF3077" s="9"/>
      <c r="AG3077" s="64"/>
      <c r="AH3077" s="3"/>
      <c r="AI3077" s="2"/>
      <c r="AJ3077" s="2"/>
      <c r="AK3077" s="2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  <c r="BG3077" s="3"/>
    </row>
    <row r="3078" spans="1:59" ht="13.5" customHeight="1" x14ac:dyDescent="0.35">
      <c r="A3078" s="49"/>
      <c r="B3078" s="49"/>
      <c r="C3078" s="14"/>
      <c r="D3078" s="1"/>
      <c r="E3078" s="149"/>
      <c r="F3078" s="153"/>
      <c r="G3078" s="10"/>
      <c r="H3078" s="17"/>
      <c r="I3078" s="17"/>
      <c r="J3078" s="17"/>
      <c r="K3078" s="30"/>
      <c r="L3078" s="30"/>
      <c r="M3078" s="30"/>
      <c r="N3078" s="30"/>
      <c r="O3078" s="30"/>
      <c r="P3078" s="30"/>
      <c r="Q3078" s="30"/>
      <c r="R3078" s="30"/>
      <c r="S3078" s="30"/>
      <c r="T3078" s="30"/>
      <c r="U3078" s="30"/>
      <c r="V3078" s="30"/>
      <c r="W3078" s="29"/>
      <c r="X3078" s="15"/>
      <c r="Y3078" s="30"/>
      <c r="Z3078" s="30"/>
      <c r="AA3078" s="30"/>
      <c r="AB3078" s="30"/>
      <c r="AC3078" s="17"/>
      <c r="AD3078" s="17"/>
      <c r="AE3078" s="17"/>
      <c r="AF3078" s="17"/>
      <c r="AG3078" s="21"/>
      <c r="AH3078" s="21"/>
      <c r="AI3078" s="21"/>
      <c r="AJ3078" s="21"/>
      <c r="AK3078" s="21"/>
      <c r="AL3078" s="21"/>
      <c r="AM3078" s="21"/>
      <c r="AN3078" s="21"/>
      <c r="AO3078" s="22"/>
      <c r="AP3078" s="21"/>
      <c r="AQ3078" s="22"/>
      <c r="AR3078" s="21"/>
      <c r="AS3078" s="21"/>
      <c r="AT3078" s="21"/>
      <c r="AU3078" s="21"/>
      <c r="AV3078" s="21"/>
      <c r="AW3078" s="21"/>
      <c r="AX3078" s="22"/>
      <c r="AY3078" s="21"/>
      <c r="AZ3078" s="22"/>
      <c r="BA3078" s="21"/>
      <c r="BB3078" s="21"/>
      <c r="BC3078" s="21"/>
      <c r="BD3078" s="21"/>
      <c r="BE3078" s="26"/>
      <c r="BF3078" s="26"/>
      <c r="BG3078" s="62"/>
    </row>
    <row r="3079" spans="1:59" ht="13.5" customHeight="1" x14ac:dyDescent="0.35">
      <c r="A3079" s="49"/>
      <c r="B3079" s="49"/>
      <c r="C3079" s="14"/>
      <c r="D3079" s="1"/>
      <c r="E3079" s="149"/>
      <c r="F3079" s="153"/>
      <c r="G3079" s="10"/>
      <c r="H3079" s="17"/>
      <c r="I3079" s="17"/>
      <c r="J3079" s="17"/>
      <c r="K3079" s="30"/>
      <c r="L3079" s="30"/>
      <c r="M3079" s="30"/>
      <c r="N3079" s="30"/>
      <c r="O3079" s="30"/>
      <c r="P3079" s="30"/>
      <c r="Q3079" s="30"/>
      <c r="R3079" s="30"/>
      <c r="S3079" s="30"/>
      <c r="T3079" s="30"/>
      <c r="U3079" s="30"/>
      <c r="V3079" s="30"/>
      <c r="W3079" s="29"/>
      <c r="X3079" s="15"/>
      <c r="Y3079" s="30"/>
      <c r="Z3079" s="30"/>
      <c r="AA3079" s="30"/>
      <c r="AB3079" s="30"/>
      <c r="AC3079" s="17"/>
      <c r="AD3079" s="17"/>
      <c r="AE3079" s="17"/>
      <c r="AF3079" s="17"/>
      <c r="AG3079" s="21"/>
      <c r="AH3079" s="21"/>
      <c r="AI3079" s="21"/>
      <c r="AJ3079" s="21"/>
      <c r="AK3079" s="21"/>
      <c r="AL3079" s="21"/>
      <c r="AM3079" s="21"/>
      <c r="AN3079" s="21"/>
      <c r="AO3079" s="22"/>
      <c r="AP3079" s="21"/>
      <c r="AQ3079" s="22"/>
      <c r="AR3079" s="21"/>
      <c r="AS3079" s="21"/>
      <c r="AT3079" s="21"/>
      <c r="AU3079" s="21"/>
      <c r="AV3079" s="21"/>
      <c r="AW3079" s="21"/>
      <c r="AX3079" s="22"/>
      <c r="AY3079" s="21"/>
      <c r="AZ3079" s="22"/>
      <c r="BA3079" s="21"/>
      <c r="BB3079" s="21"/>
      <c r="BC3079" s="21"/>
      <c r="BD3079" s="21"/>
      <c r="BE3079" s="26"/>
      <c r="BF3079" s="26"/>
      <c r="BG3079" s="62"/>
    </row>
    <row r="3080" spans="1:59" x14ac:dyDescent="0.3">
      <c r="A3080" s="6"/>
      <c r="B3080" s="6"/>
      <c r="C3080" s="39"/>
      <c r="D3080" s="6"/>
      <c r="E3080" s="149"/>
      <c r="F3080" s="153"/>
      <c r="G3080" s="10"/>
      <c r="H3080" s="6"/>
      <c r="I3080" s="6"/>
      <c r="J3080" s="6"/>
      <c r="K3080" s="6"/>
      <c r="L3080" s="6"/>
      <c r="M3080" s="6"/>
      <c r="N3080" s="6"/>
      <c r="O3080" s="6"/>
      <c r="P3080" s="6"/>
      <c r="Q3080" s="6"/>
      <c r="R3080" s="6"/>
      <c r="S3080" s="6"/>
      <c r="T3080" s="6"/>
      <c r="U3080" s="5"/>
      <c r="V3080" s="5"/>
      <c r="W3080" s="13"/>
      <c r="X3080" s="4"/>
      <c r="Y3080" s="4"/>
      <c r="Z3080" s="4"/>
      <c r="AA3080" s="6"/>
      <c r="AB3080" s="5"/>
      <c r="AC3080" s="9"/>
      <c r="AD3080" s="9"/>
      <c r="AE3080" s="9"/>
      <c r="AF3080" s="9"/>
      <c r="AG3080" s="2"/>
      <c r="AH3080" s="3"/>
      <c r="AI3080" s="2"/>
      <c r="AJ3080" s="2"/>
      <c r="AK3080" s="2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  <c r="BG3080" s="3"/>
    </row>
    <row r="3081" spans="1:59" ht="13.5" customHeight="1" x14ac:dyDescent="0.35">
      <c r="A3081" s="49"/>
      <c r="B3081" s="49"/>
      <c r="C3081" s="39"/>
      <c r="D3081" s="1"/>
      <c r="E3081" s="149"/>
      <c r="F3081" s="153"/>
      <c r="G3081" s="10"/>
      <c r="H3081" s="17"/>
      <c r="I3081" s="17"/>
      <c r="J3081" s="17"/>
      <c r="K3081" s="30"/>
      <c r="L3081" s="30"/>
      <c r="M3081" s="30"/>
      <c r="N3081" s="30"/>
      <c r="O3081" s="30"/>
      <c r="P3081" s="30"/>
      <c r="Q3081" s="30"/>
      <c r="R3081" s="30"/>
      <c r="S3081" s="30"/>
      <c r="T3081" s="30"/>
      <c r="U3081" s="30"/>
      <c r="V3081" s="30"/>
      <c r="W3081" s="29"/>
      <c r="X3081" s="15"/>
      <c r="Y3081" s="30"/>
      <c r="Z3081" s="30"/>
      <c r="AA3081" s="30"/>
      <c r="AB3081" s="30"/>
      <c r="AC3081" s="17"/>
      <c r="AD3081" s="17"/>
      <c r="AE3081" s="17"/>
      <c r="AF3081" s="17"/>
      <c r="AG3081" s="21"/>
      <c r="AH3081" s="21"/>
      <c r="AI3081" s="21"/>
      <c r="AJ3081" s="21"/>
      <c r="AK3081" s="21"/>
      <c r="AL3081" s="21"/>
      <c r="AM3081" s="21"/>
      <c r="AN3081" s="21"/>
      <c r="AO3081" s="22"/>
      <c r="AP3081" s="21"/>
      <c r="AQ3081" s="22"/>
      <c r="AR3081" s="21"/>
      <c r="AS3081" s="21"/>
      <c r="AT3081" s="21"/>
      <c r="AU3081" s="21"/>
      <c r="AV3081" s="21"/>
      <c r="AW3081" s="21"/>
      <c r="AX3081" s="22"/>
      <c r="AY3081" s="21"/>
      <c r="AZ3081" s="22"/>
      <c r="BA3081" s="21"/>
      <c r="BB3081" s="21"/>
      <c r="BC3081" s="21"/>
      <c r="BD3081" s="21"/>
      <c r="BE3081" s="26"/>
      <c r="BF3081" s="26"/>
      <c r="BG3081" s="62"/>
    </row>
    <row r="3082" spans="1:59" ht="13.5" customHeight="1" x14ac:dyDescent="0.35">
      <c r="A3082" s="49"/>
      <c r="B3082" s="49"/>
      <c r="C3082" s="14"/>
      <c r="D3082" s="1"/>
      <c r="E3082" s="149"/>
      <c r="F3082" s="153"/>
      <c r="G3082" s="10"/>
      <c r="H3082" s="17"/>
      <c r="I3082" s="17"/>
      <c r="J3082" s="17"/>
      <c r="K3082" s="30"/>
      <c r="L3082" s="30"/>
      <c r="M3082" s="30"/>
      <c r="N3082" s="30"/>
      <c r="O3082" s="30"/>
      <c r="P3082" s="30"/>
      <c r="Q3082" s="30"/>
      <c r="R3082" s="30"/>
      <c r="S3082" s="30"/>
      <c r="T3082" s="30"/>
      <c r="U3082" s="30"/>
      <c r="V3082" s="30"/>
      <c r="W3082" s="29"/>
      <c r="X3082" s="15"/>
      <c r="Y3082" s="30"/>
      <c r="Z3082" s="30"/>
      <c r="AA3082" s="30"/>
      <c r="AB3082" s="30"/>
      <c r="AC3082" s="17"/>
      <c r="AD3082" s="17"/>
      <c r="AE3082" s="17"/>
      <c r="AF3082" s="17"/>
      <c r="AG3082" s="21"/>
      <c r="AH3082" s="21"/>
      <c r="AI3082" s="21"/>
      <c r="AJ3082" s="21"/>
      <c r="AK3082" s="21"/>
      <c r="AL3082" s="21"/>
      <c r="AM3082" s="21"/>
      <c r="AN3082" s="21"/>
      <c r="AO3082" s="22"/>
      <c r="AP3082" s="21"/>
      <c r="AQ3082" s="22"/>
      <c r="AR3082" s="21"/>
      <c r="AS3082" s="21"/>
      <c r="AT3082" s="21"/>
      <c r="AU3082" s="21"/>
      <c r="AV3082" s="21"/>
      <c r="AW3082" s="21"/>
      <c r="AX3082" s="22"/>
      <c r="AY3082" s="21"/>
      <c r="AZ3082" s="22"/>
      <c r="BA3082" s="21"/>
      <c r="BB3082" s="21"/>
      <c r="BC3082" s="21"/>
      <c r="BD3082" s="21"/>
      <c r="BE3082" s="26"/>
      <c r="BF3082" s="26"/>
      <c r="BG3082" s="62"/>
    </row>
    <row r="3083" spans="1:59" x14ac:dyDescent="0.3">
      <c r="A3083" s="6"/>
      <c r="B3083" s="6"/>
      <c r="C3083" s="39"/>
      <c r="D3083" s="6"/>
      <c r="E3083" s="149"/>
      <c r="F3083" s="153"/>
      <c r="G3083" s="10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12"/>
      <c r="Y3083" s="6"/>
      <c r="Z3083" s="6"/>
      <c r="AA3083" s="6"/>
      <c r="AB3083" s="6"/>
      <c r="AC3083" s="9"/>
      <c r="AD3083" s="9"/>
      <c r="AE3083" s="9"/>
      <c r="AF3083" s="9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21"/>
      <c r="AS3083" s="21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  <c r="BG3083" s="3"/>
    </row>
    <row r="3084" spans="1:59" x14ac:dyDescent="0.3">
      <c r="A3084" s="6"/>
      <c r="B3084" s="6"/>
      <c r="C3084" s="39"/>
      <c r="D3084" s="6"/>
      <c r="E3084" s="149"/>
      <c r="F3084" s="153"/>
      <c r="G3084" s="10"/>
      <c r="H3084" s="6"/>
      <c r="I3084" s="6"/>
      <c r="J3084" s="6"/>
      <c r="K3084" s="6"/>
      <c r="L3084" s="6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12"/>
      <c r="Y3084" s="6"/>
      <c r="Z3084" s="6"/>
      <c r="AA3084" s="6"/>
      <c r="AB3084" s="6"/>
      <c r="AC3084" s="9"/>
      <c r="AD3084" s="9"/>
      <c r="AE3084" s="9"/>
      <c r="AF3084" s="9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21"/>
      <c r="AS3084" s="21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</row>
    <row r="3085" spans="1:59" ht="13.5" customHeight="1" x14ac:dyDescent="0.35">
      <c r="A3085" s="49"/>
      <c r="B3085" s="49"/>
      <c r="C3085" s="14"/>
      <c r="D3085" s="1"/>
      <c r="E3085" s="149"/>
      <c r="F3085" s="153"/>
      <c r="G3085" s="10"/>
      <c r="H3085" s="17"/>
      <c r="I3085" s="17"/>
      <c r="J3085" s="17"/>
      <c r="K3085" s="30"/>
      <c r="L3085" s="30"/>
      <c r="M3085" s="30"/>
      <c r="N3085" s="30"/>
      <c r="O3085" s="30"/>
      <c r="P3085" s="30"/>
      <c r="Q3085" s="30"/>
      <c r="R3085" s="30"/>
      <c r="S3085" s="30"/>
      <c r="T3085" s="30"/>
      <c r="U3085" s="30"/>
      <c r="V3085" s="30"/>
      <c r="W3085" s="29"/>
      <c r="X3085" s="15"/>
      <c r="Y3085" s="30"/>
      <c r="Z3085" s="30"/>
      <c r="AA3085" s="30"/>
      <c r="AB3085" s="30"/>
      <c r="AC3085" s="17"/>
      <c r="AD3085" s="17"/>
      <c r="AE3085" s="17"/>
      <c r="AF3085" s="17"/>
      <c r="AG3085" s="21"/>
      <c r="AH3085" s="21"/>
      <c r="AI3085" s="21"/>
      <c r="AJ3085" s="21"/>
      <c r="AK3085" s="21"/>
      <c r="AL3085" s="21"/>
      <c r="AM3085" s="21"/>
      <c r="AN3085" s="21"/>
      <c r="AO3085" s="22"/>
      <c r="AP3085" s="21"/>
      <c r="AQ3085" s="22"/>
      <c r="AR3085" s="21"/>
      <c r="AS3085" s="21"/>
      <c r="AT3085" s="21"/>
      <c r="AU3085" s="21"/>
      <c r="AV3085" s="21"/>
      <c r="AW3085" s="21"/>
      <c r="AX3085" s="22"/>
      <c r="AY3085" s="21"/>
      <c r="AZ3085" s="22"/>
      <c r="BA3085" s="21"/>
      <c r="BB3085" s="21"/>
      <c r="BC3085" s="21"/>
      <c r="BD3085" s="21"/>
      <c r="BE3085" s="26"/>
      <c r="BF3085" s="26"/>
      <c r="BG3085" s="62"/>
    </row>
    <row r="3086" spans="1:59" x14ac:dyDescent="0.3">
      <c r="A3086" s="6"/>
      <c r="B3086" s="6"/>
      <c r="C3086" s="39"/>
      <c r="D3086" s="6"/>
      <c r="E3086" s="149"/>
      <c r="F3086" s="153"/>
      <c r="G3086" s="10"/>
      <c r="H3086" s="6"/>
      <c r="I3086" s="6"/>
      <c r="J3086" s="6"/>
      <c r="K3086" s="6"/>
      <c r="L3086" s="6"/>
      <c r="M3086" s="6"/>
      <c r="N3086" s="6"/>
      <c r="O3086" s="6"/>
      <c r="P3086" s="6"/>
      <c r="Q3086" s="6"/>
      <c r="R3086" s="6"/>
      <c r="S3086" s="6"/>
      <c r="T3086" s="6"/>
      <c r="U3086" s="5"/>
      <c r="V3086" s="5"/>
      <c r="W3086" s="13"/>
      <c r="X3086" s="4"/>
      <c r="Y3086" s="4"/>
      <c r="Z3086" s="4"/>
      <c r="AA3086" s="6"/>
      <c r="AB3086" s="5"/>
      <c r="AC3086" s="9"/>
      <c r="AD3086" s="9"/>
      <c r="AE3086" s="9"/>
      <c r="AF3086" s="9"/>
      <c r="AG3086" s="2"/>
      <c r="AH3086" s="3"/>
      <c r="AI3086" s="2"/>
      <c r="AJ3086" s="2"/>
      <c r="AK3086" s="2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</row>
    <row r="3087" spans="1:59" ht="13.5" customHeight="1" x14ac:dyDescent="0.35">
      <c r="A3087" s="49"/>
      <c r="B3087" s="49"/>
      <c r="C3087" s="39"/>
      <c r="D3087" s="1"/>
      <c r="E3087" s="149"/>
      <c r="F3087" s="153"/>
      <c r="G3087" s="10"/>
      <c r="H3087" s="17"/>
      <c r="I3087" s="17"/>
      <c r="J3087" s="17"/>
      <c r="K3087" s="30"/>
      <c r="L3087" s="30"/>
      <c r="M3087" s="30"/>
      <c r="N3087" s="30"/>
      <c r="O3087" s="30"/>
      <c r="P3087" s="30"/>
      <c r="Q3087" s="30"/>
      <c r="R3087" s="30"/>
      <c r="S3087" s="30"/>
      <c r="T3087" s="30"/>
      <c r="U3087" s="30"/>
      <c r="V3087" s="30"/>
      <c r="W3087" s="29"/>
      <c r="X3087" s="15"/>
      <c r="Y3087" s="30"/>
      <c r="Z3087" s="30"/>
      <c r="AA3087" s="30"/>
      <c r="AB3087" s="30"/>
      <c r="AC3087" s="17"/>
      <c r="AD3087" s="17"/>
      <c r="AE3087" s="17"/>
      <c r="AF3087" s="17"/>
      <c r="AG3087" s="21"/>
      <c r="AH3087" s="21"/>
      <c r="AI3087" s="21"/>
      <c r="AJ3087" s="21"/>
      <c r="AK3087" s="21"/>
      <c r="AL3087" s="21"/>
      <c r="AM3087" s="21"/>
      <c r="AN3087" s="21"/>
      <c r="AO3087" s="22"/>
      <c r="AP3087" s="21"/>
      <c r="AQ3087" s="22"/>
      <c r="AR3087" s="21"/>
      <c r="AS3087" s="21"/>
      <c r="AT3087" s="21"/>
      <c r="AU3087" s="21"/>
      <c r="AV3087" s="21"/>
      <c r="AW3087" s="21"/>
      <c r="AX3087" s="22"/>
      <c r="AY3087" s="21"/>
      <c r="AZ3087" s="22"/>
      <c r="BA3087" s="21"/>
      <c r="BB3087" s="21"/>
      <c r="BC3087" s="21"/>
      <c r="BD3087" s="21"/>
      <c r="BE3087" s="26"/>
      <c r="BF3087" s="26"/>
      <c r="BG3087" s="62"/>
    </row>
    <row r="3088" spans="1:59" ht="13.5" customHeight="1" x14ac:dyDescent="0.35">
      <c r="A3088" s="49"/>
      <c r="B3088" s="49"/>
      <c r="C3088" s="14"/>
      <c r="D3088" s="1"/>
      <c r="E3088" s="149"/>
      <c r="F3088" s="153"/>
      <c r="G3088" s="10"/>
      <c r="H3088" s="17"/>
      <c r="I3088" s="17"/>
      <c r="J3088" s="17"/>
      <c r="K3088" s="30"/>
      <c r="L3088" s="30"/>
      <c r="M3088" s="30"/>
      <c r="N3088" s="30"/>
      <c r="O3088" s="30"/>
      <c r="P3088" s="30"/>
      <c r="Q3088" s="30"/>
      <c r="R3088" s="30"/>
      <c r="S3088" s="30"/>
      <c r="T3088" s="30"/>
      <c r="U3088" s="30"/>
      <c r="V3088" s="30"/>
      <c r="W3088" s="29"/>
      <c r="X3088" s="15"/>
      <c r="Y3088" s="30"/>
      <c r="Z3088" s="30"/>
      <c r="AA3088" s="30"/>
      <c r="AB3088" s="30"/>
      <c r="AC3088" s="17"/>
      <c r="AD3088" s="17"/>
      <c r="AE3088" s="17"/>
      <c r="AF3088" s="17"/>
      <c r="AG3088" s="21"/>
      <c r="AH3088" s="21"/>
      <c r="AI3088" s="21"/>
      <c r="AJ3088" s="21"/>
      <c r="AK3088" s="21"/>
      <c r="AL3088" s="21"/>
      <c r="AM3088" s="21"/>
      <c r="AN3088" s="21"/>
      <c r="AO3088" s="22"/>
      <c r="AP3088" s="21"/>
      <c r="AQ3088" s="22"/>
      <c r="AR3088" s="21"/>
      <c r="AS3088" s="21"/>
      <c r="AT3088" s="21"/>
      <c r="AU3088" s="21"/>
      <c r="AV3088" s="21"/>
      <c r="AW3088" s="21"/>
      <c r="AX3088" s="22"/>
      <c r="AY3088" s="21"/>
      <c r="AZ3088" s="22"/>
      <c r="BA3088" s="21"/>
      <c r="BB3088" s="21"/>
      <c r="BC3088" s="21"/>
      <c r="BD3088" s="21"/>
      <c r="BE3088" s="26"/>
      <c r="BF3088" s="26"/>
      <c r="BG3088" s="62"/>
    </row>
    <row r="3089" spans="1:59" x14ac:dyDescent="0.3">
      <c r="A3089" s="63"/>
      <c r="B3089" s="63"/>
      <c r="C3089" s="39"/>
      <c r="D3089" s="6"/>
      <c r="E3089" s="149"/>
      <c r="F3089" s="153"/>
      <c r="G3089" s="10"/>
      <c r="H3089" s="6"/>
      <c r="I3089" s="6"/>
      <c r="J3089" s="6"/>
      <c r="K3089" s="6"/>
      <c r="L3089" s="6"/>
      <c r="M3089" s="6"/>
      <c r="N3089" s="6"/>
      <c r="O3089" s="6"/>
      <c r="P3089" s="6"/>
      <c r="Q3089" s="6"/>
      <c r="R3089" s="6"/>
      <c r="S3089" s="6"/>
      <c r="T3089" s="6"/>
      <c r="U3089" s="5"/>
      <c r="V3089" s="5"/>
      <c r="W3089" s="13"/>
      <c r="X3089" s="4"/>
      <c r="Y3089" s="4"/>
      <c r="Z3089" s="4"/>
      <c r="AA3089" s="6"/>
      <c r="AB3089" s="5"/>
      <c r="AC3089" s="9"/>
      <c r="AD3089" s="9"/>
      <c r="AE3089" s="9"/>
      <c r="AF3089" s="9"/>
      <c r="AG3089" s="64"/>
      <c r="AH3089" s="3"/>
      <c r="AI3089" s="2"/>
      <c r="AJ3089" s="2"/>
      <c r="AK3089" s="2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</row>
    <row r="3090" spans="1:59" ht="13.5" customHeight="1" x14ac:dyDescent="0.35">
      <c r="A3090" s="49"/>
      <c r="B3090" s="49"/>
      <c r="C3090" s="14"/>
      <c r="D3090" s="1"/>
      <c r="E3090" s="149"/>
      <c r="F3090" s="153"/>
      <c r="G3090" s="10"/>
      <c r="H3090" s="17"/>
      <c r="I3090" s="17"/>
      <c r="J3090" s="17"/>
      <c r="K3090" s="30"/>
      <c r="L3090" s="30"/>
      <c r="M3090" s="30"/>
      <c r="N3090" s="30"/>
      <c r="O3090" s="30"/>
      <c r="P3090" s="30"/>
      <c r="Q3090" s="30"/>
      <c r="R3090" s="30"/>
      <c r="S3090" s="30"/>
      <c r="T3090" s="30"/>
      <c r="U3090" s="30"/>
      <c r="V3090" s="30"/>
      <c r="W3090" s="29"/>
      <c r="X3090" s="15"/>
      <c r="Y3090" s="30"/>
      <c r="Z3090" s="30"/>
      <c r="AA3090" s="30"/>
      <c r="AB3090" s="30"/>
      <c r="AC3090" s="17"/>
      <c r="AD3090" s="17"/>
      <c r="AE3090" s="17"/>
      <c r="AF3090" s="17"/>
      <c r="AG3090" s="21"/>
      <c r="AH3090" s="21"/>
      <c r="AI3090" s="21"/>
      <c r="AJ3090" s="21"/>
      <c r="AK3090" s="21"/>
      <c r="AL3090" s="21"/>
      <c r="AM3090" s="21"/>
      <c r="AN3090" s="21"/>
      <c r="AO3090" s="22"/>
      <c r="AP3090" s="21"/>
      <c r="AQ3090" s="22"/>
      <c r="AR3090" s="21"/>
      <c r="AS3090" s="21"/>
      <c r="AT3090" s="21"/>
      <c r="AU3090" s="21"/>
      <c r="AV3090" s="21"/>
      <c r="AW3090" s="21"/>
      <c r="AX3090" s="22"/>
      <c r="AY3090" s="21"/>
      <c r="AZ3090" s="22"/>
      <c r="BA3090" s="21"/>
      <c r="BB3090" s="21"/>
      <c r="BC3090" s="21"/>
      <c r="BD3090" s="21"/>
      <c r="BE3090" s="26"/>
      <c r="BF3090" s="26"/>
      <c r="BG3090" s="62"/>
    </row>
    <row r="3091" spans="1:59" ht="13.5" customHeight="1" x14ac:dyDescent="0.35">
      <c r="A3091" s="49"/>
      <c r="B3091" s="49"/>
      <c r="C3091" s="39"/>
      <c r="D3091" s="1"/>
      <c r="E3091" s="149"/>
      <c r="F3091" s="153"/>
      <c r="G3091" s="10"/>
      <c r="H3091" s="17"/>
      <c r="I3091" s="17"/>
      <c r="J3091" s="17"/>
      <c r="K3091" s="30"/>
      <c r="L3091" s="30"/>
      <c r="M3091" s="30"/>
      <c r="N3091" s="30"/>
      <c r="O3091" s="30"/>
      <c r="P3091" s="30"/>
      <c r="Q3091" s="30"/>
      <c r="R3091" s="30"/>
      <c r="S3091" s="30"/>
      <c r="T3091" s="30"/>
      <c r="U3091" s="30"/>
      <c r="V3091" s="30"/>
      <c r="W3091" s="29"/>
      <c r="X3091" s="15"/>
      <c r="Y3091" s="30"/>
      <c r="Z3091" s="30"/>
      <c r="AA3091" s="30"/>
      <c r="AB3091" s="30"/>
      <c r="AC3091" s="17"/>
      <c r="AD3091" s="17"/>
      <c r="AE3091" s="17"/>
      <c r="AF3091" s="17"/>
      <c r="AG3091" s="21"/>
      <c r="AH3091" s="21"/>
      <c r="AI3091" s="21"/>
      <c r="AJ3091" s="21"/>
      <c r="AK3091" s="21"/>
      <c r="AL3091" s="21"/>
      <c r="AM3091" s="21"/>
      <c r="AN3091" s="21"/>
      <c r="AO3091" s="22"/>
      <c r="AP3091" s="21"/>
      <c r="AQ3091" s="22"/>
      <c r="AR3091" s="21"/>
      <c r="AS3091" s="21"/>
      <c r="AT3091" s="21"/>
      <c r="AU3091" s="21"/>
      <c r="AV3091" s="21"/>
      <c r="AW3091" s="21"/>
      <c r="AX3091" s="22"/>
      <c r="AY3091" s="21"/>
      <c r="AZ3091" s="22"/>
      <c r="BA3091" s="21"/>
      <c r="BB3091" s="21"/>
      <c r="BC3091" s="21"/>
      <c r="BD3091" s="21"/>
      <c r="BE3091" s="26"/>
      <c r="BF3091" s="26"/>
      <c r="BG3091" s="62"/>
    </row>
    <row r="3092" spans="1:59" x14ac:dyDescent="0.3">
      <c r="A3092" s="63"/>
      <c r="B3092" s="63"/>
      <c r="C3092" s="39"/>
      <c r="D3092" s="6"/>
      <c r="E3092" s="149"/>
      <c r="F3092" s="153"/>
      <c r="G3092" s="10"/>
      <c r="H3092" s="6"/>
      <c r="I3092" s="6"/>
      <c r="J3092" s="6"/>
      <c r="K3092" s="6"/>
      <c r="L3092" s="6"/>
      <c r="M3092" s="6"/>
      <c r="N3092" s="6"/>
      <c r="O3092" s="6"/>
      <c r="P3092" s="6"/>
      <c r="Q3092" s="6"/>
      <c r="R3092" s="6"/>
      <c r="S3092" s="6"/>
      <c r="T3092" s="6"/>
      <c r="U3092" s="5"/>
      <c r="V3092" s="5"/>
      <c r="W3092" s="13"/>
      <c r="X3092" s="4"/>
      <c r="Y3092" s="4"/>
      <c r="Z3092" s="4"/>
      <c r="AA3092" s="6"/>
      <c r="AB3092" s="5"/>
      <c r="AC3092" s="9"/>
      <c r="AD3092" s="9"/>
      <c r="AE3092" s="9"/>
      <c r="AF3092" s="9"/>
      <c r="AG3092" s="64"/>
      <c r="AH3092" s="3"/>
      <c r="AI3092" s="2"/>
      <c r="AJ3092" s="2"/>
      <c r="AK3092" s="2"/>
      <c r="AL3092" s="3"/>
      <c r="AM3092" s="3"/>
      <c r="AN3092" s="3"/>
      <c r="AO3092" s="3"/>
      <c r="AP3092" s="3"/>
      <c r="AQ3092" s="3"/>
      <c r="AR3092" s="21"/>
      <c r="AS3092" s="21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  <c r="BG3092" s="3"/>
    </row>
    <row r="3093" spans="1:59" x14ac:dyDescent="0.3">
      <c r="A3093" s="6"/>
      <c r="B3093" s="6"/>
      <c r="C3093" s="39"/>
      <c r="D3093" s="6"/>
      <c r="E3093" s="149"/>
      <c r="F3093" s="153"/>
      <c r="G3093" s="10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5"/>
      <c r="V3093" s="5"/>
      <c r="W3093" s="13"/>
      <c r="X3093" s="4"/>
      <c r="Y3093" s="4"/>
      <c r="Z3093" s="4"/>
      <c r="AA3093" s="6"/>
      <c r="AB3093" s="5"/>
      <c r="AC3093" s="9"/>
      <c r="AD3093" s="9"/>
      <c r="AE3093" s="9"/>
      <c r="AF3093" s="9"/>
      <c r="AG3093" s="2"/>
      <c r="AH3093" s="3"/>
      <c r="AI3093" s="2"/>
      <c r="AJ3093" s="2"/>
      <c r="AK3093" s="2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  <c r="BG3093" s="3"/>
    </row>
    <row r="3094" spans="1:59" x14ac:dyDescent="0.3">
      <c r="A3094" s="6"/>
      <c r="B3094" s="6"/>
      <c r="C3094" s="39"/>
      <c r="D3094" s="6"/>
      <c r="E3094" s="149"/>
      <c r="F3094" s="153"/>
      <c r="G3094" s="10"/>
      <c r="H3094" s="6"/>
      <c r="I3094" s="6"/>
      <c r="J3094" s="6"/>
      <c r="K3094" s="6"/>
      <c r="L3094" s="6"/>
      <c r="M3094" s="6"/>
      <c r="N3094" s="6"/>
      <c r="O3094" s="6"/>
      <c r="P3094" s="6"/>
      <c r="Q3094" s="6"/>
      <c r="R3094" s="6"/>
      <c r="S3094" s="6"/>
      <c r="T3094" s="6"/>
      <c r="U3094" s="5"/>
      <c r="V3094" s="5"/>
      <c r="W3094" s="13"/>
      <c r="X3094" s="4"/>
      <c r="Y3094" s="4"/>
      <c r="Z3094" s="4"/>
      <c r="AA3094" s="6"/>
      <c r="AB3094" s="5"/>
      <c r="AC3094" s="9"/>
      <c r="AD3094" s="9"/>
      <c r="AE3094" s="9"/>
      <c r="AF3094" s="9"/>
      <c r="AG3094" s="2"/>
      <c r="AH3094" s="3"/>
      <c r="AI3094" s="2"/>
      <c r="AJ3094" s="2"/>
      <c r="AK3094" s="2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  <c r="BG3094" s="3"/>
    </row>
    <row r="3095" spans="1:59" x14ac:dyDescent="0.3">
      <c r="A3095" s="63"/>
      <c r="B3095" s="63"/>
      <c r="C3095" s="39"/>
      <c r="D3095" s="6"/>
      <c r="E3095" s="149"/>
      <c r="F3095" s="153"/>
      <c r="G3095" s="10"/>
      <c r="H3095" s="6"/>
      <c r="I3095" s="6"/>
      <c r="J3095" s="6"/>
      <c r="K3095" s="6"/>
      <c r="L3095" s="6"/>
      <c r="M3095" s="6"/>
      <c r="N3095" s="6"/>
      <c r="O3095" s="6"/>
      <c r="P3095" s="6"/>
      <c r="Q3095" s="6"/>
      <c r="R3095" s="6"/>
      <c r="S3095" s="6"/>
      <c r="T3095" s="6"/>
      <c r="U3095" s="5"/>
      <c r="V3095" s="5"/>
      <c r="W3095" s="13"/>
      <c r="X3095" s="4"/>
      <c r="Y3095" s="4"/>
      <c r="Z3095" s="4"/>
      <c r="AA3095" s="6"/>
      <c r="AB3095" s="5"/>
      <c r="AC3095" s="9"/>
      <c r="AD3095" s="9"/>
      <c r="AE3095" s="9"/>
      <c r="AF3095" s="9"/>
      <c r="AG3095" s="64"/>
      <c r="AH3095" s="3"/>
      <c r="AI3095" s="2"/>
      <c r="AJ3095" s="2"/>
      <c r="AK3095" s="2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3"/>
    </row>
    <row r="3096" spans="1:59" x14ac:dyDescent="0.3">
      <c r="A3096" s="63"/>
      <c r="B3096" s="63"/>
      <c r="C3096" s="39"/>
      <c r="D3096" s="6"/>
      <c r="E3096" s="149"/>
      <c r="F3096" s="153"/>
      <c r="G3096" s="10"/>
      <c r="H3096" s="6"/>
      <c r="I3096" s="6"/>
      <c r="J3096" s="6"/>
      <c r="K3096" s="6"/>
      <c r="L3096" s="6"/>
      <c r="M3096" s="6"/>
      <c r="N3096" s="6"/>
      <c r="O3096" s="6"/>
      <c r="P3096" s="6"/>
      <c r="Q3096" s="6"/>
      <c r="R3096" s="6"/>
      <c r="S3096" s="6"/>
      <c r="T3096" s="6"/>
      <c r="U3096" s="5"/>
      <c r="V3096" s="5"/>
      <c r="W3096" s="13"/>
      <c r="X3096" s="4"/>
      <c r="Y3096" s="4"/>
      <c r="Z3096" s="4"/>
      <c r="AA3096" s="6"/>
      <c r="AB3096" s="5"/>
      <c r="AC3096" s="9"/>
      <c r="AD3096" s="9"/>
      <c r="AE3096" s="9"/>
      <c r="AF3096" s="9"/>
      <c r="AG3096" s="64"/>
      <c r="AH3096" s="3"/>
      <c r="AI3096" s="2"/>
      <c r="AJ3096" s="2"/>
      <c r="AK3096" s="2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</row>
    <row r="3097" spans="1:59" ht="15" x14ac:dyDescent="0.35">
      <c r="A3097" s="6"/>
      <c r="B3097" s="6"/>
      <c r="C3097" s="39"/>
      <c r="D3097" s="6"/>
      <c r="E3097" s="149"/>
      <c r="F3097" s="153"/>
      <c r="G3097" s="10"/>
      <c r="H3097" s="6"/>
      <c r="I3097" s="6"/>
      <c r="J3097" s="6"/>
      <c r="K3097" s="6"/>
      <c r="L3097" s="6"/>
      <c r="M3097" s="6"/>
      <c r="N3097" s="6"/>
      <c r="O3097" s="6"/>
      <c r="P3097" s="6"/>
      <c r="Q3097" s="6"/>
      <c r="R3097" s="6"/>
      <c r="S3097" s="6"/>
      <c r="T3097" s="6"/>
      <c r="U3097" s="5"/>
      <c r="V3097" s="5"/>
      <c r="W3097" s="13"/>
      <c r="X3097" s="4"/>
      <c r="Y3097" s="4"/>
      <c r="Z3097" s="4"/>
      <c r="AA3097" s="6"/>
      <c r="AB3097" s="5"/>
      <c r="AC3097" s="9"/>
      <c r="AD3097" s="9"/>
      <c r="AE3097" s="9"/>
      <c r="AF3097" s="9"/>
      <c r="AG3097" s="2"/>
      <c r="AH3097" s="3"/>
      <c r="AI3097" s="2"/>
      <c r="AJ3097" s="2"/>
      <c r="AK3097" s="2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  <c r="BG3097" s="65"/>
    </row>
    <row r="3098" spans="1:59" ht="13.5" customHeight="1" x14ac:dyDescent="0.35">
      <c r="A3098" s="49"/>
      <c r="B3098" s="49"/>
      <c r="C3098" s="14"/>
      <c r="D3098" s="1"/>
      <c r="E3098" s="149"/>
      <c r="F3098" s="153"/>
      <c r="G3098" s="10"/>
      <c r="H3098" s="17"/>
      <c r="I3098" s="17"/>
      <c r="J3098" s="17"/>
      <c r="K3098" s="30"/>
      <c r="L3098" s="30"/>
      <c r="M3098" s="30"/>
      <c r="N3098" s="30"/>
      <c r="O3098" s="30"/>
      <c r="P3098" s="30"/>
      <c r="Q3098" s="30"/>
      <c r="R3098" s="30"/>
      <c r="S3098" s="30"/>
      <c r="T3098" s="30"/>
      <c r="U3098" s="30"/>
      <c r="V3098" s="30"/>
      <c r="W3098" s="29"/>
      <c r="X3098" s="15"/>
      <c r="Y3098" s="30"/>
      <c r="Z3098" s="30"/>
      <c r="AA3098" s="30"/>
      <c r="AB3098" s="30"/>
      <c r="AC3098" s="17"/>
      <c r="AD3098" s="17"/>
      <c r="AE3098" s="17"/>
      <c r="AF3098" s="17"/>
      <c r="AG3098" s="21"/>
      <c r="AH3098" s="21"/>
      <c r="AI3098" s="21"/>
      <c r="AJ3098" s="21"/>
      <c r="AK3098" s="21"/>
      <c r="AL3098" s="21"/>
      <c r="AM3098" s="21"/>
      <c r="AN3098" s="21"/>
      <c r="AO3098" s="22"/>
      <c r="AP3098" s="21"/>
      <c r="AQ3098" s="22"/>
      <c r="AR3098" s="21"/>
      <c r="AS3098" s="21"/>
      <c r="AT3098" s="21"/>
      <c r="AU3098" s="21"/>
      <c r="AV3098" s="21"/>
      <c r="AW3098" s="21"/>
      <c r="AX3098" s="22"/>
      <c r="AY3098" s="21"/>
      <c r="AZ3098" s="22"/>
      <c r="BA3098" s="21"/>
      <c r="BB3098" s="21"/>
      <c r="BC3098" s="21"/>
      <c r="BD3098" s="21"/>
      <c r="BE3098" s="26"/>
      <c r="BF3098" s="26"/>
      <c r="BG3098" s="62"/>
    </row>
    <row r="3099" spans="1:59" x14ac:dyDescent="0.3">
      <c r="A3099" s="6"/>
      <c r="B3099" s="6"/>
      <c r="C3099" s="39"/>
      <c r="D3099" s="6"/>
      <c r="E3099" s="149"/>
      <c r="F3099" s="153"/>
      <c r="G3099" s="10"/>
      <c r="H3099" s="6"/>
      <c r="I3099" s="6"/>
      <c r="J3099" s="6"/>
      <c r="K3099" s="6"/>
      <c r="L3099" s="6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12"/>
      <c r="Y3099" s="6"/>
      <c r="Z3099" s="6"/>
      <c r="AA3099" s="6"/>
      <c r="AB3099" s="6"/>
      <c r="AC3099" s="9"/>
      <c r="AD3099" s="9"/>
      <c r="AE3099" s="9"/>
      <c r="AF3099" s="9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  <c r="BG3099" s="3"/>
    </row>
    <row r="3100" spans="1:59" ht="13.5" customHeight="1" x14ac:dyDescent="0.35">
      <c r="A3100" s="49"/>
      <c r="B3100" s="49"/>
      <c r="C3100" s="39"/>
      <c r="D3100" s="1"/>
      <c r="E3100" s="149"/>
      <c r="F3100" s="153"/>
      <c r="G3100" s="10"/>
      <c r="H3100" s="17"/>
      <c r="I3100" s="17"/>
      <c r="J3100" s="17"/>
      <c r="K3100" s="30"/>
      <c r="L3100" s="30"/>
      <c r="M3100" s="30"/>
      <c r="N3100" s="30"/>
      <c r="O3100" s="30"/>
      <c r="P3100" s="30"/>
      <c r="Q3100" s="30"/>
      <c r="R3100" s="30"/>
      <c r="S3100" s="30"/>
      <c r="T3100" s="30"/>
      <c r="U3100" s="30"/>
      <c r="V3100" s="30"/>
      <c r="W3100" s="29"/>
      <c r="X3100" s="15"/>
      <c r="Y3100" s="30"/>
      <c r="Z3100" s="30"/>
      <c r="AA3100" s="30"/>
      <c r="AB3100" s="30"/>
      <c r="AC3100" s="17"/>
      <c r="AD3100" s="17"/>
      <c r="AE3100" s="17"/>
      <c r="AF3100" s="17"/>
      <c r="AG3100" s="21"/>
      <c r="AH3100" s="21"/>
      <c r="AI3100" s="21"/>
      <c r="AJ3100" s="21"/>
      <c r="AK3100" s="21"/>
      <c r="AL3100" s="21"/>
      <c r="AM3100" s="21"/>
      <c r="AN3100" s="21"/>
      <c r="AO3100" s="22"/>
      <c r="AP3100" s="21"/>
      <c r="AQ3100" s="22"/>
      <c r="AR3100" s="21"/>
      <c r="AS3100" s="21"/>
      <c r="AT3100" s="21"/>
      <c r="AU3100" s="21"/>
      <c r="AV3100" s="21"/>
      <c r="AW3100" s="21"/>
      <c r="AX3100" s="22"/>
      <c r="AY3100" s="21"/>
      <c r="AZ3100" s="22"/>
      <c r="BA3100" s="21"/>
      <c r="BB3100" s="21"/>
      <c r="BC3100" s="21"/>
      <c r="BD3100" s="21"/>
      <c r="BE3100" s="26"/>
      <c r="BF3100" s="26"/>
      <c r="BG3100" s="62"/>
    </row>
    <row r="3101" spans="1:59" x14ac:dyDescent="0.3">
      <c r="A3101" s="6"/>
      <c r="B3101" s="6"/>
      <c r="C3101" s="39"/>
      <c r="D3101" s="6"/>
      <c r="E3101" s="149"/>
      <c r="F3101" s="153"/>
      <c r="G3101" s="10"/>
      <c r="H3101" s="6"/>
      <c r="I3101" s="6"/>
      <c r="J3101" s="6"/>
      <c r="K3101" s="6"/>
      <c r="L3101" s="6"/>
      <c r="M3101" s="6"/>
      <c r="N3101" s="6"/>
      <c r="O3101" s="6"/>
      <c r="P3101" s="6"/>
      <c r="Q3101" s="6"/>
      <c r="R3101" s="6"/>
      <c r="S3101" s="6"/>
      <c r="T3101" s="6"/>
      <c r="U3101" s="5"/>
      <c r="V3101" s="5"/>
      <c r="W3101" s="13"/>
      <c r="X3101" s="4"/>
      <c r="Y3101" s="4"/>
      <c r="Z3101" s="4"/>
      <c r="AA3101" s="6"/>
      <c r="AB3101" s="5"/>
      <c r="AC3101" s="9"/>
      <c r="AD3101" s="9"/>
      <c r="AE3101" s="9"/>
      <c r="AF3101" s="9"/>
      <c r="AG3101" s="2"/>
      <c r="AH3101" s="3"/>
      <c r="AI3101" s="2"/>
      <c r="AJ3101" s="2"/>
      <c r="AK3101" s="2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3"/>
    </row>
    <row r="3102" spans="1:59" x14ac:dyDescent="0.3">
      <c r="A3102" s="6"/>
      <c r="B3102" s="6"/>
      <c r="C3102" s="39"/>
      <c r="D3102" s="6"/>
      <c r="E3102" s="149"/>
      <c r="F3102" s="153"/>
      <c r="G3102" s="10"/>
      <c r="H3102" s="6"/>
      <c r="I3102" s="6"/>
      <c r="J3102" s="6"/>
      <c r="K3102" s="6"/>
      <c r="L3102" s="6"/>
      <c r="M3102" s="6"/>
      <c r="N3102" s="6"/>
      <c r="O3102" s="6"/>
      <c r="P3102" s="6"/>
      <c r="Q3102" s="6"/>
      <c r="R3102" s="6"/>
      <c r="S3102" s="6"/>
      <c r="T3102" s="6"/>
      <c r="U3102" s="5"/>
      <c r="V3102" s="5"/>
      <c r="W3102" s="13"/>
      <c r="X3102" s="4"/>
      <c r="Y3102" s="4"/>
      <c r="Z3102" s="4"/>
      <c r="AA3102" s="6"/>
      <c r="AB3102" s="5"/>
      <c r="AC3102" s="9"/>
      <c r="AD3102" s="9"/>
      <c r="AE3102" s="9"/>
      <c r="AF3102" s="9"/>
      <c r="AG3102" s="2"/>
      <c r="AH3102" s="3"/>
      <c r="AI3102" s="2"/>
      <c r="AJ3102" s="2"/>
      <c r="AK3102" s="2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3"/>
    </row>
    <row r="3103" spans="1:59" x14ac:dyDescent="0.3">
      <c r="A3103" s="63"/>
      <c r="B3103" s="63"/>
      <c r="C3103" s="39"/>
      <c r="D3103" s="6"/>
      <c r="E3103" s="149"/>
      <c r="F3103" s="153"/>
      <c r="G3103" s="10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5"/>
      <c r="V3103" s="5"/>
      <c r="W3103" s="13"/>
      <c r="X3103" s="4"/>
      <c r="Y3103" s="4"/>
      <c r="Z3103" s="4"/>
      <c r="AA3103" s="6"/>
      <c r="AB3103" s="5"/>
      <c r="AC3103" s="9"/>
      <c r="AD3103" s="9"/>
      <c r="AE3103" s="9"/>
      <c r="AF3103" s="9"/>
      <c r="AG3103" s="64"/>
      <c r="AH3103" s="3"/>
      <c r="AI3103" s="2"/>
      <c r="AJ3103" s="2"/>
      <c r="AK3103" s="2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</row>
    <row r="3104" spans="1:59" ht="13.5" customHeight="1" x14ac:dyDescent="0.35">
      <c r="A3104" s="49"/>
      <c r="B3104" s="49"/>
      <c r="C3104" s="39"/>
      <c r="D3104" s="1"/>
      <c r="E3104" s="149"/>
      <c r="F3104" s="153"/>
      <c r="G3104" s="10"/>
      <c r="H3104" s="17"/>
      <c r="I3104" s="17"/>
      <c r="J3104" s="17"/>
      <c r="K3104" s="30"/>
      <c r="L3104" s="30"/>
      <c r="M3104" s="30"/>
      <c r="N3104" s="30"/>
      <c r="O3104" s="30"/>
      <c r="P3104" s="30"/>
      <c r="Q3104" s="30"/>
      <c r="R3104" s="30"/>
      <c r="S3104" s="30"/>
      <c r="T3104" s="30"/>
      <c r="U3104" s="30"/>
      <c r="V3104" s="30"/>
      <c r="W3104" s="29"/>
      <c r="X3104" s="15"/>
      <c r="Y3104" s="30"/>
      <c r="Z3104" s="30"/>
      <c r="AA3104" s="30"/>
      <c r="AB3104" s="30"/>
      <c r="AC3104" s="17"/>
      <c r="AD3104" s="17"/>
      <c r="AE3104" s="17"/>
      <c r="AF3104" s="17"/>
      <c r="AG3104" s="21"/>
      <c r="AH3104" s="21"/>
      <c r="AI3104" s="21"/>
      <c r="AJ3104" s="21"/>
      <c r="AK3104" s="21"/>
      <c r="AL3104" s="21"/>
      <c r="AM3104" s="21"/>
      <c r="AN3104" s="21"/>
      <c r="AO3104" s="22"/>
      <c r="AP3104" s="21"/>
      <c r="AQ3104" s="22"/>
      <c r="AR3104" s="21"/>
      <c r="AS3104" s="21"/>
      <c r="AT3104" s="21"/>
      <c r="AU3104" s="21"/>
      <c r="AV3104" s="21"/>
      <c r="AW3104" s="21"/>
      <c r="AX3104" s="22"/>
      <c r="AY3104" s="21"/>
      <c r="AZ3104" s="22"/>
      <c r="BA3104" s="21"/>
      <c r="BB3104" s="21"/>
      <c r="BC3104" s="21"/>
      <c r="BD3104" s="21"/>
      <c r="BE3104" s="26"/>
      <c r="BF3104" s="26"/>
      <c r="BG3104" s="62"/>
    </row>
    <row r="3105" spans="1:59" ht="13.5" customHeight="1" x14ac:dyDescent="0.35">
      <c r="A3105" s="49"/>
      <c r="B3105" s="49"/>
      <c r="C3105" s="14"/>
      <c r="D3105" s="1"/>
      <c r="E3105" s="149"/>
      <c r="F3105" s="153"/>
      <c r="G3105" s="10"/>
      <c r="H3105" s="17"/>
      <c r="I3105" s="17"/>
      <c r="J3105" s="17"/>
      <c r="K3105" s="30"/>
      <c r="L3105" s="30"/>
      <c r="M3105" s="30"/>
      <c r="N3105" s="30"/>
      <c r="O3105" s="30"/>
      <c r="P3105" s="30"/>
      <c r="Q3105" s="30"/>
      <c r="R3105" s="30"/>
      <c r="S3105" s="30"/>
      <c r="T3105" s="30"/>
      <c r="U3105" s="30"/>
      <c r="V3105" s="30"/>
      <c r="W3105" s="29"/>
      <c r="X3105" s="15"/>
      <c r="Y3105" s="30"/>
      <c r="Z3105" s="30"/>
      <c r="AA3105" s="30"/>
      <c r="AB3105" s="30"/>
      <c r="AC3105" s="17"/>
      <c r="AD3105" s="17"/>
      <c r="AE3105" s="17"/>
      <c r="AF3105" s="17"/>
      <c r="AG3105" s="21"/>
      <c r="AH3105" s="21"/>
      <c r="AI3105" s="21"/>
      <c r="AJ3105" s="21"/>
      <c r="AK3105" s="21"/>
      <c r="AL3105" s="21"/>
      <c r="AM3105" s="21"/>
      <c r="AN3105" s="21"/>
      <c r="AO3105" s="22"/>
      <c r="AP3105" s="21"/>
      <c r="AQ3105" s="22"/>
      <c r="AR3105" s="21"/>
      <c r="AS3105" s="21"/>
      <c r="AT3105" s="21"/>
      <c r="AU3105" s="21"/>
      <c r="AV3105" s="21"/>
      <c r="AW3105" s="21"/>
      <c r="AX3105" s="22"/>
      <c r="AY3105" s="21"/>
      <c r="AZ3105" s="22"/>
      <c r="BA3105" s="21"/>
      <c r="BB3105" s="21"/>
      <c r="BC3105" s="21"/>
      <c r="BD3105" s="21"/>
      <c r="BE3105" s="26"/>
      <c r="BF3105" s="26"/>
      <c r="BG3105" s="62"/>
    </row>
    <row r="3106" spans="1:59" x14ac:dyDescent="0.3">
      <c r="A3106" s="63"/>
      <c r="B3106" s="63"/>
      <c r="C3106" s="39"/>
      <c r="D3106" s="6"/>
      <c r="E3106" s="149"/>
      <c r="F3106" s="153"/>
      <c r="G3106" s="10"/>
      <c r="H3106" s="6"/>
      <c r="I3106" s="6"/>
      <c r="J3106" s="6"/>
      <c r="K3106" s="6"/>
      <c r="L3106" s="6"/>
      <c r="M3106" s="6"/>
      <c r="N3106" s="6"/>
      <c r="O3106" s="6"/>
      <c r="P3106" s="6"/>
      <c r="Q3106" s="6"/>
      <c r="R3106" s="6"/>
      <c r="S3106" s="6"/>
      <c r="T3106" s="6"/>
      <c r="U3106" s="5"/>
      <c r="V3106" s="5"/>
      <c r="W3106" s="13"/>
      <c r="X3106" s="4"/>
      <c r="Y3106" s="4"/>
      <c r="Z3106" s="4"/>
      <c r="AA3106" s="6"/>
      <c r="AB3106" s="5"/>
      <c r="AC3106" s="9"/>
      <c r="AD3106" s="9"/>
      <c r="AE3106" s="9"/>
      <c r="AF3106" s="9"/>
      <c r="AG3106" s="64"/>
      <c r="AH3106" s="3"/>
      <c r="AI3106" s="2"/>
      <c r="AJ3106" s="2"/>
      <c r="AK3106" s="2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</row>
    <row r="3107" spans="1:59" ht="13.5" customHeight="1" x14ac:dyDescent="0.35">
      <c r="A3107" s="49"/>
      <c r="B3107" s="49"/>
      <c r="C3107" s="14"/>
      <c r="D3107" s="1"/>
      <c r="E3107" s="149"/>
      <c r="F3107" s="153"/>
      <c r="G3107" s="10"/>
      <c r="H3107" s="17"/>
      <c r="I3107" s="17"/>
      <c r="J3107" s="17"/>
      <c r="K3107" s="30"/>
      <c r="L3107" s="30"/>
      <c r="M3107" s="30"/>
      <c r="N3107" s="30"/>
      <c r="O3107" s="30"/>
      <c r="P3107" s="30"/>
      <c r="Q3107" s="30"/>
      <c r="R3107" s="30"/>
      <c r="S3107" s="30"/>
      <c r="T3107" s="30"/>
      <c r="U3107" s="30"/>
      <c r="V3107" s="30"/>
      <c r="W3107" s="29"/>
      <c r="X3107" s="15"/>
      <c r="Y3107" s="30"/>
      <c r="Z3107" s="30"/>
      <c r="AA3107" s="30"/>
      <c r="AB3107" s="30"/>
      <c r="AC3107" s="17"/>
      <c r="AD3107" s="17"/>
      <c r="AE3107" s="17"/>
      <c r="AF3107" s="17"/>
      <c r="AG3107" s="21"/>
      <c r="AH3107" s="21"/>
      <c r="AI3107" s="21"/>
      <c r="AJ3107" s="21"/>
      <c r="AK3107" s="21"/>
      <c r="AL3107" s="21"/>
      <c r="AM3107" s="21"/>
      <c r="AN3107" s="21"/>
      <c r="AO3107" s="22"/>
      <c r="AP3107" s="21"/>
      <c r="AQ3107" s="22"/>
      <c r="AR3107" s="21"/>
      <c r="AS3107" s="21"/>
      <c r="AT3107" s="21"/>
      <c r="AU3107" s="21"/>
      <c r="AV3107" s="21"/>
      <c r="AW3107" s="21"/>
      <c r="AX3107" s="22"/>
      <c r="AY3107" s="21"/>
      <c r="AZ3107" s="22"/>
      <c r="BA3107" s="21"/>
      <c r="BB3107" s="21"/>
      <c r="BC3107" s="21"/>
      <c r="BD3107" s="21"/>
      <c r="BE3107" s="26"/>
      <c r="BF3107" s="26"/>
      <c r="BG3107" s="62"/>
    </row>
    <row r="3108" spans="1:59" x14ac:dyDescent="0.3">
      <c r="A3108" s="63"/>
      <c r="B3108" s="63"/>
      <c r="C3108" s="39"/>
      <c r="D3108" s="6"/>
      <c r="E3108" s="149"/>
      <c r="F3108" s="153"/>
      <c r="G3108" s="10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5"/>
      <c r="V3108" s="5"/>
      <c r="W3108" s="13"/>
      <c r="X3108" s="4"/>
      <c r="Y3108" s="4"/>
      <c r="Z3108" s="4"/>
      <c r="AA3108" s="6"/>
      <c r="AB3108" s="5"/>
      <c r="AC3108" s="9"/>
      <c r="AD3108" s="9"/>
      <c r="AE3108" s="9"/>
      <c r="AF3108" s="9"/>
      <c r="AG3108" s="64"/>
      <c r="AH3108" s="3"/>
      <c r="AI3108" s="2"/>
      <c r="AJ3108" s="2"/>
      <c r="AK3108" s="2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  <c r="BG3108" s="3"/>
    </row>
    <row r="3109" spans="1:59" ht="13.5" customHeight="1" x14ac:dyDescent="0.3">
      <c r="A3109" s="49"/>
      <c r="B3109" s="49"/>
      <c r="C3109" s="14"/>
      <c r="D3109" s="6"/>
      <c r="E3109" s="149"/>
      <c r="F3109" s="153"/>
      <c r="G3109" s="10"/>
      <c r="H3109" s="17"/>
      <c r="I3109" s="17"/>
      <c r="J3109" s="17"/>
      <c r="K3109" s="30"/>
      <c r="L3109" s="30"/>
      <c r="M3109" s="30"/>
      <c r="N3109" s="30"/>
      <c r="O3109" s="30"/>
      <c r="P3109" s="30"/>
      <c r="Q3109" s="30"/>
      <c r="R3109" s="30"/>
      <c r="S3109" s="30"/>
      <c r="T3109" s="30"/>
      <c r="U3109" s="30"/>
      <c r="V3109" s="30"/>
      <c r="W3109" s="29"/>
      <c r="X3109" s="15"/>
      <c r="Y3109" s="30"/>
      <c r="Z3109" s="30"/>
      <c r="AA3109" s="30"/>
      <c r="AB3109" s="30"/>
      <c r="AC3109" s="17"/>
      <c r="AD3109" s="17"/>
      <c r="AE3109" s="17"/>
      <c r="AF3109" s="17"/>
      <c r="AG3109" s="21"/>
      <c r="AH3109" s="21"/>
      <c r="AI3109" s="21"/>
      <c r="AJ3109" s="21"/>
      <c r="AK3109" s="21"/>
      <c r="AL3109" s="21"/>
      <c r="AM3109" s="21"/>
      <c r="AN3109" s="21"/>
      <c r="AO3109" s="22"/>
      <c r="AP3109" s="21"/>
      <c r="AQ3109" s="22"/>
      <c r="AR3109" s="21"/>
      <c r="AS3109" s="21"/>
      <c r="AT3109" s="21"/>
      <c r="AU3109" s="21"/>
      <c r="AV3109" s="21"/>
      <c r="AW3109" s="21"/>
      <c r="AX3109" s="22"/>
      <c r="AY3109" s="21"/>
      <c r="AZ3109" s="22"/>
      <c r="BA3109" s="21"/>
      <c r="BB3109" s="21"/>
      <c r="BC3109" s="21"/>
      <c r="BD3109" s="21"/>
      <c r="BE3109" s="26"/>
      <c r="BF3109" s="26"/>
      <c r="BG3109" s="62"/>
    </row>
    <row r="3110" spans="1:59" ht="13.5" customHeight="1" x14ac:dyDescent="0.35">
      <c r="A3110" s="49"/>
      <c r="B3110" s="49"/>
      <c r="C3110" s="14"/>
      <c r="D3110" s="1"/>
      <c r="E3110" s="149"/>
      <c r="F3110" s="153"/>
      <c r="G3110" s="10"/>
      <c r="H3110" s="17"/>
      <c r="I3110" s="17"/>
      <c r="J3110" s="17"/>
      <c r="K3110" s="30"/>
      <c r="L3110" s="30"/>
      <c r="M3110" s="30"/>
      <c r="N3110" s="30"/>
      <c r="O3110" s="30"/>
      <c r="P3110" s="30"/>
      <c r="Q3110" s="30"/>
      <c r="R3110" s="30"/>
      <c r="S3110" s="30"/>
      <c r="T3110" s="30"/>
      <c r="U3110" s="30"/>
      <c r="V3110" s="30"/>
      <c r="W3110" s="29"/>
      <c r="X3110" s="15"/>
      <c r="Y3110" s="30"/>
      <c r="Z3110" s="30"/>
      <c r="AA3110" s="30"/>
      <c r="AB3110" s="30"/>
      <c r="AC3110" s="17"/>
      <c r="AD3110" s="17"/>
      <c r="AE3110" s="17"/>
      <c r="AF3110" s="17"/>
      <c r="AG3110" s="21"/>
      <c r="AH3110" s="21"/>
      <c r="AI3110" s="21"/>
      <c r="AJ3110" s="21"/>
      <c r="AK3110" s="21"/>
      <c r="AL3110" s="21"/>
      <c r="AM3110" s="21"/>
      <c r="AN3110" s="21"/>
      <c r="AO3110" s="22"/>
      <c r="AP3110" s="21"/>
      <c r="AQ3110" s="22"/>
      <c r="AR3110" s="21"/>
      <c r="AS3110" s="21"/>
      <c r="AT3110" s="21"/>
      <c r="AU3110" s="21"/>
      <c r="AV3110" s="21"/>
      <c r="AW3110" s="21"/>
      <c r="AX3110" s="22"/>
      <c r="AY3110" s="21"/>
      <c r="AZ3110" s="22"/>
      <c r="BA3110" s="21"/>
      <c r="BB3110" s="21"/>
      <c r="BC3110" s="21"/>
      <c r="BD3110" s="21"/>
      <c r="BE3110" s="26"/>
      <c r="BF3110" s="26"/>
      <c r="BG3110" s="62"/>
    </row>
    <row r="3111" spans="1:59" ht="13.5" customHeight="1" x14ac:dyDescent="0.35">
      <c r="A3111" s="49"/>
      <c r="B3111" s="49"/>
      <c r="C3111" s="39"/>
      <c r="D3111" s="1"/>
      <c r="E3111" s="149"/>
      <c r="F3111" s="153"/>
      <c r="G3111" s="10"/>
      <c r="H3111" s="17"/>
      <c r="I3111" s="17"/>
      <c r="J3111" s="17"/>
      <c r="K3111" s="30"/>
      <c r="L3111" s="30"/>
      <c r="M3111" s="30"/>
      <c r="N3111" s="30"/>
      <c r="O3111" s="30"/>
      <c r="P3111" s="30"/>
      <c r="Q3111" s="30"/>
      <c r="R3111" s="30"/>
      <c r="S3111" s="30"/>
      <c r="T3111" s="30"/>
      <c r="U3111" s="30"/>
      <c r="V3111" s="30"/>
      <c r="W3111" s="29"/>
      <c r="X3111" s="15"/>
      <c r="Y3111" s="30"/>
      <c r="Z3111" s="30"/>
      <c r="AA3111" s="30"/>
      <c r="AB3111" s="30"/>
      <c r="AC3111" s="17"/>
      <c r="AD3111" s="17"/>
      <c r="AE3111" s="17"/>
      <c r="AF3111" s="17"/>
      <c r="AG3111" s="21"/>
      <c r="AH3111" s="21"/>
      <c r="AI3111" s="21"/>
      <c r="AJ3111" s="21"/>
      <c r="AK3111" s="21"/>
      <c r="AL3111" s="21"/>
      <c r="AM3111" s="21"/>
      <c r="AN3111" s="21"/>
      <c r="AO3111" s="22"/>
      <c r="AP3111" s="21"/>
      <c r="AQ3111" s="22"/>
      <c r="AR3111" s="21"/>
      <c r="AS3111" s="21"/>
      <c r="AT3111" s="21"/>
      <c r="AU3111" s="21"/>
      <c r="AV3111" s="21"/>
      <c r="AW3111" s="21"/>
      <c r="AX3111" s="22"/>
      <c r="AY3111" s="21"/>
      <c r="AZ3111" s="22"/>
      <c r="BA3111" s="21"/>
      <c r="BB3111" s="21"/>
      <c r="BC3111" s="21"/>
      <c r="BD3111" s="21"/>
      <c r="BE3111" s="26"/>
      <c r="BF3111" s="26"/>
      <c r="BG3111" s="62"/>
    </row>
    <row r="3112" spans="1:59" x14ac:dyDescent="0.3">
      <c r="A3112" s="6"/>
      <c r="B3112" s="6"/>
      <c r="C3112" s="39"/>
      <c r="D3112" s="6"/>
      <c r="E3112" s="149"/>
      <c r="F3112" s="153"/>
      <c r="G3112" s="10"/>
      <c r="H3112" s="6"/>
      <c r="I3112" s="6"/>
      <c r="J3112" s="6"/>
      <c r="K3112" s="6"/>
      <c r="L3112" s="6"/>
      <c r="M3112" s="6"/>
      <c r="N3112" s="6"/>
      <c r="O3112" s="6"/>
      <c r="P3112" s="6"/>
      <c r="Q3112" s="6"/>
      <c r="R3112" s="6"/>
      <c r="S3112" s="6"/>
      <c r="T3112" s="6"/>
      <c r="U3112" s="5"/>
      <c r="V3112" s="5"/>
      <c r="W3112" s="13"/>
      <c r="X3112" s="4"/>
      <c r="Y3112" s="4"/>
      <c r="Z3112" s="4"/>
      <c r="AA3112" s="6"/>
      <c r="AB3112" s="5"/>
      <c r="AC3112" s="9"/>
      <c r="AD3112" s="9"/>
      <c r="AE3112" s="9"/>
      <c r="AF3112" s="9"/>
      <c r="AG3112" s="2"/>
      <c r="AH3112" s="3"/>
      <c r="AI3112" s="2"/>
      <c r="AJ3112" s="2"/>
      <c r="AK3112" s="2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  <c r="BG3112" s="3"/>
    </row>
    <row r="3113" spans="1:59" ht="13.5" customHeight="1" x14ac:dyDescent="0.35">
      <c r="A3113" s="49"/>
      <c r="B3113" s="49"/>
      <c r="C3113" s="14"/>
      <c r="D3113" s="1"/>
      <c r="E3113" s="149"/>
      <c r="F3113" s="153"/>
      <c r="G3113" s="10"/>
      <c r="H3113" s="17"/>
      <c r="I3113" s="17"/>
      <c r="J3113" s="17"/>
      <c r="K3113" s="30"/>
      <c r="L3113" s="30"/>
      <c r="M3113" s="30"/>
      <c r="N3113" s="30"/>
      <c r="O3113" s="30"/>
      <c r="P3113" s="30"/>
      <c r="Q3113" s="30"/>
      <c r="R3113" s="30"/>
      <c r="S3113" s="30"/>
      <c r="T3113" s="30"/>
      <c r="U3113" s="30"/>
      <c r="V3113" s="30"/>
      <c r="W3113" s="29"/>
      <c r="X3113" s="15"/>
      <c r="Y3113" s="30"/>
      <c r="Z3113" s="30"/>
      <c r="AA3113" s="30"/>
      <c r="AB3113" s="30"/>
      <c r="AC3113" s="17"/>
      <c r="AD3113" s="17"/>
      <c r="AE3113" s="17"/>
      <c r="AF3113" s="17"/>
      <c r="AG3113" s="21"/>
      <c r="AH3113" s="21"/>
      <c r="AI3113" s="21"/>
      <c r="AJ3113" s="21"/>
      <c r="AK3113" s="21"/>
      <c r="AL3113" s="21"/>
      <c r="AM3113" s="21"/>
      <c r="AN3113" s="21"/>
      <c r="AO3113" s="22"/>
      <c r="AP3113" s="21"/>
      <c r="AQ3113" s="22"/>
      <c r="AR3113" s="21"/>
      <c r="AS3113" s="21"/>
      <c r="AT3113" s="21"/>
      <c r="AU3113" s="21"/>
      <c r="AV3113" s="21"/>
      <c r="AW3113" s="21"/>
      <c r="AX3113" s="22"/>
      <c r="AY3113" s="21"/>
      <c r="AZ3113" s="22"/>
      <c r="BA3113" s="21"/>
      <c r="BB3113" s="21"/>
      <c r="BC3113" s="21"/>
      <c r="BD3113" s="21"/>
      <c r="BE3113" s="26"/>
      <c r="BF3113" s="26"/>
      <c r="BG3113" s="62"/>
    </row>
    <row r="3114" spans="1:59" ht="13.5" customHeight="1" x14ac:dyDescent="0.35">
      <c r="A3114" s="6"/>
      <c r="B3114" s="6"/>
      <c r="C3114" s="39"/>
      <c r="D3114" s="6"/>
      <c r="E3114" s="149"/>
      <c r="F3114" s="153"/>
      <c r="G3114" s="10"/>
      <c r="H3114" s="6"/>
      <c r="I3114" s="6"/>
      <c r="J3114" s="6"/>
      <c r="K3114" s="6"/>
      <c r="L3114" s="6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12"/>
      <c r="Y3114" s="6"/>
      <c r="Z3114" s="6"/>
      <c r="AA3114" s="6"/>
      <c r="AB3114" s="6"/>
      <c r="AC3114" s="9"/>
      <c r="AD3114" s="9"/>
      <c r="AE3114" s="9"/>
      <c r="AF3114" s="9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21"/>
      <c r="AS3114" s="21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  <c r="BG3114" s="65"/>
    </row>
    <row r="3115" spans="1:59" x14ac:dyDescent="0.3">
      <c r="A3115" s="6"/>
      <c r="B3115" s="6"/>
      <c r="C3115" s="39"/>
      <c r="D3115" s="6"/>
      <c r="E3115" s="149"/>
      <c r="F3115" s="153"/>
      <c r="G3115" s="10"/>
      <c r="H3115" s="6"/>
      <c r="I3115" s="6"/>
      <c r="J3115" s="6"/>
      <c r="K3115" s="6"/>
      <c r="L3115" s="6"/>
      <c r="M3115" s="6"/>
      <c r="N3115" s="6"/>
      <c r="O3115" s="6"/>
      <c r="P3115" s="6"/>
      <c r="Q3115" s="6"/>
      <c r="R3115" s="6"/>
      <c r="S3115" s="6"/>
      <c r="T3115" s="6"/>
      <c r="U3115" s="5"/>
      <c r="V3115" s="5"/>
      <c r="W3115" s="13"/>
      <c r="X3115" s="4"/>
      <c r="Y3115" s="4"/>
      <c r="Z3115" s="4"/>
      <c r="AA3115" s="6"/>
      <c r="AB3115" s="5"/>
      <c r="AC3115" s="9"/>
      <c r="AD3115" s="9"/>
      <c r="AE3115" s="9"/>
      <c r="AF3115" s="9"/>
      <c r="AG3115" s="2"/>
      <c r="AH3115" s="3"/>
      <c r="AI3115" s="2"/>
      <c r="AJ3115" s="2"/>
      <c r="AK3115" s="2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  <c r="BG3115" s="3"/>
    </row>
    <row r="3116" spans="1:59" x14ac:dyDescent="0.3">
      <c r="A3116" s="63"/>
      <c r="B3116" s="63"/>
      <c r="C3116" s="39"/>
      <c r="D3116" s="6"/>
      <c r="E3116" s="149"/>
      <c r="F3116" s="153"/>
      <c r="G3116" s="10"/>
      <c r="H3116" s="6"/>
      <c r="I3116" s="6"/>
      <c r="J3116" s="6"/>
      <c r="K3116" s="6"/>
      <c r="L3116" s="6"/>
      <c r="M3116" s="6"/>
      <c r="N3116" s="6"/>
      <c r="O3116" s="6"/>
      <c r="P3116" s="6"/>
      <c r="Q3116" s="6"/>
      <c r="R3116" s="6"/>
      <c r="S3116" s="6"/>
      <c r="T3116" s="6"/>
      <c r="U3116" s="5"/>
      <c r="V3116" s="5"/>
      <c r="W3116" s="13"/>
      <c r="X3116" s="4"/>
      <c r="Y3116" s="4"/>
      <c r="Z3116" s="4"/>
      <c r="AA3116" s="6"/>
      <c r="AB3116" s="5"/>
      <c r="AC3116" s="9"/>
      <c r="AD3116" s="9"/>
      <c r="AE3116" s="9"/>
      <c r="AF3116" s="9"/>
      <c r="AG3116" s="64"/>
      <c r="AH3116" s="3"/>
      <c r="AI3116" s="2"/>
      <c r="AJ3116" s="2"/>
      <c r="AK3116" s="2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  <c r="BG3116" s="3"/>
    </row>
    <row r="3117" spans="1:59" ht="13.5" customHeight="1" x14ac:dyDescent="0.35">
      <c r="A3117" s="49"/>
      <c r="B3117" s="49"/>
      <c r="C3117" s="14"/>
      <c r="D3117" s="1"/>
      <c r="E3117" s="149"/>
      <c r="F3117" s="153"/>
      <c r="G3117" s="10"/>
      <c r="H3117" s="17"/>
      <c r="I3117" s="17"/>
      <c r="J3117" s="17"/>
      <c r="K3117" s="30"/>
      <c r="L3117" s="30"/>
      <c r="M3117" s="30"/>
      <c r="N3117" s="30"/>
      <c r="O3117" s="30"/>
      <c r="P3117" s="30"/>
      <c r="Q3117" s="30"/>
      <c r="R3117" s="30"/>
      <c r="S3117" s="30"/>
      <c r="T3117" s="30"/>
      <c r="U3117" s="30"/>
      <c r="V3117" s="30"/>
      <c r="W3117" s="29"/>
      <c r="X3117" s="15"/>
      <c r="Y3117" s="30"/>
      <c r="Z3117" s="30"/>
      <c r="AA3117" s="30"/>
      <c r="AB3117" s="30"/>
      <c r="AC3117" s="17"/>
      <c r="AD3117" s="17"/>
      <c r="AE3117" s="17"/>
      <c r="AF3117" s="17"/>
      <c r="AG3117" s="21"/>
      <c r="AH3117" s="21"/>
      <c r="AI3117" s="21"/>
      <c r="AJ3117" s="21"/>
      <c r="AK3117" s="21"/>
      <c r="AL3117" s="21"/>
      <c r="AM3117" s="21"/>
      <c r="AN3117" s="21"/>
      <c r="AO3117" s="22"/>
      <c r="AP3117" s="21"/>
      <c r="AQ3117" s="22"/>
      <c r="AR3117" s="21"/>
      <c r="AS3117" s="21"/>
      <c r="AT3117" s="21"/>
      <c r="AU3117" s="21"/>
      <c r="AV3117" s="21"/>
      <c r="AW3117" s="21"/>
      <c r="AX3117" s="22"/>
      <c r="AY3117" s="21"/>
      <c r="AZ3117" s="22"/>
      <c r="BA3117" s="21"/>
      <c r="BB3117" s="21"/>
      <c r="BC3117" s="21"/>
      <c r="BD3117" s="21"/>
      <c r="BE3117" s="26"/>
      <c r="BF3117" s="26"/>
      <c r="BG3117" s="62"/>
    </row>
    <row r="3118" spans="1:59" ht="13.5" customHeight="1" x14ac:dyDescent="0.35">
      <c r="A3118" s="49"/>
      <c r="B3118" s="49"/>
      <c r="C3118" s="39"/>
      <c r="D3118" s="1"/>
      <c r="E3118" s="149"/>
      <c r="F3118" s="153"/>
      <c r="G3118" s="10"/>
      <c r="H3118" s="17"/>
      <c r="I3118" s="17"/>
      <c r="J3118" s="17"/>
      <c r="K3118" s="30"/>
      <c r="L3118" s="30"/>
      <c r="M3118" s="30"/>
      <c r="N3118" s="30"/>
      <c r="O3118" s="30"/>
      <c r="P3118" s="30"/>
      <c r="Q3118" s="30"/>
      <c r="R3118" s="30"/>
      <c r="S3118" s="30"/>
      <c r="T3118" s="30"/>
      <c r="U3118" s="30"/>
      <c r="V3118" s="30"/>
      <c r="W3118" s="29"/>
      <c r="X3118" s="15"/>
      <c r="Y3118" s="30"/>
      <c r="Z3118" s="30"/>
      <c r="AA3118" s="30"/>
      <c r="AB3118" s="30"/>
      <c r="AC3118" s="17"/>
      <c r="AD3118" s="17"/>
      <c r="AE3118" s="17"/>
      <c r="AF3118" s="17"/>
      <c r="AG3118" s="21"/>
      <c r="AH3118" s="21"/>
      <c r="AI3118" s="21"/>
      <c r="AJ3118" s="21"/>
      <c r="AK3118" s="21"/>
      <c r="AL3118" s="21"/>
      <c r="AM3118" s="21"/>
      <c r="AN3118" s="21"/>
      <c r="AO3118" s="22"/>
      <c r="AP3118" s="21"/>
      <c r="AQ3118" s="22"/>
      <c r="AR3118" s="21"/>
      <c r="AS3118" s="21"/>
      <c r="AT3118" s="21"/>
      <c r="AU3118" s="21"/>
      <c r="AV3118" s="21"/>
      <c r="AW3118" s="21"/>
      <c r="AX3118" s="22"/>
      <c r="AY3118" s="21"/>
      <c r="AZ3118" s="22"/>
      <c r="BA3118" s="21"/>
      <c r="BB3118" s="21"/>
      <c r="BC3118" s="21"/>
      <c r="BD3118" s="21"/>
      <c r="BE3118" s="26"/>
      <c r="BF3118" s="26"/>
      <c r="BG3118" s="62"/>
    </row>
    <row r="3119" spans="1:59" ht="13.5" customHeight="1" x14ac:dyDescent="0.35">
      <c r="A3119" s="49"/>
      <c r="B3119" s="49"/>
      <c r="C3119" s="39"/>
      <c r="D3119" s="1"/>
      <c r="E3119" s="149"/>
      <c r="F3119" s="153"/>
      <c r="G3119" s="10"/>
      <c r="H3119" s="17"/>
      <c r="I3119" s="17"/>
      <c r="J3119" s="17"/>
      <c r="K3119" s="30"/>
      <c r="L3119" s="30"/>
      <c r="M3119" s="30"/>
      <c r="N3119" s="30"/>
      <c r="O3119" s="30"/>
      <c r="P3119" s="30"/>
      <c r="Q3119" s="30"/>
      <c r="R3119" s="30"/>
      <c r="S3119" s="30"/>
      <c r="T3119" s="30"/>
      <c r="U3119" s="30"/>
      <c r="V3119" s="30"/>
      <c r="W3119" s="29"/>
      <c r="X3119" s="15"/>
      <c r="Y3119" s="30"/>
      <c r="Z3119" s="30"/>
      <c r="AA3119" s="30"/>
      <c r="AB3119" s="30"/>
      <c r="AC3119" s="17"/>
      <c r="AD3119" s="17"/>
      <c r="AE3119" s="17"/>
      <c r="AF3119" s="17"/>
      <c r="AG3119" s="21"/>
      <c r="AH3119" s="21"/>
      <c r="AI3119" s="21"/>
      <c r="AJ3119" s="21"/>
      <c r="AK3119" s="21"/>
      <c r="AL3119" s="21"/>
      <c r="AM3119" s="21"/>
      <c r="AN3119" s="21"/>
      <c r="AO3119" s="22"/>
      <c r="AP3119" s="21"/>
      <c r="AQ3119" s="22"/>
      <c r="AR3119" s="21"/>
      <c r="AS3119" s="21"/>
      <c r="AT3119" s="21"/>
      <c r="AU3119" s="21"/>
      <c r="AV3119" s="21"/>
      <c r="AW3119" s="21"/>
      <c r="AX3119" s="22"/>
      <c r="AY3119" s="21"/>
      <c r="AZ3119" s="22"/>
      <c r="BA3119" s="21"/>
      <c r="BB3119" s="21"/>
      <c r="BC3119" s="21"/>
      <c r="BD3119" s="21"/>
      <c r="BE3119" s="26"/>
      <c r="BF3119" s="26"/>
      <c r="BG3119" s="62"/>
    </row>
    <row r="3120" spans="1:59" ht="13.5" customHeight="1" x14ac:dyDescent="0.35">
      <c r="A3120" s="49"/>
      <c r="B3120" s="49"/>
      <c r="C3120" s="14"/>
      <c r="D3120" s="1"/>
      <c r="E3120" s="149"/>
      <c r="F3120" s="153"/>
      <c r="G3120" s="10"/>
      <c r="H3120" s="17"/>
      <c r="I3120" s="17"/>
      <c r="J3120" s="17"/>
      <c r="K3120" s="30"/>
      <c r="L3120" s="30"/>
      <c r="M3120" s="30"/>
      <c r="N3120" s="30"/>
      <c r="O3120" s="30"/>
      <c r="P3120" s="30"/>
      <c r="Q3120" s="30"/>
      <c r="R3120" s="30"/>
      <c r="S3120" s="30"/>
      <c r="T3120" s="30"/>
      <c r="U3120" s="30"/>
      <c r="V3120" s="30"/>
      <c r="W3120" s="29"/>
      <c r="X3120" s="15"/>
      <c r="Y3120" s="30"/>
      <c r="Z3120" s="30"/>
      <c r="AA3120" s="30"/>
      <c r="AB3120" s="30"/>
      <c r="AC3120" s="17"/>
      <c r="AD3120" s="17"/>
      <c r="AE3120" s="17"/>
      <c r="AF3120" s="17"/>
      <c r="AG3120" s="21"/>
      <c r="AH3120" s="21"/>
      <c r="AI3120" s="21"/>
      <c r="AJ3120" s="21"/>
      <c r="AK3120" s="21"/>
      <c r="AL3120" s="21"/>
      <c r="AM3120" s="21"/>
      <c r="AN3120" s="21"/>
      <c r="AO3120" s="22"/>
      <c r="AP3120" s="21"/>
      <c r="AQ3120" s="22"/>
      <c r="AR3120" s="21"/>
      <c r="AS3120" s="21"/>
      <c r="AT3120" s="21"/>
      <c r="AU3120" s="21"/>
      <c r="AV3120" s="21"/>
      <c r="AW3120" s="21"/>
      <c r="AX3120" s="22"/>
      <c r="AY3120" s="21"/>
      <c r="AZ3120" s="22"/>
      <c r="BA3120" s="21"/>
      <c r="BB3120" s="21"/>
      <c r="BC3120" s="21"/>
      <c r="BD3120" s="21"/>
      <c r="BE3120" s="26"/>
      <c r="BF3120" s="26"/>
      <c r="BG3120" s="62"/>
    </row>
    <row r="3121" spans="1:59" x14ac:dyDescent="0.3">
      <c r="A3121" s="6"/>
      <c r="B3121" s="6"/>
      <c r="C3121" s="39"/>
      <c r="D3121" s="6"/>
      <c r="E3121" s="149"/>
      <c r="F3121" s="153"/>
      <c r="G3121" s="10"/>
      <c r="H3121" s="6"/>
      <c r="I3121" s="6"/>
      <c r="J3121" s="6"/>
      <c r="K3121" s="6"/>
      <c r="L3121" s="6"/>
      <c r="M3121" s="6"/>
      <c r="N3121" s="6"/>
      <c r="O3121" s="6"/>
      <c r="P3121" s="6"/>
      <c r="Q3121" s="6"/>
      <c r="R3121" s="6"/>
      <c r="S3121" s="6"/>
      <c r="T3121" s="6"/>
      <c r="U3121" s="5"/>
      <c r="V3121" s="5"/>
      <c r="W3121" s="13"/>
      <c r="X3121" s="4"/>
      <c r="Y3121" s="4"/>
      <c r="Z3121" s="4"/>
      <c r="AA3121" s="6"/>
      <c r="AB3121" s="5"/>
      <c r="AC3121" s="9"/>
      <c r="AD3121" s="9"/>
      <c r="AE3121" s="9"/>
      <c r="AF3121" s="9"/>
      <c r="AG3121" s="2"/>
      <c r="AH3121" s="3"/>
      <c r="AI3121" s="2"/>
      <c r="AJ3121" s="2"/>
      <c r="AK3121" s="2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  <c r="BD3121" s="3"/>
      <c r="BE3121" s="3"/>
      <c r="BF3121" s="3"/>
      <c r="BG3121" s="3"/>
    </row>
    <row r="3122" spans="1:59" ht="13.5" customHeight="1" x14ac:dyDescent="0.35">
      <c r="A3122" s="49"/>
      <c r="B3122" s="49"/>
      <c r="C3122" s="14"/>
      <c r="D3122" s="1"/>
      <c r="E3122" s="149"/>
      <c r="F3122" s="153"/>
      <c r="G3122" s="10"/>
      <c r="H3122" s="17"/>
      <c r="I3122" s="17"/>
      <c r="J3122" s="17"/>
      <c r="K3122" s="30"/>
      <c r="L3122" s="30"/>
      <c r="M3122" s="30"/>
      <c r="N3122" s="30"/>
      <c r="O3122" s="30"/>
      <c r="P3122" s="30"/>
      <c r="Q3122" s="30"/>
      <c r="R3122" s="30"/>
      <c r="S3122" s="30"/>
      <c r="T3122" s="30"/>
      <c r="U3122" s="30"/>
      <c r="V3122" s="30"/>
      <c r="W3122" s="29"/>
      <c r="X3122" s="15"/>
      <c r="Y3122" s="30"/>
      <c r="Z3122" s="30"/>
      <c r="AA3122" s="30"/>
      <c r="AB3122" s="30"/>
      <c r="AC3122" s="17"/>
      <c r="AD3122" s="17"/>
      <c r="AE3122" s="17"/>
      <c r="AF3122" s="17"/>
      <c r="AG3122" s="21"/>
      <c r="AH3122" s="21"/>
      <c r="AI3122" s="21"/>
      <c r="AJ3122" s="21"/>
      <c r="AK3122" s="21"/>
      <c r="AL3122" s="21"/>
      <c r="AM3122" s="21"/>
      <c r="AN3122" s="21"/>
      <c r="AO3122" s="22"/>
      <c r="AP3122" s="21"/>
      <c r="AQ3122" s="22"/>
      <c r="AR3122" s="21"/>
      <c r="AS3122" s="21"/>
      <c r="AT3122" s="21"/>
      <c r="AU3122" s="21"/>
      <c r="AV3122" s="21"/>
      <c r="AW3122" s="21"/>
      <c r="AX3122" s="22"/>
      <c r="AY3122" s="21"/>
      <c r="AZ3122" s="22"/>
      <c r="BA3122" s="21"/>
      <c r="BB3122" s="21"/>
      <c r="BC3122" s="21"/>
      <c r="BD3122" s="21"/>
      <c r="BE3122" s="26"/>
      <c r="BF3122" s="26"/>
      <c r="BG3122" s="62"/>
    </row>
    <row r="3123" spans="1:59" ht="13.5" customHeight="1" x14ac:dyDescent="0.35">
      <c r="A3123" s="49"/>
      <c r="B3123" s="49"/>
      <c r="C3123" s="39"/>
      <c r="D3123" s="1"/>
      <c r="E3123" s="149"/>
      <c r="F3123" s="153"/>
      <c r="G3123" s="10"/>
      <c r="H3123" s="17"/>
      <c r="I3123" s="17"/>
      <c r="J3123" s="17"/>
      <c r="K3123" s="30"/>
      <c r="L3123" s="30"/>
      <c r="M3123" s="30"/>
      <c r="N3123" s="30"/>
      <c r="O3123" s="30"/>
      <c r="P3123" s="30"/>
      <c r="Q3123" s="30"/>
      <c r="R3123" s="30"/>
      <c r="S3123" s="30"/>
      <c r="T3123" s="30"/>
      <c r="U3123" s="30"/>
      <c r="V3123" s="30"/>
      <c r="W3123" s="29"/>
      <c r="X3123" s="15"/>
      <c r="Y3123" s="30"/>
      <c r="Z3123" s="30"/>
      <c r="AA3123" s="30"/>
      <c r="AB3123" s="30"/>
      <c r="AC3123" s="17"/>
      <c r="AD3123" s="17"/>
      <c r="AE3123" s="17"/>
      <c r="AF3123" s="17"/>
      <c r="AG3123" s="21"/>
      <c r="AH3123" s="21"/>
      <c r="AI3123" s="21"/>
      <c r="AJ3123" s="21"/>
      <c r="AK3123" s="21"/>
      <c r="AL3123" s="21"/>
      <c r="AM3123" s="21"/>
      <c r="AN3123" s="21"/>
      <c r="AO3123" s="22"/>
      <c r="AP3123" s="21"/>
      <c r="AQ3123" s="22"/>
      <c r="AR3123" s="21"/>
      <c r="AS3123" s="21"/>
      <c r="AT3123" s="21"/>
      <c r="AU3123" s="21"/>
      <c r="AV3123" s="21"/>
      <c r="AW3123" s="21"/>
      <c r="AX3123" s="22"/>
      <c r="AY3123" s="21"/>
      <c r="AZ3123" s="22"/>
      <c r="BA3123" s="21"/>
      <c r="BB3123" s="21"/>
      <c r="BC3123" s="21"/>
      <c r="BD3123" s="21"/>
      <c r="BE3123" s="26"/>
      <c r="BF3123" s="26"/>
      <c r="BG3123" s="62"/>
    </row>
    <row r="3124" spans="1:59" x14ac:dyDescent="0.3">
      <c r="A3124" s="6"/>
      <c r="B3124" s="6"/>
      <c r="C3124" s="39"/>
      <c r="D3124" s="6"/>
      <c r="E3124" s="149"/>
      <c r="F3124" s="153"/>
      <c r="G3124" s="10"/>
      <c r="H3124" s="6"/>
      <c r="I3124" s="6"/>
      <c r="J3124" s="6"/>
      <c r="K3124" s="6"/>
      <c r="L3124" s="6"/>
      <c r="M3124" s="6"/>
      <c r="N3124" s="6"/>
      <c r="O3124" s="6"/>
      <c r="P3124" s="6"/>
      <c r="Q3124" s="6"/>
      <c r="R3124" s="6"/>
      <c r="S3124" s="6"/>
      <c r="T3124" s="6"/>
      <c r="U3124" s="5"/>
      <c r="V3124" s="5"/>
      <c r="W3124" s="13"/>
      <c r="X3124" s="4"/>
      <c r="Y3124" s="4"/>
      <c r="Z3124" s="4"/>
      <c r="AA3124" s="6"/>
      <c r="AB3124" s="5"/>
      <c r="AC3124" s="9"/>
      <c r="AD3124" s="9"/>
      <c r="AE3124" s="9"/>
      <c r="AF3124" s="9"/>
      <c r="AG3124" s="2"/>
      <c r="AH3124" s="3"/>
      <c r="AI3124" s="2"/>
      <c r="AJ3124" s="2"/>
      <c r="AK3124" s="2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  <c r="BG3124" s="3"/>
    </row>
    <row r="3125" spans="1:59" x14ac:dyDescent="0.3">
      <c r="A3125" s="63"/>
      <c r="B3125" s="63"/>
      <c r="C3125" s="39"/>
      <c r="D3125" s="6"/>
      <c r="E3125" s="149"/>
      <c r="F3125" s="153"/>
      <c r="G3125" s="10"/>
      <c r="H3125" s="6"/>
      <c r="I3125" s="6"/>
      <c r="J3125" s="6"/>
      <c r="K3125" s="6"/>
      <c r="L3125" s="6"/>
      <c r="M3125" s="6"/>
      <c r="N3125" s="6"/>
      <c r="O3125" s="6"/>
      <c r="P3125" s="6"/>
      <c r="Q3125" s="6"/>
      <c r="R3125" s="6"/>
      <c r="S3125" s="6"/>
      <c r="T3125" s="6"/>
      <c r="U3125" s="5"/>
      <c r="V3125" s="5"/>
      <c r="W3125" s="13"/>
      <c r="X3125" s="4"/>
      <c r="Y3125" s="4"/>
      <c r="Z3125" s="4"/>
      <c r="AA3125" s="6"/>
      <c r="AB3125" s="5"/>
      <c r="AC3125" s="9"/>
      <c r="AD3125" s="9"/>
      <c r="AE3125" s="9"/>
      <c r="AF3125" s="9"/>
      <c r="AG3125" s="64"/>
      <c r="AH3125" s="3"/>
      <c r="AI3125" s="2"/>
      <c r="AJ3125" s="2"/>
      <c r="AK3125" s="2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/>
      <c r="BD3125" s="3"/>
      <c r="BE3125" s="3"/>
      <c r="BF3125" s="3"/>
      <c r="BG3125" s="3"/>
    </row>
    <row r="3126" spans="1:59" ht="13.5" customHeight="1" x14ac:dyDescent="0.35">
      <c r="A3126" s="49"/>
      <c r="B3126" s="49"/>
      <c r="C3126" s="14"/>
      <c r="D3126" s="1"/>
      <c r="E3126" s="149"/>
      <c r="F3126" s="153"/>
      <c r="G3126" s="10"/>
      <c r="H3126" s="17"/>
      <c r="I3126" s="17"/>
      <c r="J3126" s="17"/>
      <c r="K3126" s="30"/>
      <c r="L3126" s="30"/>
      <c r="M3126" s="30"/>
      <c r="N3126" s="30"/>
      <c r="O3126" s="30"/>
      <c r="P3126" s="30"/>
      <c r="Q3126" s="30"/>
      <c r="R3126" s="30"/>
      <c r="S3126" s="30"/>
      <c r="T3126" s="30"/>
      <c r="U3126" s="30"/>
      <c r="V3126" s="30"/>
      <c r="W3126" s="29"/>
      <c r="X3126" s="15"/>
      <c r="Y3126" s="30"/>
      <c r="Z3126" s="30"/>
      <c r="AA3126" s="30"/>
      <c r="AB3126" s="30"/>
      <c r="AC3126" s="17"/>
      <c r="AD3126" s="17"/>
      <c r="AE3126" s="17"/>
      <c r="AF3126" s="17"/>
      <c r="AG3126" s="21"/>
      <c r="AH3126" s="21"/>
      <c r="AI3126" s="21"/>
      <c r="AJ3126" s="21"/>
      <c r="AK3126" s="21"/>
      <c r="AL3126" s="21"/>
      <c r="AM3126" s="21"/>
      <c r="AN3126" s="21"/>
      <c r="AO3126" s="22"/>
      <c r="AP3126" s="21"/>
      <c r="AQ3126" s="22"/>
      <c r="AR3126" s="21"/>
      <c r="AS3126" s="21"/>
      <c r="AT3126" s="21"/>
      <c r="AU3126" s="21"/>
      <c r="AV3126" s="21"/>
      <c r="AW3126" s="21"/>
      <c r="AX3126" s="22"/>
      <c r="AY3126" s="21"/>
      <c r="AZ3126" s="22"/>
      <c r="BA3126" s="21"/>
      <c r="BB3126" s="21"/>
      <c r="BC3126" s="21"/>
      <c r="BD3126" s="21"/>
      <c r="BE3126" s="26"/>
      <c r="BF3126" s="26"/>
      <c r="BG3126" s="62"/>
    </row>
    <row r="3127" spans="1:59" ht="13.5" customHeight="1" x14ac:dyDescent="0.35">
      <c r="A3127" s="49"/>
      <c r="B3127" s="49"/>
      <c r="C3127" s="39"/>
      <c r="D3127" s="1"/>
      <c r="E3127" s="149"/>
      <c r="F3127" s="153"/>
      <c r="G3127" s="10"/>
      <c r="H3127" s="17"/>
      <c r="I3127" s="17"/>
      <c r="J3127" s="17"/>
      <c r="K3127" s="30"/>
      <c r="L3127" s="30"/>
      <c r="M3127" s="30"/>
      <c r="N3127" s="30"/>
      <c r="O3127" s="30"/>
      <c r="P3127" s="30"/>
      <c r="Q3127" s="30"/>
      <c r="R3127" s="30"/>
      <c r="S3127" s="30"/>
      <c r="T3127" s="30"/>
      <c r="U3127" s="30"/>
      <c r="V3127" s="30"/>
      <c r="W3127" s="29"/>
      <c r="X3127" s="15"/>
      <c r="Y3127" s="30"/>
      <c r="Z3127" s="30"/>
      <c r="AA3127" s="30"/>
      <c r="AB3127" s="30"/>
      <c r="AC3127" s="17"/>
      <c r="AD3127" s="17"/>
      <c r="AE3127" s="17"/>
      <c r="AF3127" s="17"/>
      <c r="AG3127" s="21"/>
      <c r="AH3127" s="21"/>
      <c r="AI3127" s="21"/>
      <c r="AJ3127" s="21"/>
      <c r="AK3127" s="21"/>
      <c r="AL3127" s="21"/>
      <c r="AM3127" s="21"/>
      <c r="AN3127" s="21"/>
      <c r="AO3127" s="22"/>
      <c r="AP3127" s="21"/>
      <c r="AQ3127" s="22"/>
      <c r="AR3127" s="21"/>
      <c r="AS3127" s="21"/>
      <c r="AT3127" s="21"/>
      <c r="AU3127" s="21"/>
      <c r="AV3127" s="21"/>
      <c r="AW3127" s="21"/>
      <c r="AX3127" s="22"/>
      <c r="AY3127" s="21"/>
      <c r="AZ3127" s="22"/>
      <c r="BA3127" s="21"/>
      <c r="BB3127" s="21"/>
      <c r="BC3127" s="21"/>
      <c r="BD3127" s="21"/>
      <c r="BE3127" s="26"/>
      <c r="BF3127" s="26"/>
      <c r="BG3127" s="62"/>
    </row>
    <row r="3128" spans="1:59" ht="15" x14ac:dyDescent="0.35">
      <c r="A3128" s="63"/>
      <c r="B3128" s="63"/>
      <c r="C3128" s="39"/>
      <c r="D3128" s="6"/>
      <c r="E3128" s="149"/>
      <c r="F3128" s="153"/>
      <c r="G3128" s="10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5"/>
      <c r="V3128" s="5"/>
      <c r="W3128" s="13"/>
      <c r="X3128" s="4"/>
      <c r="Y3128" s="4"/>
      <c r="Z3128" s="4"/>
      <c r="AA3128" s="6"/>
      <c r="AB3128" s="5"/>
      <c r="AC3128" s="9"/>
      <c r="AD3128" s="9"/>
      <c r="AE3128" s="9"/>
      <c r="AF3128" s="9"/>
      <c r="AG3128" s="64"/>
      <c r="AH3128" s="3"/>
      <c r="AI3128" s="2"/>
      <c r="AJ3128" s="2"/>
      <c r="AK3128" s="2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65"/>
    </row>
    <row r="3129" spans="1:59" ht="13.5" customHeight="1" x14ac:dyDescent="0.35">
      <c r="A3129" s="49"/>
      <c r="B3129" s="49"/>
      <c r="C3129" s="14"/>
      <c r="D3129" s="1"/>
      <c r="E3129" s="149"/>
      <c r="F3129" s="153"/>
      <c r="G3129" s="10"/>
      <c r="H3129" s="17"/>
      <c r="I3129" s="17"/>
      <c r="J3129" s="17"/>
      <c r="K3129" s="30"/>
      <c r="L3129" s="30"/>
      <c r="M3129" s="30"/>
      <c r="N3129" s="30"/>
      <c r="O3129" s="30"/>
      <c r="P3129" s="30"/>
      <c r="Q3129" s="30"/>
      <c r="R3129" s="30"/>
      <c r="S3129" s="30"/>
      <c r="T3129" s="30"/>
      <c r="U3129" s="30"/>
      <c r="V3129" s="30"/>
      <c r="W3129" s="29"/>
      <c r="X3129" s="15"/>
      <c r="Y3129" s="30"/>
      <c r="Z3129" s="30"/>
      <c r="AA3129" s="30"/>
      <c r="AB3129" s="30"/>
      <c r="AC3129" s="17"/>
      <c r="AD3129" s="17"/>
      <c r="AE3129" s="17"/>
      <c r="AF3129" s="17"/>
      <c r="AG3129" s="21"/>
      <c r="AH3129" s="21"/>
      <c r="AI3129" s="21"/>
      <c r="AJ3129" s="21"/>
      <c r="AK3129" s="21"/>
      <c r="AL3129" s="21"/>
      <c r="AM3129" s="21"/>
      <c r="AN3129" s="21"/>
      <c r="AO3129" s="22"/>
      <c r="AP3129" s="21"/>
      <c r="AQ3129" s="22"/>
      <c r="AR3129" s="21"/>
      <c r="AS3129" s="21"/>
      <c r="AT3129" s="21"/>
      <c r="AU3129" s="21"/>
      <c r="AV3129" s="21"/>
      <c r="AW3129" s="21"/>
      <c r="AX3129" s="22"/>
      <c r="AY3129" s="21"/>
      <c r="AZ3129" s="22"/>
      <c r="BA3129" s="21"/>
      <c r="BB3129" s="21"/>
      <c r="BC3129" s="21"/>
      <c r="BD3129" s="21"/>
      <c r="BE3129" s="26"/>
      <c r="BF3129" s="26"/>
      <c r="BG3129" s="62"/>
    </row>
    <row r="3130" spans="1:59" ht="13.5" customHeight="1" x14ac:dyDescent="0.35">
      <c r="A3130" s="49"/>
      <c r="B3130" s="49"/>
      <c r="C3130" s="39"/>
      <c r="D3130" s="1"/>
      <c r="E3130" s="149"/>
      <c r="F3130" s="153"/>
      <c r="G3130" s="10"/>
      <c r="H3130" s="17"/>
      <c r="I3130" s="17"/>
      <c r="J3130" s="17"/>
      <c r="K3130" s="30"/>
      <c r="L3130" s="30"/>
      <c r="M3130" s="30"/>
      <c r="N3130" s="30"/>
      <c r="O3130" s="30"/>
      <c r="P3130" s="30"/>
      <c r="Q3130" s="30"/>
      <c r="R3130" s="30"/>
      <c r="S3130" s="30"/>
      <c r="T3130" s="30"/>
      <c r="U3130" s="30"/>
      <c r="V3130" s="30"/>
      <c r="W3130" s="29"/>
      <c r="X3130" s="15"/>
      <c r="Y3130" s="30"/>
      <c r="Z3130" s="30"/>
      <c r="AA3130" s="30"/>
      <c r="AB3130" s="30"/>
      <c r="AC3130" s="17"/>
      <c r="AD3130" s="17"/>
      <c r="AE3130" s="17"/>
      <c r="AF3130" s="17"/>
      <c r="AG3130" s="21"/>
      <c r="AH3130" s="21"/>
      <c r="AI3130" s="21"/>
      <c r="AJ3130" s="21"/>
      <c r="AK3130" s="21"/>
      <c r="AL3130" s="21"/>
      <c r="AM3130" s="21"/>
      <c r="AN3130" s="21"/>
      <c r="AO3130" s="22"/>
      <c r="AP3130" s="21"/>
      <c r="AQ3130" s="22"/>
      <c r="AR3130" s="21"/>
      <c r="AS3130" s="21"/>
      <c r="AT3130" s="21"/>
      <c r="AU3130" s="21"/>
      <c r="AV3130" s="21"/>
      <c r="AW3130" s="21"/>
      <c r="AX3130" s="22"/>
      <c r="AY3130" s="21"/>
      <c r="AZ3130" s="22"/>
      <c r="BA3130" s="21"/>
      <c r="BB3130" s="21"/>
      <c r="BC3130" s="21"/>
      <c r="BD3130" s="21"/>
      <c r="BE3130" s="26"/>
      <c r="BF3130" s="26"/>
      <c r="BG3130" s="62"/>
    </row>
    <row r="3131" spans="1:59" ht="15" x14ac:dyDescent="0.35">
      <c r="A3131" s="6"/>
      <c r="B3131" s="6"/>
      <c r="C3131" s="39"/>
      <c r="D3131" s="6"/>
      <c r="E3131" s="149"/>
      <c r="F3131" s="153"/>
      <c r="G3131" s="10"/>
      <c r="H3131" s="6"/>
      <c r="I3131" s="6"/>
      <c r="J3131" s="6"/>
      <c r="K3131" s="6"/>
      <c r="L3131" s="6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12"/>
      <c r="Y3131" s="6"/>
      <c r="Z3131" s="6"/>
      <c r="AA3131" s="6"/>
      <c r="AB3131" s="6"/>
      <c r="AC3131" s="9"/>
      <c r="AD3131" s="9"/>
      <c r="AE3131" s="9"/>
      <c r="AF3131" s="9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21"/>
      <c r="AS3131" s="21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  <c r="BG3131" s="65"/>
    </row>
    <row r="3132" spans="1:59" x14ac:dyDescent="0.3">
      <c r="A3132" s="63"/>
      <c r="B3132" s="63"/>
      <c r="C3132" s="39"/>
      <c r="D3132" s="6"/>
      <c r="E3132" s="149"/>
      <c r="F3132" s="153"/>
      <c r="G3132" s="10"/>
      <c r="H3132" s="6"/>
      <c r="I3132" s="6"/>
      <c r="J3132" s="6"/>
      <c r="K3132" s="6"/>
      <c r="L3132" s="6"/>
      <c r="M3132" s="6"/>
      <c r="N3132" s="6"/>
      <c r="O3132" s="6"/>
      <c r="P3132" s="6"/>
      <c r="Q3132" s="6"/>
      <c r="R3132" s="6"/>
      <c r="S3132" s="6"/>
      <c r="T3132" s="6"/>
      <c r="U3132" s="5"/>
      <c r="V3132" s="5"/>
      <c r="W3132" s="13"/>
      <c r="X3132" s="4"/>
      <c r="Y3132" s="4"/>
      <c r="Z3132" s="4"/>
      <c r="AA3132" s="6"/>
      <c r="AB3132" s="5"/>
      <c r="AC3132" s="9"/>
      <c r="AD3132" s="9"/>
      <c r="AE3132" s="9"/>
      <c r="AF3132" s="9"/>
      <c r="AG3132" s="64"/>
      <c r="AH3132" s="3"/>
      <c r="AI3132" s="2"/>
      <c r="AJ3132" s="2"/>
      <c r="AK3132" s="2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3"/>
    </row>
    <row r="3133" spans="1:59" ht="13.5" customHeight="1" x14ac:dyDescent="0.35">
      <c r="A3133" s="49"/>
      <c r="B3133" s="49"/>
      <c r="C3133" s="39"/>
      <c r="D3133" s="1"/>
      <c r="E3133" s="149"/>
      <c r="F3133" s="153"/>
      <c r="G3133" s="10"/>
      <c r="H3133" s="17"/>
      <c r="I3133" s="17"/>
      <c r="J3133" s="17"/>
      <c r="K3133" s="30"/>
      <c r="L3133" s="30"/>
      <c r="M3133" s="30"/>
      <c r="N3133" s="30"/>
      <c r="O3133" s="30"/>
      <c r="P3133" s="30"/>
      <c r="Q3133" s="30"/>
      <c r="R3133" s="30"/>
      <c r="S3133" s="30"/>
      <c r="T3133" s="30"/>
      <c r="U3133" s="30"/>
      <c r="V3133" s="30"/>
      <c r="W3133" s="29"/>
      <c r="X3133" s="15"/>
      <c r="Y3133" s="30"/>
      <c r="Z3133" s="30"/>
      <c r="AA3133" s="30"/>
      <c r="AB3133" s="30"/>
      <c r="AC3133" s="17"/>
      <c r="AD3133" s="17"/>
      <c r="AE3133" s="17"/>
      <c r="AF3133" s="17"/>
      <c r="AG3133" s="21"/>
      <c r="AH3133" s="21"/>
      <c r="AI3133" s="21"/>
      <c r="AJ3133" s="21"/>
      <c r="AK3133" s="21"/>
      <c r="AL3133" s="21"/>
      <c r="AM3133" s="21"/>
      <c r="AN3133" s="21"/>
      <c r="AO3133" s="22"/>
      <c r="AP3133" s="21"/>
      <c r="AQ3133" s="22"/>
      <c r="AR3133" s="21"/>
      <c r="AS3133" s="21"/>
      <c r="AT3133" s="21"/>
      <c r="AU3133" s="21"/>
      <c r="AV3133" s="21"/>
      <c r="AW3133" s="21"/>
      <c r="AX3133" s="22"/>
      <c r="AY3133" s="21"/>
      <c r="AZ3133" s="22"/>
      <c r="BA3133" s="21"/>
      <c r="BB3133" s="21"/>
      <c r="BC3133" s="21"/>
      <c r="BD3133" s="21"/>
      <c r="BE3133" s="26"/>
      <c r="BF3133" s="26"/>
      <c r="BG3133" s="62"/>
    </row>
    <row r="3134" spans="1:59" ht="13.5" customHeight="1" x14ac:dyDescent="0.35">
      <c r="A3134" s="49"/>
      <c r="B3134" s="49"/>
      <c r="C3134" s="39"/>
      <c r="D3134" s="1"/>
      <c r="E3134" s="149"/>
      <c r="F3134" s="153"/>
      <c r="G3134" s="10"/>
      <c r="H3134" s="17"/>
      <c r="I3134" s="17"/>
      <c r="J3134" s="17"/>
      <c r="K3134" s="30"/>
      <c r="L3134" s="30"/>
      <c r="M3134" s="30"/>
      <c r="N3134" s="30"/>
      <c r="O3134" s="30"/>
      <c r="P3134" s="30"/>
      <c r="Q3134" s="30"/>
      <c r="R3134" s="30"/>
      <c r="S3134" s="30"/>
      <c r="T3134" s="30"/>
      <c r="U3134" s="30"/>
      <c r="V3134" s="30"/>
      <c r="W3134" s="29"/>
      <c r="X3134" s="15"/>
      <c r="Y3134" s="30"/>
      <c r="Z3134" s="30"/>
      <c r="AA3134" s="30"/>
      <c r="AB3134" s="30"/>
      <c r="AC3134" s="17"/>
      <c r="AD3134" s="17"/>
      <c r="AE3134" s="17"/>
      <c r="AF3134" s="17"/>
      <c r="AG3134" s="21"/>
      <c r="AH3134" s="21"/>
      <c r="AI3134" s="21"/>
      <c r="AJ3134" s="21"/>
      <c r="AK3134" s="21"/>
      <c r="AL3134" s="21"/>
      <c r="AM3134" s="21"/>
      <c r="AN3134" s="21"/>
      <c r="AO3134" s="22"/>
      <c r="AP3134" s="21"/>
      <c r="AQ3134" s="22"/>
      <c r="AR3134" s="21"/>
      <c r="AS3134" s="21"/>
      <c r="AT3134" s="21"/>
      <c r="AU3134" s="21"/>
      <c r="AV3134" s="21"/>
      <c r="AW3134" s="21"/>
      <c r="AX3134" s="22"/>
      <c r="AY3134" s="21"/>
      <c r="AZ3134" s="22"/>
      <c r="BA3134" s="21"/>
      <c r="BB3134" s="21"/>
      <c r="BC3134" s="21"/>
      <c r="BD3134" s="21"/>
      <c r="BE3134" s="26"/>
      <c r="BF3134" s="26"/>
      <c r="BG3134" s="62"/>
    </row>
    <row r="3135" spans="1:59" x14ac:dyDescent="0.3">
      <c r="A3135" s="6"/>
      <c r="B3135" s="6"/>
      <c r="C3135" s="39"/>
      <c r="D3135" s="6"/>
      <c r="E3135" s="149"/>
      <c r="F3135" s="153"/>
      <c r="G3135" s="10"/>
      <c r="H3135" s="6"/>
      <c r="I3135" s="6"/>
      <c r="J3135" s="6"/>
      <c r="K3135" s="6"/>
      <c r="L3135" s="6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12"/>
      <c r="Y3135" s="6"/>
      <c r="Z3135" s="6"/>
      <c r="AA3135" s="6"/>
      <c r="AB3135" s="6"/>
      <c r="AC3135" s="9"/>
      <c r="AD3135" s="9"/>
      <c r="AE3135" s="9"/>
      <c r="AF3135" s="9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21"/>
      <c r="AS3135" s="21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  <c r="BG3135" s="3"/>
    </row>
    <row r="3136" spans="1:59" x14ac:dyDescent="0.3">
      <c r="A3136" s="6"/>
      <c r="B3136" s="6"/>
      <c r="C3136" s="39"/>
      <c r="D3136" s="6"/>
      <c r="E3136" s="149"/>
      <c r="F3136" s="153"/>
      <c r="G3136" s="10"/>
      <c r="H3136" s="6"/>
      <c r="I3136" s="6"/>
      <c r="J3136" s="6"/>
      <c r="K3136" s="6"/>
      <c r="L3136" s="6"/>
      <c r="M3136" s="6"/>
      <c r="N3136" s="6"/>
      <c r="O3136" s="6"/>
      <c r="P3136" s="6"/>
      <c r="Q3136" s="6"/>
      <c r="R3136" s="6"/>
      <c r="S3136" s="6"/>
      <c r="T3136" s="6"/>
      <c r="U3136" s="5"/>
      <c r="V3136" s="5"/>
      <c r="W3136" s="13"/>
      <c r="X3136" s="4"/>
      <c r="Y3136" s="4"/>
      <c r="Z3136" s="4"/>
      <c r="AA3136" s="6"/>
      <c r="AB3136" s="5"/>
      <c r="AC3136" s="9"/>
      <c r="AD3136" s="9"/>
      <c r="AE3136" s="9"/>
      <c r="AF3136" s="9"/>
      <c r="AG3136" s="2"/>
      <c r="AH3136" s="3"/>
      <c r="AI3136" s="2"/>
      <c r="AJ3136" s="2"/>
      <c r="AK3136" s="2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3"/>
    </row>
    <row r="3137" spans="1:59" x14ac:dyDescent="0.3">
      <c r="A3137" s="63"/>
      <c r="B3137" s="63"/>
      <c r="C3137" s="39"/>
      <c r="D3137" s="6"/>
      <c r="E3137" s="149"/>
      <c r="F3137" s="153"/>
      <c r="G3137" s="10"/>
      <c r="H3137" s="6"/>
      <c r="I3137" s="6"/>
      <c r="J3137" s="6"/>
      <c r="K3137" s="6"/>
      <c r="L3137" s="6"/>
      <c r="M3137" s="6"/>
      <c r="N3137" s="6"/>
      <c r="O3137" s="6"/>
      <c r="P3137" s="6"/>
      <c r="Q3137" s="6"/>
      <c r="R3137" s="6"/>
      <c r="S3137" s="6"/>
      <c r="T3137" s="6"/>
      <c r="U3137" s="5"/>
      <c r="V3137" s="5"/>
      <c r="W3137" s="13"/>
      <c r="X3137" s="4"/>
      <c r="Y3137" s="4"/>
      <c r="Z3137" s="4"/>
      <c r="AA3137" s="6"/>
      <c r="AB3137" s="5"/>
      <c r="AC3137" s="9"/>
      <c r="AD3137" s="9"/>
      <c r="AE3137" s="9"/>
      <c r="AF3137" s="9"/>
      <c r="AG3137" s="64"/>
      <c r="AH3137" s="3"/>
      <c r="AI3137" s="2"/>
      <c r="AJ3137" s="2"/>
      <c r="AK3137" s="2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  <c r="BG3137" s="3"/>
    </row>
    <row r="3138" spans="1:59" ht="13.5" customHeight="1" x14ac:dyDescent="0.35">
      <c r="A3138" s="49"/>
      <c r="B3138" s="49"/>
      <c r="C3138" s="14"/>
      <c r="D3138" s="1"/>
      <c r="E3138" s="149"/>
      <c r="F3138" s="153"/>
      <c r="G3138" s="10"/>
      <c r="H3138" s="17"/>
      <c r="I3138" s="17"/>
      <c r="J3138" s="17"/>
      <c r="K3138" s="30"/>
      <c r="L3138" s="30"/>
      <c r="M3138" s="30"/>
      <c r="N3138" s="30"/>
      <c r="O3138" s="30"/>
      <c r="P3138" s="30"/>
      <c r="Q3138" s="30"/>
      <c r="R3138" s="30"/>
      <c r="S3138" s="30"/>
      <c r="T3138" s="30"/>
      <c r="U3138" s="30"/>
      <c r="V3138" s="30"/>
      <c r="W3138" s="29"/>
      <c r="X3138" s="15"/>
      <c r="Y3138" s="30"/>
      <c r="Z3138" s="30"/>
      <c r="AA3138" s="30"/>
      <c r="AB3138" s="30"/>
      <c r="AC3138" s="17"/>
      <c r="AD3138" s="17"/>
      <c r="AE3138" s="17"/>
      <c r="AF3138" s="17"/>
      <c r="AG3138" s="21"/>
      <c r="AH3138" s="21"/>
      <c r="AI3138" s="21"/>
      <c r="AJ3138" s="21"/>
      <c r="AK3138" s="21"/>
      <c r="AL3138" s="21"/>
      <c r="AM3138" s="21"/>
      <c r="AN3138" s="21"/>
      <c r="AO3138" s="22"/>
      <c r="AP3138" s="21"/>
      <c r="AQ3138" s="22"/>
      <c r="AR3138" s="21"/>
      <c r="AS3138" s="21"/>
      <c r="AT3138" s="21"/>
      <c r="AU3138" s="21"/>
      <c r="AV3138" s="21"/>
      <c r="AW3138" s="21"/>
      <c r="AX3138" s="22"/>
      <c r="AY3138" s="21"/>
      <c r="AZ3138" s="22"/>
      <c r="BA3138" s="21"/>
      <c r="BB3138" s="21"/>
      <c r="BC3138" s="21"/>
      <c r="BD3138" s="21"/>
      <c r="BE3138" s="26"/>
      <c r="BF3138" s="26"/>
      <c r="BG3138" s="62"/>
    </row>
    <row r="3139" spans="1:59" ht="13.5" customHeight="1" x14ac:dyDescent="0.35">
      <c r="A3139" s="49"/>
      <c r="B3139" s="49"/>
      <c r="C3139" s="39"/>
      <c r="D3139" s="1"/>
      <c r="E3139" s="149"/>
      <c r="F3139" s="153"/>
      <c r="G3139" s="10"/>
      <c r="H3139" s="17"/>
      <c r="I3139" s="17"/>
      <c r="J3139" s="17"/>
      <c r="K3139" s="30"/>
      <c r="L3139" s="30"/>
      <c r="M3139" s="30"/>
      <c r="N3139" s="30"/>
      <c r="O3139" s="30"/>
      <c r="P3139" s="30"/>
      <c r="Q3139" s="30"/>
      <c r="R3139" s="30"/>
      <c r="S3139" s="30"/>
      <c r="T3139" s="30"/>
      <c r="U3139" s="30"/>
      <c r="V3139" s="30"/>
      <c r="W3139" s="29"/>
      <c r="X3139" s="15"/>
      <c r="Y3139" s="30"/>
      <c r="Z3139" s="30"/>
      <c r="AA3139" s="30"/>
      <c r="AB3139" s="30"/>
      <c r="AC3139" s="17"/>
      <c r="AD3139" s="17"/>
      <c r="AE3139" s="17"/>
      <c r="AF3139" s="17"/>
      <c r="AG3139" s="21"/>
      <c r="AH3139" s="21"/>
      <c r="AI3139" s="21"/>
      <c r="AJ3139" s="21"/>
      <c r="AK3139" s="21"/>
      <c r="AL3139" s="21"/>
      <c r="AM3139" s="21"/>
      <c r="AN3139" s="21"/>
      <c r="AO3139" s="22"/>
      <c r="AP3139" s="21"/>
      <c r="AQ3139" s="22"/>
      <c r="AR3139" s="21"/>
      <c r="AS3139" s="21"/>
      <c r="AT3139" s="21"/>
      <c r="AU3139" s="21"/>
      <c r="AV3139" s="21"/>
      <c r="AW3139" s="21"/>
      <c r="AX3139" s="22"/>
      <c r="AY3139" s="21"/>
      <c r="AZ3139" s="22"/>
      <c r="BA3139" s="21"/>
      <c r="BB3139" s="21"/>
      <c r="BC3139" s="21"/>
      <c r="BD3139" s="21"/>
      <c r="BE3139" s="26"/>
      <c r="BF3139" s="26"/>
      <c r="BG3139" s="62"/>
    </row>
    <row r="3140" spans="1:59" ht="13.5" customHeight="1" x14ac:dyDescent="0.35">
      <c r="A3140" s="49"/>
      <c r="B3140" s="49"/>
      <c r="C3140" s="39"/>
      <c r="D3140" s="1"/>
      <c r="E3140" s="149"/>
      <c r="F3140" s="153"/>
      <c r="G3140" s="10"/>
      <c r="H3140" s="17"/>
      <c r="I3140" s="17"/>
      <c r="J3140" s="17"/>
      <c r="K3140" s="30"/>
      <c r="L3140" s="30"/>
      <c r="M3140" s="30"/>
      <c r="N3140" s="30"/>
      <c r="O3140" s="30"/>
      <c r="P3140" s="30"/>
      <c r="Q3140" s="30"/>
      <c r="R3140" s="30"/>
      <c r="S3140" s="30"/>
      <c r="T3140" s="30"/>
      <c r="U3140" s="30"/>
      <c r="V3140" s="30"/>
      <c r="W3140" s="29"/>
      <c r="X3140" s="15"/>
      <c r="Y3140" s="30"/>
      <c r="Z3140" s="30"/>
      <c r="AA3140" s="30"/>
      <c r="AB3140" s="30"/>
      <c r="AC3140" s="17"/>
      <c r="AD3140" s="17"/>
      <c r="AE3140" s="17"/>
      <c r="AF3140" s="17"/>
      <c r="AG3140" s="21"/>
      <c r="AH3140" s="21"/>
      <c r="AI3140" s="21"/>
      <c r="AJ3140" s="21"/>
      <c r="AK3140" s="21"/>
      <c r="AL3140" s="21"/>
      <c r="AM3140" s="21"/>
      <c r="AN3140" s="21"/>
      <c r="AO3140" s="22"/>
      <c r="AP3140" s="21"/>
      <c r="AQ3140" s="22"/>
      <c r="AR3140" s="21"/>
      <c r="AS3140" s="21"/>
      <c r="AT3140" s="21"/>
      <c r="AU3140" s="21"/>
      <c r="AV3140" s="21"/>
      <c r="AW3140" s="21"/>
      <c r="AX3140" s="22"/>
      <c r="AY3140" s="21"/>
      <c r="AZ3140" s="22"/>
      <c r="BA3140" s="21"/>
      <c r="BB3140" s="21"/>
      <c r="BC3140" s="21"/>
      <c r="BD3140" s="21"/>
      <c r="BE3140" s="26"/>
      <c r="BF3140" s="26"/>
      <c r="BG3140" s="65"/>
    </row>
    <row r="3141" spans="1:59" ht="13.5" customHeight="1" x14ac:dyDescent="0.35">
      <c r="A3141" s="49"/>
      <c r="B3141" s="49"/>
      <c r="C3141" s="14"/>
      <c r="D3141" s="1"/>
      <c r="E3141" s="149"/>
      <c r="F3141" s="153"/>
      <c r="G3141" s="10"/>
      <c r="H3141" s="17"/>
      <c r="I3141" s="17"/>
      <c r="J3141" s="17"/>
      <c r="K3141" s="30"/>
      <c r="L3141" s="30"/>
      <c r="M3141" s="30"/>
      <c r="N3141" s="30"/>
      <c r="O3141" s="30"/>
      <c r="P3141" s="30"/>
      <c r="Q3141" s="30"/>
      <c r="R3141" s="30"/>
      <c r="S3141" s="30"/>
      <c r="T3141" s="30"/>
      <c r="U3141" s="30"/>
      <c r="V3141" s="30"/>
      <c r="W3141" s="29"/>
      <c r="X3141" s="15"/>
      <c r="Y3141" s="30"/>
      <c r="Z3141" s="30"/>
      <c r="AA3141" s="30"/>
      <c r="AB3141" s="30"/>
      <c r="AC3141" s="17"/>
      <c r="AD3141" s="17"/>
      <c r="AE3141" s="17"/>
      <c r="AF3141" s="17"/>
      <c r="AG3141" s="21"/>
      <c r="AH3141" s="21"/>
      <c r="AI3141" s="21"/>
      <c r="AJ3141" s="21"/>
      <c r="AK3141" s="21"/>
      <c r="AL3141" s="21"/>
      <c r="AM3141" s="21"/>
      <c r="AN3141" s="21"/>
      <c r="AO3141" s="22"/>
      <c r="AP3141" s="21"/>
      <c r="AQ3141" s="22"/>
      <c r="AR3141" s="21"/>
      <c r="AS3141" s="21"/>
      <c r="AT3141" s="21"/>
      <c r="AU3141" s="21"/>
      <c r="AV3141" s="21"/>
      <c r="AW3141" s="21"/>
      <c r="AX3141" s="22"/>
      <c r="AY3141" s="21"/>
      <c r="AZ3141" s="22"/>
      <c r="BA3141" s="21"/>
      <c r="BB3141" s="21"/>
      <c r="BC3141" s="21"/>
      <c r="BD3141" s="21"/>
      <c r="BE3141" s="26"/>
      <c r="BF3141" s="26"/>
      <c r="BG3141" s="62"/>
    </row>
    <row r="3142" spans="1:59" ht="13.5" customHeight="1" x14ac:dyDescent="0.35">
      <c r="A3142" s="49"/>
      <c r="B3142" s="49"/>
      <c r="C3142" s="14"/>
      <c r="D3142" s="1"/>
      <c r="E3142" s="149"/>
      <c r="F3142" s="153"/>
      <c r="G3142" s="10"/>
      <c r="H3142" s="17"/>
      <c r="I3142" s="17"/>
      <c r="J3142" s="17"/>
      <c r="K3142" s="30"/>
      <c r="L3142" s="30"/>
      <c r="M3142" s="30"/>
      <c r="N3142" s="30"/>
      <c r="O3142" s="30"/>
      <c r="P3142" s="30"/>
      <c r="Q3142" s="30"/>
      <c r="R3142" s="30"/>
      <c r="S3142" s="30"/>
      <c r="T3142" s="30"/>
      <c r="U3142" s="30"/>
      <c r="V3142" s="30"/>
      <c r="W3142" s="29"/>
      <c r="X3142" s="15"/>
      <c r="Y3142" s="30"/>
      <c r="Z3142" s="30"/>
      <c r="AA3142" s="30"/>
      <c r="AB3142" s="30"/>
      <c r="AC3142" s="17"/>
      <c r="AD3142" s="17"/>
      <c r="AE3142" s="17"/>
      <c r="AF3142" s="17"/>
      <c r="AG3142" s="21"/>
      <c r="AH3142" s="21"/>
      <c r="AI3142" s="21"/>
      <c r="AJ3142" s="21"/>
      <c r="AK3142" s="21"/>
      <c r="AL3142" s="21"/>
      <c r="AM3142" s="21"/>
      <c r="AN3142" s="21"/>
      <c r="AO3142" s="22"/>
      <c r="AP3142" s="21"/>
      <c r="AQ3142" s="22"/>
      <c r="AR3142" s="21"/>
      <c r="AS3142" s="21"/>
      <c r="AT3142" s="21"/>
      <c r="AU3142" s="21"/>
      <c r="AV3142" s="21"/>
      <c r="AW3142" s="21"/>
      <c r="AX3142" s="22"/>
      <c r="AY3142" s="21"/>
      <c r="AZ3142" s="22"/>
      <c r="BA3142" s="21"/>
      <c r="BB3142" s="21"/>
      <c r="BC3142" s="21"/>
      <c r="BD3142" s="21"/>
      <c r="BE3142" s="26"/>
      <c r="BF3142" s="26"/>
      <c r="BG3142" s="62"/>
    </row>
    <row r="3143" spans="1:59" ht="13.5" customHeight="1" x14ac:dyDescent="0.35">
      <c r="A3143" s="49"/>
      <c r="B3143" s="49"/>
      <c r="C3143" s="14"/>
      <c r="D3143" s="1"/>
      <c r="E3143" s="149"/>
      <c r="F3143" s="153"/>
      <c r="G3143" s="10"/>
      <c r="H3143" s="17"/>
      <c r="I3143" s="17"/>
      <c r="J3143" s="17"/>
      <c r="K3143" s="30"/>
      <c r="L3143" s="30"/>
      <c r="M3143" s="30"/>
      <c r="N3143" s="30"/>
      <c r="O3143" s="30"/>
      <c r="P3143" s="30"/>
      <c r="Q3143" s="30"/>
      <c r="R3143" s="30"/>
      <c r="S3143" s="30"/>
      <c r="T3143" s="30"/>
      <c r="U3143" s="30"/>
      <c r="V3143" s="30"/>
      <c r="W3143" s="29"/>
      <c r="X3143" s="15"/>
      <c r="Y3143" s="30"/>
      <c r="Z3143" s="30"/>
      <c r="AA3143" s="30"/>
      <c r="AB3143" s="30"/>
      <c r="AC3143" s="17"/>
      <c r="AD3143" s="17"/>
      <c r="AE3143" s="17"/>
      <c r="AF3143" s="17"/>
      <c r="AG3143" s="21"/>
      <c r="AH3143" s="21"/>
      <c r="AI3143" s="21"/>
      <c r="AJ3143" s="21"/>
      <c r="AK3143" s="21"/>
      <c r="AL3143" s="21"/>
      <c r="AM3143" s="21"/>
      <c r="AN3143" s="21"/>
      <c r="AO3143" s="22"/>
      <c r="AP3143" s="21"/>
      <c r="AQ3143" s="22"/>
      <c r="AR3143" s="21"/>
      <c r="AS3143" s="21"/>
      <c r="AT3143" s="21"/>
      <c r="AU3143" s="21"/>
      <c r="AV3143" s="21"/>
      <c r="AW3143" s="21"/>
      <c r="AX3143" s="22"/>
      <c r="AY3143" s="21"/>
      <c r="AZ3143" s="22"/>
      <c r="BA3143" s="21"/>
      <c r="BB3143" s="21"/>
      <c r="BC3143" s="21"/>
      <c r="BD3143" s="21"/>
      <c r="BE3143" s="26"/>
      <c r="BF3143" s="26"/>
      <c r="BG3143" s="62"/>
    </row>
    <row r="3144" spans="1:59" ht="13.5" customHeight="1" x14ac:dyDescent="0.35">
      <c r="A3144" s="49"/>
      <c r="B3144" s="49"/>
      <c r="C3144" s="14"/>
      <c r="D3144" s="1"/>
      <c r="E3144" s="149"/>
      <c r="F3144" s="153"/>
      <c r="G3144" s="10"/>
      <c r="H3144" s="17"/>
      <c r="I3144" s="17"/>
      <c r="J3144" s="17"/>
      <c r="K3144" s="30"/>
      <c r="L3144" s="30"/>
      <c r="M3144" s="30"/>
      <c r="N3144" s="30"/>
      <c r="O3144" s="30"/>
      <c r="P3144" s="30"/>
      <c r="Q3144" s="30"/>
      <c r="R3144" s="30"/>
      <c r="S3144" s="30"/>
      <c r="T3144" s="30"/>
      <c r="U3144" s="30"/>
      <c r="V3144" s="30"/>
      <c r="W3144" s="29"/>
      <c r="X3144" s="15"/>
      <c r="Y3144" s="30"/>
      <c r="Z3144" s="30"/>
      <c r="AA3144" s="30"/>
      <c r="AB3144" s="30"/>
      <c r="AC3144" s="17"/>
      <c r="AD3144" s="17"/>
      <c r="AE3144" s="17"/>
      <c r="AF3144" s="17"/>
      <c r="AG3144" s="21"/>
      <c r="AH3144" s="21"/>
      <c r="AI3144" s="21"/>
      <c r="AJ3144" s="21"/>
      <c r="AK3144" s="21"/>
      <c r="AL3144" s="21"/>
      <c r="AM3144" s="21"/>
      <c r="AN3144" s="21"/>
      <c r="AO3144" s="22"/>
      <c r="AP3144" s="21"/>
      <c r="AQ3144" s="22"/>
      <c r="AR3144" s="21"/>
      <c r="AS3144" s="21"/>
      <c r="AT3144" s="21"/>
      <c r="AU3144" s="21"/>
      <c r="AV3144" s="21"/>
      <c r="AW3144" s="21"/>
      <c r="AX3144" s="22"/>
      <c r="AY3144" s="21"/>
      <c r="AZ3144" s="22"/>
      <c r="BA3144" s="21"/>
      <c r="BB3144" s="21"/>
      <c r="BC3144" s="21"/>
      <c r="BD3144" s="21"/>
      <c r="BE3144" s="26"/>
      <c r="BF3144" s="26"/>
      <c r="BG3144" s="62"/>
    </row>
    <row r="3145" spans="1:59" x14ac:dyDescent="0.3">
      <c r="A3145" s="6"/>
      <c r="B3145" s="6"/>
      <c r="C3145" s="39"/>
      <c r="D3145" s="6"/>
      <c r="E3145" s="149"/>
      <c r="F3145" s="153"/>
      <c r="G3145" s="10"/>
      <c r="H3145" s="6"/>
      <c r="I3145" s="6"/>
      <c r="J3145" s="6"/>
      <c r="K3145" s="6"/>
      <c r="L3145" s="6"/>
      <c r="M3145" s="6"/>
      <c r="N3145" s="6"/>
      <c r="O3145" s="6"/>
      <c r="P3145" s="6"/>
      <c r="Q3145" s="6"/>
      <c r="R3145" s="6"/>
      <c r="S3145" s="6"/>
      <c r="T3145" s="6"/>
      <c r="U3145" s="5"/>
      <c r="V3145" s="5"/>
      <c r="W3145" s="13"/>
      <c r="X3145" s="4"/>
      <c r="Y3145" s="4"/>
      <c r="Z3145" s="4"/>
      <c r="AA3145" s="6"/>
      <c r="AB3145" s="5"/>
      <c r="AC3145" s="9"/>
      <c r="AD3145" s="9"/>
      <c r="AE3145" s="9"/>
      <c r="AF3145" s="9"/>
      <c r="AG3145" s="2"/>
      <c r="AH3145" s="3"/>
      <c r="AI3145" s="2"/>
      <c r="AJ3145" s="2"/>
      <c r="AK3145" s="2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  <c r="BG3145" s="3"/>
    </row>
    <row r="3146" spans="1:59" x14ac:dyDescent="0.3">
      <c r="A3146" s="63"/>
      <c r="B3146" s="63"/>
      <c r="C3146" s="39"/>
      <c r="D3146" s="6"/>
      <c r="E3146" s="149"/>
      <c r="F3146" s="153"/>
      <c r="G3146" s="10"/>
      <c r="H3146" s="6"/>
      <c r="I3146" s="6"/>
      <c r="J3146" s="6"/>
      <c r="K3146" s="6"/>
      <c r="L3146" s="6"/>
      <c r="M3146" s="6"/>
      <c r="N3146" s="6"/>
      <c r="O3146" s="6"/>
      <c r="P3146" s="6"/>
      <c r="Q3146" s="6"/>
      <c r="R3146" s="6"/>
      <c r="S3146" s="6"/>
      <c r="T3146" s="6"/>
      <c r="U3146" s="5"/>
      <c r="V3146" s="5"/>
      <c r="W3146" s="13"/>
      <c r="X3146" s="4"/>
      <c r="Y3146" s="4"/>
      <c r="Z3146" s="4"/>
      <c r="AA3146" s="6"/>
      <c r="AB3146" s="5"/>
      <c r="AC3146" s="9"/>
      <c r="AD3146" s="9"/>
      <c r="AE3146" s="9"/>
      <c r="AF3146" s="9"/>
      <c r="AG3146" s="64"/>
      <c r="AH3146" s="3"/>
      <c r="AI3146" s="2"/>
      <c r="AJ3146" s="2"/>
      <c r="AK3146" s="2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3"/>
    </row>
    <row r="3147" spans="1:59" ht="13.5" customHeight="1" x14ac:dyDescent="0.35">
      <c r="A3147" s="49"/>
      <c r="B3147" s="49"/>
      <c r="C3147" s="14"/>
      <c r="D3147" s="1"/>
      <c r="E3147" s="149"/>
      <c r="F3147" s="153"/>
      <c r="G3147" s="10"/>
      <c r="H3147" s="17"/>
      <c r="I3147" s="17"/>
      <c r="J3147" s="17"/>
      <c r="K3147" s="30"/>
      <c r="L3147" s="30"/>
      <c r="M3147" s="30"/>
      <c r="N3147" s="30"/>
      <c r="O3147" s="30"/>
      <c r="P3147" s="30"/>
      <c r="Q3147" s="30"/>
      <c r="R3147" s="30"/>
      <c r="S3147" s="30"/>
      <c r="T3147" s="30"/>
      <c r="U3147" s="30"/>
      <c r="V3147" s="30"/>
      <c r="W3147" s="29"/>
      <c r="X3147" s="15"/>
      <c r="Y3147" s="30"/>
      <c r="Z3147" s="30"/>
      <c r="AA3147" s="30"/>
      <c r="AB3147" s="30"/>
      <c r="AC3147" s="17"/>
      <c r="AD3147" s="17"/>
      <c r="AE3147" s="17"/>
      <c r="AF3147" s="17"/>
      <c r="AG3147" s="21"/>
      <c r="AH3147" s="21"/>
      <c r="AI3147" s="21"/>
      <c r="AJ3147" s="21"/>
      <c r="AK3147" s="21"/>
      <c r="AL3147" s="21"/>
      <c r="AM3147" s="21"/>
      <c r="AN3147" s="21"/>
      <c r="AO3147" s="22"/>
      <c r="AP3147" s="21"/>
      <c r="AQ3147" s="22"/>
      <c r="AR3147" s="21"/>
      <c r="AS3147" s="21"/>
      <c r="AT3147" s="21"/>
      <c r="AU3147" s="21"/>
      <c r="AV3147" s="21"/>
      <c r="AW3147" s="21"/>
      <c r="AX3147" s="22"/>
      <c r="AY3147" s="21"/>
      <c r="AZ3147" s="22"/>
      <c r="BA3147" s="21"/>
      <c r="BB3147" s="21"/>
      <c r="BC3147" s="21"/>
      <c r="BD3147" s="21"/>
      <c r="BE3147" s="26"/>
      <c r="BF3147" s="26"/>
      <c r="BG3147" s="62"/>
    </row>
    <row r="3148" spans="1:59" ht="13.5" customHeight="1" x14ac:dyDescent="0.35">
      <c r="A3148" s="49"/>
      <c r="B3148" s="49"/>
      <c r="C3148" s="39"/>
      <c r="D3148" s="1"/>
      <c r="E3148" s="149"/>
      <c r="F3148" s="153"/>
      <c r="G3148" s="10"/>
      <c r="H3148" s="17"/>
      <c r="I3148" s="17"/>
      <c r="J3148" s="17"/>
      <c r="K3148" s="30"/>
      <c r="L3148" s="30"/>
      <c r="M3148" s="30"/>
      <c r="N3148" s="30"/>
      <c r="O3148" s="30"/>
      <c r="P3148" s="30"/>
      <c r="Q3148" s="30"/>
      <c r="R3148" s="30"/>
      <c r="S3148" s="30"/>
      <c r="T3148" s="30"/>
      <c r="U3148" s="30"/>
      <c r="V3148" s="30"/>
      <c r="W3148" s="29"/>
      <c r="X3148" s="15"/>
      <c r="Y3148" s="30"/>
      <c r="Z3148" s="30"/>
      <c r="AA3148" s="30"/>
      <c r="AB3148" s="30"/>
      <c r="AC3148" s="17"/>
      <c r="AD3148" s="17"/>
      <c r="AE3148" s="17"/>
      <c r="AF3148" s="17"/>
      <c r="AG3148" s="21"/>
      <c r="AH3148" s="21"/>
      <c r="AI3148" s="21"/>
      <c r="AJ3148" s="21"/>
      <c r="AK3148" s="21"/>
      <c r="AL3148" s="21"/>
      <c r="AM3148" s="21"/>
      <c r="AN3148" s="21"/>
      <c r="AO3148" s="22"/>
      <c r="AP3148" s="21"/>
      <c r="AQ3148" s="22"/>
      <c r="AR3148" s="21"/>
      <c r="AS3148" s="21"/>
      <c r="AT3148" s="21"/>
      <c r="AU3148" s="21"/>
      <c r="AV3148" s="21"/>
      <c r="AW3148" s="21"/>
      <c r="AX3148" s="22"/>
      <c r="AY3148" s="21"/>
      <c r="AZ3148" s="22"/>
      <c r="BA3148" s="21"/>
      <c r="BB3148" s="21"/>
      <c r="BC3148" s="21"/>
      <c r="BD3148" s="21"/>
      <c r="BE3148" s="26"/>
      <c r="BF3148" s="26"/>
      <c r="BG3148" s="62"/>
    </row>
    <row r="3149" spans="1:59" ht="13.5" customHeight="1" x14ac:dyDescent="0.35">
      <c r="A3149" s="49"/>
      <c r="B3149" s="49"/>
      <c r="C3149" s="39"/>
      <c r="D3149" s="1"/>
      <c r="E3149" s="149"/>
      <c r="F3149" s="153"/>
      <c r="G3149" s="10"/>
      <c r="H3149" s="17"/>
      <c r="I3149" s="17"/>
      <c r="J3149" s="17"/>
      <c r="K3149" s="30"/>
      <c r="L3149" s="30"/>
      <c r="M3149" s="30"/>
      <c r="N3149" s="30"/>
      <c r="O3149" s="30"/>
      <c r="P3149" s="30"/>
      <c r="Q3149" s="30"/>
      <c r="R3149" s="30"/>
      <c r="S3149" s="30"/>
      <c r="T3149" s="30"/>
      <c r="U3149" s="30"/>
      <c r="V3149" s="30"/>
      <c r="W3149" s="29"/>
      <c r="X3149" s="15"/>
      <c r="Y3149" s="30"/>
      <c r="Z3149" s="30"/>
      <c r="AA3149" s="30"/>
      <c r="AB3149" s="30"/>
      <c r="AC3149" s="17"/>
      <c r="AD3149" s="17"/>
      <c r="AE3149" s="17"/>
      <c r="AF3149" s="17"/>
      <c r="AG3149" s="21"/>
      <c r="AH3149" s="21"/>
      <c r="AI3149" s="21"/>
      <c r="AJ3149" s="21"/>
      <c r="AK3149" s="21"/>
      <c r="AL3149" s="21"/>
      <c r="AM3149" s="21"/>
      <c r="AN3149" s="21"/>
      <c r="AO3149" s="22"/>
      <c r="AP3149" s="21"/>
      <c r="AQ3149" s="22"/>
      <c r="AR3149" s="21"/>
      <c r="AS3149" s="21"/>
      <c r="AT3149" s="21"/>
      <c r="AU3149" s="21"/>
      <c r="AV3149" s="21"/>
      <c r="AW3149" s="21"/>
      <c r="AX3149" s="22"/>
      <c r="AY3149" s="21"/>
      <c r="AZ3149" s="22"/>
      <c r="BA3149" s="21"/>
      <c r="BB3149" s="21"/>
      <c r="BC3149" s="21"/>
      <c r="BD3149" s="21"/>
      <c r="BE3149" s="26"/>
      <c r="BF3149" s="26"/>
      <c r="BG3149" s="62"/>
    </row>
    <row r="3150" spans="1:59" ht="13.5" customHeight="1" x14ac:dyDescent="0.35">
      <c r="A3150" s="49"/>
      <c r="B3150" s="49"/>
      <c r="C3150" s="39"/>
      <c r="D3150" s="1"/>
      <c r="E3150" s="149"/>
      <c r="F3150" s="153"/>
      <c r="G3150" s="10"/>
      <c r="H3150" s="17"/>
      <c r="I3150" s="17"/>
      <c r="J3150" s="17"/>
      <c r="K3150" s="30"/>
      <c r="L3150" s="30"/>
      <c r="M3150" s="30"/>
      <c r="N3150" s="30"/>
      <c r="O3150" s="30"/>
      <c r="P3150" s="30"/>
      <c r="Q3150" s="30"/>
      <c r="R3150" s="30"/>
      <c r="S3150" s="30"/>
      <c r="T3150" s="30"/>
      <c r="U3150" s="30"/>
      <c r="V3150" s="30"/>
      <c r="W3150" s="29"/>
      <c r="X3150" s="15"/>
      <c r="Y3150" s="30"/>
      <c r="Z3150" s="30"/>
      <c r="AA3150" s="30"/>
      <c r="AB3150" s="30"/>
      <c r="AC3150" s="17"/>
      <c r="AD3150" s="17"/>
      <c r="AE3150" s="17"/>
      <c r="AF3150" s="17"/>
      <c r="AG3150" s="21"/>
      <c r="AH3150" s="21"/>
      <c r="AI3150" s="21"/>
      <c r="AJ3150" s="21"/>
      <c r="AK3150" s="21"/>
      <c r="AL3150" s="21"/>
      <c r="AM3150" s="21"/>
      <c r="AN3150" s="21"/>
      <c r="AO3150" s="22"/>
      <c r="AP3150" s="21"/>
      <c r="AQ3150" s="22"/>
      <c r="AR3150" s="21"/>
      <c r="AS3150" s="21"/>
      <c r="AT3150" s="21"/>
      <c r="AU3150" s="21"/>
      <c r="AV3150" s="21"/>
      <c r="AW3150" s="21"/>
      <c r="AX3150" s="22"/>
      <c r="AY3150" s="21"/>
      <c r="AZ3150" s="22"/>
      <c r="BA3150" s="21"/>
      <c r="BB3150" s="21"/>
      <c r="BC3150" s="21"/>
      <c r="BD3150" s="21"/>
      <c r="BE3150" s="26"/>
      <c r="BF3150" s="26"/>
      <c r="BG3150" s="65"/>
    </row>
    <row r="3151" spans="1:59" ht="13.5" customHeight="1" x14ac:dyDescent="0.35">
      <c r="A3151" s="49"/>
      <c r="B3151" s="49"/>
      <c r="C3151" s="14"/>
      <c r="D3151" s="1"/>
      <c r="E3151" s="149"/>
      <c r="F3151" s="153"/>
      <c r="G3151" s="10"/>
      <c r="H3151" s="17"/>
      <c r="I3151" s="17"/>
      <c r="J3151" s="17"/>
      <c r="K3151" s="30"/>
      <c r="L3151" s="30"/>
      <c r="M3151" s="30"/>
      <c r="N3151" s="30"/>
      <c r="O3151" s="30"/>
      <c r="P3151" s="30"/>
      <c r="Q3151" s="30"/>
      <c r="R3151" s="30"/>
      <c r="S3151" s="30"/>
      <c r="T3151" s="30"/>
      <c r="U3151" s="30"/>
      <c r="V3151" s="30"/>
      <c r="W3151" s="29"/>
      <c r="X3151" s="15"/>
      <c r="Y3151" s="30"/>
      <c r="Z3151" s="30"/>
      <c r="AA3151" s="30"/>
      <c r="AB3151" s="30"/>
      <c r="AC3151" s="17"/>
      <c r="AD3151" s="17"/>
      <c r="AE3151" s="17"/>
      <c r="AF3151" s="17"/>
      <c r="AG3151" s="21"/>
      <c r="AH3151" s="21"/>
      <c r="AI3151" s="21"/>
      <c r="AJ3151" s="21"/>
      <c r="AK3151" s="21"/>
      <c r="AL3151" s="21"/>
      <c r="AM3151" s="21"/>
      <c r="AN3151" s="21"/>
      <c r="AO3151" s="22"/>
      <c r="AP3151" s="21"/>
      <c r="AQ3151" s="22"/>
      <c r="AR3151" s="21"/>
      <c r="AS3151" s="21"/>
      <c r="AT3151" s="21"/>
      <c r="AU3151" s="21"/>
      <c r="AV3151" s="21"/>
      <c r="AW3151" s="21"/>
      <c r="AX3151" s="22"/>
      <c r="AY3151" s="21"/>
      <c r="AZ3151" s="22"/>
      <c r="BA3151" s="21"/>
      <c r="BB3151" s="21"/>
      <c r="BC3151" s="21"/>
      <c r="BD3151" s="21"/>
      <c r="BE3151" s="26"/>
      <c r="BF3151" s="26"/>
      <c r="BG3151" s="62"/>
    </row>
    <row r="3152" spans="1:59" ht="13.5" customHeight="1" x14ac:dyDescent="0.35">
      <c r="A3152" s="49"/>
      <c r="B3152" s="49"/>
      <c r="C3152" s="14"/>
      <c r="D3152" s="1"/>
      <c r="E3152" s="149"/>
      <c r="F3152" s="153"/>
      <c r="G3152" s="10"/>
      <c r="H3152" s="17"/>
      <c r="I3152" s="17"/>
      <c r="J3152" s="17"/>
      <c r="K3152" s="30"/>
      <c r="L3152" s="30"/>
      <c r="M3152" s="30"/>
      <c r="N3152" s="30"/>
      <c r="O3152" s="30"/>
      <c r="P3152" s="30"/>
      <c r="Q3152" s="30"/>
      <c r="R3152" s="30"/>
      <c r="S3152" s="30"/>
      <c r="T3152" s="30"/>
      <c r="U3152" s="30"/>
      <c r="V3152" s="30"/>
      <c r="W3152" s="29"/>
      <c r="X3152" s="15"/>
      <c r="Y3152" s="30"/>
      <c r="Z3152" s="30"/>
      <c r="AA3152" s="30"/>
      <c r="AB3152" s="30"/>
      <c r="AC3152" s="17"/>
      <c r="AD3152" s="17"/>
      <c r="AE3152" s="17"/>
      <c r="AF3152" s="17"/>
      <c r="AG3152" s="21"/>
      <c r="AH3152" s="21"/>
      <c r="AI3152" s="21"/>
      <c r="AJ3152" s="21"/>
      <c r="AK3152" s="21"/>
      <c r="AL3152" s="21"/>
      <c r="AM3152" s="21"/>
      <c r="AN3152" s="21"/>
      <c r="AO3152" s="22"/>
      <c r="AP3152" s="21"/>
      <c r="AQ3152" s="22"/>
      <c r="AR3152" s="21"/>
      <c r="AS3152" s="21"/>
      <c r="AT3152" s="21"/>
      <c r="AU3152" s="21"/>
      <c r="AV3152" s="21"/>
      <c r="AW3152" s="21"/>
      <c r="AX3152" s="22"/>
      <c r="AY3152" s="21"/>
      <c r="AZ3152" s="22"/>
      <c r="BA3152" s="21"/>
      <c r="BB3152" s="21"/>
      <c r="BC3152" s="21"/>
      <c r="BD3152" s="21"/>
      <c r="BE3152" s="26"/>
      <c r="BF3152" s="26"/>
      <c r="BG3152" s="65"/>
    </row>
    <row r="3153" spans="1:59" ht="13.5" customHeight="1" x14ac:dyDescent="0.35">
      <c r="A3153" s="49"/>
      <c r="B3153" s="49"/>
      <c r="C3153" s="14"/>
      <c r="D3153" s="1"/>
      <c r="E3153" s="149"/>
      <c r="F3153" s="153"/>
      <c r="G3153" s="10"/>
      <c r="H3153" s="17"/>
      <c r="I3153" s="17"/>
      <c r="J3153" s="17"/>
      <c r="K3153" s="30"/>
      <c r="L3153" s="30"/>
      <c r="M3153" s="30"/>
      <c r="N3153" s="30"/>
      <c r="O3153" s="30"/>
      <c r="P3153" s="30"/>
      <c r="Q3153" s="30"/>
      <c r="R3153" s="30"/>
      <c r="S3153" s="30"/>
      <c r="T3153" s="30"/>
      <c r="U3153" s="30"/>
      <c r="V3153" s="30"/>
      <c r="W3153" s="29"/>
      <c r="X3153" s="15"/>
      <c r="Y3153" s="30"/>
      <c r="Z3153" s="30"/>
      <c r="AA3153" s="30"/>
      <c r="AB3153" s="30"/>
      <c r="AC3153" s="17"/>
      <c r="AD3153" s="17"/>
      <c r="AE3153" s="17"/>
      <c r="AF3153" s="17"/>
      <c r="AG3153" s="21"/>
      <c r="AH3153" s="21"/>
      <c r="AI3153" s="21"/>
      <c r="AJ3153" s="21"/>
      <c r="AK3153" s="21"/>
      <c r="AL3153" s="21"/>
      <c r="AM3153" s="21"/>
      <c r="AN3153" s="21"/>
      <c r="AO3153" s="22"/>
      <c r="AP3153" s="21"/>
      <c r="AQ3153" s="22"/>
      <c r="AR3153" s="21"/>
      <c r="AS3153" s="21"/>
      <c r="AT3153" s="21"/>
      <c r="AU3153" s="21"/>
      <c r="AV3153" s="21"/>
      <c r="AW3153" s="21"/>
      <c r="AX3153" s="22"/>
      <c r="AY3153" s="21"/>
      <c r="AZ3153" s="22"/>
      <c r="BA3153" s="21"/>
      <c r="BB3153" s="21"/>
      <c r="BC3153" s="21"/>
      <c r="BD3153" s="21"/>
      <c r="BE3153" s="26"/>
      <c r="BF3153" s="26"/>
      <c r="BG3153" s="62"/>
    </row>
    <row r="3154" spans="1:59" ht="13.5" customHeight="1" x14ac:dyDescent="0.35">
      <c r="A3154" s="49"/>
      <c r="B3154" s="49"/>
      <c r="C3154" s="14"/>
      <c r="D3154" s="1"/>
      <c r="E3154" s="149"/>
      <c r="F3154" s="153"/>
      <c r="G3154" s="10"/>
      <c r="H3154" s="17"/>
      <c r="I3154" s="17"/>
      <c r="J3154" s="17"/>
      <c r="K3154" s="30"/>
      <c r="L3154" s="30"/>
      <c r="M3154" s="30"/>
      <c r="N3154" s="30"/>
      <c r="O3154" s="30"/>
      <c r="P3154" s="30"/>
      <c r="Q3154" s="30"/>
      <c r="R3154" s="30"/>
      <c r="S3154" s="30"/>
      <c r="T3154" s="30"/>
      <c r="U3154" s="30"/>
      <c r="V3154" s="30"/>
      <c r="W3154" s="29"/>
      <c r="X3154" s="15"/>
      <c r="Y3154" s="30"/>
      <c r="Z3154" s="30"/>
      <c r="AA3154" s="30"/>
      <c r="AB3154" s="30"/>
      <c r="AC3154" s="17"/>
      <c r="AD3154" s="17"/>
      <c r="AE3154" s="17"/>
      <c r="AF3154" s="17"/>
      <c r="AG3154" s="21"/>
      <c r="AH3154" s="21"/>
      <c r="AI3154" s="21"/>
      <c r="AJ3154" s="21"/>
      <c r="AK3154" s="21"/>
      <c r="AL3154" s="21"/>
      <c r="AM3154" s="21"/>
      <c r="AN3154" s="21"/>
      <c r="AO3154" s="22"/>
      <c r="AP3154" s="21"/>
      <c r="AQ3154" s="22"/>
      <c r="AR3154" s="21"/>
      <c r="AS3154" s="21"/>
      <c r="AT3154" s="21"/>
      <c r="AU3154" s="21"/>
      <c r="AV3154" s="21"/>
      <c r="AW3154" s="21"/>
      <c r="AX3154" s="22"/>
      <c r="AY3154" s="21"/>
      <c r="AZ3154" s="22"/>
      <c r="BA3154" s="21"/>
      <c r="BB3154" s="21"/>
      <c r="BC3154" s="21"/>
      <c r="BD3154" s="21"/>
      <c r="BE3154" s="26"/>
      <c r="BF3154" s="26"/>
      <c r="BG3154" s="65"/>
    </row>
    <row r="3155" spans="1:59" ht="13.5" customHeight="1" x14ac:dyDescent="0.35">
      <c r="A3155" s="49"/>
      <c r="B3155" s="49"/>
      <c r="C3155" s="14"/>
      <c r="D3155" s="1"/>
      <c r="E3155" s="149"/>
      <c r="F3155" s="153"/>
      <c r="G3155" s="10"/>
      <c r="H3155" s="17"/>
      <c r="I3155" s="17"/>
      <c r="J3155" s="17"/>
      <c r="K3155" s="30"/>
      <c r="L3155" s="30"/>
      <c r="M3155" s="30"/>
      <c r="N3155" s="30"/>
      <c r="O3155" s="30"/>
      <c r="P3155" s="30"/>
      <c r="Q3155" s="30"/>
      <c r="R3155" s="30"/>
      <c r="S3155" s="30"/>
      <c r="T3155" s="30"/>
      <c r="U3155" s="30"/>
      <c r="V3155" s="30"/>
      <c r="W3155" s="29"/>
      <c r="X3155" s="15"/>
      <c r="Y3155" s="30"/>
      <c r="Z3155" s="30"/>
      <c r="AA3155" s="30"/>
      <c r="AB3155" s="30"/>
      <c r="AC3155" s="17"/>
      <c r="AD3155" s="17"/>
      <c r="AE3155" s="17"/>
      <c r="AF3155" s="17"/>
      <c r="AG3155" s="21"/>
      <c r="AH3155" s="21"/>
      <c r="AI3155" s="21"/>
      <c r="AJ3155" s="21"/>
      <c r="AK3155" s="21"/>
      <c r="AL3155" s="21"/>
      <c r="AM3155" s="21"/>
      <c r="AN3155" s="21"/>
      <c r="AO3155" s="22"/>
      <c r="AP3155" s="21"/>
      <c r="AQ3155" s="22"/>
      <c r="AR3155" s="21"/>
      <c r="AS3155" s="21"/>
      <c r="AT3155" s="21"/>
      <c r="AU3155" s="21"/>
      <c r="AV3155" s="21"/>
      <c r="AW3155" s="21"/>
      <c r="AX3155" s="22"/>
      <c r="AY3155" s="21"/>
      <c r="AZ3155" s="22"/>
      <c r="BA3155" s="21"/>
      <c r="BB3155" s="21"/>
      <c r="BC3155" s="21"/>
      <c r="BD3155" s="21"/>
      <c r="BE3155" s="26"/>
      <c r="BF3155" s="26"/>
      <c r="BG3155" s="62"/>
    </row>
    <row r="3156" spans="1:59" x14ac:dyDescent="0.3">
      <c r="A3156" s="6"/>
      <c r="B3156" s="6"/>
      <c r="C3156" s="39"/>
      <c r="D3156" s="6"/>
      <c r="E3156" s="149"/>
      <c r="F3156" s="153"/>
      <c r="G3156" s="10"/>
      <c r="H3156" s="6"/>
      <c r="I3156" s="6"/>
      <c r="J3156" s="6"/>
      <c r="K3156" s="6"/>
      <c r="L3156" s="6"/>
      <c r="M3156" s="6"/>
      <c r="N3156" s="6"/>
      <c r="O3156" s="6"/>
      <c r="P3156" s="6"/>
      <c r="Q3156" s="6"/>
      <c r="R3156" s="6"/>
      <c r="S3156" s="6"/>
      <c r="T3156" s="6"/>
      <c r="U3156" s="5"/>
      <c r="V3156" s="5"/>
      <c r="W3156" s="13"/>
      <c r="X3156" s="4"/>
      <c r="Y3156" s="4"/>
      <c r="Z3156" s="4"/>
      <c r="AA3156" s="6"/>
      <c r="AB3156" s="5"/>
      <c r="AC3156" s="9"/>
      <c r="AD3156" s="9"/>
      <c r="AE3156" s="9"/>
      <c r="AF3156" s="9"/>
      <c r="AG3156" s="2"/>
      <c r="AH3156" s="3"/>
      <c r="AI3156" s="2"/>
      <c r="AJ3156" s="2"/>
      <c r="AK3156" s="2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3"/>
    </row>
    <row r="3157" spans="1:59" ht="13.5" customHeight="1" x14ac:dyDescent="0.35">
      <c r="A3157" s="49"/>
      <c r="B3157" s="49"/>
      <c r="C3157" s="39"/>
      <c r="D3157" s="1"/>
      <c r="E3157" s="149"/>
      <c r="F3157" s="153"/>
      <c r="G3157" s="10"/>
      <c r="H3157" s="17"/>
      <c r="I3157" s="17"/>
      <c r="J3157" s="17"/>
      <c r="K3157" s="30"/>
      <c r="L3157" s="30"/>
      <c r="M3157" s="30"/>
      <c r="N3157" s="30"/>
      <c r="O3157" s="30"/>
      <c r="P3157" s="30"/>
      <c r="Q3157" s="30"/>
      <c r="R3157" s="30"/>
      <c r="S3157" s="30"/>
      <c r="T3157" s="30"/>
      <c r="U3157" s="30"/>
      <c r="V3157" s="30"/>
      <c r="W3157" s="29"/>
      <c r="X3157" s="15"/>
      <c r="Y3157" s="30"/>
      <c r="Z3157" s="30"/>
      <c r="AA3157" s="30"/>
      <c r="AB3157" s="30"/>
      <c r="AC3157" s="17"/>
      <c r="AD3157" s="17"/>
      <c r="AE3157" s="17"/>
      <c r="AF3157" s="17"/>
      <c r="AG3157" s="21"/>
      <c r="AH3157" s="21"/>
      <c r="AI3157" s="21"/>
      <c r="AJ3157" s="21"/>
      <c r="AK3157" s="21"/>
      <c r="AL3157" s="21"/>
      <c r="AM3157" s="21"/>
      <c r="AN3157" s="21"/>
      <c r="AO3157" s="22"/>
      <c r="AP3157" s="21"/>
      <c r="AQ3157" s="22"/>
      <c r="AR3157" s="21"/>
      <c r="AS3157" s="21"/>
      <c r="AT3157" s="21"/>
      <c r="AU3157" s="21"/>
      <c r="AV3157" s="21"/>
      <c r="AW3157" s="21"/>
      <c r="AX3157" s="22"/>
      <c r="AY3157" s="21"/>
      <c r="AZ3157" s="22"/>
      <c r="BA3157" s="21"/>
      <c r="BB3157" s="21"/>
      <c r="BC3157" s="21"/>
      <c r="BD3157" s="21"/>
      <c r="BE3157" s="26"/>
      <c r="BF3157" s="26"/>
      <c r="BG3157" s="62"/>
    </row>
    <row r="3158" spans="1:59" ht="13.5" customHeight="1" x14ac:dyDescent="0.35">
      <c r="A3158" s="49"/>
      <c r="B3158" s="49"/>
      <c r="C3158" s="14"/>
      <c r="D3158" s="1"/>
      <c r="E3158" s="149"/>
      <c r="F3158" s="153"/>
      <c r="G3158" s="10"/>
      <c r="H3158" s="17"/>
      <c r="I3158" s="17"/>
      <c r="J3158" s="17"/>
      <c r="K3158" s="30"/>
      <c r="L3158" s="30"/>
      <c r="M3158" s="30"/>
      <c r="N3158" s="30"/>
      <c r="O3158" s="30"/>
      <c r="P3158" s="30"/>
      <c r="Q3158" s="30"/>
      <c r="R3158" s="30"/>
      <c r="S3158" s="30"/>
      <c r="T3158" s="30"/>
      <c r="U3158" s="30"/>
      <c r="V3158" s="30"/>
      <c r="W3158" s="29"/>
      <c r="X3158" s="15"/>
      <c r="Y3158" s="30"/>
      <c r="Z3158" s="30"/>
      <c r="AA3158" s="30"/>
      <c r="AB3158" s="30"/>
      <c r="AC3158" s="17"/>
      <c r="AD3158" s="17"/>
      <c r="AE3158" s="17"/>
      <c r="AF3158" s="17"/>
      <c r="AG3158" s="21"/>
      <c r="AH3158" s="21"/>
      <c r="AI3158" s="21"/>
      <c r="AJ3158" s="21"/>
      <c r="AK3158" s="21"/>
      <c r="AL3158" s="21"/>
      <c r="AM3158" s="21"/>
      <c r="AN3158" s="21"/>
      <c r="AO3158" s="22"/>
      <c r="AP3158" s="21"/>
      <c r="AQ3158" s="22"/>
      <c r="AR3158" s="21"/>
      <c r="AS3158" s="21"/>
      <c r="AT3158" s="21"/>
      <c r="AU3158" s="21"/>
      <c r="AV3158" s="21"/>
      <c r="AW3158" s="21"/>
      <c r="AX3158" s="22"/>
      <c r="AY3158" s="21"/>
      <c r="AZ3158" s="22"/>
      <c r="BA3158" s="21"/>
      <c r="BB3158" s="21"/>
      <c r="BC3158" s="21"/>
      <c r="BD3158" s="21"/>
      <c r="BE3158" s="26"/>
      <c r="BF3158" s="26"/>
      <c r="BG3158" s="62"/>
    </row>
    <row r="3159" spans="1:59" ht="13.5" customHeight="1" x14ac:dyDescent="0.35">
      <c r="A3159" s="49"/>
      <c r="B3159" s="49"/>
      <c r="C3159" s="39"/>
      <c r="D3159" s="1"/>
      <c r="E3159" s="149"/>
      <c r="F3159" s="153"/>
      <c r="G3159" s="10"/>
      <c r="H3159" s="17"/>
      <c r="I3159" s="17"/>
      <c r="J3159" s="17"/>
      <c r="K3159" s="30"/>
      <c r="L3159" s="30"/>
      <c r="M3159" s="30"/>
      <c r="N3159" s="30"/>
      <c r="O3159" s="30"/>
      <c r="P3159" s="30"/>
      <c r="Q3159" s="30"/>
      <c r="R3159" s="30"/>
      <c r="S3159" s="30"/>
      <c r="T3159" s="30"/>
      <c r="U3159" s="30"/>
      <c r="V3159" s="30"/>
      <c r="W3159" s="29"/>
      <c r="X3159" s="15"/>
      <c r="Y3159" s="30"/>
      <c r="Z3159" s="30"/>
      <c r="AA3159" s="30"/>
      <c r="AB3159" s="30"/>
      <c r="AC3159" s="17"/>
      <c r="AD3159" s="17"/>
      <c r="AE3159" s="17"/>
      <c r="AF3159" s="17"/>
      <c r="AG3159" s="21"/>
      <c r="AH3159" s="21"/>
      <c r="AI3159" s="21"/>
      <c r="AJ3159" s="21"/>
      <c r="AK3159" s="21"/>
      <c r="AL3159" s="21"/>
      <c r="AM3159" s="21"/>
      <c r="AN3159" s="21"/>
      <c r="AO3159" s="22"/>
      <c r="AP3159" s="21"/>
      <c r="AQ3159" s="22"/>
      <c r="AR3159" s="21"/>
      <c r="AS3159" s="21"/>
      <c r="AT3159" s="21"/>
      <c r="AU3159" s="21"/>
      <c r="AV3159" s="21"/>
      <c r="AW3159" s="21"/>
      <c r="AX3159" s="22"/>
      <c r="AY3159" s="21"/>
      <c r="AZ3159" s="22"/>
      <c r="BA3159" s="21"/>
      <c r="BB3159" s="21"/>
      <c r="BC3159" s="21"/>
      <c r="BD3159" s="21"/>
      <c r="BE3159" s="26"/>
      <c r="BF3159" s="26"/>
      <c r="BG3159" s="62"/>
    </row>
    <row r="3160" spans="1:59" ht="13.5" customHeight="1" x14ac:dyDescent="0.35">
      <c r="A3160" s="49"/>
      <c r="B3160" s="49"/>
      <c r="C3160" s="14"/>
      <c r="D3160" s="1"/>
      <c r="E3160" s="149"/>
      <c r="F3160" s="153"/>
      <c r="G3160" s="10"/>
      <c r="H3160" s="17"/>
      <c r="I3160" s="17"/>
      <c r="J3160" s="17"/>
      <c r="K3160" s="30"/>
      <c r="L3160" s="30"/>
      <c r="M3160" s="30"/>
      <c r="N3160" s="30"/>
      <c r="O3160" s="30"/>
      <c r="P3160" s="30"/>
      <c r="Q3160" s="30"/>
      <c r="R3160" s="30"/>
      <c r="S3160" s="30"/>
      <c r="T3160" s="30"/>
      <c r="U3160" s="30"/>
      <c r="V3160" s="30"/>
      <c r="W3160" s="29"/>
      <c r="X3160" s="15"/>
      <c r="Y3160" s="30"/>
      <c r="Z3160" s="30"/>
      <c r="AA3160" s="30"/>
      <c r="AB3160" s="30"/>
      <c r="AC3160" s="17"/>
      <c r="AD3160" s="17"/>
      <c r="AE3160" s="17"/>
      <c r="AF3160" s="17"/>
      <c r="AG3160" s="21"/>
      <c r="AH3160" s="21"/>
      <c r="AI3160" s="21"/>
      <c r="AJ3160" s="21"/>
      <c r="AK3160" s="21"/>
      <c r="AL3160" s="21"/>
      <c r="AM3160" s="21"/>
      <c r="AN3160" s="21"/>
      <c r="AO3160" s="22"/>
      <c r="AP3160" s="21"/>
      <c r="AQ3160" s="22"/>
      <c r="AR3160" s="21"/>
      <c r="AS3160" s="21"/>
      <c r="AT3160" s="21"/>
      <c r="AU3160" s="21"/>
      <c r="AV3160" s="21"/>
      <c r="AW3160" s="21"/>
      <c r="AX3160" s="22"/>
      <c r="AY3160" s="21"/>
      <c r="AZ3160" s="22"/>
      <c r="BA3160" s="21"/>
      <c r="BB3160" s="21"/>
      <c r="BC3160" s="21"/>
      <c r="BD3160" s="21"/>
      <c r="BE3160" s="26"/>
      <c r="BF3160" s="26"/>
      <c r="BG3160" s="62"/>
    </row>
    <row r="3161" spans="1:59" x14ac:dyDescent="0.3">
      <c r="A3161" s="63"/>
      <c r="B3161" s="63"/>
      <c r="C3161" s="39"/>
      <c r="D3161" s="6"/>
      <c r="E3161" s="149"/>
      <c r="F3161" s="153"/>
      <c r="G3161" s="10"/>
      <c r="H3161" s="6"/>
      <c r="I3161" s="6"/>
      <c r="J3161" s="6"/>
      <c r="K3161" s="6"/>
      <c r="L3161" s="6"/>
      <c r="M3161" s="6"/>
      <c r="N3161" s="6"/>
      <c r="O3161" s="6"/>
      <c r="P3161" s="6"/>
      <c r="Q3161" s="6"/>
      <c r="R3161" s="6"/>
      <c r="S3161" s="6"/>
      <c r="T3161" s="6"/>
      <c r="U3161" s="5"/>
      <c r="V3161" s="5"/>
      <c r="W3161" s="13"/>
      <c r="X3161" s="4"/>
      <c r="Y3161" s="4"/>
      <c r="Z3161" s="4"/>
      <c r="AA3161" s="6"/>
      <c r="AB3161" s="5"/>
      <c r="AC3161" s="9"/>
      <c r="AD3161" s="9"/>
      <c r="AE3161" s="9"/>
      <c r="AF3161" s="9"/>
      <c r="AG3161" s="64"/>
      <c r="AH3161" s="3"/>
      <c r="AI3161" s="2"/>
      <c r="AJ3161" s="2"/>
      <c r="AK3161" s="2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  <c r="BG3161" s="3"/>
    </row>
    <row r="3162" spans="1:59" x14ac:dyDescent="0.3">
      <c r="A3162" s="6"/>
      <c r="B3162" s="6"/>
      <c r="C3162" s="39"/>
      <c r="D3162" s="6"/>
      <c r="E3162" s="149"/>
      <c r="F3162" s="153"/>
      <c r="G3162" s="10"/>
      <c r="H3162" s="6"/>
      <c r="I3162" s="6"/>
      <c r="J3162" s="6"/>
      <c r="K3162" s="6"/>
      <c r="L3162" s="6"/>
      <c r="M3162" s="6"/>
      <c r="N3162" s="6"/>
      <c r="O3162" s="6"/>
      <c r="P3162" s="6"/>
      <c r="Q3162" s="6"/>
      <c r="R3162" s="6"/>
      <c r="S3162" s="6"/>
      <c r="T3162" s="6"/>
      <c r="U3162" s="5"/>
      <c r="V3162" s="5"/>
      <c r="W3162" s="13"/>
      <c r="X3162" s="4"/>
      <c r="Y3162" s="4"/>
      <c r="Z3162" s="4"/>
      <c r="AA3162" s="6"/>
      <c r="AB3162" s="5"/>
      <c r="AC3162" s="9"/>
      <c r="AD3162" s="9"/>
      <c r="AE3162" s="9"/>
      <c r="AF3162" s="9"/>
      <c r="AG3162" s="2"/>
      <c r="AH3162" s="3"/>
      <c r="AI3162" s="2"/>
      <c r="AJ3162" s="2"/>
      <c r="AK3162" s="2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</row>
    <row r="3163" spans="1:59" x14ac:dyDescent="0.3">
      <c r="A3163" s="6"/>
      <c r="B3163" s="6"/>
      <c r="C3163" s="39"/>
      <c r="D3163" s="6"/>
      <c r="E3163" s="149"/>
      <c r="F3163" s="153"/>
      <c r="G3163" s="10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5"/>
      <c r="V3163" s="5"/>
      <c r="W3163" s="13"/>
      <c r="X3163" s="4"/>
      <c r="Y3163" s="4"/>
      <c r="Z3163" s="4"/>
      <c r="AA3163" s="6"/>
      <c r="AB3163" s="5"/>
      <c r="AC3163" s="9"/>
      <c r="AD3163" s="9"/>
      <c r="AE3163" s="9"/>
      <c r="AF3163" s="9"/>
      <c r="AG3163" s="2"/>
      <c r="AH3163" s="3"/>
      <c r="AI3163" s="2"/>
      <c r="AJ3163" s="2"/>
      <c r="AK3163" s="2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  <c r="BG3163" s="3"/>
    </row>
    <row r="3164" spans="1:59" x14ac:dyDescent="0.3">
      <c r="A3164" s="6"/>
      <c r="B3164" s="6"/>
      <c r="C3164" s="39"/>
      <c r="D3164" s="6"/>
      <c r="E3164" s="149"/>
      <c r="F3164" s="153"/>
      <c r="G3164" s="10"/>
      <c r="H3164" s="6"/>
      <c r="I3164" s="6"/>
      <c r="J3164" s="6"/>
      <c r="K3164" s="6"/>
      <c r="L3164" s="6"/>
      <c r="M3164" s="6"/>
      <c r="N3164" s="6"/>
      <c r="O3164" s="6"/>
      <c r="P3164" s="6"/>
      <c r="Q3164" s="6"/>
      <c r="R3164" s="6"/>
      <c r="S3164" s="6"/>
      <c r="T3164" s="6"/>
      <c r="U3164" s="5"/>
      <c r="V3164" s="5"/>
      <c r="W3164" s="13"/>
      <c r="X3164" s="4"/>
      <c r="Y3164" s="4"/>
      <c r="Z3164" s="4"/>
      <c r="AA3164" s="6"/>
      <c r="AB3164" s="5"/>
      <c r="AC3164" s="9"/>
      <c r="AD3164" s="9"/>
      <c r="AE3164" s="9"/>
      <c r="AF3164" s="9"/>
      <c r="AG3164" s="2"/>
      <c r="AH3164" s="3"/>
      <c r="AI3164" s="2"/>
      <c r="AJ3164" s="2"/>
      <c r="AK3164" s="2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  <c r="BG3164" s="3"/>
    </row>
    <row r="3165" spans="1:59" ht="15" x14ac:dyDescent="0.35">
      <c r="A3165" s="6"/>
      <c r="B3165" s="6"/>
      <c r="C3165" s="39"/>
      <c r="D3165" s="6"/>
      <c r="E3165" s="149"/>
      <c r="F3165" s="153"/>
      <c r="G3165" s="10"/>
      <c r="H3165" s="6"/>
      <c r="I3165" s="6"/>
      <c r="J3165" s="6"/>
      <c r="K3165" s="6"/>
      <c r="L3165" s="6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12"/>
      <c r="Y3165" s="6"/>
      <c r="Z3165" s="6"/>
      <c r="AA3165" s="6"/>
      <c r="AB3165" s="6"/>
      <c r="AC3165" s="9"/>
      <c r="AD3165" s="9"/>
      <c r="AE3165" s="9"/>
      <c r="AF3165" s="9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21"/>
      <c r="AS3165" s="21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  <c r="BG3165" s="65"/>
    </row>
    <row r="3166" spans="1:59" x14ac:dyDescent="0.3">
      <c r="A3166" s="6"/>
      <c r="B3166" s="6"/>
      <c r="C3166" s="39"/>
      <c r="D3166" s="6"/>
      <c r="E3166" s="149"/>
      <c r="F3166" s="153"/>
      <c r="G3166" s="10"/>
      <c r="H3166" s="6"/>
      <c r="I3166" s="6"/>
      <c r="J3166" s="6"/>
      <c r="K3166" s="6"/>
      <c r="L3166" s="6"/>
      <c r="M3166" s="6"/>
      <c r="N3166" s="6"/>
      <c r="O3166" s="6"/>
      <c r="P3166" s="6"/>
      <c r="Q3166" s="6"/>
      <c r="R3166" s="6"/>
      <c r="S3166" s="6"/>
      <c r="T3166" s="6"/>
      <c r="U3166" s="5"/>
      <c r="V3166" s="5"/>
      <c r="W3166" s="13"/>
      <c r="X3166" s="4"/>
      <c r="Y3166" s="4"/>
      <c r="Z3166" s="4"/>
      <c r="AA3166" s="6"/>
      <c r="AB3166" s="5"/>
      <c r="AC3166" s="9"/>
      <c r="AD3166" s="9"/>
      <c r="AE3166" s="9"/>
      <c r="AF3166" s="9"/>
      <c r="AG3166" s="2"/>
      <c r="AH3166" s="3"/>
      <c r="AI3166" s="2"/>
      <c r="AJ3166" s="2"/>
      <c r="AK3166" s="2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  <c r="BG3166" s="3"/>
    </row>
    <row r="3167" spans="1:59" x14ac:dyDescent="0.3">
      <c r="A3167" s="6"/>
      <c r="B3167" s="6"/>
      <c r="C3167" s="39"/>
      <c r="D3167" s="6"/>
      <c r="E3167" s="149"/>
      <c r="F3167" s="153"/>
      <c r="G3167" s="10"/>
      <c r="H3167" s="6"/>
      <c r="I3167" s="6"/>
      <c r="J3167" s="6"/>
      <c r="K3167" s="6"/>
      <c r="L3167" s="6"/>
      <c r="M3167" s="6"/>
      <c r="N3167" s="6"/>
      <c r="O3167" s="6"/>
      <c r="P3167" s="6"/>
      <c r="Q3167" s="6"/>
      <c r="R3167" s="6"/>
      <c r="S3167" s="6"/>
      <c r="T3167" s="6"/>
      <c r="U3167" s="5"/>
      <c r="V3167" s="5"/>
      <c r="W3167" s="13"/>
      <c r="X3167" s="4"/>
      <c r="Y3167" s="4"/>
      <c r="Z3167" s="4"/>
      <c r="AA3167" s="6"/>
      <c r="AB3167" s="5"/>
      <c r="AC3167" s="9"/>
      <c r="AD3167" s="9"/>
      <c r="AE3167" s="9"/>
      <c r="AF3167" s="9"/>
      <c r="AG3167" s="2"/>
      <c r="AH3167" s="3"/>
      <c r="AI3167" s="2"/>
      <c r="AJ3167" s="2"/>
      <c r="AK3167" s="2"/>
      <c r="AL3167" s="3"/>
      <c r="AM3167" s="3"/>
      <c r="AN3167" s="3"/>
      <c r="AO3167" s="3"/>
      <c r="AP3167" s="3"/>
      <c r="AQ3167" s="3"/>
      <c r="AR3167" s="21"/>
      <c r="AS3167" s="21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  <c r="BG3167" s="3"/>
    </row>
    <row r="3168" spans="1:59" x14ac:dyDescent="0.3">
      <c r="A3168" s="63"/>
      <c r="B3168" s="63"/>
      <c r="C3168" s="39"/>
      <c r="D3168" s="6"/>
      <c r="E3168" s="149"/>
      <c r="F3168" s="153"/>
      <c r="G3168" s="10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5"/>
      <c r="V3168" s="5"/>
      <c r="W3168" s="13"/>
      <c r="X3168" s="4"/>
      <c r="Y3168" s="4"/>
      <c r="Z3168" s="4"/>
      <c r="AA3168" s="6"/>
      <c r="AB3168" s="5"/>
      <c r="AC3168" s="9"/>
      <c r="AD3168" s="9"/>
      <c r="AE3168" s="9"/>
      <c r="AF3168" s="9"/>
      <c r="AG3168" s="64"/>
      <c r="AH3168" s="3"/>
      <c r="AI3168" s="2"/>
      <c r="AJ3168" s="2"/>
      <c r="AK3168" s="2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/>
    </row>
    <row r="3169" spans="1:59" x14ac:dyDescent="0.3">
      <c r="A3169" s="6"/>
      <c r="B3169" s="6"/>
      <c r="C3169" s="39"/>
      <c r="D3169" s="6"/>
      <c r="E3169" s="149"/>
      <c r="F3169" s="153"/>
      <c r="G3169" s="10"/>
      <c r="H3169" s="6"/>
      <c r="I3169" s="6"/>
      <c r="J3169" s="6"/>
      <c r="K3169" s="6"/>
      <c r="L3169" s="6"/>
      <c r="M3169" s="6"/>
      <c r="N3169" s="6"/>
      <c r="O3169" s="6"/>
      <c r="P3169" s="6"/>
      <c r="Q3169" s="6"/>
      <c r="R3169" s="6"/>
      <c r="S3169" s="6"/>
      <c r="T3169" s="6"/>
      <c r="U3169" s="5"/>
      <c r="V3169" s="5"/>
      <c r="W3169" s="13"/>
      <c r="X3169" s="4"/>
      <c r="Y3169" s="4"/>
      <c r="Z3169" s="4"/>
      <c r="AA3169" s="6"/>
      <c r="AB3169" s="5"/>
      <c r="AC3169" s="9"/>
      <c r="AD3169" s="9"/>
      <c r="AE3169" s="9"/>
      <c r="AF3169" s="9"/>
      <c r="AG3169" s="2"/>
      <c r="AH3169" s="3"/>
      <c r="AI3169" s="2"/>
      <c r="AJ3169" s="2"/>
      <c r="AK3169" s="2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  <c r="BG3169" s="3"/>
    </row>
    <row r="3170" spans="1:59" ht="15" x14ac:dyDescent="0.35">
      <c r="A3170" s="63"/>
      <c r="B3170" s="63"/>
      <c r="C3170" s="39"/>
      <c r="D3170" s="6"/>
      <c r="E3170" s="149"/>
      <c r="F3170" s="153"/>
      <c r="G3170" s="10"/>
      <c r="H3170" s="6"/>
      <c r="I3170" s="6"/>
      <c r="J3170" s="6"/>
      <c r="K3170" s="6"/>
      <c r="L3170" s="6"/>
      <c r="M3170" s="6"/>
      <c r="N3170" s="6"/>
      <c r="O3170" s="6"/>
      <c r="P3170" s="6"/>
      <c r="Q3170" s="6"/>
      <c r="R3170" s="6"/>
      <c r="S3170" s="6"/>
      <c r="T3170" s="6"/>
      <c r="U3170" s="5"/>
      <c r="V3170" s="5"/>
      <c r="W3170" s="13"/>
      <c r="X3170" s="4"/>
      <c r="Y3170" s="4"/>
      <c r="Z3170" s="4"/>
      <c r="AA3170" s="6"/>
      <c r="AB3170" s="5"/>
      <c r="AC3170" s="9"/>
      <c r="AD3170" s="9"/>
      <c r="AE3170" s="9"/>
      <c r="AF3170" s="9"/>
      <c r="AG3170" s="64"/>
      <c r="AH3170" s="3"/>
      <c r="AI3170" s="2"/>
      <c r="AJ3170" s="2"/>
      <c r="AK3170" s="2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  <c r="BG3170" s="65"/>
    </row>
    <row r="3171" spans="1:59" ht="15" x14ac:dyDescent="0.35">
      <c r="A3171" s="63"/>
      <c r="B3171" s="63"/>
      <c r="C3171" s="39"/>
      <c r="D3171" s="6"/>
      <c r="E3171" s="149"/>
      <c r="F3171" s="153"/>
      <c r="G3171" s="10"/>
      <c r="H3171" s="6"/>
      <c r="I3171" s="6"/>
      <c r="J3171" s="6"/>
      <c r="K3171" s="6"/>
      <c r="L3171" s="6"/>
      <c r="M3171" s="6"/>
      <c r="N3171" s="6"/>
      <c r="O3171" s="6"/>
      <c r="P3171" s="6"/>
      <c r="Q3171" s="6"/>
      <c r="R3171" s="6"/>
      <c r="S3171" s="6"/>
      <c r="T3171" s="6"/>
      <c r="U3171" s="5"/>
      <c r="V3171" s="5"/>
      <c r="W3171" s="13"/>
      <c r="X3171" s="4"/>
      <c r="Y3171" s="4"/>
      <c r="Z3171" s="4"/>
      <c r="AA3171" s="6"/>
      <c r="AB3171" s="5"/>
      <c r="AC3171" s="9"/>
      <c r="AD3171" s="9"/>
      <c r="AE3171" s="9"/>
      <c r="AF3171" s="9"/>
      <c r="AG3171" s="64"/>
      <c r="AH3171" s="3"/>
      <c r="AI3171" s="2"/>
      <c r="AJ3171" s="2"/>
      <c r="AK3171" s="2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  <c r="BG3171" s="65"/>
    </row>
    <row r="3172" spans="1:59" ht="15" x14ac:dyDescent="0.35">
      <c r="A3172" s="6"/>
      <c r="B3172" s="6"/>
      <c r="C3172" s="39"/>
      <c r="D3172" s="6"/>
      <c r="E3172" s="149"/>
      <c r="F3172" s="153"/>
      <c r="G3172" s="10"/>
      <c r="H3172" s="6"/>
      <c r="I3172" s="6"/>
      <c r="J3172" s="6"/>
      <c r="K3172" s="6"/>
      <c r="L3172" s="6"/>
      <c r="M3172" s="6"/>
      <c r="N3172" s="6"/>
      <c r="O3172" s="6"/>
      <c r="P3172" s="6"/>
      <c r="Q3172" s="6"/>
      <c r="R3172" s="6"/>
      <c r="S3172" s="6"/>
      <c r="T3172" s="6"/>
      <c r="U3172" s="5"/>
      <c r="V3172" s="5"/>
      <c r="W3172" s="13"/>
      <c r="X3172" s="4"/>
      <c r="Y3172" s="4"/>
      <c r="Z3172" s="4"/>
      <c r="AA3172" s="6"/>
      <c r="AB3172" s="5"/>
      <c r="AC3172" s="9"/>
      <c r="AD3172" s="9"/>
      <c r="AE3172" s="9"/>
      <c r="AF3172" s="9"/>
      <c r="AG3172" s="2"/>
      <c r="AH3172" s="3"/>
      <c r="AI3172" s="2"/>
      <c r="AJ3172" s="2"/>
      <c r="AK3172" s="2"/>
      <c r="AL3172" s="3"/>
      <c r="AM3172" s="3"/>
      <c r="AN3172" s="3"/>
      <c r="AO3172" s="3"/>
      <c r="AP3172" s="3"/>
      <c r="AQ3172" s="3"/>
      <c r="AR3172" s="21"/>
      <c r="AS3172" s="21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  <c r="BG3172" s="65"/>
    </row>
    <row r="3173" spans="1:59" x14ac:dyDescent="0.3">
      <c r="A3173" s="63"/>
      <c r="B3173" s="63"/>
      <c r="C3173" s="39"/>
      <c r="D3173" s="6"/>
      <c r="E3173" s="149"/>
      <c r="F3173" s="153"/>
      <c r="G3173" s="10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5"/>
      <c r="V3173" s="5"/>
      <c r="W3173" s="13"/>
      <c r="X3173" s="4"/>
      <c r="Y3173" s="4"/>
      <c r="Z3173" s="4"/>
      <c r="AA3173" s="6"/>
      <c r="AB3173" s="5"/>
      <c r="AC3173" s="9"/>
      <c r="AD3173" s="9"/>
      <c r="AE3173" s="9"/>
      <c r="AF3173" s="9"/>
      <c r="AG3173" s="64"/>
      <c r="AH3173" s="3"/>
      <c r="AI3173" s="2"/>
      <c r="AJ3173" s="2"/>
      <c r="AK3173" s="2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3"/>
      <c r="BA3173" s="3"/>
      <c r="BB3173" s="3"/>
      <c r="BC3173" s="3"/>
      <c r="BD3173" s="3"/>
      <c r="BE3173" s="3"/>
      <c r="BF3173" s="3"/>
      <c r="BG3173" s="3"/>
    </row>
    <row r="3174" spans="1:59" ht="15" x14ac:dyDescent="0.35">
      <c r="A3174" s="63"/>
      <c r="B3174" s="63"/>
      <c r="C3174" s="39"/>
      <c r="D3174" s="6"/>
      <c r="E3174" s="149"/>
      <c r="F3174" s="153"/>
      <c r="G3174" s="10"/>
      <c r="H3174" s="6"/>
      <c r="I3174" s="6"/>
      <c r="J3174" s="6"/>
      <c r="K3174" s="6"/>
      <c r="L3174" s="6"/>
      <c r="M3174" s="6"/>
      <c r="N3174" s="6"/>
      <c r="O3174" s="6"/>
      <c r="P3174" s="6"/>
      <c r="Q3174" s="6"/>
      <c r="R3174" s="6"/>
      <c r="S3174" s="6"/>
      <c r="T3174" s="6"/>
      <c r="U3174" s="5"/>
      <c r="V3174" s="5"/>
      <c r="W3174" s="13"/>
      <c r="X3174" s="4"/>
      <c r="Y3174" s="4"/>
      <c r="Z3174" s="4"/>
      <c r="AA3174" s="6"/>
      <c r="AB3174" s="5"/>
      <c r="AC3174" s="9"/>
      <c r="AD3174" s="9"/>
      <c r="AE3174" s="9"/>
      <c r="AF3174" s="9"/>
      <c r="AG3174" s="64"/>
      <c r="AH3174" s="3"/>
      <c r="AI3174" s="2"/>
      <c r="AJ3174" s="2"/>
      <c r="AK3174" s="2"/>
      <c r="AL3174" s="3"/>
      <c r="AM3174" s="3"/>
      <c r="AN3174" s="3"/>
      <c r="AO3174" s="3"/>
      <c r="AP3174" s="3"/>
      <c r="AQ3174" s="3"/>
      <c r="AR3174" s="21"/>
      <c r="AS3174" s="21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65"/>
    </row>
    <row r="3175" spans="1:59" x14ac:dyDescent="0.3">
      <c r="A3175" s="6"/>
      <c r="B3175" s="6"/>
      <c r="C3175" s="39"/>
      <c r="D3175" s="6"/>
      <c r="E3175" s="149"/>
      <c r="F3175" s="153"/>
      <c r="G3175" s="10"/>
      <c r="H3175" s="6"/>
      <c r="I3175" s="6"/>
      <c r="J3175" s="6"/>
      <c r="K3175" s="6"/>
      <c r="L3175" s="6"/>
      <c r="M3175" s="6"/>
      <c r="N3175" s="6"/>
      <c r="O3175" s="6"/>
      <c r="P3175" s="6"/>
      <c r="Q3175" s="6"/>
      <c r="R3175" s="6"/>
      <c r="S3175" s="6"/>
      <c r="T3175" s="6"/>
      <c r="U3175" s="5"/>
      <c r="V3175" s="5"/>
      <c r="W3175" s="13"/>
      <c r="X3175" s="4"/>
      <c r="Y3175" s="4"/>
      <c r="Z3175" s="4"/>
      <c r="AA3175" s="6"/>
      <c r="AB3175" s="5"/>
      <c r="AC3175" s="9"/>
      <c r="AD3175" s="9"/>
      <c r="AE3175" s="9"/>
      <c r="AF3175" s="9"/>
      <c r="AG3175" s="2"/>
      <c r="AH3175" s="3"/>
      <c r="AI3175" s="2"/>
      <c r="AJ3175" s="2"/>
      <c r="AK3175" s="2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  <c r="BG3175" s="3"/>
    </row>
    <row r="3176" spans="1:59" ht="15" x14ac:dyDescent="0.35">
      <c r="A3176" s="6"/>
      <c r="B3176" s="6"/>
      <c r="C3176" s="39"/>
      <c r="D3176" s="6"/>
      <c r="E3176" s="149"/>
      <c r="F3176" s="153"/>
      <c r="G3176" s="10"/>
      <c r="H3176" s="6"/>
      <c r="I3176" s="6"/>
      <c r="J3176" s="6"/>
      <c r="K3176" s="6"/>
      <c r="L3176" s="6"/>
      <c r="M3176" s="6"/>
      <c r="N3176" s="6"/>
      <c r="O3176" s="6"/>
      <c r="P3176" s="6"/>
      <c r="Q3176" s="6"/>
      <c r="R3176" s="6"/>
      <c r="S3176" s="6"/>
      <c r="T3176" s="6"/>
      <c r="U3176" s="5"/>
      <c r="V3176" s="5"/>
      <c r="W3176" s="13"/>
      <c r="X3176" s="4"/>
      <c r="Y3176" s="4"/>
      <c r="Z3176" s="4"/>
      <c r="AA3176" s="6"/>
      <c r="AB3176" s="5"/>
      <c r="AC3176" s="9"/>
      <c r="AD3176" s="9"/>
      <c r="AE3176" s="9"/>
      <c r="AF3176" s="9"/>
      <c r="AG3176" s="2"/>
      <c r="AH3176" s="3"/>
      <c r="AI3176" s="2"/>
      <c r="AJ3176" s="2"/>
      <c r="AK3176" s="2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  <c r="BG3176" s="65"/>
    </row>
    <row r="3177" spans="1:59" ht="13.5" customHeight="1" x14ac:dyDescent="0.35">
      <c r="A3177" s="49"/>
      <c r="B3177" s="49"/>
      <c r="C3177" s="14"/>
      <c r="D3177" s="1"/>
      <c r="E3177" s="149"/>
      <c r="F3177" s="153"/>
      <c r="G3177" s="10"/>
      <c r="H3177" s="17"/>
      <c r="I3177" s="17"/>
      <c r="J3177" s="17"/>
      <c r="K3177" s="30"/>
      <c r="L3177" s="30"/>
      <c r="M3177" s="30"/>
      <c r="N3177" s="30"/>
      <c r="O3177" s="30"/>
      <c r="P3177" s="30"/>
      <c r="Q3177" s="30"/>
      <c r="R3177" s="30"/>
      <c r="S3177" s="30"/>
      <c r="T3177" s="30"/>
      <c r="U3177" s="30"/>
      <c r="V3177" s="30"/>
      <c r="W3177" s="29"/>
      <c r="X3177" s="15"/>
      <c r="Y3177" s="30"/>
      <c r="Z3177" s="30"/>
      <c r="AA3177" s="30"/>
      <c r="AB3177" s="30"/>
      <c r="AC3177" s="17"/>
      <c r="AD3177" s="17"/>
      <c r="AE3177" s="17"/>
      <c r="AF3177" s="17"/>
      <c r="AG3177" s="21"/>
      <c r="AH3177" s="21"/>
      <c r="AI3177" s="21"/>
      <c r="AJ3177" s="21"/>
      <c r="AK3177" s="21"/>
      <c r="AL3177" s="21"/>
      <c r="AM3177" s="21"/>
      <c r="AN3177" s="21"/>
      <c r="AO3177" s="22"/>
      <c r="AP3177" s="21"/>
      <c r="AQ3177" s="22"/>
      <c r="AR3177" s="21"/>
      <c r="AS3177" s="21"/>
      <c r="AT3177" s="21"/>
      <c r="AU3177" s="21"/>
      <c r="AV3177" s="21"/>
      <c r="AW3177" s="21"/>
      <c r="AX3177" s="22"/>
      <c r="AY3177" s="21"/>
      <c r="AZ3177" s="22"/>
      <c r="BA3177" s="21"/>
      <c r="BB3177" s="21"/>
      <c r="BC3177" s="21"/>
      <c r="BD3177" s="21"/>
      <c r="BE3177" s="26"/>
      <c r="BF3177" s="26"/>
      <c r="BG3177" s="62"/>
    </row>
    <row r="3178" spans="1:59" ht="13.5" customHeight="1" x14ac:dyDescent="0.35">
      <c r="A3178" s="49"/>
      <c r="B3178" s="49"/>
      <c r="C3178" s="14"/>
      <c r="D3178" s="1"/>
      <c r="E3178" s="149"/>
      <c r="F3178" s="153"/>
      <c r="G3178" s="10"/>
      <c r="H3178" s="17"/>
      <c r="I3178" s="17"/>
      <c r="J3178" s="17"/>
      <c r="K3178" s="30"/>
      <c r="L3178" s="30"/>
      <c r="M3178" s="30"/>
      <c r="N3178" s="30"/>
      <c r="O3178" s="30"/>
      <c r="P3178" s="30"/>
      <c r="Q3178" s="30"/>
      <c r="R3178" s="30"/>
      <c r="S3178" s="30"/>
      <c r="T3178" s="30"/>
      <c r="U3178" s="30"/>
      <c r="V3178" s="30"/>
      <c r="W3178" s="29"/>
      <c r="X3178" s="15"/>
      <c r="Y3178" s="30"/>
      <c r="Z3178" s="30"/>
      <c r="AA3178" s="30"/>
      <c r="AB3178" s="30"/>
      <c r="AC3178" s="17"/>
      <c r="AD3178" s="17"/>
      <c r="AE3178" s="17"/>
      <c r="AF3178" s="17"/>
      <c r="AG3178" s="21"/>
      <c r="AH3178" s="21"/>
      <c r="AI3178" s="21"/>
      <c r="AJ3178" s="21"/>
      <c r="AK3178" s="21"/>
      <c r="AL3178" s="21"/>
      <c r="AM3178" s="21"/>
      <c r="AN3178" s="21"/>
      <c r="AO3178" s="22"/>
      <c r="AP3178" s="21"/>
      <c r="AQ3178" s="22"/>
      <c r="AR3178" s="21"/>
      <c r="AS3178" s="21"/>
      <c r="AT3178" s="21"/>
      <c r="AU3178" s="21"/>
      <c r="AV3178" s="21"/>
      <c r="AW3178" s="21"/>
      <c r="AX3178" s="22"/>
      <c r="AY3178" s="21"/>
      <c r="AZ3178" s="22"/>
      <c r="BA3178" s="21"/>
      <c r="BB3178" s="21"/>
      <c r="BC3178" s="21"/>
      <c r="BD3178" s="21"/>
      <c r="BE3178" s="26"/>
      <c r="BF3178" s="26"/>
      <c r="BG3178" s="62"/>
    </row>
    <row r="3179" spans="1:59" ht="13.5" customHeight="1" x14ac:dyDescent="0.35">
      <c r="A3179" s="49"/>
      <c r="B3179" s="49"/>
      <c r="C3179" s="14"/>
      <c r="D3179" s="1"/>
      <c r="E3179" s="149"/>
      <c r="F3179" s="153"/>
      <c r="G3179" s="10"/>
      <c r="H3179" s="17"/>
      <c r="I3179" s="17"/>
      <c r="J3179" s="17"/>
      <c r="K3179" s="30"/>
      <c r="L3179" s="30"/>
      <c r="M3179" s="30"/>
      <c r="N3179" s="30"/>
      <c r="O3179" s="30"/>
      <c r="P3179" s="30"/>
      <c r="Q3179" s="30"/>
      <c r="R3179" s="30"/>
      <c r="S3179" s="30"/>
      <c r="T3179" s="30"/>
      <c r="U3179" s="30"/>
      <c r="V3179" s="30"/>
      <c r="W3179" s="29"/>
      <c r="X3179" s="15"/>
      <c r="Y3179" s="30"/>
      <c r="Z3179" s="30"/>
      <c r="AA3179" s="30"/>
      <c r="AB3179" s="30"/>
      <c r="AC3179" s="17"/>
      <c r="AD3179" s="17"/>
      <c r="AE3179" s="17"/>
      <c r="AF3179" s="17"/>
      <c r="AG3179" s="21"/>
      <c r="AH3179" s="21"/>
      <c r="AI3179" s="21"/>
      <c r="AJ3179" s="21"/>
      <c r="AK3179" s="21"/>
      <c r="AL3179" s="21"/>
      <c r="AM3179" s="21"/>
      <c r="AN3179" s="21"/>
      <c r="AO3179" s="22"/>
      <c r="AP3179" s="21"/>
      <c r="AQ3179" s="22"/>
      <c r="AR3179" s="21"/>
      <c r="AS3179" s="21"/>
      <c r="AT3179" s="21"/>
      <c r="AU3179" s="21"/>
      <c r="AV3179" s="21"/>
      <c r="AW3179" s="21"/>
      <c r="AX3179" s="22"/>
      <c r="AY3179" s="21"/>
      <c r="AZ3179" s="22"/>
      <c r="BA3179" s="21"/>
      <c r="BB3179" s="21"/>
      <c r="BC3179" s="21"/>
      <c r="BD3179" s="21"/>
      <c r="BE3179" s="26"/>
      <c r="BF3179" s="26"/>
      <c r="BG3179" s="65"/>
    </row>
    <row r="3180" spans="1:59" ht="13.5" customHeight="1" x14ac:dyDescent="0.35">
      <c r="A3180" s="6"/>
      <c r="B3180" s="6"/>
      <c r="C3180" s="39"/>
      <c r="D3180" s="6"/>
      <c r="E3180" s="149"/>
      <c r="F3180" s="153"/>
      <c r="G3180" s="10"/>
      <c r="H3180" s="6"/>
      <c r="I3180" s="6"/>
      <c r="J3180" s="6"/>
      <c r="K3180" s="6"/>
      <c r="L3180" s="6"/>
      <c r="M3180" s="6"/>
      <c r="N3180" s="6"/>
      <c r="O3180" s="6"/>
      <c r="P3180" s="6"/>
      <c r="Q3180" s="6"/>
      <c r="R3180" s="6"/>
      <c r="S3180" s="6"/>
      <c r="T3180" s="6"/>
      <c r="U3180" s="5"/>
      <c r="V3180" s="5"/>
      <c r="W3180" s="13"/>
      <c r="X3180" s="4"/>
      <c r="Y3180" s="4"/>
      <c r="Z3180" s="4"/>
      <c r="AA3180" s="6"/>
      <c r="AB3180" s="5"/>
      <c r="AC3180" s="9"/>
      <c r="AD3180" s="9"/>
      <c r="AE3180" s="9"/>
      <c r="AF3180" s="9"/>
      <c r="AG3180" s="2"/>
      <c r="AH3180" s="3"/>
      <c r="AI3180" s="2"/>
      <c r="AJ3180" s="2"/>
      <c r="AK3180" s="2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  <c r="BG3180" s="65"/>
    </row>
    <row r="3181" spans="1:59" ht="13.5" customHeight="1" x14ac:dyDescent="0.35">
      <c r="A3181" s="49"/>
      <c r="B3181" s="49"/>
      <c r="C3181" s="14"/>
      <c r="D3181" s="1"/>
      <c r="E3181" s="149"/>
      <c r="F3181" s="153"/>
      <c r="G3181" s="10"/>
      <c r="H3181" s="17"/>
      <c r="I3181" s="17"/>
      <c r="J3181" s="17"/>
      <c r="K3181" s="30"/>
      <c r="L3181" s="30"/>
      <c r="M3181" s="30"/>
      <c r="N3181" s="30"/>
      <c r="O3181" s="30"/>
      <c r="P3181" s="30"/>
      <c r="Q3181" s="30"/>
      <c r="R3181" s="30"/>
      <c r="S3181" s="30"/>
      <c r="T3181" s="30"/>
      <c r="U3181" s="30"/>
      <c r="V3181" s="30"/>
      <c r="W3181" s="29"/>
      <c r="X3181" s="15"/>
      <c r="Y3181" s="30"/>
      <c r="Z3181" s="30"/>
      <c r="AA3181" s="30"/>
      <c r="AB3181" s="30"/>
      <c r="AC3181" s="17"/>
      <c r="AD3181" s="17"/>
      <c r="AE3181" s="17"/>
      <c r="AF3181" s="17"/>
      <c r="AG3181" s="21"/>
      <c r="AH3181" s="21"/>
      <c r="AI3181" s="21"/>
      <c r="AJ3181" s="21"/>
      <c r="AK3181" s="21"/>
      <c r="AL3181" s="21"/>
      <c r="AM3181" s="21"/>
      <c r="AN3181" s="21"/>
      <c r="AO3181" s="22"/>
      <c r="AP3181" s="21"/>
      <c r="AQ3181" s="22"/>
      <c r="AR3181" s="21"/>
      <c r="AS3181" s="21"/>
      <c r="AT3181" s="21"/>
      <c r="AU3181" s="21"/>
      <c r="AV3181" s="21"/>
      <c r="AW3181" s="21"/>
      <c r="AX3181" s="22"/>
      <c r="AY3181" s="21"/>
      <c r="AZ3181" s="22"/>
      <c r="BA3181" s="21"/>
      <c r="BB3181" s="21"/>
      <c r="BC3181" s="21"/>
      <c r="BD3181" s="21"/>
      <c r="BE3181" s="26"/>
      <c r="BF3181" s="26"/>
      <c r="BG3181" s="65"/>
    </row>
    <row r="3182" spans="1:59" ht="13.5" customHeight="1" x14ac:dyDescent="0.35">
      <c r="A3182" s="49"/>
      <c r="B3182" s="49"/>
      <c r="C3182" s="14"/>
      <c r="D3182" s="1"/>
      <c r="E3182" s="149"/>
      <c r="F3182" s="153"/>
      <c r="G3182" s="10"/>
      <c r="H3182" s="17"/>
      <c r="I3182" s="17"/>
      <c r="J3182" s="17"/>
      <c r="K3182" s="30"/>
      <c r="L3182" s="30"/>
      <c r="M3182" s="30"/>
      <c r="N3182" s="30"/>
      <c r="O3182" s="30"/>
      <c r="P3182" s="30"/>
      <c r="Q3182" s="30"/>
      <c r="R3182" s="30"/>
      <c r="S3182" s="30"/>
      <c r="T3182" s="30"/>
      <c r="U3182" s="30"/>
      <c r="V3182" s="30"/>
      <c r="W3182" s="29"/>
      <c r="X3182" s="15"/>
      <c r="Y3182" s="30"/>
      <c r="Z3182" s="30"/>
      <c r="AA3182" s="30"/>
      <c r="AB3182" s="30"/>
      <c r="AC3182" s="17"/>
      <c r="AD3182" s="17"/>
      <c r="AE3182" s="17"/>
      <c r="AF3182" s="17"/>
      <c r="AG3182" s="21"/>
      <c r="AH3182" s="21"/>
      <c r="AI3182" s="21"/>
      <c r="AJ3182" s="21"/>
      <c r="AK3182" s="21"/>
      <c r="AL3182" s="21"/>
      <c r="AM3182" s="21"/>
      <c r="AN3182" s="21"/>
      <c r="AO3182" s="22"/>
      <c r="AP3182" s="21"/>
      <c r="AQ3182" s="22"/>
      <c r="AR3182" s="21"/>
      <c r="AS3182" s="21"/>
      <c r="AT3182" s="21"/>
      <c r="AU3182" s="21"/>
      <c r="AV3182" s="21"/>
      <c r="AW3182" s="21"/>
      <c r="AX3182" s="22"/>
      <c r="AY3182" s="21"/>
      <c r="AZ3182" s="22"/>
      <c r="BA3182" s="21"/>
      <c r="BB3182" s="21"/>
      <c r="BC3182" s="21"/>
      <c r="BD3182" s="21"/>
      <c r="BE3182" s="26"/>
      <c r="BF3182" s="26"/>
      <c r="BG3182" s="62"/>
    </row>
    <row r="3183" spans="1:59" ht="13.5" customHeight="1" x14ac:dyDescent="0.35">
      <c r="A3183" s="49"/>
      <c r="B3183" s="49"/>
      <c r="C3183" s="14"/>
      <c r="D3183" s="1"/>
      <c r="E3183" s="149"/>
      <c r="F3183" s="153"/>
      <c r="G3183" s="10"/>
      <c r="H3183" s="17"/>
      <c r="I3183" s="17"/>
      <c r="J3183" s="17"/>
      <c r="K3183" s="30"/>
      <c r="L3183" s="30"/>
      <c r="M3183" s="30"/>
      <c r="N3183" s="30"/>
      <c r="O3183" s="30"/>
      <c r="P3183" s="30"/>
      <c r="Q3183" s="30"/>
      <c r="R3183" s="30"/>
      <c r="S3183" s="30"/>
      <c r="T3183" s="30"/>
      <c r="U3183" s="30"/>
      <c r="V3183" s="30"/>
      <c r="W3183" s="29"/>
      <c r="X3183" s="15"/>
      <c r="Y3183" s="30"/>
      <c r="Z3183" s="30"/>
      <c r="AA3183" s="30"/>
      <c r="AB3183" s="30"/>
      <c r="AC3183" s="17"/>
      <c r="AD3183" s="17"/>
      <c r="AE3183" s="17"/>
      <c r="AF3183" s="17"/>
      <c r="AG3183" s="21"/>
      <c r="AH3183" s="21"/>
      <c r="AI3183" s="21"/>
      <c r="AJ3183" s="21"/>
      <c r="AK3183" s="21"/>
      <c r="AL3183" s="21"/>
      <c r="AM3183" s="21"/>
      <c r="AN3183" s="21"/>
      <c r="AO3183" s="22"/>
      <c r="AP3183" s="21"/>
      <c r="AQ3183" s="22"/>
      <c r="AR3183" s="21"/>
      <c r="AS3183" s="21"/>
      <c r="AT3183" s="21"/>
      <c r="AU3183" s="21"/>
      <c r="AV3183" s="21"/>
      <c r="AW3183" s="21"/>
      <c r="AX3183" s="22"/>
      <c r="AY3183" s="21"/>
      <c r="AZ3183" s="22"/>
      <c r="BA3183" s="21"/>
      <c r="BB3183" s="21"/>
      <c r="BC3183" s="21"/>
      <c r="BD3183" s="21"/>
      <c r="BE3183" s="26"/>
      <c r="BF3183" s="26"/>
      <c r="BG3183" s="65"/>
    </row>
    <row r="3184" spans="1:59" ht="13.5" customHeight="1" x14ac:dyDescent="0.35">
      <c r="A3184" s="49"/>
      <c r="B3184" s="49"/>
      <c r="C3184" s="14"/>
      <c r="D3184" s="1"/>
      <c r="E3184" s="149"/>
      <c r="F3184" s="153"/>
      <c r="G3184" s="10"/>
      <c r="H3184" s="17"/>
      <c r="I3184" s="17"/>
      <c r="J3184" s="17"/>
      <c r="K3184" s="30"/>
      <c r="L3184" s="30"/>
      <c r="M3184" s="30"/>
      <c r="N3184" s="30"/>
      <c r="O3184" s="30"/>
      <c r="P3184" s="30"/>
      <c r="Q3184" s="30"/>
      <c r="R3184" s="30"/>
      <c r="S3184" s="30"/>
      <c r="T3184" s="30"/>
      <c r="U3184" s="30"/>
      <c r="V3184" s="30"/>
      <c r="W3184" s="29"/>
      <c r="X3184" s="15"/>
      <c r="Y3184" s="30"/>
      <c r="Z3184" s="30"/>
      <c r="AA3184" s="30"/>
      <c r="AB3184" s="30"/>
      <c r="AC3184" s="17"/>
      <c r="AD3184" s="17"/>
      <c r="AE3184" s="17"/>
      <c r="AF3184" s="17"/>
      <c r="AG3184" s="21"/>
      <c r="AH3184" s="21"/>
      <c r="AI3184" s="21"/>
      <c r="AJ3184" s="21"/>
      <c r="AK3184" s="21"/>
      <c r="AL3184" s="21"/>
      <c r="AM3184" s="21"/>
      <c r="AN3184" s="21"/>
      <c r="AO3184" s="22"/>
      <c r="AP3184" s="21"/>
      <c r="AQ3184" s="22"/>
      <c r="AR3184" s="21"/>
      <c r="AS3184" s="21"/>
      <c r="AT3184" s="21"/>
      <c r="AU3184" s="21"/>
      <c r="AV3184" s="21"/>
      <c r="AW3184" s="21"/>
      <c r="AX3184" s="22"/>
      <c r="AY3184" s="21"/>
      <c r="AZ3184" s="22"/>
      <c r="BA3184" s="21"/>
      <c r="BB3184" s="21"/>
      <c r="BC3184" s="21"/>
      <c r="BD3184" s="21"/>
      <c r="BE3184" s="26"/>
      <c r="BF3184" s="26"/>
      <c r="BG3184" s="62"/>
    </row>
    <row r="3185" spans="1:59" ht="13.5" customHeight="1" x14ac:dyDescent="0.35">
      <c r="A3185" s="49"/>
      <c r="B3185" s="49"/>
      <c r="C3185" s="14"/>
      <c r="D3185" s="1"/>
      <c r="E3185" s="149"/>
      <c r="F3185" s="153"/>
      <c r="G3185" s="10"/>
      <c r="H3185" s="17"/>
      <c r="I3185" s="17"/>
      <c r="J3185" s="17"/>
      <c r="K3185" s="30"/>
      <c r="L3185" s="30"/>
      <c r="M3185" s="30"/>
      <c r="N3185" s="30"/>
      <c r="O3185" s="30"/>
      <c r="P3185" s="30"/>
      <c r="Q3185" s="30"/>
      <c r="R3185" s="30"/>
      <c r="S3185" s="30"/>
      <c r="T3185" s="30"/>
      <c r="U3185" s="30"/>
      <c r="V3185" s="30"/>
      <c r="W3185" s="29"/>
      <c r="X3185" s="15"/>
      <c r="Y3185" s="30"/>
      <c r="Z3185" s="30"/>
      <c r="AA3185" s="30"/>
      <c r="AB3185" s="30"/>
      <c r="AC3185" s="17"/>
      <c r="AD3185" s="17"/>
      <c r="AE3185" s="17"/>
      <c r="AF3185" s="17"/>
      <c r="AG3185" s="21"/>
      <c r="AH3185" s="21"/>
      <c r="AI3185" s="21"/>
      <c r="AJ3185" s="21"/>
      <c r="AK3185" s="21"/>
      <c r="AL3185" s="21"/>
      <c r="AM3185" s="21"/>
      <c r="AN3185" s="21"/>
      <c r="AO3185" s="22"/>
      <c r="AP3185" s="21"/>
      <c r="AQ3185" s="22"/>
      <c r="AR3185" s="21"/>
      <c r="AS3185" s="21"/>
      <c r="AT3185" s="21"/>
      <c r="AU3185" s="21"/>
      <c r="AV3185" s="21"/>
      <c r="AW3185" s="21"/>
      <c r="AX3185" s="22"/>
      <c r="AY3185" s="21"/>
      <c r="AZ3185" s="22"/>
      <c r="BA3185" s="21"/>
      <c r="BB3185" s="21"/>
      <c r="BC3185" s="21"/>
      <c r="BD3185" s="21"/>
      <c r="BE3185" s="26"/>
      <c r="BF3185" s="26"/>
      <c r="BG3185" s="65"/>
    </row>
    <row r="3186" spans="1:59" ht="13.5" customHeight="1" x14ac:dyDescent="0.35">
      <c r="A3186" s="49"/>
      <c r="B3186" s="49"/>
      <c r="C3186" s="14"/>
      <c r="D3186" s="1"/>
      <c r="E3186" s="149"/>
      <c r="F3186" s="153"/>
      <c r="G3186" s="10"/>
      <c r="H3186" s="17"/>
      <c r="I3186" s="17"/>
      <c r="J3186" s="17"/>
      <c r="K3186" s="30"/>
      <c r="L3186" s="30"/>
      <c r="M3186" s="30"/>
      <c r="N3186" s="30"/>
      <c r="O3186" s="30"/>
      <c r="P3186" s="30"/>
      <c r="Q3186" s="30"/>
      <c r="R3186" s="30"/>
      <c r="S3186" s="30"/>
      <c r="T3186" s="30"/>
      <c r="U3186" s="30"/>
      <c r="V3186" s="30"/>
      <c r="W3186" s="29"/>
      <c r="X3186" s="15"/>
      <c r="Y3186" s="30"/>
      <c r="Z3186" s="30"/>
      <c r="AA3186" s="30"/>
      <c r="AB3186" s="30"/>
      <c r="AC3186" s="17"/>
      <c r="AD3186" s="17"/>
      <c r="AE3186" s="17"/>
      <c r="AF3186" s="17"/>
      <c r="AG3186" s="21"/>
      <c r="AH3186" s="21"/>
      <c r="AI3186" s="21"/>
      <c r="AJ3186" s="21"/>
      <c r="AK3186" s="21"/>
      <c r="AL3186" s="21"/>
      <c r="AM3186" s="21"/>
      <c r="AN3186" s="21"/>
      <c r="AO3186" s="22"/>
      <c r="AP3186" s="21"/>
      <c r="AQ3186" s="22"/>
      <c r="AR3186" s="21"/>
      <c r="AS3186" s="21"/>
      <c r="AT3186" s="21"/>
      <c r="AU3186" s="21"/>
      <c r="AV3186" s="21"/>
      <c r="AW3186" s="21"/>
      <c r="AX3186" s="22"/>
      <c r="AY3186" s="21"/>
      <c r="AZ3186" s="22"/>
      <c r="BA3186" s="21"/>
      <c r="BB3186" s="21"/>
      <c r="BC3186" s="21"/>
      <c r="BD3186" s="21"/>
      <c r="BE3186" s="26"/>
      <c r="BF3186" s="26"/>
      <c r="BG3186" s="62"/>
    </row>
    <row r="3187" spans="1:59" ht="13.5" customHeight="1" x14ac:dyDescent="0.35">
      <c r="A3187" s="49"/>
      <c r="B3187" s="49"/>
      <c r="C3187" s="14"/>
      <c r="D3187" s="1"/>
      <c r="E3187" s="149"/>
      <c r="F3187" s="153"/>
      <c r="G3187" s="10"/>
      <c r="H3187" s="17"/>
      <c r="I3187" s="17"/>
      <c r="J3187" s="17"/>
      <c r="K3187" s="30"/>
      <c r="L3187" s="30"/>
      <c r="M3187" s="30"/>
      <c r="N3187" s="30"/>
      <c r="O3187" s="30"/>
      <c r="P3187" s="30"/>
      <c r="Q3187" s="30"/>
      <c r="R3187" s="30"/>
      <c r="S3187" s="30"/>
      <c r="T3187" s="30"/>
      <c r="U3187" s="30"/>
      <c r="V3187" s="30"/>
      <c r="W3187" s="29"/>
      <c r="X3187" s="15"/>
      <c r="Y3187" s="30"/>
      <c r="Z3187" s="30"/>
      <c r="AA3187" s="30"/>
      <c r="AB3187" s="30"/>
      <c r="AC3187" s="17"/>
      <c r="AD3187" s="17"/>
      <c r="AE3187" s="17"/>
      <c r="AF3187" s="17"/>
      <c r="AG3187" s="21"/>
      <c r="AH3187" s="21"/>
      <c r="AI3187" s="21"/>
      <c r="AJ3187" s="21"/>
      <c r="AK3187" s="21"/>
      <c r="AL3187" s="21"/>
      <c r="AM3187" s="21"/>
      <c r="AN3187" s="21"/>
      <c r="AO3187" s="22"/>
      <c r="AP3187" s="21"/>
      <c r="AQ3187" s="22"/>
      <c r="AR3187" s="21"/>
      <c r="AS3187" s="21"/>
      <c r="AT3187" s="21"/>
      <c r="AU3187" s="21"/>
      <c r="AV3187" s="21"/>
      <c r="AW3187" s="21"/>
      <c r="AX3187" s="22"/>
      <c r="AY3187" s="21"/>
      <c r="AZ3187" s="22"/>
      <c r="BA3187" s="21"/>
      <c r="BB3187" s="21"/>
      <c r="BC3187" s="21"/>
      <c r="BD3187" s="21"/>
      <c r="BE3187" s="26"/>
      <c r="BF3187" s="26"/>
      <c r="BG3187" s="62"/>
    </row>
    <row r="3188" spans="1:59" ht="13.5" customHeight="1" x14ac:dyDescent="0.35">
      <c r="A3188" s="49"/>
      <c r="B3188" s="49"/>
      <c r="C3188" s="14"/>
      <c r="D3188" s="1"/>
      <c r="E3188" s="149"/>
      <c r="F3188" s="153"/>
      <c r="G3188" s="10"/>
      <c r="H3188" s="17"/>
      <c r="I3188" s="17"/>
      <c r="J3188" s="17"/>
      <c r="K3188" s="30"/>
      <c r="L3188" s="30"/>
      <c r="M3188" s="30"/>
      <c r="N3188" s="30"/>
      <c r="O3188" s="30"/>
      <c r="P3188" s="30"/>
      <c r="Q3188" s="30"/>
      <c r="R3188" s="30"/>
      <c r="S3188" s="30"/>
      <c r="T3188" s="30"/>
      <c r="U3188" s="30"/>
      <c r="V3188" s="30"/>
      <c r="W3188" s="29"/>
      <c r="X3188" s="15"/>
      <c r="Y3188" s="30"/>
      <c r="Z3188" s="30"/>
      <c r="AA3188" s="30"/>
      <c r="AB3188" s="30"/>
      <c r="AC3188" s="17"/>
      <c r="AD3188" s="17"/>
      <c r="AE3188" s="17"/>
      <c r="AF3188" s="17"/>
      <c r="AG3188" s="21"/>
      <c r="AH3188" s="21"/>
      <c r="AI3188" s="21"/>
      <c r="AJ3188" s="21"/>
      <c r="AK3188" s="21"/>
      <c r="AL3188" s="21"/>
      <c r="AM3188" s="21"/>
      <c r="AN3188" s="21"/>
      <c r="AO3188" s="22"/>
      <c r="AP3188" s="21"/>
      <c r="AQ3188" s="22"/>
      <c r="AR3188" s="21"/>
      <c r="AS3188" s="21"/>
      <c r="AT3188" s="21"/>
      <c r="AU3188" s="21"/>
      <c r="AV3188" s="21"/>
      <c r="AW3188" s="21"/>
      <c r="AX3188" s="22"/>
      <c r="AY3188" s="21"/>
      <c r="AZ3188" s="22"/>
      <c r="BA3188" s="21"/>
      <c r="BB3188" s="21"/>
      <c r="BC3188" s="21"/>
      <c r="BD3188" s="21"/>
      <c r="BE3188" s="26"/>
      <c r="BF3188" s="26"/>
      <c r="BG3188" s="62"/>
    </row>
    <row r="3189" spans="1:59" ht="13.5" customHeight="1" x14ac:dyDescent="0.35">
      <c r="A3189" s="49"/>
      <c r="B3189" s="49"/>
      <c r="C3189" s="14"/>
      <c r="D3189" s="1"/>
      <c r="E3189" s="149"/>
      <c r="F3189" s="153"/>
      <c r="G3189" s="10"/>
      <c r="H3189" s="17"/>
      <c r="I3189" s="17"/>
      <c r="J3189" s="17"/>
      <c r="K3189" s="30"/>
      <c r="L3189" s="30"/>
      <c r="M3189" s="30"/>
      <c r="N3189" s="30"/>
      <c r="O3189" s="30"/>
      <c r="P3189" s="30"/>
      <c r="Q3189" s="30"/>
      <c r="R3189" s="30"/>
      <c r="S3189" s="30"/>
      <c r="T3189" s="30"/>
      <c r="U3189" s="30"/>
      <c r="V3189" s="30"/>
      <c r="W3189" s="29"/>
      <c r="X3189" s="15"/>
      <c r="Y3189" s="30"/>
      <c r="Z3189" s="30"/>
      <c r="AA3189" s="30"/>
      <c r="AB3189" s="30"/>
      <c r="AC3189" s="17"/>
      <c r="AD3189" s="17"/>
      <c r="AE3189" s="17"/>
      <c r="AF3189" s="17"/>
      <c r="AG3189" s="21"/>
      <c r="AH3189" s="21"/>
      <c r="AI3189" s="21"/>
      <c r="AJ3189" s="21"/>
      <c r="AK3189" s="21"/>
      <c r="AL3189" s="21"/>
      <c r="AM3189" s="21"/>
      <c r="AN3189" s="21"/>
      <c r="AO3189" s="22"/>
      <c r="AP3189" s="21"/>
      <c r="AQ3189" s="22"/>
      <c r="AR3189" s="21"/>
      <c r="AS3189" s="21"/>
      <c r="AT3189" s="21"/>
      <c r="AU3189" s="21"/>
      <c r="AV3189" s="21"/>
      <c r="AW3189" s="21"/>
      <c r="AX3189" s="22"/>
      <c r="AY3189" s="21"/>
      <c r="AZ3189" s="22"/>
      <c r="BA3189" s="21"/>
      <c r="BB3189" s="21"/>
      <c r="BC3189" s="21"/>
      <c r="BD3189" s="21"/>
      <c r="BE3189" s="26"/>
      <c r="BF3189" s="26"/>
      <c r="BG3189" s="62"/>
    </row>
    <row r="3190" spans="1:59" ht="13.5" customHeight="1" x14ac:dyDescent="0.35">
      <c r="A3190" s="49"/>
      <c r="B3190" s="49"/>
      <c r="C3190" s="14"/>
      <c r="D3190" s="1"/>
      <c r="E3190" s="149"/>
      <c r="F3190" s="153"/>
      <c r="G3190" s="10"/>
      <c r="H3190" s="17"/>
      <c r="I3190" s="17"/>
      <c r="J3190" s="17"/>
      <c r="K3190" s="30"/>
      <c r="L3190" s="30"/>
      <c r="M3190" s="30"/>
      <c r="N3190" s="30"/>
      <c r="O3190" s="30"/>
      <c r="P3190" s="30"/>
      <c r="Q3190" s="30"/>
      <c r="R3190" s="30"/>
      <c r="S3190" s="30"/>
      <c r="T3190" s="30"/>
      <c r="U3190" s="30"/>
      <c r="V3190" s="30"/>
      <c r="W3190" s="29"/>
      <c r="X3190" s="15"/>
      <c r="Y3190" s="30"/>
      <c r="Z3190" s="30"/>
      <c r="AA3190" s="30"/>
      <c r="AB3190" s="30"/>
      <c r="AC3190" s="17"/>
      <c r="AD3190" s="17"/>
      <c r="AE3190" s="17"/>
      <c r="AF3190" s="17"/>
      <c r="AG3190" s="21"/>
      <c r="AH3190" s="21"/>
      <c r="AI3190" s="21"/>
      <c r="AJ3190" s="21"/>
      <c r="AK3190" s="21"/>
      <c r="AL3190" s="21"/>
      <c r="AM3190" s="21"/>
      <c r="AN3190" s="21"/>
      <c r="AO3190" s="22"/>
      <c r="AP3190" s="21"/>
      <c r="AQ3190" s="22"/>
      <c r="AR3190" s="21"/>
      <c r="AS3190" s="21"/>
      <c r="AT3190" s="21"/>
      <c r="AU3190" s="21"/>
      <c r="AV3190" s="21"/>
      <c r="AW3190" s="21"/>
      <c r="AX3190" s="22"/>
      <c r="AY3190" s="21"/>
      <c r="AZ3190" s="22"/>
      <c r="BA3190" s="21"/>
      <c r="BB3190" s="21"/>
      <c r="BC3190" s="21"/>
      <c r="BD3190" s="21"/>
      <c r="BE3190" s="26"/>
      <c r="BF3190" s="26"/>
      <c r="BG3190" s="62"/>
    </row>
    <row r="3191" spans="1:59" ht="13.5" customHeight="1" x14ac:dyDescent="0.35">
      <c r="A3191" s="49"/>
      <c r="B3191" s="49"/>
      <c r="C3191" s="14"/>
      <c r="D3191" s="1"/>
      <c r="E3191" s="149"/>
      <c r="F3191" s="153"/>
      <c r="G3191" s="10"/>
      <c r="H3191" s="17"/>
      <c r="I3191" s="17"/>
      <c r="J3191" s="17"/>
      <c r="K3191" s="30"/>
      <c r="L3191" s="30"/>
      <c r="M3191" s="30"/>
      <c r="N3191" s="30"/>
      <c r="O3191" s="30"/>
      <c r="P3191" s="30"/>
      <c r="Q3191" s="30"/>
      <c r="R3191" s="30"/>
      <c r="S3191" s="30"/>
      <c r="T3191" s="30"/>
      <c r="U3191" s="30"/>
      <c r="V3191" s="30"/>
      <c r="W3191" s="29"/>
      <c r="X3191" s="15"/>
      <c r="Y3191" s="30"/>
      <c r="Z3191" s="30"/>
      <c r="AA3191" s="30"/>
      <c r="AB3191" s="30"/>
      <c r="AC3191" s="17"/>
      <c r="AD3191" s="17"/>
      <c r="AE3191" s="17"/>
      <c r="AF3191" s="17"/>
      <c r="AG3191" s="21"/>
      <c r="AH3191" s="21"/>
      <c r="AI3191" s="21"/>
      <c r="AJ3191" s="21"/>
      <c r="AK3191" s="21"/>
      <c r="AL3191" s="21"/>
      <c r="AM3191" s="21"/>
      <c r="AN3191" s="21"/>
      <c r="AO3191" s="22"/>
      <c r="AP3191" s="21"/>
      <c r="AQ3191" s="22"/>
      <c r="AR3191" s="21"/>
      <c r="AS3191" s="21"/>
      <c r="AT3191" s="21"/>
      <c r="AU3191" s="21"/>
      <c r="AV3191" s="21"/>
      <c r="AW3191" s="21"/>
      <c r="AX3191" s="22"/>
      <c r="AY3191" s="21"/>
      <c r="AZ3191" s="22"/>
      <c r="BA3191" s="21"/>
      <c r="BB3191" s="21"/>
      <c r="BC3191" s="21"/>
      <c r="BD3191" s="21"/>
      <c r="BE3191" s="26"/>
      <c r="BF3191" s="26"/>
      <c r="BG3191" s="62"/>
    </row>
    <row r="3192" spans="1:59" ht="13.5" customHeight="1" x14ac:dyDescent="0.35">
      <c r="A3192" s="49"/>
      <c r="B3192" s="49"/>
      <c r="C3192" s="14"/>
      <c r="D3192" s="1"/>
      <c r="E3192" s="149"/>
      <c r="F3192" s="153"/>
      <c r="G3192" s="10"/>
      <c r="H3192" s="17"/>
      <c r="I3192" s="17"/>
      <c r="J3192" s="17"/>
      <c r="K3192" s="30"/>
      <c r="L3192" s="30"/>
      <c r="M3192" s="30"/>
      <c r="N3192" s="30"/>
      <c r="O3192" s="30"/>
      <c r="P3192" s="30"/>
      <c r="Q3192" s="30"/>
      <c r="R3192" s="30"/>
      <c r="S3192" s="30"/>
      <c r="T3192" s="30"/>
      <c r="U3192" s="30"/>
      <c r="V3192" s="30"/>
      <c r="W3192" s="29"/>
      <c r="X3192" s="15"/>
      <c r="Y3192" s="30"/>
      <c r="Z3192" s="30"/>
      <c r="AA3192" s="30"/>
      <c r="AB3192" s="30"/>
      <c r="AC3192" s="17"/>
      <c r="AD3192" s="17"/>
      <c r="AE3192" s="17"/>
      <c r="AF3192" s="17"/>
      <c r="AG3192" s="21"/>
      <c r="AH3192" s="21"/>
      <c r="AI3192" s="21"/>
      <c r="AJ3192" s="21"/>
      <c r="AK3192" s="21"/>
      <c r="AL3192" s="21"/>
      <c r="AM3192" s="21"/>
      <c r="AN3192" s="21"/>
      <c r="AO3192" s="22"/>
      <c r="AP3192" s="21"/>
      <c r="AQ3192" s="22"/>
      <c r="AR3192" s="21"/>
      <c r="AS3192" s="21"/>
      <c r="AT3192" s="21"/>
      <c r="AU3192" s="21"/>
      <c r="AV3192" s="21"/>
      <c r="AW3192" s="21"/>
      <c r="AX3192" s="22"/>
      <c r="AY3192" s="21"/>
      <c r="AZ3192" s="22"/>
      <c r="BA3192" s="21"/>
      <c r="BB3192" s="21"/>
      <c r="BC3192" s="21"/>
      <c r="BD3192" s="21"/>
      <c r="BE3192" s="26"/>
      <c r="BF3192" s="26"/>
      <c r="BG3192" s="62"/>
    </row>
    <row r="3193" spans="1:59" ht="13.5" customHeight="1" x14ac:dyDescent="0.35">
      <c r="A3193" s="49"/>
      <c r="B3193" s="49"/>
      <c r="C3193" s="14"/>
      <c r="D3193" s="1"/>
      <c r="E3193" s="149"/>
      <c r="F3193" s="153"/>
      <c r="G3193" s="10"/>
      <c r="H3193" s="17"/>
      <c r="I3193" s="17"/>
      <c r="J3193" s="17"/>
      <c r="K3193" s="30"/>
      <c r="L3193" s="30"/>
      <c r="M3193" s="30"/>
      <c r="N3193" s="30"/>
      <c r="O3193" s="30"/>
      <c r="P3193" s="30"/>
      <c r="Q3193" s="30"/>
      <c r="R3193" s="30"/>
      <c r="S3193" s="30"/>
      <c r="T3193" s="30"/>
      <c r="U3193" s="30"/>
      <c r="V3193" s="30"/>
      <c r="W3193" s="29"/>
      <c r="X3193" s="15"/>
      <c r="Y3193" s="30"/>
      <c r="Z3193" s="30"/>
      <c r="AA3193" s="30"/>
      <c r="AB3193" s="30"/>
      <c r="AC3193" s="17"/>
      <c r="AD3193" s="17"/>
      <c r="AE3193" s="17"/>
      <c r="AF3193" s="17"/>
      <c r="AG3193" s="21"/>
      <c r="AH3193" s="21"/>
      <c r="AI3193" s="21"/>
      <c r="AJ3193" s="21"/>
      <c r="AK3193" s="21"/>
      <c r="AL3193" s="21"/>
      <c r="AM3193" s="21"/>
      <c r="AN3193" s="21"/>
      <c r="AO3193" s="22"/>
      <c r="AP3193" s="21"/>
      <c r="AQ3193" s="22"/>
      <c r="AR3193" s="21"/>
      <c r="AS3193" s="21"/>
      <c r="AT3193" s="21"/>
      <c r="AU3193" s="21"/>
      <c r="AV3193" s="21"/>
      <c r="AW3193" s="21"/>
      <c r="AX3193" s="22"/>
      <c r="AY3193" s="21"/>
      <c r="AZ3193" s="22"/>
      <c r="BA3193" s="21"/>
      <c r="BB3193" s="21"/>
      <c r="BC3193" s="21"/>
      <c r="BD3193" s="21"/>
      <c r="BE3193" s="26"/>
      <c r="BF3193" s="26"/>
      <c r="BG3193" s="62"/>
    </row>
    <row r="3194" spans="1:59" ht="13.5" customHeight="1" x14ac:dyDescent="0.35">
      <c r="A3194" s="49"/>
      <c r="B3194" s="49"/>
      <c r="C3194" s="14"/>
      <c r="D3194" s="1"/>
      <c r="E3194" s="149"/>
      <c r="F3194" s="153"/>
      <c r="G3194" s="10"/>
      <c r="H3194" s="17"/>
      <c r="I3194" s="17"/>
      <c r="J3194" s="17"/>
      <c r="K3194" s="30"/>
      <c r="L3194" s="30"/>
      <c r="M3194" s="30"/>
      <c r="N3194" s="30"/>
      <c r="O3194" s="30"/>
      <c r="P3194" s="30"/>
      <c r="Q3194" s="30"/>
      <c r="R3194" s="30"/>
      <c r="S3194" s="30"/>
      <c r="T3194" s="30"/>
      <c r="U3194" s="30"/>
      <c r="V3194" s="30"/>
      <c r="W3194" s="29"/>
      <c r="X3194" s="15"/>
      <c r="Y3194" s="30"/>
      <c r="Z3194" s="30"/>
      <c r="AA3194" s="30"/>
      <c r="AB3194" s="30"/>
      <c r="AC3194" s="17"/>
      <c r="AD3194" s="17"/>
      <c r="AE3194" s="17"/>
      <c r="AF3194" s="17"/>
      <c r="AG3194" s="21"/>
      <c r="AH3194" s="21"/>
      <c r="AI3194" s="21"/>
      <c r="AJ3194" s="21"/>
      <c r="AK3194" s="21"/>
      <c r="AL3194" s="21"/>
      <c r="AM3194" s="21"/>
      <c r="AN3194" s="21"/>
      <c r="AO3194" s="22"/>
      <c r="AP3194" s="21"/>
      <c r="AQ3194" s="22"/>
      <c r="AR3194" s="21"/>
      <c r="AS3194" s="21"/>
      <c r="AT3194" s="21"/>
      <c r="AU3194" s="21"/>
      <c r="AV3194" s="21"/>
      <c r="AW3194" s="21"/>
      <c r="AX3194" s="22"/>
      <c r="AY3194" s="21"/>
      <c r="AZ3194" s="22"/>
      <c r="BA3194" s="21"/>
      <c r="BB3194" s="21"/>
      <c r="BC3194" s="21"/>
      <c r="BD3194" s="21"/>
      <c r="BE3194" s="26"/>
      <c r="BF3194" s="26"/>
      <c r="BG3194" s="62"/>
    </row>
    <row r="3195" spans="1:59" ht="13.5" customHeight="1" x14ac:dyDescent="0.35">
      <c r="A3195" s="49"/>
      <c r="B3195" s="49"/>
      <c r="C3195" s="14"/>
      <c r="D3195" s="1"/>
      <c r="E3195" s="149"/>
      <c r="F3195" s="153"/>
      <c r="G3195" s="10"/>
      <c r="H3195" s="17"/>
      <c r="I3195" s="17"/>
      <c r="J3195" s="17"/>
      <c r="K3195" s="30"/>
      <c r="L3195" s="30"/>
      <c r="M3195" s="30"/>
      <c r="N3195" s="30"/>
      <c r="O3195" s="30"/>
      <c r="P3195" s="30"/>
      <c r="Q3195" s="30"/>
      <c r="R3195" s="30"/>
      <c r="S3195" s="30"/>
      <c r="T3195" s="30"/>
      <c r="U3195" s="30"/>
      <c r="V3195" s="30"/>
      <c r="W3195" s="29"/>
      <c r="X3195" s="15"/>
      <c r="Y3195" s="30"/>
      <c r="Z3195" s="30"/>
      <c r="AA3195" s="30"/>
      <c r="AB3195" s="30"/>
      <c r="AC3195" s="17"/>
      <c r="AD3195" s="17"/>
      <c r="AE3195" s="17"/>
      <c r="AF3195" s="17"/>
      <c r="AG3195" s="21"/>
      <c r="AH3195" s="21"/>
      <c r="AI3195" s="21"/>
      <c r="AJ3195" s="21"/>
      <c r="AK3195" s="21"/>
      <c r="AL3195" s="21"/>
      <c r="AM3195" s="21"/>
      <c r="AN3195" s="21"/>
      <c r="AO3195" s="22"/>
      <c r="AP3195" s="21"/>
      <c r="AQ3195" s="22"/>
      <c r="AR3195" s="21"/>
      <c r="AS3195" s="21"/>
      <c r="AT3195" s="21"/>
      <c r="AU3195" s="21"/>
      <c r="AV3195" s="21"/>
      <c r="AW3195" s="21"/>
      <c r="AX3195" s="22"/>
      <c r="AY3195" s="21"/>
      <c r="AZ3195" s="22"/>
      <c r="BA3195" s="21"/>
      <c r="BB3195" s="21"/>
      <c r="BC3195" s="21"/>
      <c r="BD3195" s="21"/>
      <c r="BE3195" s="26"/>
      <c r="BF3195" s="26"/>
      <c r="BG3195" s="62"/>
    </row>
    <row r="3196" spans="1:59" ht="13.5" customHeight="1" x14ac:dyDescent="0.35">
      <c r="A3196" s="49"/>
      <c r="B3196" s="49"/>
      <c r="C3196" s="14"/>
      <c r="D3196" s="1"/>
      <c r="E3196" s="149"/>
      <c r="F3196" s="153"/>
      <c r="G3196" s="10"/>
      <c r="H3196" s="17"/>
      <c r="I3196" s="17"/>
      <c r="J3196" s="17"/>
      <c r="K3196" s="30"/>
      <c r="L3196" s="30"/>
      <c r="M3196" s="30"/>
      <c r="N3196" s="30"/>
      <c r="O3196" s="30"/>
      <c r="P3196" s="30"/>
      <c r="Q3196" s="30"/>
      <c r="R3196" s="30"/>
      <c r="S3196" s="30"/>
      <c r="T3196" s="30"/>
      <c r="U3196" s="30"/>
      <c r="V3196" s="30"/>
      <c r="W3196" s="29"/>
      <c r="X3196" s="15"/>
      <c r="Y3196" s="30"/>
      <c r="Z3196" s="30"/>
      <c r="AA3196" s="30"/>
      <c r="AB3196" s="30"/>
      <c r="AC3196" s="17"/>
      <c r="AD3196" s="17"/>
      <c r="AE3196" s="17"/>
      <c r="AF3196" s="17"/>
      <c r="AG3196" s="21"/>
      <c r="AH3196" s="21"/>
      <c r="AI3196" s="21"/>
      <c r="AJ3196" s="21"/>
      <c r="AK3196" s="21"/>
      <c r="AL3196" s="21"/>
      <c r="AM3196" s="21"/>
      <c r="AN3196" s="21"/>
      <c r="AO3196" s="22"/>
      <c r="AP3196" s="21"/>
      <c r="AQ3196" s="22"/>
      <c r="AR3196" s="21"/>
      <c r="AS3196" s="21"/>
      <c r="AT3196" s="21"/>
      <c r="AU3196" s="21"/>
      <c r="AV3196" s="21"/>
      <c r="AW3196" s="21"/>
      <c r="AX3196" s="22"/>
      <c r="AY3196" s="21"/>
      <c r="AZ3196" s="22"/>
      <c r="BA3196" s="21"/>
      <c r="BB3196" s="21"/>
      <c r="BC3196" s="21"/>
      <c r="BD3196" s="21"/>
      <c r="BE3196" s="26"/>
      <c r="BF3196" s="26"/>
      <c r="BG3196" s="62"/>
    </row>
    <row r="3197" spans="1:59" ht="13.5" customHeight="1" x14ac:dyDescent="0.35">
      <c r="A3197" s="49"/>
      <c r="B3197" s="49"/>
      <c r="C3197" s="39"/>
      <c r="D3197" s="1"/>
      <c r="E3197" s="149"/>
      <c r="F3197" s="153"/>
      <c r="G3197" s="10"/>
      <c r="H3197" s="17"/>
      <c r="I3197" s="17"/>
      <c r="J3197" s="17"/>
      <c r="K3197" s="30"/>
      <c r="L3197" s="30"/>
      <c r="M3197" s="30"/>
      <c r="N3197" s="30"/>
      <c r="O3197" s="30"/>
      <c r="P3197" s="30"/>
      <c r="Q3197" s="30"/>
      <c r="R3197" s="30"/>
      <c r="S3197" s="30"/>
      <c r="T3197" s="30"/>
      <c r="U3197" s="30"/>
      <c r="V3197" s="30"/>
      <c r="W3197" s="29"/>
      <c r="X3197" s="15"/>
      <c r="Y3197" s="30"/>
      <c r="Z3197" s="30"/>
      <c r="AA3197" s="30"/>
      <c r="AB3197" s="30"/>
      <c r="AC3197" s="17"/>
      <c r="AD3197" s="17"/>
      <c r="AE3197" s="17"/>
      <c r="AF3197" s="17"/>
      <c r="AG3197" s="21"/>
      <c r="AH3197" s="21"/>
      <c r="AI3197" s="21"/>
      <c r="AJ3197" s="21"/>
      <c r="AK3197" s="21"/>
      <c r="AL3197" s="21"/>
      <c r="AM3197" s="21"/>
      <c r="AN3197" s="21"/>
      <c r="AO3197" s="22"/>
      <c r="AP3197" s="21"/>
      <c r="AQ3197" s="22"/>
      <c r="AR3197" s="21"/>
      <c r="AS3197" s="21"/>
      <c r="AT3197" s="21"/>
      <c r="AU3197" s="21"/>
      <c r="AV3197" s="21"/>
      <c r="AW3197" s="21"/>
      <c r="AX3197" s="22"/>
      <c r="AY3197" s="21"/>
      <c r="AZ3197" s="22"/>
      <c r="BA3197" s="21"/>
      <c r="BB3197" s="21"/>
      <c r="BC3197" s="21"/>
      <c r="BD3197" s="21"/>
      <c r="BE3197" s="26"/>
      <c r="BF3197" s="26"/>
      <c r="BG3197" s="62"/>
    </row>
    <row r="3198" spans="1:59" ht="13.5" customHeight="1" x14ac:dyDescent="0.35">
      <c r="A3198" s="49"/>
      <c r="B3198" s="49"/>
      <c r="C3198" s="39"/>
      <c r="D3198" s="1"/>
      <c r="E3198" s="149"/>
      <c r="F3198" s="153"/>
      <c r="G3198" s="10"/>
      <c r="H3198" s="17"/>
      <c r="I3198" s="17"/>
      <c r="J3198" s="17"/>
      <c r="K3198" s="30"/>
      <c r="L3198" s="30"/>
      <c r="M3198" s="30"/>
      <c r="N3198" s="30"/>
      <c r="O3198" s="30"/>
      <c r="P3198" s="30"/>
      <c r="Q3198" s="30"/>
      <c r="R3198" s="30"/>
      <c r="S3198" s="30"/>
      <c r="T3198" s="30"/>
      <c r="U3198" s="30"/>
      <c r="V3198" s="30"/>
      <c r="W3198" s="29"/>
      <c r="X3198" s="15"/>
      <c r="Y3198" s="30"/>
      <c r="Z3198" s="30"/>
      <c r="AA3198" s="30"/>
      <c r="AB3198" s="30"/>
      <c r="AC3198" s="17"/>
      <c r="AD3198" s="17"/>
      <c r="AE3198" s="17"/>
      <c r="AF3198" s="17"/>
      <c r="AG3198" s="21"/>
      <c r="AH3198" s="21"/>
      <c r="AI3198" s="21"/>
      <c r="AJ3198" s="21"/>
      <c r="AK3198" s="21"/>
      <c r="AL3198" s="21"/>
      <c r="AM3198" s="21"/>
      <c r="AN3198" s="21"/>
      <c r="AO3198" s="22"/>
      <c r="AP3198" s="21"/>
      <c r="AQ3198" s="22"/>
      <c r="AR3198" s="21"/>
      <c r="AS3198" s="21"/>
      <c r="AT3198" s="21"/>
      <c r="AU3198" s="21"/>
      <c r="AV3198" s="21"/>
      <c r="AW3198" s="21"/>
      <c r="AX3198" s="22"/>
      <c r="AY3198" s="21"/>
      <c r="AZ3198" s="22"/>
      <c r="BA3198" s="21"/>
      <c r="BB3198" s="21"/>
      <c r="BC3198" s="21"/>
      <c r="BD3198" s="21"/>
      <c r="BE3198" s="26"/>
      <c r="BF3198" s="26"/>
      <c r="BG3198" s="62"/>
    </row>
    <row r="3199" spans="1:59" ht="13.5" customHeight="1" x14ac:dyDescent="0.35">
      <c r="A3199" s="49"/>
      <c r="B3199" s="49"/>
      <c r="C3199" s="39"/>
      <c r="D3199" s="1"/>
      <c r="E3199" s="149"/>
      <c r="F3199" s="153"/>
      <c r="G3199" s="10"/>
      <c r="H3199" s="17"/>
      <c r="I3199" s="17"/>
      <c r="J3199" s="17"/>
      <c r="K3199" s="30"/>
      <c r="L3199" s="30"/>
      <c r="M3199" s="30"/>
      <c r="N3199" s="30"/>
      <c r="O3199" s="30"/>
      <c r="P3199" s="30"/>
      <c r="Q3199" s="30"/>
      <c r="R3199" s="30"/>
      <c r="S3199" s="30"/>
      <c r="T3199" s="30"/>
      <c r="U3199" s="30"/>
      <c r="V3199" s="30"/>
      <c r="W3199" s="29"/>
      <c r="X3199" s="15"/>
      <c r="Y3199" s="30"/>
      <c r="Z3199" s="30"/>
      <c r="AA3199" s="30"/>
      <c r="AB3199" s="30"/>
      <c r="AC3199" s="17"/>
      <c r="AD3199" s="17"/>
      <c r="AE3199" s="17"/>
      <c r="AF3199" s="17"/>
      <c r="AG3199" s="21"/>
      <c r="AH3199" s="21"/>
      <c r="AI3199" s="21"/>
      <c r="AJ3199" s="21"/>
      <c r="AK3199" s="21"/>
      <c r="AL3199" s="21"/>
      <c r="AM3199" s="21"/>
      <c r="AN3199" s="21"/>
      <c r="AO3199" s="22"/>
      <c r="AP3199" s="21"/>
      <c r="AQ3199" s="22"/>
      <c r="AR3199" s="21"/>
      <c r="AS3199" s="21"/>
      <c r="AT3199" s="21"/>
      <c r="AU3199" s="21"/>
      <c r="AV3199" s="21"/>
      <c r="AW3199" s="21"/>
      <c r="AX3199" s="22"/>
      <c r="AY3199" s="21"/>
      <c r="AZ3199" s="22"/>
      <c r="BA3199" s="21"/>
      <c r="BB3199" s="21"/>
      <c r="BC3199" s="21"/>
      <c r="BD3199" s="21"/>
      <c r="BE3199" s="26"/>
      <c r="BF3199" s="26"/>
      <c r="BG3199" s="62"/>
    </row>
    <row r="3200" spans="1:59" ht="13.5" customHeight="1" x14ac:dyDescent="0.35">
      <c r="A3200" s="49"/>
      <c r="B3200" s="49"/>
      <c r="C3200" s="39"/>
      <c r="D3200" s="1"/>
      <c r="E3200" s="149"/>
      <c r="F3200" s="153"/>
      <c r="G3200" s="10"/>
      <c r="H3200" s="17"/>
      <c r="I3200" s="17"/>
      <c r="J3200" s="17"/>
      <c r="K3200" s="30"/>
      <c r="L3200" s="30"/>
      <c r="M3200" s="30"/>
      <c r="N3200" s="30"/>
      <c r="O3200" s="30"/>
      <c r="P3200" s="30"/>
      <c r="Q3200" s="30"/>
      <c r="R3200" s="30"/>
      <c r="S3200" s="30"/>
      <c r="T3200" s="30"/>
      <c r="U3200" s="30"/>
      <c r="V3200" s="30"/>
      <c r="W3200" s="29"/>
      <c r="X3200" s="15"/>
      <c r="Y3200" s="30"/>
      <c r="Z3200" s="30"/>
      <c r="AA3200" s="30"/>
      <c r="AB3200" s="30"/>
      <c r="AC3200" s="17"/>
      <c r="AD3200" s="17"/>
      <c r="AE3200" s="17"/>
      <c r="AF3200" s="17"/>
      <c r="AG3200" s="21"/>
      <c r="AH3200" s="21"/>
      <c r="AI3200" s="21"/>
      <c r="AJ3200" s="21"/>
      <c r="AK3200" s="21"/>
      <c r="AL3200" s="21"/>
      <c r="AM3200" s="21"/>
      <c r="AN3200" s="21"/>
      <c r="AO3200" s="22"/>
      <c r="AP3200" s="21"/>
      <c r="AQ3200" s="22"/>
      <c r="AR3200" s="21"/>
      <c r="AS3200" s="21"/>
      <c r="AT3200" s="21"/>
      <c r="AU3200" s="21"/>
      <c r="AV3200" s="21"/>
      <c r="AW3200" s="21"/>
      <c r="AX3200" s="22"/>
      <c r="AY3200" s="21"/>
      <c r="AZ3200" s="22"/>
      <c r="BA3200" s="21"/>
      <c r="BB3200" s="21"/>
      <c r="BC3200" s="21"/>
      <c r="BD3200" s="21"/>
      <c r="BE3200" s="26"/>
      <c r="BF3200" s="26"/>
      <c r="BG3200" s="62"/>
    </row>
    <row r="3201" spans="1:59" ht="13.5" customHeight="1" x14ac:dyDescent="0.35">
      <c r="A3201" s="49"/>
      <c r="B3201" s="49"/>
      <c r="C3201" s="39"/>
      <c r="D3201" s="1"/>
      <c r="E3201" s="149"/>
      <c r="F3201" s="153"/>
      <c r="G3201" s="10"/>
      <c r="H3201" s="17"/>
      <c r="I3201" s="17"/>
      <c r="J3201" s="17"/>
      <c r="K3201" s="30"/>
      <c r="L3201" s="30"/>
      <c r="M3201" s="30"/>
      <c r="N3201" s="30"/>
      <c r="O3201" s="30"/>
      <c r="P3201" s="30"/>
      <c r="Q3201" s="30"/>
      <c r="R3201" s="30"/>
      <c r="S3201" s="30"/>
      <c r="T3201" s="30"/>
      <c r="U3201" s="30"/>
      <c r="V3201" s="30"/>
      <c r="W3201" s="29"/>
      <c r="X3201" s="15"/>
      <c r="Y3201" s="30"/>
      <c r="Z3201" s="30"/>
      <c r="AA3201" s="30"/>
      <c r="AB3201" s="30"/>
      <c r="AC3201" s="17"/>
      <c r="AD3201" s="17"/>
      <c r="AE3201" s="17"/>
      <c r="AF3201" s="17"/>
      <c r="AG3201" s="21"/>
      <c r="AH3201" s="21"/>
      <c r="AI3201" s="21"/>
      <c r="AJ3201" s="21"/>
      <c r="AK3201" s="21"/>
      <c r="AL3201" s="21"/>
      <c r="AM3201" s="21"/>
      <c r="AN3201" s="21"/>
      <c r="AO3201" s="22"/>
      <c r="AP3201" s="21"/>
      <c r="AQ3201" s="22"/>
      <c r="AR3201" s="21"/>
      <c r="AS3201" s="21"/>
      <c r="AT3201" s="21"/>
      <c r="AU3201" s="21"/>
      <c r="AV3201" s="21"/>
      <c r="AW3201" s="21"/>
      <c r="AX3201" s="22"/>
      <c r="AY3201" s="21"/>
      <c r="AZ3201" s="22"/>
      <c r="BA3201" s="21"/>
      <c r="BB3201" s="21"/>
      <c r="BC3201" s="21"/>
      <c r="BD3201" s="21"/>
      <c r="BE3201" s="26"/>
      <c r="BF3201" s="26"/>
      <c r="BG3201" s="62"/>
    </row>
    <row r="3202" spans="1:59" ht="13.5" customHeight="1" x14ac:dyDescent="0.35">
      <c r="A3202" s="49"/>
      <c r="B3202" s="49"/>
      <c r="C3202" s="39"/>
      <c r="D3202" s="1"/>
      <c r="E3202" s="149"/>
      <c r="F3202" s="153"/>
      <c r="G3202" s="10"/>
      <c r="H3202" s="17"/>
      <c r="I3202" s="17"/>
      <c r="J3202" s="17"/>
      <c r="K3202" s="30"/>
      <c r="L3202" s="30"/>
      <c r="M3202" s="30"/>
      <c r="N3202" s="30"/>
      <c r="O3202" s="30"/>
      <c r="P3202" s="30"/>
      <c r="Q3202" s="30"/>
      <c r="R3202" s="30"/>
      <c r="S3202" s="30"/>
      <c r="T3202" s="30"/>
      <c r="U3202" s="30"/>
      <c r="V3202" s="30"/>
      <c r="W3202" s="29"/>
      <c r="X3202" s="15"/>
      <c r="Y3202" s="30"/>
      <c r="Z3202" s="30"/>
      <c r="AA3202" s="30"/>
      <c r="AB3202" s="30"/>
      <c r="AC3202" s="17"/>
      <c r="AD3202" s="17"/>
      <c r="AE3202" s="17"/>
      <c r="AF3202" s="17"/>
      <c r="AG3202" s="21"/>
      <c r="AH3202" s="21"/>
      <c r="AI3202" s="21"/>
      <c r="AJ3202" s="21"/>
      <c r="AK3202" s="21"/>
      <c r="AL3202" s="21"/>
      <c r="AM3202" s="21"/>
      <c r="AN3202" s="21"/>
      <c r="AO3202" s="22"/>
      <c r="AP3202" s="21"/>
      <c r="AQ3202" s="22"/>
      <c r="AR3202" s="21"/>
      <c r="AS3202" s="21"/>
      <c r="AT3202" s="21"/>
      <c r="AU3202" s="21"/>
      <c r="AV3202" s="21"/>
      <c r="AW3202" s="21"/>
      <c r="AX3202" s="22"/>
      <c r="AY3202" s="21"/>
      <c r="AZ3202" s="22"/>
      <c r="BA3202" s="21"/>
      <c r="BB3202" s="21"/>
      <c r="BC3202" s="21"/>
      <c r="BD3202" s="21"/>
      <c r="BE3202" s="26"/>
      <c r="BF3202" s="26"/>
      <c r="BG3202" s="62"/>
    </row>
    <row r="3203" spans="1:59" ht="13.5" customHeight="1" x14ac:dyDescent="0.35">
      <c r="A3203" s="49"/>
      <c r="B3203" s="49"/>
      <c r="C3203" s="39"/>
      <c r="D3203" s="1"/>
      <c r="E3203" s="149"/>
      <c r="F3203" s="153"/>
      <c r="G3203" s="10"/>
      <c r="H3203" s="17"/>
      <c r="I3203" s="17"/>
      <c r="J3203" s="17"/>
      <c r="K3203" s="30"/>
      <c r="L3203" s="30"/>
      <c r="M3203" s="30"/>
      <c r="N3203" s="30"/>
      <c r="O3203" s="30"/>
      <c r="P3203" s="30"/>
      <c r="Q3203" s="30"/>
      <c r="R3203" s="30"/>
      <c r="S3203" s="30"/>
      <c r="T3203" s="30"/>
      <c r="U3203" s="30"/>
      <c r="V3203" s="30"/>
      <c r="W3203" s="29"/>
      <c r="X3203" s="15"/>
      <c r="Y3203" s="30"/>
      <c r="Z3203" s="30"/>
      <c r="AA3203" s="30"/>
      <c r="AB3203" s="30"/>
      <c r="AC3203" s="17"/>
      <c r="AD3203" s="17"/>
      <c r="AE3203" s="17"/>
      <c r="AF3203" s="17"/>
      <c r="AG3203" s="21"/>
      <c r="AH3203" s="21"/>
      <c r="AI3203" s="21"/>
      <c r="AJ3203" s="21"/>
      <c r="AK3203" s="21"/>
      <c r="AL3203" s="21"/>
      <c r="AM3203" s="21"/>
      <c r="AN3203" s="21"/>
      <c r="AO3203" s="22"/>
      <c r="AP3203" s="21"/>
      <c r="AQ3203" s="22"/>
      <c r="AR3203" s="21"/>
      <c r="AS3203" s="21"/>
      <c r="AT3203" s="21"/>
      <c r="AU3203" s="21"/>
      <c r="AV3203" s="21"/>
      <c r="AW3203" s="21"/>
      <c r="AX3203" s="22"/>
      <c r="AY3203" s="21"/>
      <c r="AZ3203" s="22"/>
      <c r="BA3203" s="21"/>
      <c r="BB3203" s="21"/>
      <c r="BC3203" s="21"/>
      <c r="BD3203" s="21"/>
      <c r="BE3203" s="26"/>
      <c r="BF3203" s="26"/>
      <c r="BG3203" s="62"/>
    </row>
    <row r="3204" spans="1:59" ht="13.5" customHeight="1" x14ac:dyDescent="0.35">
      <c r="A3204" s="49"/>
      <c r="B3204" s="49"/>
      <c r="C3204" s="39"/>
      <c r="D3204" s="1"/>
      <c r="E3204" s="149"/>
      <c r="F3204" s="153"/>
      <c r="G3204" s="10"/>
      <c r="H3204" s="17"/>
      <c r="I3204" s="17"/>
      <c r="J3204" s="17"/>
      <c r="K3204" s="30"/>
      <c r="L3204" s="30"/>
      <c r="M3204" s="30"/>
      <c r="N3204" s="30"/>
      <c r="O3204" s="30"/>
      <c r="P3204" s="30"/>
      <c r="Q3204" s="30"/>
      <c r="R3204" s="30"/>
      <c r="S3204" s="30"/>
      <c r="T3204" s="30"/>
      <c r="U3204" s="30"/>
      <c r="V3204" s="30"/>
      <c r="W3204" s="29"/>
      <c r="X3204" s="15"/>
      <c r="Y3204" s="30"/>
      <c r="Z3204" s="30"/>
      <c r="AA3204" s="30"/>
      <c r="AB3204" s="30"/>
      <c r="AC3204" s="17"/>
      <c r="AD3204" s="17"/>
      <c r="AE3204" s="17"/>
      <c r="AF3204" s="17"/>
      <c r="AG3204" s="21"/>
      <c r="AH3204" s="21"/>
      <c r="AI3204" s="21"/>
      <c r="AJ3204" s="21"/>
      <c r="AK3204" s="21"/>
      <c r="AL3204" s="21"/>
      <c r="AM3204" s="21"/>
      <c r="AN3204" s="21"/>
      <c r="AO3204" s="22"/>
      <c r="AP3204" s="21"/>
      <c r="AQ3204" s="22"/>
      <c r="AR3204" s="21"/>
      <c r="AS3204" s="21"/>
      <c r="AT3204" s="21"/>
      <c r="AU3204" s="21"/>
      <c r="AV3204" s="21"/>
      <c r="AW3204" s="21"/>
      <c r="AX3204" s="22"/>
      <c r="AY3204" s="21"/>
      <c r="AZ3204" s="22"/>
      <c r="BA3204" s="21"/>
      <c r="BB3204" s="21"/>
      <c r="BC3204" s="21"/>
      <c r="BD3204" s="21"/>
      <c r="BE3204" s="26"/>
      <c r="BF3204" s="26"/>
      <c r="BG3204" s="62"/>
    </row>
    <row r="3205" spans="1:59" ht="13.5" customHeight="1" x14ac:dyDescent="0.35">
      <c r="A3205" s="49"/>
      <c r="B3205" s="49"/>
      <c r="C3205" s="39"/>
      <c r="D3205" s="1"/>
      <c r="E3205" s="149"/>
      <c r="F3205" s="153"/>
      <c r="G3205" s="10"/>
      <c r="H3205" s="17"/>
      <c r="I3205" s="17"/>
      <c r="J3205" s="17"/>
      <c r="K3205" s="30"/>
      <c r="L3205" s="30"/>
      <c r="M3205" s="30"/>
      <c r="N3205" s="30"/>
      <c r="O3205" s="30"/>
      <c r="P3205" s="30"/>
      <c r="Q3205" s="30"/>
      <c r="R3205" s="30"/>
      <c r="S3205" s="30"/>
      <c r="T3205" s="30"/>
      <c r="U3205" s="30"/>
      <c r="V3205" s="30"/>
      <c r="W3205" s="29"/>
      <c r="X3205" s="15"/>
      <c r="Y3205" s="30"/>
      <c r="Z3205" s="30"/>
      <c r="AA3205" s="30"/>
      <c r="AB3205" s="30"/>
      <c r="AC3205" s="17"/>
      <c r="AD3205" s="17"/>
      <c r="AE3205" s="17"/>
      <c r="AF3205" s="17"/>
      <c r="AG3205" s="21"/>
      <c r="AH3205" s="21"/>
      <c r="AI3205" s="21"/>
      <c r="AJ3205" s="21"/>
      <c r="AK3205" s="21"/>
      <c r="AL3205" s="21"/>
      <c r="AM3205" s="21"/>
      <c r="AN3205" s="21"/>
      <c r="AO3205" s="22"/>
      <c r="AP3205" s="21"/>
      <c r="AQ3205" s="22"/>
      <c r="AR3205" s="21"/>
      <c r="AS3205" s="21"/>
      <c r="AT3205" s="21"/>
      <c r="AU3205" s="21"/>
      <c r="AV3205" s="21"/>
      <c r="AW3205" s="21"/>
      <c r="AX3205" s="22"/>
      <c r="AY3205" s="21"/>
      <c r="AZ3205" s="22"/>
      <c r="BA3205" s="21"/>
      <c r="BB3205" s="21"/>
      <c r="BC3205" s="21"/>
      <c r="BD3205" s="21"/>
      <c r="BE3205" s="26"/>
      <c r="BF3205" s="26"/>
      <c r="BG3205" s="65"/>
    </row>
    <row r="3206" spans="1:59" x14ac:dyDescent="0.3">
      <c r="A3206" s="6"/>
      <c r="B3206" s="6"/>
      <c r="C3206" s="39"/>
      <c r="D3206" s="6"/>
      <c r="E3206" s="149"/>
      <c r="F3206" s="153"/>
      <c r="G3206" s="10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9"/>
      <c r="AD3206" s="9"/>
      <c r="AE3206" s="9"/>
      <c r="AF3206" s="9"/>
      <c r="AG3206" s="9"/>
      <c r="AH3206" s="9"/>
      <c r="AI3206" s="9"/>
      <c r="AJ3206" s="9"/>
      <c r="AK3206" s="9"/>
      <c r="AL3206" s="9"/>
      <c r="AM3206" s="9"/>
      <c r="AN3206" s="9"/>
      <c r="AO3206" s="9"/>
      <c r="AP3206" s="9"/>
      <c r="AQ3206" s="9"/>
      <c r="AR3206" s="9"/>
      <c r="AS3206" s="9"/>
      <c r="AT3206" s="9"/>
      <c r="AU3206" s="9"/>
      <c r="AV3206" s="9"/>
      <c r="AW3206" s="9"/>
      <c r="AX3206" s="9"/>
      <c r="AY3206" s="9"/>
      <c r="AZ3206" s="9"/>
      <c r="BA3206" s="9"/>
      <c r="BB3206" s="9"/>
      <c r="BC3206" s="9"/>
      <c r="BD3206" s="9"/>
      <c r="BE3206" s="9"/>
      <c r="BF3206" s="9"/>
      <c r="BG3206" s="9"/>
    </row>
    <row r="3207" spans="1:59" s="14" customFormat="1" x14ac:dyDescent="0.3">
      <c r="D3207" s="6"/>
      <c r="F3207" s="155"/>
    </row>
    <row r="3208" spans="1:59" x14ac:dyDescent="0.3">
      <c r="AX3208" s="3"/>
      <c r="AY3208" s="3"/>
    </row>
    <row r="3209" spans="1:59" x14ac:dyDescent="0.3">
      <c r="U3209" s="41"/>
      <c r="V3209" s="41"/>
    </row>
    <row r="3215" spans="1:59" ht="43.2" x14ac:dyDescent="0.3">
      <c r="AA3215" s="36" t="s">
        <v>45</v>
      </c>
      <c r="AB3215" s="36" t="s">
        <v>0</v>
      </c>
      <c r="AC3215" s="32" t="s">
        <v>72</v>
      </c>
      <c r="AD3215" s="34" t="s">
        <v>73</v>
      </c>
      <c r="AF3215" s="36" t="s">
        <v>45</v>
      </c>
      <c r="AG3215" s="36" t="s">
        <v>0</v>
      </c>
      <c r="AH3215" s="32" t="s">
        <v>72</v>
      </c>
      <c r="AI3215" s="34" t="s">
        <v>73</v>
      </c>
      <c r="AJ3215" s="34"/>
    </row>
    <row r="3216" spans="1:59" x14ac:dyDescent="0.3">
      <c r="AA3216" s="14">
        <v>2022</v>
      </c>
      <c r="AB3216" s="6" t="s">
        <v>13</v>
      </c>
      <c r="AC3216" s="21">
        <v>20.637702566567782</v>
      </c>
      <c r="AD3216" s="67">
        <v>100</v>
      </c>
      <c r="AF3216" s="39">
        <v>2021</v>
      </c>
      <c r="AG3216" s="6" t="s">
        <v>17</v>
      </c>
      <c r="AH3216" s="21">
        <v>33.829451549825087</v>
      </c>
      <c r="AI3216" s="67">
        <v>100</v>
      </c>
      <c r="AJ3216" s="67"/>
    </row>
    <row r="3217" spans="27:39" x14ac:dyDescent="0.3">
      <c r="AA3217" s="14">
        <v>2022</v>
      </c>
      <c r="AB3217" s="6" t="s">
        <v>3</v>
      </c>
      <c r="AC3217" s="21">
        <v>11.009136957676603</v>
      </c>
      <c r="AD3217" s="21">
        <v>53.344779643791099</v>
      </c>
      <c r="AF3217" s="39">
        <v>2021</v>
      </c>
      <c r="AG3217" s="6" t="s">
        <v>3</v>
      </c>
      <c r="AH3217" s="2">
        <v>31.977234319821118</v>
      </c>
      <c r="AI3217" s="2">
        <v>94.524838136154926</v>
      </c>
      <c r="AJ3217" s="2"/>
    </row>
    <row r="3218" spans="27:39" x14ac:dyDescent="0.3">
      <c r="AA3218" s="14">
        <v>2022</v>
      </c>
      <c r="AB3218" s="6" t="s">
        <v>17</v>
      </c>
      <c r="AC3218" s="21">
        <v>9.3401132915118694</v>
      </c>
      <c r="AD3218" s="21">
        <v>45.257524481637134</v>
      </c>
      <c r="AF3218" s="39">
        <v>2021</v>
      </c>
      <c r="AG3218" s="6" t="s">
        <v>4</v>
      </c>
      <c r="AH3218" s="2">
        <v>25.870640208686641</v>
      </c>
      <c r="AI3218" s="2">
        <v>76.473720452084606</v>
      </c>
      <c r="AJ3218" s="2"/>
    </row>
    <row r="3219" spans="27:39" x14ac:dyDescent="0.3">
      <c r="AA3219" s="14">
        <v>2022</v>
      </c>
      <c r="AB3219" s="6" t="s">
        <v>5</v>
      </c>
      <c r="AC3219" s="21">
        <v>0.25949314566434512</v>
      </c>
      <c r="AD3219" s="21">
        <v>1.2573741908884433</v>
      </c>
      <c r="AF3219" s="39">
        <v>2021</v>
      </c>
      <c r="AG3219" s="6" t="s">
        <v>13</v>
      </c>
      <c r="AH3219" s="21">
        <v>22.982988318630046</v>
      </c>
      <c r="AI3219" s="21">
        <v>67.937809410773255</v>
      </c>
      <c r="AJ3219" s="21"/>
    </row>
    <row r="3220" spans="27:39" x14ac:dyDescent="0.3">
      <c r="AA3220" s="14">
        <v>2022</v>
      </c>
      <c r="AB3220" s="6" t="s">
        <v>4</v>
      </c>
      <c r="AC3220" s="21">
        <v>0</v>
      </c>
      <c r="AD3220" s="21">
        <v>0</v>
      </c>
      <c r="AF3220" s="39">
        <v>2021</v>
      </c>
      <c r="AG3220" s="6" t="s">
        <v>14</v>
      </c>
      <c r="AH3220" s="2">
        <v>18.210545079756926</v>
      </c>
      <c r="AI3220" s="2">
        <v>53.830447274428494</v>
      </c>
      <c r="AJ3220" s="2"/>
    </row>
    <row r="3221" spans="27:39" x14ac:dyDescent="0.3">
      <c r="AF3221" s="39">
        <v>2021</v>
      </c>
      <c r="AG3221" s="6" t="s">
        <v>5</v>
      </c>
      <c r="AH3221" s="3">
        <v>14.157158924125232</v>
      </c>
      <c r="AI3221" s="3">
        <v>41.848620877799689</v>
      </c>
      <c r="AJ3221" s="3"/>
    </row>
    <row r="3224" spans="27:39" x14ac:dyDescent="0.3">
      <c r="AF3224" s="33">
        <v>2021</v>
      </c>
      <c r="AK3224" s="33">
        <v>2022</v>
      </c>
    </row>
    <row r="3225" spans="27:39" ht="43.2" x14ac:dyDescent="0.3">
      <c r="AF3225" s="33" t="s">
        <v>137</v>
      </c>
      <c r="AG3225" s="36" t="s">
        <v>0</v>
      </c>
      <c r="AH3225" s="32" t="s">
        <v>72</v>
      </c>
      <c r="AI3225" s="34" t="s">
        <v>73</v>
      </c>
      <c r="AJ3225" s="34"/>
      <c r="AK3225" s="36" t="s">
        <v>0</v>
      </c>
      <c r="AL3225" s="32" t="s">
        <v>72</v>
      </c>
      <c r="AM3225" s="34" t="s">
        <v>73</v>
      </c>
    </row>
    <row r="3226" spans="27:39" x14ac:dyDescent="0.3">
      <c r="AF3226" s="33">
        <v>1</v>
      </c>
      <c r="AG3226" s="6" t="s">
        <v>17</v>
      </c>
      <c r="AH3226" s="21">
        <v>33.829451549825087</v>
      </c>
      <c r="AI3226" s="67">
        <v>100</v>
      </c>
      <c r="AJ3226" s="67"/>
      <c r="AK3226" s="6" t="s">
        <v>13</v>
      </c>
      <c r="AL3226" s="21">
        <v>20.637702566567782</v>
      </c>
      <c r="AM3226" s="67">
        <v>100</v>
      </c>
    </row>
    <row r="3227" spans="27:39" x14ac:dyDescent="0.3">
      <c r="AA3227" s="14"/>
      <c r="AF3227" s="33">
        <v>2</v>
      </c>
      <c r="AG3227" s="6" t="s">
        <v>3</v>
      </c>
      <c r="AH3227" s="2">
        <v>31.977234319821118</v>
      </c>
      <c r="AI3227" s="2">
        <v>94.524838136154926</v>
      </c>
      <c r="AJ3227" s="2"/>
      <c r="AK3227" s="6" t="s">
        <v>3</v>
      </c>
      <c r="AL3227" s="21">
        <v>11.009136957676603</v>
      </c>
      <c r="AM3227" s="21">
        <v>53.344779643791099</v>
      </c>
    </row>
    <row r="3228" spans="27:39" x14ac:dyDescent="0.3">
      <c r="AF3228" s="33">
        <v>3</v>
      </c>
      <c r="AG3228" s="6" t="s">
        <v>4</v>
      </c>
      <c r="AH3228" s="2">
        <v>25.870640208686641</v>
      </c>
      <c r="AI3228" s="2">
        <v>76.473720452084606</v>
      </c>
      <c r="AJ3228" s="2"/>
      <c r="AK3228" s="6" t="s">
        <v>17</v>
      </c>
      <c r="AL3228" s="21">
        <v>9.3401132915118694</v>
      </c>
      <c r="AM3228" s="21">
        <v>45.257524481637134</v>
      </c>
    </row>
    <row r="3229" spans="27:39" x14ac:dyDescent="0.3">
      <c r="AF3229" s="33">
        <v>4</v>
      </c>
      <c r="AG3229" s="6" t="s">
        <v>13</v>
      </c>
      <c r="AH3229" s="21">
        <v>22.982988318630046</v>
      </c>
      <c r="AI3229" s="21">
        <v>67.937809410773255</v>
      </c>
      <c r="AJ3229" s="21"/>
      <c r="AK3229" s="6" t="s">
        <v>5</v>
      </c>
      <c r="AL3229" s="21">
        <v>0.25949314566434512</v>
      </c>
      <c r="AM3229" s="21">
        <v>1.2573741908884433</v>
      </c>
    </row>
    <row r="3230" spans="27:39" x14ac:dyDescent="0.3">
      <c r="AF3230" s="33">
        <v>5</v>
      </c>
      <c r="AG3230" s="6" t="s">
        <v>14</v>
      </c>
      <c r="AH3230" s="2">
        <v>18.210545079756926</v>
      </c>
      <c r="AI3230" s="2">
        <v>53.830447274428494</v>
      </c>
      <c r="AJ3230" s="2"/>
      <c r="AK3230" s="6" t="s">
        <v>4</v>
      </c>
      <c r="AL3230" s="21">
        <v>0</v>
      </c>
      <c r="AM3230" s="21">
        <v>0</v>
      </c>
    </row>
    <row r="3231" spans="27:39" x14ac:dyDescent="0.3">
      <c r="AF3231" s="33">
        <v>6</v>
      </c>
      <c r="AG3231" s="6" t="s">
        <v>5</v>
      </c>
      <c r="AH3231" s="3">
        <v>14.157158924125232</v>
      </c>
      <c r="AI3231" s="3">
        <v>41.848620877799689</v>
      </c>
      <c r="AJ3231" s="3"/>
    </row>
  </sheetData>
  <mergeCells count="9">
    <mergeCell ref="BE3:BG3"/>
    <mergeCell ref="H3:AB3"/>
    <mergeCell ref="AT3:AZ3"/>
    <mergeCell ref="A1:D1"/>
    <mergeCell ref="A2:D2"/>
    <mergeCell ref="AG3:AQ3"/>
    <mergeCell ref="AR3:AS3"/>
    <mergeCell ref="BB3:BD3"/>
    <mergeCell ref="AC3:AF3"/>
  </mergeCells>
  <conditionalFormatting sqref="E6">
    <cfRule type="cellIs" dxfId="29" priority="8" operator="equal">
      <formula>"N.D."</formula>
    </cfRule>
  </conditionalFormatting>
  <conditionalFormatting sqref="E13:E14 E28 E30 E32 E43 E54 E57 E61 E63 E70:E71 E73 E79 E83 E92:E93 E109:E110 E112 E124 E126 E128">
    <cfRule type="cellIs" dxfId="28" priority="4" operator="equal">
      <formula>"N.D."</formula>
    </cfRule>
  </conditionalFormatting>
  <conditionalFormatting sqref="E18">
    <cfRule type="cellIs" dxfId="27" priority="9" operator="equal">
      <formula>"N.D."</formula>
    </cfRule>
  </conditionalFormatting>
  <conditionalFormatting sqref="E34">
    <cfRule type="cellIs" dxfId="26" priority="10" operator="equal">
      <formula>"N.D."</formula>
    </cfRule>
  </conditionalFormatting>
  <conditionalFormatting sqref="E37">
    <cfRule type="cellIs" dxfId="25" priority="11" operator="equal">
      <formula>"N.D."</formula>
    </cfRule>
  </conditionalFormatting>
  <conditionalFormatting sqref="E46">
    <cfRule type="cellIs" dxfId="24" priority="12" operator="equal">
      <formula>"N.D."</formula>
    </cfRule>
  </conditionalFormatting>
  <conditionalFormatting sqref="E59">
    <cfRule type="cellIs" dxfId="23" priority="13" operator="equal">
      <formula>"N.D."</formula>
    </cfRule>
  </conditionalFormatting>
  <conditionalFormatting sqref="E75:E76">
    <cfRule type="cellIs" dxfId="22" priority="15" operator="equal">
      <formula>"N.D."</formula>
    </cfRule>
  </conditionalFormatting>
  <conditionalFormatting sqref="E100:E106 E130:E132 E138:E146 E156:E163">
    <cfRule type="cellIs" dxfId="21" priority="3" operator="equal">
      <formula>"N.D."</formula>
    </cfRule>
  </conditionalFormatting>
  <conditionalFormatting sqref="E114">
    <cfRule type="cellIs" dxfId="20" priority="18" operator="equal">
      <formula>"N.D."</formula>
    </cfRule>
  </conditionalFormatting>
  <conditionalFormatting sqref="E134:E136 E152:E154">
    <cfRule type="cellIs" dxfId="19" priority="5" operator="equal">
      <formula>"N.D."</formula>
    </cfRule>
  </conditionalFormatting>
  <conditionalFormatting sqref="E5:G5 AL5:BG100 F6 G6:G164 E7:F12 F13:F14 E15:F17 F18 E19:F27 F28 E29:F29 F30 E31:F31 F32 E33:F33 F34 E35:F36 F37 E38:F42 F43 E44:F45 F46 E47:F53 F54 E55:F56 F57 E58:F58 F59 E60:F60 F61 E62:F62 F63 E64:F69 F70:F71 E72:F72 F73 E74:F74 F75:F76 E77:F78 F79 E80:F82 F83 E84:F91 F92:F93 E94:F99 F100 E107:F108 F109:F110 E111:F111 F112 E113:F113 F114 E115:F123 F124 E125:F125 F126 E127:F127 F128 E129:F129 AI165:AJ1002 AL165:BG1002 E165:G3206 AC3216:AC3220 AH3216:AH3221 AI5:AJ100">
    <cfRule type="cellIs" dxfId="18" priority="40" operator="equal">
      <formula>"N.D."</formula>
    </cfRule>
  </conditionalFormatting>
  <conditionalFormatting sqref="F102">
    <cfRule type="cellIs" dxfId="17" priority="7" operator="equal">
      <formula>"N.D."</formula>
    </cfRule>
  </conditionalFormatting>
  <conditionalFormatting sqref="F130:F132 E133:F133 F134:F136 E137:F137 F138:F146 E147:F151 F152:F154 E155:F155 F156:F163 E164:F164">
    <cfRule type="cellIs" dxfId="16" priority="22" operator="equal">
      <formula>"N.D."</formula>
    </cfRule>
  </conditionalFormatting>
  <conditionalFormatting sqref="AG1003:AQ2104">
    <cfRule type="cellIs" dxfId="15" priority="49" operator="equal">
      <formula>"N.D."</formula>
    </cfRule>
  </conditionalFormatting>
  <conditionalFormatting sqref="AH3226:AH3231">
    <cfRule type="cellIs" dxfId="14" priority="33" operator="equal">
      <formula>"N.D."</formula>
    </cfRule>
  </conditionalFormatting>
  <conditionalFormatting sqref="AL107:AT132 AV107:BG132 AI133:AJ164 AL133:BG164">
    <cfRule type="cellIs" dxfId="13" priority="20" operator="equal">
      <formula>"N.D."</formula>
    </cfRule>
  </conditionalFormatting>
  <conditionalFormatting sqref="AL3226:AL3230">
    <cfRule type="cellIs" dxfId="12" priority="32" operator="equal">
      <formula>"N.D."</formula>
    </cfRule>
  </conditionalFormatting>
  <conditionalFormatting sqref="BG107:BG132 BG5:BG100 BG165:BG1002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33:BG16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1045 BG1189 BG1274 BG1345 BG1356 BG1377 BG1470 BG1490 BG1598 BG1621 BG1623 BG1640 BG1683 BG1818 BG1824 BG1877 BG1899 BG1967 BG2000:BG2001 BG2007:BG2008 BG2034 BG2037 BG2049 BG2060:BG2061 BG2076 BG2108 BG2211 BG2265 BG2432 BG2443 BG2468 BG2496 BG2521 BG2561 BG2566 BG2599 BG2611 BG2617 BG2620 BG2624 BG2654 BG2699 BG2732 BG2774 BG2777 BG2780 BG2783 BG2797 BG2806:BG2807 BG2822 BG2828 BG2830 BG2839 BG2842 BG2844 BG2865 BG2875 BG2885 BG2889 BG2893 BG2927 BG2937 BG2944 BG2951 BG2954 BG2958 BG2960 BG2970 BG2984 BG2987:BG2989 BG2992 BG2996:BG2997 BG2999 BG3007 BG3014 BG3018:BG3019 BG3022 BG3043 BG3047 BG3052 BG3057:BG3058 BG3067 BG3075 BG3097 BG3114 BG3128 BG3131 BG3140 BG3150 BG3152 BG3154 BG3165 BG3170:BG3172 BG3174 BG3176 BG3179:BG3181 BG3183 BG3185 BG3205">
    <cfRule type="cellIs" dxfId="11" priority="36" operator="equal">
      <formula>"N.D."</formula>
    </cfRule>
  </conditionalFormatting>
  <conditionalFormatting sqref="BG3179:BG3181 BG3205 BG3185 BG3183 BG3170:BG3172 BG3176 BG3174 BG3057:BG3058 BG3165 BG3154 BG3152 BG3150 BG3140 BG3131 BG3128 BG3114 BG3097 BG3075 BG3067 BG3018:BG3019 BG3052 BG3047 BG3043 BG3022 BG2996:BG2997 BG3014 BG3007 BG2999 BG2987:BG2989 BG2992 BG2806:BG2807 BG2984 BG2970 BG2960 BG2958 BG2954 BG2951 BG2944 BG2937 BG2927 BG2893 BG2889 BG2885 BG2875 BG2865 BG2844 BG2842 BG2839 BG2830 BG2828 BG2822 BG2060:BG2061 BG2797 BG2783 BG2780 BG2777 BG2774 BG2732 BG2699 BG2654 BG2624 BG2620 BG2617 BG2611 BG2599 BG2566 BG2561 BG2521 BG2496 BG2468 BG2443 BG2432 BG2265 BG2211 BG2108 BG2076 BG2007:BG2008 BG2049 BG2037 BG2034 BG2000:BG2001 BG1045 BG1967 BG1899 BG1877 BG1824 BG1818 BG1683 BG1640 BG1623 BG1621 BG1598 BG1490 BG1470 BG1377 BG1356 BG1345 BG1274 BG118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:BH100">
    <cfRule type="cellIs" dxfId="10" priority="2" operator="equal">
      <formula>"N.D."</formula>
    </cfRule>
  </conditionalFormatting>
  <conditionalFormatting sqref="BH107:BH164">
    <cfRule type="cellIs" dxfId="9" priority="1" operator="equal">
      <formula>"N.D."</formula>
    </cfRule>
  </conditionalFormatting>
  <pageMargins left="0.7" right="0.7" top="0.75" bottom="0.75" header="0.3" footer="0.3"/>
  <pageSetup orientation="portrait" r:id="rId1"/>
  <ignoredErrors>
    <ignoredError sqref="AJ37:AJ68 AU37:AU68 AJ69:AJ100 AU69:AU100 AJ101:AJ132 AU101:AU132 AJ133:AJ164 AU133:AU164" calculatedColumn="1"/>
  </ignoredError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FFFB-1A49-4332-844F-A8898BFBAEAA}">
  <dimension ref="A1:AF3300"/>
  <sheetViews>
    <sheetView zoomScale="85" zoomScaleNormal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B4" sqref="B4"/>
    </sheetView>
  </sheetViews>
  <sheetFormatPr baseColWidth="10" defaultColWidth="11.08984375" defaultRowHeight="13.8" x14ac:dyDescent="0.3"/>
  <cols>
    <col min="1" max="2" width="16.1796875" style="33" customWidth="1"/>
    <col min="3" max="3" width="8" style="33" customWidth="1"/>
    <col min="4" max="4" width="14.08984375" style="33" customWidth="1"/>
    <col min="5" max="5" width="11.1796875" style="151" customWidth="1"/>
    <col min="6" max="6" width="10.81640625" style="33" customWidth="1"/>
    <col min="7" max="28" width="13.1796875" style="33" customWidth="1"/>
    <col min="29" max="29" width="17.6328125" style="33" customWidth="1"/>
    <col min="30" max="30" width="9.453125" style="33" customWidth="1"/>
    <col min="31" max="31" width="17.81640625" style="33" customWidth="1"/>
    <col min="32" max="16384" width="11.08984375" style="33"/>
  </cols>
  <sheetData>
    <row r="1" spans="1:32" ht="14.7" customHeight="1" x14ac:dyDescent="0.3">
      <c r="A1" s="370" t="s">
        <v>54</v>
      </c>
      <c r="B1" s="370"/>
      <c r="C1" s="370"/>
      <c r="D1" s="37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2" ht="22.2" customHeight="1" x14ac:dyDescent="0.3">
      <c r="A2" s="371" t="s">
        <v>55</v>
      </c>
      <c r="B2" s="371"/>
      <c r="C2" s="371"/>
      <c r="D2" s="371"/>
      <c r="S2" s="33">
        <v>100</v>
      </c>
    </row>
    <row r="3" spans="1:32" ht="19.5" customHeight="1" x14ac:dyDescent="0.3">
      <c r="G3" s="189" t="s">
        <v>29</v>
      </c>
      <c r="H3" s="189"/>
      <c r="I3" s="189"/>
      <c r="J3" s="189"/>
      <c r="K3" s="189"/>
      <c r="L3" s="189"/>
      <c r="M3" s="189"/>
      <c r="N3" s="189"/>
      <c r="O3" s="189"/>
      <c r="P3" s="189"/>
      <c r="Q3" s="190">
        <v>0.8</v>
      </c>
      <c r="R3" s="190"/>
      <c r="S3" s="8" t="s">
        <v>58</v>
      </c>
      <c r="T3" s="8"/>
      <c r="U3" s="8"/>
      <c r="V3" s="8"/>
      <c r="W3" s="8"/>
      <c r="X3" s="8"/>
      <c r="Y3" s="8"/>
      <c r="Z3" s="190">
        <v>0.2</v>
      </c>
      <c r="AA3" s="190"/>
      <c r="AB3" s="190"/>
      <c r="AC3" s="188" t="s">
        <v>59</v>
      </c>
      <c r="AD3" s="188"/>
      <c r="AE3" s="188"/>
    </row>
    <row r="4" spans="1:32" s="156" customFormat="1" ht="43.2" customHeight="1" x14ac:dyDescent="0.3">
      <c r="A4" s="71" t="s">
        <v>171</v>
      </c>
      <c r="B4" s="71" t="s">
        <v>138</v>
      </c>
      <c r="C4" s="71" t="s">
        <v>45</v>
      </c>
      <c r="D4" s="71" t="s">
        <v>0</v>
      </c>
      <c r="E4" s="71" t="s">
        <v>1</v>
      </c>
      <c r="F4" s="71" t="s">
        <v>175</v>
      </c>
      <c r="G4" s="75" t="s">
        <v>70</v>
      </c>
      <c r="H4" s="76" t="s">
        <v>71</v>
      </c>
      <c r="I4" s="75" t="s">
        <v>72</v>
      </c>
      <c r="J4" s="76" t="s">
        <v>73</v>
      </c>
      <c r="K4" s="75" t="s">
        <v>74</v>
      </c>
      <c r="L4" s="76" t="s">
        <v>75</v>
      </c>
      <c r="M4" s="75" t="s">
        <v>76</v>
      </c>
      <c r="N4" s="76" t="s">
        <v>77</v>
      </c>
      <c r="O4" s="75" t="s">
        <v>78</v>
      </c>
      <c r="P4" s="76" t="s">
        <v>79</v>
      </c>
      <c r="Q4" s="77" t="s">
        <v>59</v>
      </c>
      <c r="R4" s="77" t="s">
        <v>80</v>
      </c>
      <c r="S4" s="78" t="s">
        <v>81</v>
      </c>
      <c r="T4" s="79" t="s">
        <v>82</v>
      </c>
      <c r="U4" s="78" t="s">
        <v>83</v>
      </c>
      <c r="V4" s="79" t="s">
        <v>84</v>
      </c>
      <c r="W4" s="78" t="s">
        <v>85</v>
      </c>
      <c r="X4" s="79" t="s">
        <v>86</v>
      </c>
      <c r="Y4" s="80" t="s">
        <v>87</v>
      </c>
      <c r="Z4" s="77" t="s">
        <v>88</v>
      </c>
      <c r="AA4" s="77" t="s">
        <v>89</v>
      </c>
      <c r="AB4" s="77" t="s">
        <v>90</v>
      </c>
      <c r="AC4" s="37" t="s">
        <v>266</v>
      </c>
      <c r="AD4" s="37" t="s">
        <v>28</v>
      </c>
      <c r="AE4" s="37" t="s">
        <v>93</v>
      </c>
      <c r="AF4" s="37" t="s">
        <v>265</v>
      </c>
    </row>
    <row r="5" spans="1:32" ht="13.5" customHeight="1" x14ac:dyDescent="0.3">
      <c r="A5" s="82" t="s">
        <v>131</v>
      </c>
      <c r="B5" s="81" t="s">
        <v>166</v>
      </c>
      <c r="C5" s="82">
        <v>2020</v>
      </c>
      <c r="D5" s="82" t="s">
        <v>24</v>
      </c>
      <c r="E5" s="147">
        <v>4</v>
      </c>
      <c r="F5" s="84" t="s">
        <v>178</v>
      </c>
      <c r="G5" s="87">
        <v>89.804355073144066</v>
      </c>
      <c r="H5" s="87">
        <v>10.195644926855934</v>
      </c>
      <c r="I5" s="88">
        <v>13.301808475059209</v>
      </c>
      <c r="J5" s="88">
        <v>25.444075753686121</v>
      </c>
      <c r="K5" s="87">
        <v>34.256105982489643</v>
      </c>
      <c r="L5" s="87">
        <v>65.743894017510357</v>
      </c>
      <c r="M5" s="87">
        <v>36.942672019390308</v>
      </c>
      <c r="N5" s="87">
        <v>50</v>
      </c>
      <c r="O5" s="88">
        <v>22.476334390312374</v>
      </c>
      <c r="P5" s="87">
        <v>20</v>
      </c>
      <c r="Q5" s="88">
        <v>34.27672293961048</v>
      </c>
      <c r="R5" s="88">
        <v>27.421378351688386</v>
      </c>
      <c r="S5" s="87">
        <v>10.718977505685135</v>
      </c>
      <c r="T5" s="87">
        <v>74.406540368837511</v>
      </c>
      <c r="U5" s="87">
        <v>79.811430249600463</v>
      </c>
      <c r="V5" s="87">
        <v>70</v>
      </c>
      <c r="W5" s="87">
        <v>93.059857981720597</v>
      </c>
      <c r="X5" s="87">
        <v>100</v>
      </c>
      <c r="Y5" s="87">
        <v>0</v>
      </c>
      <c r="Z5" s="87">
        <v>81.468846789612499</v>
      </c>
      <c r="AA5" s="87">
        <v>81.468846789612499</v>
      </c>
      <c r="AB5" s="87">
        <v>16.2937693579225</v>
      </c>
      <c r="AC5" s="68">
        <v>43.715147709610889</v>
      </c>
      <c r="AD5" s="68">
        <v>43.715147709610889</v>
      </c>
      <c r="AE5" s="68" t="s">
        <v>109</v>
      </c>
      <c r="AF5" s="68">
        <f>COUNTIFS($C$5:$C$164,$C5,$AD$5:$AD$164,"&gt;"&amp;$AD5)+1</f>
        <v>28</v>
      </c>
    </row>
    <row r="6" spans="1:32" ht="13.5" customHeight="1" x14ac:dyDescent="0.3">
      <c r="A6" s="82" t="s">
        <v>102</v>
      </c>
      <c r="B6" s="81" t="s">
        <v>139</v>
      </c>
      <c r="C6" s="82">
        <v>2020</v>
      </c>
      <c r="D6" s="82" t="s">
        <v>2</v>
      </c>
      <c r="E6" s="152" t="s">
        <v>51</v>
      </c>
      <c r="F6" s="84" t="s">
        <v>178</v>
      </c>
      <c r="G6" s="87">
        <v>44.565230683233246</v>
      </c>
      <c r="H6" s="87">
        <v>55.434769316766754</v>
      </c>
      <c r="I6" s="88">
        <v>34.23877513381219</v>
      </c>
      <c r="J6" s="88">
        <v>100</v>
      </c>
      <c r="K6" s="87">
        <v>77.565406854191934</v>
      </c>
      <c r="L6" s="87">
        <v>22.434593145808066</v>
      </c>
      <c r="M6" s="87">
        <v>44.87263368056756</v>
      </c>
      <c r="N6" s="87">
        <v>50</v>
      </c>
      <c r="O6" s="88">
        <v>8.4042773183967068</v>
      </c>
      <c r="P6" s="87">
        <v>80</v>
      </c>
      <c r="Q6" s="88">
        <v>61.573872492514965</v>
      </c>
      <c r="R6" s="88">
        <v>49.259097994011974</v>
      </c>
      <c r="S6" s="87">
        <v>8.8034926829698819</v>
      </c>
      <c r="T6" s="87">
        <v>85.657503310021056</v>
      </c>
      <c r="U6" s="87">
        <v>68.83551277612878</v>
      </c>
      <c r="V6" s="87">
        <v>60</v>
      </c>
      <c r="W6" s="87">
        <v>90.950301360701829</v>
      </c>
      <c r="X6" s="87">
        <v>100</v>
      </c>
      <c r="Y6" s="87">
        <v>0</v>
      </c>
      <c r="Z6" s="87">
        <v>81.88583443667369</v>
      </c>
      <c r="AA6" s="87">
        <v>81.88583443667369</v>
      </c>
      <c r="AB6" s="87">
        <v>16.377166887334738</v>
      </c>
      <c r="AC6" s="68">
        <v>65.636264881346705</v>
      </c>
      <c r="AD6" s="68">
        <v>65.636264881346705</v>
      </c>
      <c r="AE6" s="68" t="s">
        <v>98</v>
      </c>
      <c r="AF6" s="68">
        <f t="shared" ref="AF6:AF69" si="0">COUNTIFS($C$5:$C$164,$C6,$AD$5:$AD$164,"&gt;"&amp;$AD6)+1</f>
        <v>5</v>
      </c>
    </row>
    <row r="7" spans="1:32" ht="13.5" customHeight="1" x14ac:dyDescent="0.3">
      <c r="A7" s="82" t="s">
        <v>110</v>
      </c>
      <c r="B7" s="81" t="s">
        <v>162</v>
      </c>
      <c r="C7" s="82">
        <v>2020</v>
      </c>
      <c r="D7" s="82" t="s">
        <v>21</v>
      </c>
      <c r="E7" s="147">
        <v>4</v>
      </c>
      <c r="F7" s="84" t="s">
        <v>178</v>
      </c>
      <c r="G7" s="87">
        <v>78.155980179120576</v>
      </c>
      <c r="H7" s="87">
        <v>21.844019820879424</v>
      </c>
      <c r="I7" s="88">
        <v>31.405921222611671</v>
      </c>
      <c r="J7" s="88">
        <v>60.074135047179965</v>
      </c>
      <c r="K7" s="87">
        <v>48.851600518943577</v>
      </c>
      <c r="L7" s="87">
        <v>51.148399481056423</v>
      </c>
      <c r="M7" s="87">
        <v>13.964811658099826</v>
      </c>
      <c r="N7" s="87">
        <v>20</v>
      </c>
      <c r="O7" s="88">
        <v>18.608833378818716</v>
      </c>
      <c r="P7" s="87">
        <v>40</v>
      </c>
      <c r="Q7" s="88">
        <v>38.613310869823167</v>
      </c>
      <c r="R7" s="88">
        <v>30.890648695858534</v>
      </c>
      <c r="S7" s="87">
        <v>0</v>
      </c>
      <c r="T7" s="87">
        <v>0</v>
      </c>
      <c r="U7" s="87">
        <v>115.75567659918642</v>
      </c>
      <c r="V7" s="87">
        <v>80</v>
      </c>
      <c r="W7" s="87">
        <v>92.438581312465317</v>
      </c>
      <c r="X7" s="87">
        <v>100</v>
      </c>
      <c r="Y7" s="87">
        <v>0</v>
      </c>
      <c r="Z7" s="87">
        <v>60</v>
      </c>
      <c r="AA7" s="87">
        <v>60</v>
      </c>
      <c r="AB7" s="87">
        <v>12</v>
      </c>
      <c r="AC7" s="68">
        <v>42.89064869585853</v>
      </c>
      <c r="AD7" s="68">
        <v>42.89064869585853</v>
      </c>
      <c r="AE7" s="68" t="s">
        <v>109</v>
      </c>
      <c r="AF7" s="68">
        <f t="shared" si="0"/>
        <v>29</v>
      </c>
    </row>
    <row r="8" spans="1:32" ht="13.5" customHeight="1" x14ac:dyDescent="0.3">
      <c r="A8" s="82" t="s">
        <v>94</v>
      </c>
      <c r="B8" s="81" t="s">
        <v>140</v>
      </c>
      <c r="C8" s="82">
        <v>2020</v>
      </c>
      <c r="D8" s="82" t="s">
        <v>27</v>
      </c>
      <c r="E8" s="147">
        <v>1</v>
      </c>
      <c r="F8" s="84" t="s">
        <v>178</v>
      </c>
      <c r="G8" s="87">
        <v>38.243780552676213</v>
      </c>
      <c r="H8" s="87">
        <v>61.756219447323787</v>
      </c>
      <c r="I8" s="88">
        <v>21.568942838321821</v>
      </c>
      <c r="J8" s="88">
        <v>36.551642440572301</v>
      </c>
      <c r="K8" s="87">
        <v>42.86905338052172</v>
      </c>
      <c r="L8" s="87">
        <v>57.13094661947828</v>
      </c>
      <c r="M8" s="87">
        <v>68.102843595084835</v>
      </c>
      <c r="N8" s="87">
        <v>100</v>
      </c>
      <c r="O8" s="88">
        <v>16.983951548663491</v>
      </c>
      <c r="P8" s="87">
        <v>40</v>
      </c>
      <c r="Q8" s="88">
        <v>59.087761701474868</v>
      </c>
      <c r="R8" s="88">
        <v>47.270209361179894</v>
      </c>
      <c r="S8" s="87">
        <v>28.354007191250375</v>
      </c>
      <c r="T8" s="87">
        <v>100</v>
      </c>
      <c r="U8" s="87">
        <v>91.909140386304529</v>
      </c>
      <c r="V8" s="87">
        <v>100</v>
      </c>
      <c r="W8" s="87">
        <v>77.636819380698128</v>
      </c>
      <c r="X8" s="87">
        <v>70</v>
      </c>
      <c r="Y8" s="87">
        <v>0</v>
      </c>
      <c r="Z8" s="87">
        <v>90</v>
      </c>
      <c r="AA8" s="87">
        <v>90</v>
      </c>
      <c r="AB8" s="87">
        <v>18</v>
      </c>
      <c r="AC8" s="68">
        <v>65.270209361179894</v>
      </c>
      <c r="AD8" s="68">
        <v>65.270209361179894</v>
      </c>
      <c r="AE8" s="68" t="s">
        <v>98</v>
      </c>
      <c r="AF8" s="68">
        <f t="shared" si="0"/>
        <v>6</v>
      </c>
    </row>
    <row r="9" spans="1:32" ht="13.5" customHeight="1" x14ac:dyDescent="0.3">
      <c r="A9" s="82" t="s">
        <v>132</v>
      </c>
      <c r="B9" s="81" t="s">
        <v>141</v>
      </c>
      <c r="C9" s="82">
        <v>2020</v>
      </c>
      <c r="D9" s="82" t="s">
        <v>133</v>
      </c>
      <c r="E9" s="147">
        <v>1</v>
      </c>
      <c r="F9" s="84" t="s">
        <v>178</v>
      </c>
      <c r="G9" s="87">
        <v>65.390272425176576</v>
      </c>
      <c r="H9" s="87">
        <v>34.609727574823424</v>
      </c>
      <c r="I9" s="88">
        <v>12.909655141905787</v>
      </c>
      <c r="J9" s="88">
        <v>21.877247406843697</v>
      </c>
      <c r="K9" s="87">
        <v>68.934451384742786</v>
      </c>
      <c r="L9" s="87">
        <v>31.065548615257214</v>
      </c>
      <c r="M9" s="87">
        <v>43.744011950044531</v>
      </c>
      <c r="N9" s="87">
        <v>50</v>
      </c>
      <c r="O9" s="88">
        <v>15.319695057584745</v>
      </c>
      <c r="P9" s="87">
        <v>40</v>
      </c>
      <c r="Q9" s="88">
        <v>35.510504719384869</v>
      </c>
      <c r="R9" s="88">
        <v>28.408403775507896</v>
      </c>
      <c r="S9" s="87">
        <v>13.23291966423062</v>
      </c>
      <c r="T9" s="87">
        <v>100</v>
      </c>
      <c r="U9" s="87">
        <v>71.843402158355346</v>
      </c>
      <c r="V9" s="87">
        <v>70</v>
      </c>
      <c r="W9" s="87">
        <v>92.551717094695221</v>
      </c>
      <c r="X9" s="87">
        <v>100</v>
      </c>
      <c r="Y9" s="87">
        <v>0</v>
      </c>
      <c r="Z9" s="87">
        <v>90</v>
      </c>
      <c r="AA9" s="87">
        <v>90</v>
      </c>
      <c r="AB9" s="87">
        <v>18</v>
      </c>
      <c r="AC9" s="68">
        <v>46.408403775507892</v>
      </c>
      <c r="AD9" s="68">
        <v>46.408403775507892</v>
      </c>
      <c r="AE9" s="68" t="s">
        <v>109</v>
      </c>
      <c r="AF9" s="68">
        <f t="shared" si="0"/>
        <v>25</v>
      </c>
    </row>
    <row r="10" spans="1:32" ht="14.4" customHeight="1" x14ac:dyDescent="0.3">
      <c r="A10" s="82" t="s">
        <v>128</v>
      </c>
      <c r="B10" s="81" t="s">
        <v>142</v>
      </c>
      <c r="C10" s="82">
        <v>2020</v>
      </c>
      <c r="D10" s="82" t="s">
        <v>176</v>
      </c>
      <c r="E10" s="147">
        <v>1</v>
      </c>
      <c r="F10" s="84" t="s">
        <v>178</v>
      </c>
      <c r="G10" s="87">
        <v>62.992444872412619</v>
      </c>
      <c r="H10" s="87">
        <v>37.007555127587381</v>
      </c>
      <c r="I10" s="88">
        <v>18.776395266280055</v>
      </c>
      <c r="J10" s="88">
        <v>31.819273259723719</v>
      </c>
      <c r="K10" s="87">
        <v>64.718186794117557</v>
      </c>
      <c r="L10" s="87">
        <v>35.281813205882443</v>
      </c>
      <c r="M10" s="87">
        <v>41.717412254340239</v>
      </c>
      <c r="N10" s="87">
        <v>50</v>
      </c>
      <c r="O10" s="88">
        <v>14.237647809235213</v>
      </c>
      <c r="P10" s="87">
        <v>60</v>
      </c>
      <c r="Q10" s="88">
        <v>42.821728318638705</v>
      </c>
      <c r="R10" s="88">
        <v>34.257382654910963</v>
      </c>
      <c r="S10" s="87">
        <v>0</v>
      </c>
      <c r="T10" s="87">
        <v>0</v>
      </c>
      <c r="U10" s="87">
        <v>82.397197585592735</v>
      </c>
      <c r="V10" s="87">
        <v>80</v>
      </c>
      <c r="W10" s="87">
        <v>87.817653281629887</v>
      </c>
      <c r="X10" s="87">
        <v>80</v>
      </c>
      <c r="Y10" s="87">
        <v>0</v>
      </c>
      <c r="Z10" s="87">
        <v>53.333333333333336</v>
      </c>
      <c r="AA10" s="87">
        <v>53.333333333333336</v>
      </c>
      <c r="AB10" s="87">
        <v>10.666666666666668</v>
      </c>
      <c r="AC10" s="68">
        <v>44.924049321577627</v>
      </c>
      <c r="AD10" s="68">
        <v>44.924049321577627</v>
      </c>
      <c r="AE10" s="68" t="s">
        <v>109</v>
      </c>
      <c r="AF10" s="68">
        <f t="shared" si="0"/>
        <v>27</v>
      </c>
    </row>
    <row r="11" spans="1:32" ht="14.4" customHeight="1" x14ac:dyDescent="0.3">
      <c r="A11" s="82" t="s">
        <v>105</v>
      </c>
      <c r="B11" s="81" t="s">
        <v>143</v>
      </c>
      <c r="C11" s="82">
        <v>2020</v>
      </c>
      <c r="D11" s="82" t="s">
        <v>6</v>
      </c>
      <c r="E11" s="147">
        <v>2</v>
      </c>
      <c r="F11" s="84" t="s">
        <v>178</v>
      </c>
      <c r="G11" s="87">
        <v>52.651310012632159</v>
      </c>
      <c r="H11" s="87">
        <v>47.348689987367841</v>
      </c>
      <c r="I11" s="88">
        <v>28.110298817904805</v>
      </c>
      <c r="J11" s="88">
        <v>100</v>
      </c>
      <c r="K11" s="87">
        <v>58.031136798278418</v>
      </c>
      <c r="L11" s="87">
        <v>41.968863201721582</v>
      </c>
      <c r="M11" s="87">
        <v>50.569635189340254</v>
      </c>
      <c r="N11" s="87">
        <v>70</v>
      </c>
      <c r="O11" s="88">
        <v>13.035529983342494</v>
      </c>
      <c r="P11" s="87">
        <v>60</v>
      </c>
      <c r="Q11" s="88">
        <v>63.863510637817875</v>
      </c>
      <c r="R11" s="88">
        <v>51.090808510254305</v>
      </c>
      <c r="S11" s="87">
        <v>8.5604597221436318</v>
      </c>
      <c r="T11" s="87">
        <v>73.498223825696613</v>
      </c>
      <c r="U11" s="87">
        <v>67.229015036595598</v>
      </c>
      <c r="V11" s="87">
        <v>60</v>
      </c>
      <c r="W11" s="87">
        <v>97.826820923279243</v>
      </c>
      <c r="X11" s="87">
        <v>100</v>
      </c>
      <c r="Y11" s="87">
        <v>0</v>
      </c>
      <c r="Z11" s="87">
        <v>77.832741275232209</v>
      </c>
      <c r="AA11" s="87">
        <v>77.832741275232209</v>
      </c>
      <c r="AB11" s="87">
        <v>15.566548255046442</v>
      </c>
      <c r="AC11" s="68">
        <v>66.657356765300747</v>
      </c>
      <c r="AD11" s="68">
        <v>66.657356765300747</v>
      </c>
      <c r="AE11" s="68" t="s">
        <v>98</v>
      </c>
      <c r="AF11" s="68">
        <f t="shared" si="0"/>
        <v>4</v>
      </c>
    </row>
    <row r="12" spans="1:32" ht="15" customHeight="1" x14ac:dyDescent="0.3">
      <c r="A12" s="82" t="s">
        <v>121</v>
      </c>
      <c r="B12" s="81" t="s">
        <v>144</v>
      </c>
      <c r="C12" s="82">
        <v>2020</v>
      </c>
      <c r="D12" s="82" t="s">
        <v>122</v>
      </c>
      <c r="E12" s="147">
        <v>4</v>
      </c>
      <c r="F12" s="84" t="s">
        <v>178</v>
      </c>
      <c r="G12" s="87">
        <v>75.748215841722029</v>
      </c>
      <c r="H12" s="87">
        <v>24.251784158277971</v>
      </c>
      <c r="I12" s="88">
        <v>35.328457453838382</v>
      </c>
      <c r="J12" s="88">
        <v>67.577273376155702</v>
      </c>
      <c r="K12" s="87">
        <v>43.092064923419983</v>
      </c>
      <c r="L12" s="87">
        <v>56.907935076580017</v>
      </c>
      <c r="M12" s="87">
        <v>36.629843450845208</v>
      </c>
      <c r="N12" s="87">
        <v>50</v>
      </c>
      <c r="O12" s="88">
        <v>15.067016514362813</v>
      </c>
      <c r="P12" s="87">
        <v>40</v>
      </c>
      <c r="Q12" s="88">
        <v>47.747398522202744</v>
      </c>
      <c r="R12" s="88">
        <v>38.197918817762194</v>
      </c>
      <c r="S12" s="87">
        <v>0.59418553289045661</v>
      </c>
      <c r="T12" s="87">
        <v>4.1245808955326373</v>
      </c>
      <c r="U12" s="87">
        <v>74.709283346795814</v>
      </c>
      <c r="V12" s="87">
        <v>70</v>
      </c>
      <c r="W12" s="87">
        <v>90.92161802653338</v>
      </c>
      <c r="X12" s="87">
        <v>100</v>
      </c>
      <c r="Y12" s="87">
        <v>0</v>
      </c>
      <c r="Z12" s="87">
        <v>58.041526965177546</v>
      </c>
      <c r="AA12" s="87">
        <v>58.041526965177546</v>
      </c>
      <c r="AB12" s="87">
        <v>11.60830539303551</v>
      </c>
      <c r="AC12" s="68">
        <v>49.806224210797701</v>
      </c>
      <c r="AD12" s="68">
        <v>49.806224210797701</v>
      </c>
      <c r="AE12" s="68" t="s">
        <v>109</v>
      </c>
      <c r="AF12" s="68">
        <f t="shared" si="0"/>
        <v>17</v>
      </c>
    </row>
    <row r="13" spans="1:32" ht="14.4" customHeight="1" x14ac:dyDescent="0.3">
      <c r="A13" s="82" t="s">
        <v>125</v>
      </c>
      <c r="B13" s="81" t="s">
        <v>163</v>
      </c>
      <c r="C13" s="82">
        <v>2020</v>
      </c>
      <c r="D13" s="82" t="s">
        <v>22</v>
      </c>
      <c r="E13" s="126">
        <v>3</v>
      </c>
      <c r="F13" s="84" t="s">
        <v>178</v>
      </c>
      <c r="G13" s="87">
        <v>63.863413399744218</v>
      </c>
      <c r="H13" s="87">
        <v>36.136586600255782</v>
      </c>
      <c r="I13" s="88">
        <v>17.908240506464026</v>
      </c>
      <c r="J13" s="88">
        <v>54.800466928779933</v>
      </c>
      <c r="K13" s="87">
        <v>17.96919805981166</v>
      </c>
      <c r="L13" s="87">
        <v>82.03080194018834</v>
      </c>
      <c r="M13" s="87">
        <v>46.848328876786375</v>
      </c>
      <c r="N13" s="87">
        <v>70</v>
      </c>
      <c r="O13" s="88">
        <v>22.361352000836369</v>
      </c>
      <c r="P13" s="87">
        <v>20</v>
      </c>
      <c r="Q13" s="88">
        <v>52.593571093844808</v>
      </c>
      <c r="R13" s="88">
        <v>42.074856875075852</v>
      </c>
      <c r="S13" s="87">
        <v>0</v>
      </c>
      <c r="T13" s="87">
        <v>0</v>
      </c>
      <c r="U13" s="87">
        <v>126.73433717463909</v>
      </c>
      <c r="V13" s="87">
        <v>70</v>
      </c>
      <c r="W13" s="87">
        <v>86.694883605492237</v>
      </c>
      <c r="X13" s="87">
        <v>80</v>
      </c>
      <c r="Y13" s="87">
        <v>0</v>
      </c>
      <c r="Z13" s="87">
        <v>50</v>
      </c>
      <c r="AA13" s="87">
        <v>50</v>
      </c>
      <c r="AB13" s="87">
        <v>10</v>
      </c>
      <c r="AC13" s="68">
        <v>52.074856875075852</v>
      </c>
      <c r="AD13" s="68">
        <v>52.074856875075852</v>
      </c>
      <c r="AE13" s="68" t="s">
        <v>109</v>
      </c>
      <c r="AF13" s="68">
        <f t="shared" si="0"/>
        <v>16</v>
      </c>
    </row>
    <row r="14" spans="1:32" ht="15" customHeight="1" x14ac:dyDescent="0.3">
      <c r="A14" s="82" t="s">
        <v>126</v>
      </c>
      <c r="B14" s="81" t="s">
        <v>145</v>
      </c>
      <c r="C14" s="82">
        <v>2020</v>
      </c>
      <c r="D14" s="82" t="s">
        <v>8</v>
      </c>
      <c r="E14" s="126">
        <v>3</v>
      </c>
      <c r="F14" s="84" t="s">
        <v>178</v>
      </c>
      <c r="G14" s="87">
        <v>81.337802905168687</v>
      </c>
      <c r="H14" s="87">
        <v>18.662197094831313</v>
      </c>
      <c r="I14" s="88">
        <v>13.706703331200432</v>
      </c>
      <c r="J14" s="88">
        <v>41.943469674361552</v>
      </c>
      <c r="K14" s="87">
        <v>37.840550540797302</v>
      </c>
      <c r="L14" s="87">
        <v>62.159449459202698</v>
      </c>
      <c r="M14" s="87">
        <v>57.03391058019249</v>
      </c>
      <c r="N14" s="87">
        <v>80</v>
      </c>
      <c r="O14" s="88">
        <v>20.184055780229464</v>
      </c>
      <c r="P14" s="87">
        <v>20</v>
      </c>
      <c r="Q14" s="88">
        <v>44.553023245679114</v>
      </c>
      <c r="R14" s="88">
        <v>35.642418596543294</v>
      </c>
      <c r="S14" s="87">
        <v>32.352407448334333</v>
      </c>
      <c r="T14" s="87">
        <v>100</v>
      </c>
      <c r="U14" s="87">
        <v>91.677832657267032</v>
      </c>
      <c r="V14" s="87">
        <v>100</v>
      </c>
      <c r="W14" s="87">
        <v>97.57490307471366</v>
      </c>
      <c r="X14" s="87">
        <v>100</v>
      </c>
      <c r="Y14" s="87">
        <v>0</v>
      </c>
      <c r="Z14" s="87">
        <v>100</v>
      </c>
      <c r="AA14" s="87">
        <v>100</v>
      </c>
      <c r="AB14" s="87">
        <v>20</v>
      </c>
      <c r="AC14" s="68">
        <v>55.642418596543294</v>
      </c>
      <c r="AD14" s="68">
        <v>55.642418596543294</v>
      </c>
      <c r="AE14" s="68" t="s">
        <v>109</v>
      </c>
      <c r="AF14" s="68">
        <f t="shared" si="0"/>
        <v>14</v>
      </c>
    </row>
    <row r="15" spans="1:32" ht="14.4" customHeight="1" x14ac:dyDescent="0.3">
      <c r="A15" s="82" t="s">
        <v>104</v>
      </c>
      <c r="B15" s="81" t="s">
        <v>146</v>
      </c>
      <c r="C15" s="82">
        <v>2020</v>
      </c>
      <c r="D15" s="82" t="s">
        <v>9</v>
      </c>
      <c r="E15" s="147">
        <v>2</v>
      </c>
      <c r="F15" s="84" t="s">
        <v>178</v>
      </c>
      <c r="G15" s="87">
        <v>74.1945477327058</v>
      </c>
      <c r="H15" s="87">
        <v>25.8054522672942</v>
      </c>
      <c r="I15" s="88">
        <v>26.47094903051952</v>
      </c>
      <c r="J15" s="88">
        <v>94.168152398504191</v>
      </c>
      <c r="K15" s="87">
        <v>29.054296126615856</v>
      </c>
      <c r="L15" s="87">
        <v>70.945703873384147</v>
      </c>
      <c r="M15" s="87">
        <v>45.243420380715669</v>
      </c>
      <c r="N15" s="87">
        <v>70</v>
      </c>
      <c r="O15" s="88">
        <v>11.954556739602971</v>
      </c>
      <c r="P15" s="87">
        <v>60</v>
      </c>
      <c r="Q15" s="88">
        <v>64.183861707836513</v>
      </c>
      <c r="R15" s="88">
        <v>51.347089366269216</v>
      </c>
      <c r="S15" s="87">
        <v>2.2426233928227401</v>
      </c>
      <c r="T15" s="87">
        <v>19.254671061188517</v>
      </c>
      <c r="U15" s="87">
        <v>79.343907224570387</v>
      </c>
      <c r="V15" s="87">
        <v>70</v>
      </c>
      <c r="W15" s="87">
        <v>93.454946203237412</v>
      </c>
      <c r="X15" s="87">
        <v>100</v>
      </c>
      <c r="Y15" s="87">
        <v>0</v>
      </c>
      <c r="Z15" s="87">
        <v>63.084890353729499</v>
      </c>
      <c r="AA15" s="87">
        <v>63.084890353729499</v>
      </c>
      <c r="AB15" s="87">
        <v>12.616978070745901</v>
      </c>
      <c r="AC15" s="68">
        <v>63.964067437015117</v>
      </c>
      <c r="AD15" s="68">
        <v>63.964067437015117</v>
      </c>
      <c r="AE15" s="68" t="s">
        <v>98</v>
      </c>
      <c r="AF15" s="68">
        <f t="shared" si="0"/>
        <v>7</v>
      </c>
    </row>
    <row r="16" spans="1:32" ht="14.4" customHeight="1" x14ac:dyDescent="0.3">
      <c r="A16" s="82" t="s">
        <v>115</v>
      </c>
      <c r="B16" s="81" t="s">
        <v>149</v>
      </c>
      <c r="C16" s="82">
        <v>2020</v>
      </c>
      <c r="D16" s="82" t="s">
        <v>116</v>
      </c>
      <c r="E16" s="147">
        <v>4</v>
      </c>
      <c r="F16" s="84" t="s">
        <v>178</v>
      </c>
      <c r="G16" s="87">
        <v>82.992761894640353</v>
      </c>
      <c r="H16" s="87">
        <v>17.007238105359647</v>
      </c>
      <c r="I16" s="88">
        <v>22.101644574077682</v>
      </c>
      <c r="J16" s="88">
        <v>42.276651319878155</v>
      </c>
      <c r="K16" s="87">
        <v>38.2795561015716</v>
      </c>
      <c r="L16" s="87">
        <v>61.7204438984284</v>
      </c>
      <c r="M16" s="87">
        <v>20.097707350243546</v>
      </c>
      <c r="N16" s="87">
        <v>30</v>
      </c>
      <c r="O16" s="88">
        <v>10.585370367384821</v>
      </c>
      <c r="P16" s="87">
        <v>60</v>
      </c>
      <c r="Q16" s="88">
        <v>42.20086666473324</v>
      </c>
      <c r="R16" s="88">
        <v>33.760693331786591</v>
      </c>
      <c r="S16" s="87">
        <v>0</v>
      </c>
      <c r="T16" s="87">
        <v>0</v>
      </c>
      <c r="U16" s="87">
        <v>81.065441287615897</v>
      </c>
      <c r="V16" s="87">
        <v>80</v>
      </c>
      <c r="W16" s="87">
        <v>92.430578335248057</v>
      </c>
      <c r="X16" s="87">
        <v>100</v>
      </c>
      <c r="Y16" s="87">
        <v>0</v>
      </c>
      <c r="Z16" s="87">
        <v>60</v>
      </c>
      <c r="AA16" s="87">
        <v>60</v>
      </c>
      <c r="AB16" s="87">
        <v>12</v>
      </c>
      <c r="AC16" s="68">
        <v>45.760693331786591</v>
      </c>
      <c r="AD16" s="68">
        <v>45.760693331786591</v>
      </c>
      <c r="AE16" s="68" t="s">
        <v>109</v>
      </c>
      <c r="AF16" s="68">
        <f t="shared" si="0"/>
        <v>26</v>
      </c>
    </row>
    <row r="17" spans="1:32" ht="14.4" customHeight="1" x14ac:dyDescent="0.3">
      <c r="A17" s="82" t="s">
        <v>129</v>
      </c>
      <c r="B17" s="81" t="s">
        <v>147</v>
      </c>
      <c r="C17" s="82">
        <v>2020</v>
      </c>
      <c r="D17" s="82" t="s">
        <v>130</v>
      </c>
      <c r="E17" s="147">
        <v>2</v>
      </c>
      <c r="F17" s="84" t="s">
        <v>178</v>
      </c>
      <c r="G17" s="87">
        <v>76.061675026422805</v>
      </c>
      <c r="H17" s="87">
        <v>23.938324973577195</v>
      </c>
      <c r="I17" s="88">
        <v>11.500978469158836</v>
      </c>
      <c r="J17" s="88">
        <v>40.913753865303299</v>
      </c>
      <c r="K17" s="87">
        <v>93.213123795453939</v>
      </c>
      <c r="L17" s="87">
        <v>6.7868762045460613</v>
      </c>
      <c r="M17" s="87">
        <v>42.779432252103632</v>
      </c>
      <c r="N17" s="87">
        <v>50</v>
      </c>
      <c r="O17" s="88">
        <v>18.794384401112847</v>
      </c>
      <c r="P17" s="87">
        <v>40</v>
      </c>
      <c r="Q17" s="88">
        <v>32.32779100868531</v>
      </c>
      <c r="R17" s="88">
        <v>25.862232806948249</v>
      </c>
      <c r="S17" s="87">
        <v>6.0720278123174154</v>
      </c>
      <c r="T17" s="87">
        <v>52.133094916753628</v>
      </c>
      <c r="U17" s="87">
        <v>82.435439494771273</v>
      </c>
      <c r="V17" s="87">
        <v>80</v>
      </c>
      <c r="W17" s="87">
        <v>94.596354226719072</v>
      </c>
      <c r="X17" s="87">
        <v>100</v>
      </c>
      <c r="Y17" s="87">
        <v>0</v>
      </c>
      <c r="Z17" s="87">
        <v>77.377698305584545</v>
      </c>
      <c r="AA17" s="87">
        <v>77.377698305584545</v>
      </c>
      <c r="AB17" s="87">
        <v>15.47553966111691</v>
      </c>
      <c r="AC17" s="68">
        <v>41.337772468065161</v>
      </c>
      <c r="AD17" s="68">
        <v>41.337772468065161</v>
      </c>
      <c r="AE17" s="68" t="s">
        <v>109</v>
      </c>
      <c r="AF17" s="68">
        <f t="shared" si="0"/>
        <v>30</v>
      </c>
    </row>
    <row r="18" spans="1:32" ht="15" customHeight="1" x14ac:dyDescent="0.3">
      <c r="A18" s="82" t="s">
        <v>96</v>
      </c>
      <c r="B18" s="81" t="s">
        <v>148</v>
      </c>
      <c r="C18" s="82">
        <v>2020</v>
      </c>
      <c r="D18" s="82" t="s">
        <v>10</v>
      </c>
      <c r="E18" s="152" t="s">
        <v>51</v>
      </c>
      <c r="F18" s="84" t="s">
        <v>178</v>
      </c>
      <c r="G18" s="87">
        <v>40.873211152245766</v>
      </c>
      <c r="H18" s="87">
        <v>59.126788847754234</v>
      </c>
      <c r="I18" s="88">
        <v>28.474104090498013</v>
      </c>
      <c r="J18" s="88">
        <v>83.163325730010328</v>
      </c>
      <c r="K18" s="87">
        <v>79.264992918079272</v>
      </c>
      <c r="L18" s="87">
        <v>20.735007081920728</v>
      </c>
      <c r="M18" s="87">
        <v>68.195423781698082</v>
      </c>
      <c r="N18" s="87">
        <v>100</v>
      </c>
      <c r="O18" s="88">
        <v>9.3868338089408976</v>
      </c>
      <c r="P18" s="87">
        <v>80</v>
      </c>
      <c r="Q18" s="88">
        <v>68.605024331937059</v>
      </c>
      <c r="R18" s="88">
        <v>54.884019465549649</v>
      </c>
      <c r="S18" s="87">
        <v>10.50868162459092</v>
      </c>
      <c r="T18" s="87">
        <v>100</v>
      </c>
      <c r="U18" s="87">
        <v>90.554903578635958</v>
      </c>
      <c r="V18" s="87">
        <v>100</v>
      </c>
      <c r="W18" s="87">
        <v>86.259480610859669</v>
      </c>
      <c r="X18" s="87">
        <v>80</v>
      </c>
      <c r="Y18" s="87">
        <v>0</v>
      </c>
      <c r="Z18" s="87">
        <v>93.333333333333329</v>
      </c>
      <c r="AA18" s="87">
        <v>93.333333333333329</v>
      </c>
      <c r="AB18" s="87">
        <v>18.666666666666668</v>
      </c>
      <c r="AC18" s="68">
        <v>73.550686132216313</v>
      </c>
      <c r="AD18" s="68">
        <v>73.550686132216313</v>
      </c>
      <c r="AE18" s="68" t="s">
        <v>95</v>
      </c>
      <c r="AF18" s="68">
        <f t="shared" si="0"/>
        <v>1</v>
      </c>
    </row>
    <row r="19" spans="1:32" ht="14.4" customHeight="1" x14ac:dyDescent="0.3">
      <c r="A19" s="82" t="s">
        <v>119</v>
      </c>
      <c r="B19" s="81" t="s">
        <v>167</v>
      </c>
      <c r="C19" s="82">
        <v>2020</v>
      </c>
      <c r="D19" s="82" t="s">
        <v>120</v>
      </c>
      <c r="E19" s="147">
        <v>4</v>
      </c>
      <c r="F19" s="84" t="s">
        <v>178</v>
      </c>
      <c r="G19" s="87">
        <v>84.377510674785938</v>
      </c>
      <c r="H19" s="87">
        <v>15.622489325214062</v>
      </c>
      <c r="I19" s="88">
        <v>14.964616241167878</v>
      </c>
      <c r="J19" s="88">
        <v>28.62474151383557</v>
      </c>
      <c r="K19" s="87">
        <v>21.158828632000766</v>
      </c>
      <c r="L19" s="87">
        <v>78.841171367999237</v>
      </c>
      <c r="M19" s="87">
        <v>64.326258660101075</v>
      </c>
      <c r="N19" s="87">
        <v>80</v>
      </c>
      <c r="O19" s="88">
        <v>38.069607051897471</v>
      </c>
      <c r="P19" s="87">
        <v>0</v>
      </c>
      <c r="Q19" s="88">
        <v>40.617680441409775</v>
      </c>
      <c r="R19" s="88">
        <v>32.494144353127822</v>
      </c>
      <c r="S19" s="87">
        <v>34.51862705612794</v>
      </c>
      <c r="T19" s="87">
        <v>100</v>
      </c>
      <c r="U19" s="87">
        <v>122.61038942997266</v>
      </c>
      <c r="V19" s="87">
        <v>70</v>
      </c>
      <c r="W19" s="87">
        <v>86.003603996429149</v>
      </c>
      <c r="X19" s="87">
        <v>80</v>
      </c>
      <c r="Y19" s="87">
        <v>0</v>
      </c>
      <c r="Z19" s="87">
        <v>83.333333333333329</v>
      </c>
      <c r="AA19" s="87">
        <v>83.333333333333329</v>
      </c>
      <c r="AB19" s="87">
        <v>16.666666666666668</v>
      </c>
      <c r="AC19" s="68">
        <v>49.160811019794494</v>
      </c>
      <c r="AD19" s="68">
        <v>49.160811019794494</v>
      </c>
      <c r="AE19" s="68" t="s">
        <v>109</v>
      </c>
      <c r="AF19" s="68">
        <f t="shared" si="0"/>
        <v>19</v>
      </c>
    </row>
    <row r="20" spans="1:32" ht="15" customHeight="1" x14ac:dyDescent="0.3">
      <c r="A20" s="82" t="s">
        <v>118</v>
      </c>
      <c r="B20" s="81" t="s">
        <v>151</v>
      </c>
      <c r="C20" s="82">
        <v>2020</v>
      </c>
      <c r="D20" s="82" t="s">
        <v>136</v>
      </c>
      <c r="E20" s="147">
        <v>4</v>
      </c>
      <c r="F20" s="84" t="s">
        <v>178</v>
      </c>
      <c r="G20" s="87">
        <v>79.335525760469196</v>
      </c>
      <c r="H20" s="87">
        <v>20.664474239530804</v>
      </c>
      <c r="I20" s="88">
        <v>14.535332209824977</v>
      </c>
      <c r="J20" s="88">
        <v>27.803594867962826</v>
      </c>
      <c r="K20" s="87">
        <v>41.177189972915613</v>
      </c>
      <c r="L20" s="87">
        <v>58.822810027084387</v>
      </c>
      <c r="M20" s="87">
        <v>36.792954025576073</v>
      </c>
      <c r="N20" s="87">
        <v>50</v>
      </c>
      <c r="O20" s="88">
        <v>22.226679973220023</v>
      </c>
      <c r="P20" s="87">
        <v>20</v>
      </c>
      <c r="Q20" s="88">
        <v>35.4581758269156</v>
      </c>
      <c r="R20" s="88">
        <v>28.366540661532483</v>
      </c>
      <c r="S20" s="87">
        <v>14.646555446659971</v>
      </c>
      <c r="T20" s="87">
        <v>100</v>
      </c>
      <c r="U20" s="87">
        <v>98.197994962946112</v>
      </c>
      <c r="V20" s="87">
        <v>100</v>
      </c>
      <c r="W20" s="87">
        <v>93.730494693585598</v>
      </c>
      <c r="X20" s="87">
        <v>100</v>
      </c>
      <c r="Y20" s="87">
        <v>0</v>
      </c>
      <c r="Z20" s="87">
        <v>100</v>
      </c>
      <c r="AA20" s="87">
        <v>100</v>
      </c>
      <c r="AB20" s="87">
        <v>20</v>
      </c>
      <c r="AC20" s="68">
        <v>48.366540661532483</v>
      </c>
      <c r="AD20" s="68">
        <v>48.366540661532483</v>
      </c>
      <c r="AE20" s="68" t="s">
        <v>109</v>
      </c>
      <c r="AF20" s="68">
        <f t="shared" si="0"/>
        <v>21</v>
      </c>
    </row>
    <row r="21" spans="1:32" ht="14.4" customHeight="1" x14ac:dyDescent="0.3">
      <c r="A21" s="82" t="s">
        <v>101</v>
      </c>
      <c r="B21" s="81" t="s">
        <v>168</v>
      </c>
      <c r="C21" s="82">
        <v>2020</v>
      </c>
      <c r="D21" s="82" t="s">
        <v>25</v>
      </c>
      <c r="E21" s="147">
        <v>4</v>
      </c>
      <c r="F21" s="84" t="s">
        <v>178</v>
      </c>
      <c r="G21" s="87">
        <v>75.969002863073896</v>
      </c>
      <c r="H21" s="87">
        <v>24.030997136926104</v>
      </c>
      <c r="I21" s="88">
        <v>41.013731659425318</v>
      </c>
      <c r="J21" s="88">
        <v>78.452226796110708</v>
      </c>
      <c r="K21" s="87">
        <v>21.802238711715297</v>
      </c>
      <c r="L21" s="87">
        <v>78.19776128828471</v>
      </c>
      <c r="M21" s="87">
        <v>53.997991640599793</v>
      </c>
      <c r="N21" s="87">
        <v>70</v>
      </c>
      <c r="O21" s="88">
        <v>19.531432876836288</v>
      </c>
      <c r="P21" s="87">
        <v>40</v>
      </c>
      <c r="Q21" s="88">
        <v>58.136197044264307</v>
      </c>
      <c r="R21" s="88">
        <v>46.508957635411448</v>
      </c>
      <c r="S21" s="87">
        <v>15.596510126744789</v>
      </c>
      <c r="T21" s="87">
        <v>100</v>
      </c>
      <c r="U21" s="87">
        <v>147.14255186136484</v>
      </c>
      <c r="V21" s="87">
        <v>50</v>
      </c>
      <c r="W21" s="87">
        <v>90.224829172153235</v>
      </c>
      <c r="X21" s="87">
        <v>100</v>
      </c>
      <c r="Y21" s="87">
        <v>0</v>
      </c>
      <c r="Z21" s="87">
        <v>83.333333333333329</v>
      </c>
      <c r="AA21" s="87">
        <v>83.333333333333329</v>
      </c>
      <c r="AB21" s="87">
        <v>16.666666666666668</v>
      </c>
      <c r="AC21" s="68">
        <v>63.17562430207812</v>
      </c>
      <c r="AD21" s="68">
        <v>63.17562430207812</v>
      </c>
      <c r="AE21" s="68" t="s">
        <v>98</v>
      </c>
      <c r="AF21" s="68">
        <f t="shared" si="0"/>
        <v>9</v>
      </c>
    </row>
    <row r="22" spans="1:32" ht="13.5" customHeight="1" x14ac:dyDescent="0.3">
      <c r="A22" s="82" t="s">
        <v>100</v>
      </c>
      <c r="B22" s="81" t="s">
        <v>150</v>
      </c>
      <c r="C22" s="82">
        <v>2020</v>
      </c>
      <c r="D22" s="82" t="s">
        <v>11</v>
      </c>
      <c r="E22" s="147">
        <v>2</v>
      </c>
      <c r="F22" s="84" t="s">
        <v>178</v>
      </c>
      <c r="G22" s="87">
        <v>66.11469041504624</v>
      </c>
      <c r="H22" s="87">
        <v>33.88530958495376</v>
      </c>
      <c r="I22" s="88">
        <v>15.921970962521048</v>
      </c>
      <c r="J22" s="88">
        <v>56.641059085361185</v>
      </c>
      <c r="K22" s="87">
        <v>65.627624120524345</v>
      </c>
      <c r="L22" s="87">
        <v>34.372375879475655</v>
      </c>
      <c r="M22" s="87">
        <v>37.071613158456209</v>
      </c>
      <c r="N22" s="87">
        <v>50</v>
      </c>
      <c r="O22" s="88">
        <v>11.69802530815705</v>
      </c>
      <c r="P22" s="87">
        <v>60</v>
      </c>
      <c r="Q22" s="88">
        <v>46.979748909958118</v>
      </c>
      <c r="R22" s="88">
        <v>37.583799127966493</v>
      </c>
      <c r="S22" s="87">
        <v>0</v>
      </c>
      <c r="T22" s="87">
        <v>0</v>
      </c>
      <c r="U22" s="87">
        <v>87.349598406980405</v>
      </c>
      <c r="V22" s="87">
        <v>80</v>
      </c>
      <c r="W22" s="87">
        <v>90.475384776579574</v>
      </c>
      <c r="X22" s="87">
        <v>100</v>
      </c>
      <c r="Y22" s="87">
        <v>0</v>
      </c>
      <c r="Z22" s="87">
        <v>60</v>
      </c>
      <c r="AA22" s="87">
        <v>60</v>
      </c>
      <c r="AB22" s="87">
        <v>12</v>
      </c>
      <c r="AC22" s="68">
        <v>49.583799127966493</v>
      </c>
      <c r="AD22" s="68">
        <v>49.583799127966493</v>
      </c>
      <c r="AE22" s="68" t="s">
        <v>109</v>
      </c>
      <c r="AF22" s="68">
        <f t="shared" si="0"/>
        <v>18</v>
      </c>
    </row>
    <row r="23" spans="1:32" ht="13.5" customHeight="1" x14ac:dyDescent="0.3">
      <c r="A23" s="82" t="s">
        <v>112</v>
      </c>
      <c r="B23" s="81" t="s">
        <v>152</v>
      </c>
      <c r="C23" s="82">
        <v>2020</v>
      </c>
      <c r="D23" s="82" t="s">
        <v>12</v>
      </c>
      <c r="E23" s="147">
        <v>2</v>
      </c>
      <c r="F23" s="84" t="s">
        <v>178</v>
      </c>
      <c r="G23" s="87">
        <v>65.982640937291663</v>
      </c>
      <c r="H23" s="87">
        <v>34.017359062708337</v>
      </c>
      <c r="I23" s="88">
        <v>13.376627255786991</v>
      </c>
      <c r="J23" s="88">
        <v>47.586215082376754</v>
      </c>
      <c r="K23" s="87">
        <v>49.991668994402893</v>
      </c>
      <c r="L23" s="87">
        <v>50.008331005597107</v>
      </c>
      <c r="M23" s="87">
        <v>48.843827930535269</v>
      </c>
      <c r="N23" s="87">
        <v>70</v>
      </c>
      <c r="O23" s="88">
        <v>23.506741081587752</v>
      </c>
      <c r="P23" s="87">
        <v>20</v>
      </c>
      <c r="Q23" s="88">
        <v>44.322381030136441</v>
      </c>
      <c r="R23" s="88">
        <v>35.457904824109157</v>
      </c>
      <c r="S23" s="87">
        <v>6.3337136612302896</v>
      </c>
      <c r="T23" s="87">
        <v>54.379872043181081</v>
      </c>
      <c r="U23" s="87">
        <v>59.119315629605737</v>
      </c>
      <c r="V23" s="87">
        <v>50</v>
      </c>
      <c r="W23" s="87">
        <v>95.017176627539186</v>
      </c>
      <c r="X23" s="87">
        <v>100</v>
      </c>
      <c r="Y23" s="87">
        <v>0</v>
      </c>
      <c r="Z23" s="87">
        <v>68.126624014393698</v>
      </c>
      <c r="AA23" s="87">
        <v>68.126624014393698</v>
      </c>
      <c r="AB23" s="87">
        <v>13.62532480287874</v>
      </c>
      <c r="AC23" s="68">
        <v>49.083229626987901</v>
      </c>
      <c r="AD23" s="68">
        <v>49.083229626987901</v>
      </c>
      <c r="AE23" s="68" t="s">
        <v>109</v>
      </c>
      <c r="AF23" s="68">
        <f t="shared" si="0"/>
        <v>20</v>
      </c>
    </row>
    <row r="24" spans="1:32" ht="13.5" customHeight="1" x14ac:dyDescent="0.3">
      <c r="A24" s="82" t="s">
        <v>99</v>
      </c>
      <c r="B24" s="81" t="s">
        <v>153</v>
      </c>
      <c r="C24" s="82">
        <v>2020</v>
      </c>
      <c r="D24" s="82" t="s">
        <v>13</v>
      </c>
      <c r="E24" s="147">
        <v>1</v>
      </c>
      <c r="F24" s="84" t="s">
        <v>178</v>
      </c>
      <c r="G24" s="87">
        <v>49.780681041783495</v>
      </c>
      <c r="H24" s="87">
        <v>50.219318958216505</v>
      </c>
      <c r="I24" s="88">
        <v>59.009503809274264</v>
      </c>
      <c r="J24" s="88">
        <v>100</v>
      </c>
      <c r="K24" s="87">
        <v>19.180377997361397</v>
      </c>
      <c r="L24" s="87">
        <v>80.819622002638596</v>
      </c>
      <c r="M24" s="87">
        <v>54.601034978609363</v>
      </c>
      <c r="N24" s="87">
        <v>70</v>
      </c>
      <c r="O24" s="88">
        <v>19.821552880013744</v>
      </c>
      <c r="P24" s="87">
        <v>40</v>
      </c>
      <c r="Q24" s="88">
        <v>68.207788192171023</v>
      </c>
      <c r="R24" s="88">
        <v>54.566230553736823</v>
      </c>
      <c r="S24" s="87">
        <v>6.6809637879832851</v>
      </c>
      <c r="T24" s="87">
        <v>71.085925252636358</v>
      </c>
      <c r="U24" s="87">
        <v>80.03427437173228</v>
      </c>
      <c r="V24" s="87">
        <v>80</v>
      </c>
      <c r="W24" s="87">
        <v>77.361118442074229</v>
      </c>
      <c r="X24" s="87">
        <v>70</v>
      </c>
      <c r="Y24" s="87">
        <v>0</v>
      </c>
      <c r="Z24" s="87">
        <v>73.695308417545448</v>
      </c>
      <c r="AA24" s="87">
        <v>73.695308417545448</v>
      </c>
      <c r="AB24" s="87">
        <v>14.739061683509091</v>
      </c>
      <c r="AC24" s="68">
        <v>69.305292237245908</v>
      </c>
      <c r="AD24" s="68">
        <v>69.305292237245908</v>
      </c>
      <c r="AE24" s="68" t="s">
        <v>98</v>
      </c>
      <c r="AF24" s="68">
        <f t="shared" si="0"/>
        <v>2</v>
      </c>
    </row>
    <row r="25" spans="1:32" ht="14.4" customHeight="1" x14ac:dyDescent="0.3">
      <c r="A25" s="82" t="s">
        <v>127</v>
      </c>
      <c r="B25" s="81" t="s">
        <v>154</v>
      </c>
      <c r="C25" s="82">
        <v>2020</v>
      </c>
      <c r="D25" s="82" t="s">
        <v>14</v>
      </c>
      <c r="E25" s="147">
        <v>1</v>
      </c>
      <c r="F25" s="84" t="s">
        <v>178</v>
      </c>
      <c r="G25" s="87">
        <v>69.098503618683793</v>
      </c>
      <c r="H25" s="87">
        <v>30.901496381316207</v>
      </c>
      <c r="I25" s="88">
        <v>9.7522017004924422</v>
      </c>
      <c r="J25" s="88">
        <v>16.526493312014143</v>
      </c>
      <c r="K25" s="87">
        <v>64.347105999387779</v>
      </c>
      <c r="L25" s="87">
        <v>35.652894000612221</v>
      </c>
      <c r="M25" s="87">
        <v>55.194236443877386</v>
      </c>
      <c r="N25" s="87">
        <v>80</v>
      </c>
      <c r="O25" s="88">
        <v>20.483187713516486</v>
      </c>
      <c r="P25" s="87">
        <v>20</v>
      </c>
      <c r="Q25" s="88">
        <v>36.616176738788511</v>
      </c>
      <c r="R25" s="88">
        <v>29.292941391030809</v>
      </c>
      <c r="S25" s="87">
        <v>0</v>
      </c>
      <c r="T25" s="87">
        <v>0</v>
      </c>
      <c r="U25" s="87">
        <v>82.099298097329466</v>
      </c>
      <c r="V25" s="87">
        <v>80</v>
      </c>
      <c r="W25" s="87">
        <v>89.916773377945759</v>
      </c>
      <c r="X25" s="87">
        <v>80</v>
      </c>
      <c r="Y25" s="87">
        <v>0</v>
      </c>
      <c r="Z25" s="87">
        <v>53.333333333333336</v>
      </c>
      <c r="AA25" s="87">
        <v>53.333333333333336</v>
      </c>
      <c r="AB25" s="87">
        <v>10.666666666666668</v>
      </c>
      <c r="AC25" s="68">
        <v>39.95960805769748</v>
      </c>
      <c r="AD25" s="68">
        <v>39.95960805769748</v>
      </c>
      <c r="AE25" s="68" t="s">
        <v>177</v>
      </c>
      <c r="AF25" s="68">
        <f t="shared" si="0"/>
        <v>31</v>
      </c>
    </row>
    <row r="26" spans="1:32" ht="13.5" customHeight="1" x14ac:dyDescent="0.3">
      <c r="A26" s="82" t="s">
        <v>111</v>
      </c>
      <c r="B26" s="81" t="s">
        <v>155</v>
      </c>
      <c r="C26" s="82">
        <v>2020</v>
      </c>
      <c r="D26" s="82" t="s">
        <v>15</v>
      </c>
      <c r="E26" s="147">
        <v>2</v>
      </c>
      <c r="F26" s="84" t="s">
        <v>178</v>
      </c>
      <c r="G26" s="87">
        <v>64.535025677314039</v>
      </c>
      <c r="H26" s="87">
        <v>35.464974322685961</v>
      </c>
      <c r="I26" s="88">
        <v>19.995121875633885</v>
      </c>
      <c r="J26" s="88">
        <v>71.130947433749895</v>
      </c>
      <c r="K26" s="87">
        <v>67.754617218369972</v>
      </c>
      <c r="L26" s="87">
        <v>32.245382781630028</v>
      </c>
      <c r="M26" s="87">
        <v>54.144385072413115</v>
      </c>
      <c r="N26" s="87">
        <v>70</v>
      </c>
      <c r="O26" s="88">
        <v>14.355441103773684</v>
      </c>
      <c r="P26" s="87">
        <v>60</v>
      </c>
      <c r="Q26" s="88">
        <v>53.768260907613168</v>
      </c>
      <c r="R26" s="88">
        <v>43.014608726090536</v>
      </c>
      <c r="S26" s="87">
        <v>21.390194176120893</v>
      </c>
      <c r="T26" s="87">
        <v>100</v>
      </c>
      <c r="U26" s="87">
        <v>92.440597837235586</v>
      </c>
      <c r="V26" s="87">
        <v>100</v>
      </c>
      <c r="W26" s="87">
        <v>94.696143623376244</v>
      </c>
      <c r="X26" s="87">
        <v>100</v>
      </c>
      <c r="Y26" s="87">
        <v>0</v>
      </c>
      <c r="Z26" s="87">
        <v>100</v>
      </c>
      <c r="AA26" s="87">
        <v>100</v>
      </c>
      <c r="AB26" s="87">
        <v>20</v>
      </c>
      <c r="AC26" s="68">
        <v>63.014608726090536</v>
      </c>
      <c r="AD26" s="68">
        <v>63.014608726090536</v>
      </c>
      <c r="AE26" s="68" t="s">
        <v>98</v>
      </c>
      <c r="AF26" s="68">
        <f t="shared" si="0"/>
        <v>10</v>
      </c>
    </row>
    <row r="27" spans="1:32" ht="14.4" customHeight="1" x14ac:dyDescent="0.3">
      <c r="A27" s="82" t="s">
        <v>113</v>
      </c>
      <c r="B27" s="81" t="s">
        <v>164</v>
      </c>
      <c r="C27" s="82">
        <v>2020</v>
      </c>
      <c r="D27" s="82" t="s">
        <v>23</v>
      </c>
      <c r="E27" s="147">
        <v>4</v>
      </c>
      <c r="F27" s="84" t="s">
        <v>178</v>
      </c>
      <c r="G27" s="87">
        <v>80.755888091344744</v>
      </c>
      <c r="H27" s="87">
        <v>19.244111908655256</v>
      </c>
      <c r="I27" s="88">
        <v>16.680272144505796</v>
      </c>
      <c r="J27" s="88">
        <v>31.906496686723401</v>
      </c>
      <c r="K27" s="87">
        <v>28.474548997989864</v>
      </c>
      <c r="L27" s="87">
        <v>71.525451002010129</v>
      </c>
      <c r="M27" s="87">
        <v>38.644553723435976</v>
      </c>
      <c r="N27" s="87">
        <v>50</v>
      </c>
      <c r="O27" s="88">
        <v>13.033882609175713</v>
      </c>
      <c r="P27" s="87">
        <v>60</v>
      </c>
      <c r="Q27" s="88">
        <v>46.53521191947776</v>
      </c>
      <c r="R27" s="88">
        <v>37.228169535582211</v>
      </c>
      <c r="S27" s="87">
        <v>10.386516850369553</v>
      </c>
      <c r="T27" s="87">
        <v>72.098741219369302</v>
      </c>
      <c r="U27" s="87">
        <v>109.66542845504134</v>
      </c>
      <c r="V27" s="87">
        <v>100</v>
      </c>
      <c r="W27" s="87">
        <v>85.707958585613568</v>
      </c>
      <c r="X27" s="87">
        <v>80</v>
      </c>
      <c r="Y27" s="87">
        <v>0</v>
      </c>
      <c r="Z27" s="87">
        <v>84.032913739789763</v>
      </c>
      <c r="AA27" s="87">
        <v>84.032913739789763</v>
      </c>
      <c r="AB27" s="87">
        <v>16.806582747957954</v>
      </c>
      <c r="AC27" s="68">
        <v>54.034752283540165</v>
      </c>
      <c r="AD27" s="68">
        <v>54.034752283540165</v>
      </c>
      <c r="AE27" s="68" t="s">
        <v>109</v>
      </c>
      <c r="AF27" s="68">
        <f t="shared" si="0"/>
        <v>15</v>
      </c>
    </row>
    <row r="28" spans="1:32" ht="13.5" customHeight="1" x14ac:dyDescent="0.3">
      <c r="A28" s="82" t="s">
        <v>135</v>
      </c>
      <c r="B28" s="81" t="s">
        <v>156</v>
      </c>
      <c r="C28" s="82">
        <v>2020</v>
      </c>
      <c r="D28" s="82" t="s">
        <v>16</v>
      </c>
      <c r="E28" s="126">
        <v>3</v>
      </c>
      <c r="F28" s="84" t="s">
        <v>178</v>
      </c>
      <c r="G28" s="87">
        <v>55.957895766567944</v>
      </c>
      <c r="H28" s="87">
        <v>44.042104233432056</v>
      </c>
      <c r="I28" s="88">
        <v>7.3527805054221389</v>
      </c>
      <c r="J28" s="88">
        <v>22.500021974605659</v>
      </c>
      <c r="K28" s="87">
        <v>70.925232655745091</v>
      </c>
      <c r="L28" s="87">
        <v>29.074767344254909</v>
      </c>
      <c r="M28" s="87">
        <v>35.684988398764958</v>
      </c>
      <c r="N28" s="87">
        <v>50</v>
      </c>
      <c r="O28" s="88">
        <v>16.356145827698835</v>
      </c>
      <c r="P28" s="87">
        <v>40</v>
      </c>
      <c r="Q28" s="88">
        <v>37.123378710458525</v>
      </c>
      <c r="R28" s="88">
        <v>29.69870296836682</v>
      </c>
      <c r="S28" s="87">
        <v>21.608729566474128</v>
      </c>
      <c r="T28" s="87">
        <v>100</v>
      </c>
      <c r="U28" s="87">
        <v>75.414218268149114</v>
      </c>
      <c r="V28" s="87">
        <v>70</v>
      </c>
      <c r="W28" s="87">
        <v>98.936161798496855</v>
      </c>
      <c r="X28" s="87">
        <v>100</v>
      </c>
      <c r="Y28" s="87">
        <v>0</v>
      </c>
      <c r="Z28" s="87">
        <v>90</v>
      </c>
      <c r="AA28" s="87">
        <v>90</v>
      </c>
      <c r="AB28" s="87">
        <v>18</v>
      </c>
      <c r="AC28" s="68">
        <v>47.698702968366817</v>
      </c>
      <c r="AD28" s="68">
        <v>47.698702968366817</v>
      </c>
      <c r="AE28" s="68" t="s">
        <v>109</v>
      </c>
      <c r="AF28" s="68">
        <f t="shared" si="0"/>
        <v>22</v>
      </c>
    </row>
    <row r="29" spans="1:32" ht="14.4" customHeight="1" x14ac:dyDescent="0.3">
      <c r="A29" s="82" t="s">
        <v>114</v>
      </c>
      <c r="B29" s="81" t="s">
        <v>157</v>
      </c>
      <c r="C29" s="82">
        <v>2020</v>
      </c>
      <c r="D29" s="82" t="s">
        <v>7</v>
      </c>
      <c r="E29" s="147">
        <v>2</v>
      </c>
      <c r="F29" s="84" t="s">
        <v>178</v>
      </c>
      <c r="G29" s="87">
        <v>45.267459796725213</v>
      </c>
      <c r="H29" s="87">
        <v>54.732540203274787</v>
      </c>
      <c r="I29" s="88">
        <v>23.781101153414454</v>
      </c>
      <c r="J29" s="88">
        <v>84.599247085438762</v>
      </c>
      <c r="K29" s="87">
        <v>38.801090574523236</v>
      </c>
      <c r="L29" s="87">
        <v>61.198909425476764</v>
      </c>
      <c r="M29" s="87">
        <v>48.228272014120641</v>
      </c>
      <c r="N29" s="87">
        <v>70</v>
      </c>
      <c r="O29" s="88">
        <v>19.041829965048361</v>
      </c>
      <c r="P29" s="87">
        <v>40</v>
      </c>
      <c r="Q29" s="88">
        <v>62.106139342838063</v>
      </c>
      <c r="R29" s="88">
        <v>49.68491147427045</v>
      </c>
      <c r="S29" s="87">
        <v>20.617537502160516</v>
      </c>
      <c r="T29" s="87">
        <v>100</v>
      </c>
      <c r="U29" s="87">
        <v>84.492612222651871</v>
      </c>
      <c r="V29" s="87">
        <v>80</v>
      </c>
      <c r="W29" s="87">
        <v>96.337210868902687</v>
      </c>
      <c r="X29" s="87">
        <v>100</v>
      </c>
      <c r="Y29" s="87">
        <v>0</v>
      </c>
      <c r="Z29" s="87">
        <v>93.333333333333329</v>
      </c>
      <c r="AA29" s="87">
        <v>93.333333333333329</v>
      </c>
      <c r="AB29" s="87">
        <v>18.666666666666668</v>
      </c>
      <c r="AC29" s="68">
        <v>68.351578140937121</v>
      </c>
      <c r="AD29" s="68">
        <v>68.351578140937121</v>
      </c>
      <c r="AE29" s="68" t="s">
        <v>98</v>
      </c>
      <c r="AF29" s="68">
        <f t="shared" si="0"/>
        <v>3</v>
      </c>
    </row>
    <row r="30" spans="1:32" ht="15" customHeight="1" x14ac:dyDescent="0.3">
      <c r="A30" s="82" t="s">
        <v>106</v>
      </c>
      <c r="B30" s="81" t="s">
        <v>165</v>
      </c>
      <c r="C30" s="82">
        <v>2020</v>
      </c>
      <c r="D30" s="82" t="s">
        <v>173</v>
      </c>
      <c r="E30" s="126">
        <v>3</v>
      </c>
      <c r="F30" s="84" t="s">
        <v>178</v>
      </c>
      <c r="G30" s="87">
        <v>48.194698972354693</v>
      </c>
      <c r="H30" s="87">
        <v>51.805301027645307</v>
      </c>
      <c r="I30" s="88">
        <v>12.111549441587202</v>
      </c>
      <c r="J30" s="88">
        <v>37.062187342771708</v>
      </c>
      <c r="K30" s="87">
        <v>23.164471541646385</v>
      </c>
      <c r="L30" s="87">
        <v>76.835528458353622</v>
      </c>
      <c r="M30" s="87">
        <v>19.13777236261706</v>
      </c>
      <c r="N30" s="87">
        <v>30</v>
      </c>
      <c r="O30" s="88">
        <v>54.624358278239484</v>
      </c>
      <c r="P30" s="87">
        <v>0</v>
      </c>
      <c r="Q30" s="88">
        <v>39.140603365754131</v>
      </c>
      <c r="R30" s="88">
        <v>31.312482692603307</v>
      </c>
      <c r="S30" s="87">
        <v>5.0995280008366954</v>
      </c>
      <c r="T30" s="87">
        <v>43.171948702963576</v>
      </c>
      <c r="U30" s="87">
        <v>42.505842581964913</v>
      </c>
      <c r="V30" s="87">
        <v>0</v>
      </c>
      <c r="W30" s="87">
        <v>79.124448251531831</v>
      </c>
      <c r="X30" s="87">
        <v>70</v>
      </c>
      <c r="Y30" s="87">
        <v>0</v>
      </c>
      <c r="Z30" s="87">
        <v>37.723982900987856</v>
      </c>
      <c r="AA30" s="87">
        <v>37.723982900987856</v>
      </c>
      <c r="AB30" s="87">
        <v>7.5447965801975716</v>
      </c>
      <c r="AC30" s="68">
        <v>38.857279272800881</v>
      </c>
      <c r="AD30" s="68">
        <v>38.857279272800881</v>
      </c>
      <c r="AE30" s="68" t="s">
        <v>177</v>
      </c>
      <c r="AF30" s="68">
        <f t="shared" si="0"/>
        <v>32</v>
      </c>
    </row>
    <row r="31" spans="1:32" ht="13.5" customHeight="1" x14ac:dyDescent="0.3">
      <c r="A31" s="82" t="s">
        <v>117</v>
      </c>
      <c r="B31" s="81" t="s">
        <v>158</v>
      </c>
      <c r="C31" s="82">
        <v>2020</v>
      </c>
      <c r="D31" s="82" t="s">
        <v>17</v>
      </c>
      <c r="E31" s="147">
        <v>1</v>
      </c>
      <c r="F31" s="84" t="s">
        <v>178</v>
      </c>
      <c r="G31" s="87">
        <v>54.008228760550011</v>
      </c>
      <c r="H31" s="87">
        <v>45.991771239449989</v>
      </c>
      <c r="I31" s="88">
        <v>19.752283995839122</v>
      </c>
      <c r="J31" s="88">
        <v>33.473055560136302</v>
      </c>
      <c r="K31" s="87">
        <v>65.217123992866334</v>
      </c>
      <c r="L31" s="87">
        <v>34.782876007133666</v>
      </c>
      <c r="M31" s="87">
        <v>33.331761246583405</v>
      </c>
      <c r="N31" s="87">
        <v>40</v>
      </c>
      <c r="O31" s="88">
        <v>15.30916127534932</v>
      </c>
      <c r="P31" s="87">
        <v>40</v>
      </c>
      <c r="Q31" s="88">
        <v>38.849540561343993</v>
      </c>
      <c r="R31" s="88">
        <v>31.079632449075195</v>
      </c>
      <c r="S31" s="87">
        <v>8.1227135238677857</v>
      </c>
      <c r="T31" s="87">
        <v>86.426243986654057</v>
      </c>
      <c r="U31" s="87">
        <v>84.014184223562481</v>
      </c>
      <c r="V31" s="87">
        <v>80</v>
      </c>
      <c r="W31" s="87">
        <v>84.896211291804221</v>
      </c>
      <c r="X31" s="87">
        <v>80</v>
      </c>
      <c r="Y31" s="87">
        <v>0</v>
      </c>
      <c r="Z31" s="87">
        <v>82.142081328884686</v>
      </c>
      <c r="AA31" s="87">
        <v>82.142081328884686</v>
      </c>
      <c r="AB31" s="87">
        <v>16.428416265776939</v>
      </c>
      <c r="AC31" s="68">
        <v>47.508048714852137</v>
      </c>
      <c r="AD31" s="68">
        <v>47.508048714852137</v>
      </c>
      <c r="AE31" s="68" t="s">
        <v>109</v>
      </c>
      <c r="AF31" s="68">
        <f t="shared" si="0"/>
        <v>23</v>
      </c>
    </row>
    <row r="32" spans="1:32" ht="15" customHeight="1" x14ac:dyDescent="0.3">
      <c r="A32" s="82" t="s">
        <v>97</v>
      </c>
      <c r="B32" s="81" t="s">
        <v>159</v>
      </c>
      <c r="C32" s="82">
        <v>2020</v>
      </c>
      <c r="D32" s="82" t="s">
        <v>18</v>
      </c>
      <c r="E32" s="126">
        <v>3</v>
      </c>
      <c r="F32" s="84" t="s">
        <v>178</v>
      </c>
      <c r="G32" s="87">
        <v>76.094259055768958</v>
      </c>
      <c r="H32" s="87">
        <v>23.905740944231042</v>
      </c>
      <c r="I32" s="88">
        <v>32.678992552632856</v>
      </c>
      <c r="J32" s="88">
        <v>100</v>
      </c>
      <c r="K32" s="87">
        <v>30.724688213587662</v>
      </c>
      <c r="L32" s="87">
        <v>69.275311786412345</v>
      </c>
      <c r="M32" s="87">
        <v>45.117143100010217</v>
      </c>
      <c r="N32" s="87">
        <v>70</v>
      </c>
      <c r="O32" s="88">
        <v>17.737338029414829</v>
      </c>
      <c r="P32" s="87">
        <v>40</v>
      </c>
      <c r="Q32" s="88">
        <v>60.63621054612868</v>
      </c>
      <c r="R32" s="88">
        <v>48.508968436902947</v>
      </c>
      <c r="S32" s="87">
        <v>0</v>
      </c>
      <c r="T32" s="87">
        <v>0</v>
      </c>
      <c r="U32" s="87">
        <v>82.261477888447857</v>
      </c>
      <c r="V32" s="87">
        <v>80</v>
      </c>
      <c r="W32" s="87">
        <v>97.59599064759432</v>
      </c>
      <c r="X32" s="87">
        <v>100</v>
      </c>
      <c r="Y32" s="87">
        <v>0</v>
      </c>
      <c r="Z32" s="87">
        <v>60</v>
      </c>
      <c r="AA32" s="87">
        <v>60</v>
      </c>
      <c r="AB32" s="87">
        <v>12</v>
      </c>
      <c r="AC32" s="68">
        <v>60.508968436902947</v>
      </c>
      <c r="AD32" s="68">
        <v>60.508968436902947</v>
      </c>
      <c r="AE32" s="68" t="s">
        <v>98</v>
      </c>
      <c r="AF32" s="68">
        <f t="shared" si="0"/>
        <v>11</v>
      </c>
    </row>
    <row r="33" spans="1:32" ht="14.4" customHeight="1" x14ac:dyDescent="0.3">
      <c r="A33" s="82" t="s">
        <v>108</v>
      </c>
      <c r="B33" s="81" t="s">
        <v>160</v>
      </c>
      <c r="C33" s="82">
        <v>2020</v>
      </c>
      <c r="D33" s="82" t="s">
        <v>19</v>
      </c>
      <c r="E33" s="147">
        <v>2</v>
      </c>
      <c r="F33" s="84" t="s">
        <v>178</v>
      </c>
      <c r="G33" s="87">
        <v>60.92106276937723</v>
      </c>
      <c r="H33" s="87">
        <v>39.07893723062277</v>
      </c>
      <c r="I33" s="88">
        <v>22.061973498472071</v>
      </c>
      <c r="J33" s="88">
        <v>78.483596497450733</v>
      </c>
      <c r="K33" s="87">
        <v>80.964943212320037</v>
      </c>
      <c r="L33" s="87">
        <v>19.035056787679963</v>
      </c>
      <c r="M33" s="87">
        <v>37.137981663272228</v>
      </c>
      <c r="N33" s="87">
        <v>50</v>
      </c>
      <c r="O33" s="88">
        <v>12.689848537860115</v>
      </c>
      <c r="P33" s="87">
        <v>60</v>
      </c>
      <c r="Q33" s="88">
        <v>49.319518103150692</v>
      </c>
      <c r="R33" s="88">
        <v>39.455614482520559</v>
      </c>
      <c r="S33" s="87">
        <v>27.960767228205285</v>
      </c>
      <c r="T33" s="87">
        <v>100</v>
      </c>
      <c r="U33" s="87">
        <v>81.290436334523974</v>
      </c>
      <c r="V33" s="87">
        <v>80</v>
      </c>
      <c r="W33" s="87">
        <v>92.843557123975572</v>
      </c>
      <c r="X33" s="87">
        <v>100</v>
      </c>
      <c r="Y33" s="87">
        <v>0</v>
      </c>
      <c r="Z33" s="87">
        <v>93.333333333333329</v>
      </c>
      <c r="AA33" s="87">
        <v>93.333333333333329</v>
      </c>
      <c r="AB33" s="87">
        <v>18.666666666666668</v>
      </c>
      <c r="AC33" s="68">
        <v>58.122281149187231</v>
      </c>
      <c r="AD33" s="68">
        <v>58.122281149187231</v>
      </c>
      <c r="AE33" s="68" t="s">
        <v>109</v>
      </c>
      <c r="AF33" s="68">
        <f t="shared" si="0"/>
        <v>12</v>
      </c>
    </row>
    <row r="34" spans="1:32" ht="14.4" customHeight="1" x14ac:dyDescent="0.3">
      <c r="A34" s="82" t="s">
        <v>103</v>
      </c>
      <c r="B34" s="81" t="s">
        <v>161</v>
      </c>
      <c r="C34" s="82">
        <v>2020</v>
      </c>
      <c r="D34" s="82" t="s">
        <v>20</v>
      </c>
      <c r="E34" s="152" t="s">
        <v>51</v>
      </c>
      <c r="F34" s="84" t="s">
        <v>178</v>
      </c>
      <c r="G34" s="87">
        <v>33.745317147876754</v>
      </c>
      <c r="H34" s="87">
        <v>66.254682852123238</v>
      </c>
      <c r="I34" s="88">
        <v>24.350572352269509</v>
      </c>
      <c r="J34" s="88">
        <v>71.119869963520756</v>
      </c>
      <c r="K34" s="87">
        <v>77.762712371509821</v>
      </c>
      <c r="L34" s="87">
        <v>22.237287628490179</v>
      </c>
      <c r="M34" s="87">
        <v>65.003311069287903</v>
      </c>
      <c r="N34" s="87">
        <v>100</v>
      </c>
      <c r="O34" s="88">
        <v>20.231055539840934</v>
      </c>
      <c r="P34" s="87">
        <v>20</v>
      </c>
      <c r="Q34" s="88">
        <v>55.922368088826829</v>
      </c>
      <c r="R34" s="88">
        <v>44.737894471061466</v>
      </c>
      <c r="S34" s="87">
        <v>11.520475522684587</v>
      </c>
      <c r="T34" s="87">
        <v>100</v>
      </c>
      <c r="U34" s="87">
        <v>88.441169979118257</v>
      </c>
      <c r="V34" s="87">
        <v>80</v>
      </c>
      <c r="W34" s="87">
        <v>92.871397733706871</v>
      </c>
      <c r="X34" s="87">
        <v>100</v>
      </c>
      <c r="Y34" s="87">
        <v>0</v>
      </c>
      <c r="Z34" s="87">
        <v>93.333333333333329</v>
      </c>
      <c r="AA34" s="87">
        <v>93.333333333333329</v>
      </c>
      <c r="AB34" s="87">
        <v>18.666666666666668</v>
      </c>
      <c r="AC34" s="68">
        <v>63.404561137728138</v>
      </c>
      <c r="AD34" s="68">
        <v>63.404561137728138</v>
      </c>
      <c r="AE34" s="68" t="s">
        <v>98</v>
      </c>
      <c r="AF34" s="68">
        <f t="shared" si="0"/>
        <v>8</v>
      </c>
    </row>
    <row r="35" spans="1:32" ht="14.4" customHeight="1" x14ac:dyDescent="0.3">
      <c r="A35" s="82" t="s">
        <v>123</v>
      </c>
      <c r="B35" s="81" t="s">
        <v>169</v>
      </c>
      <c r="C35" s="82">
        <v>2020</v>
      </c>
      <c r="D35" s="82" t="s">
        <v>124</v>
      </c>
      <c r="E35" s="147">
        <v>4</v>
      </c>
      <c r="F35" s="84" t="s">
        <v>178</v>
      </c>
      <c r="G35" s="87">
        <v>85.497358679371601</v>
      </c>
      <c r="H35" s="87">
        <v>14.502641320628399</v>
      </c>
      <c r="I35" s="88">
        <v>52.278607420559013</v>
      </c>
      <c r="J35" s="88">
        <v>100</v>
      </c>
      <c r="K35" s="87">
        <v>10.072137118138039</v>
      </c>
      <c r="L35" s="87">
        <v>89.927862881861955</v>
      </c>
      <c r="M35" s="87">
        <v>54.650687563543777</v>
      </c>
      <c r="N35" s="87">
        <v>70</v>
      </c>
      <c r="O35" s="88">
        <v>47.545915699701155</v>
      </c>
      <c r="P35" s="87">
        <v>0</v>
      </c>
      <c r="Q35" s="88">
        <v>54.886100840498067</v>
      </c>
      <c r="R35" s="88">
        <v>43.908880672398453</v>
      </c>
      <c r="S35" s="87">
        <v>27.285859827698498</v>
      </c>
      <c r="T35" s="87">
        <v>100</v>
      </c>
      <c r="U35" s="87">
        <v>195.38027928860882</v>
      </c>
      <c r="V35" s="87">
        <v>0</v>
      </c>
      <c r="W35" s="87">
        <v>85.007081497193852</v>
      </c>
      <c r="X35" s="87">
        <v>80</v>
      </c>
      <c r="Y35" s="87">
        <v>0</v>
      </c>
      <c r="Z35" s="87">
        <v>60</v>
      </c>
      <c r="AA35" s="87">
        <v>60</v>
      </c>
      <c r="AB35" s="87">
        <v>12</v>
      </c>
      <c r="AC35" s="68">
        <v>55.908880672398453</v>
      </c>
      <c r="AD35" s="68">
        <v>55.908880672398453</v>
      </c>
      <c r="AE35" s="68" t="s">
        <v>109</v>
      </c>
      <c r="AF35" s="68">
        <f t="shared" si="0"/>
        <v>13</v>
      </c>
    </row>
    <row r="36" spans="1:32" ht="13.5" customHeight="1" x14ac:dyDescent="0.3">
      <c r="A36" s="82" t="s">
        <v>134</v>
      </c>
      <c r="B36" s="81" t="s">
        <v>170</v>
      </c>
      <c r="C36" s="82">
        <v>2020</v>
      </c>
      <c r="D36" s="82" t="s">
        <v>26</v>
      </c>
      <c r="E36" s="147">
        <v>4</v>
      </c>
      <c r="F36" s="84" t="s">
        <v>178</v>
      </c>
      <c r="G36" s="87">
        <v>80.052497901387966</v>
      </c>
      <c r="H36" s="87">
        <v>19.947502098612034</v>
      </c>
      <c r="I36" s="88">
        <v>6.7635486346236631</v>
      </c>
      <c r="J36" s="88">
        <v>12.937507267961081</v>
      </c>
      <c r="K36" s="87">
        <v>24.799015517805241</v>
      </c>
      <c r="L36" s="87">
        <v>75.200984482194755</v>
      </c>
      <c r="M36" s="87">
        <v>51.795699388458935</v>
      </c>
      <c r="N36" s="87">
        <v>70</v>
      </c>
      <c r="O36" s="88">
        <v>30.906828071062876</v>
      </c>
      <c r="P36" s="87">
        <v>0</v>
      </c>
      <c r="Q36" s="88">
        <v>35.617198769753578</v>
      </c>
      <c r="R36" s="88">
        <v>28.493759015802866</v>
      </c>
      <c r="S36" s="87">
        <v>30.312381937064703</v>
      </c>
      <c r="T36" s="87">
        <v>100</v>
      </c>
      <c r="U36" s="87">
        <v>80.948659084694881</v>
      </c>
      <c r="V36" s="87">
        <v>80</v>
      </c>
      <c r="W36" s="87">
        <v>90.070250159683482</v>
      </c>
      <c r="X36" s="87">
        <v>100</v>
      </c>
      <c r="Y36" s="87">
        <v>0</v>
      </c>
      <c r="Z36" s="87">
        <v>93.333333333333329</v>
      </c>
      <c r="AA36" s="87">
        <v>93.333333333333329</v>
      </c>
      <c r="AB36" s="87">
        <v>18.666666666666668</v>
      </c>
      <c r="AC36" s="68">
        <v>47.160425682469537</v>
      </c>
      <c r="AD36" s="68">
        <v>47.160425682469537</v>
      </c>
      <c r="AE36" s="68" t="s">
        <v>109</v>
      </c>
      <c r="AF36" s="68">
        <f t="shared" si="0"/>
        <v>24</v>
      </c>
    </row>
    <row r="37" spans="1:32" s="66" customFormat="1" ht="14.4" customHeight="1" x14ac:dyDescent="0.3">
      <c r="A37" s="81" t="s">
        <v>102</v>
      </c>
      <c r="B37" s="81" t="s">
        <v>139</v>
      </c>
      <c r="C37" s="82">
        <v>2021</v>
      </c>
      <c r="D37" s="82" t="s">
        <v>2</v>
      </c>
      <c r="E37" s="152" t="s">
        <v>51</v>
      </c>
      <c r="F37" s="84" t="s">
        <v>178</v>
      </c>
      <c r="G37" s="87">
        <v>37.220130778250834</v>
      </c>
      <c r="H37" s="87">
        <v>62.779869221749166</v>
      </c>
      <c r="I37" s="88">
        <v>28.643504591078571</v>
      </c>
      <c r="J37" s="88">
        <v>84.247178293392253</v>
      </c>
      <c r="K37" s="87">
        <v>76.476311645550027</v>
      </c>
      <c r="L37" s="87">
        <v>23.523688354449973</v>
      </c>
      <c r="M37" s="87">
        <v>62.176947996049925</v>
      </c>
      <c r="N37" s="87">
        <v>80</v>
      </c>
      <c r="O37" s="88">
        <v>11.869938483000308</v>
      </c>
      <c r="P37" s="87">
        <v>60</v>
      </c>
      <c r="Q37" s="88">
        <v>62.110147173918278</v>
      </c>
      <c r="R37" s="88">
        <v>49.688117739134626</v>
      </c>
      <c r="S37" s="87">
        <v>29.622740959956552</v>
      </c>
      <c r="T37" s="87">
        <v>100</v>
      </c>
      <c r="U37" s="87">
        <v>118.98787281319505</v>
      </c>
      <c r="V37" s="87">
        <v>80</v>
      </c>
      <c r="W37" s="87">
        <v>89.740562631259465</v>
      </c>
      <c r="X37" s="87">
        <v>80</v>
      </c>
      <c r="Y37" s="87">
        <v>0</v>
      </c>
      <c r="Z37" s="87">
        <v>86.666666666666671</v>
      </c>
      <c r="AA37" s="87">
        <v>86.666666666666671</v>
      </c>
      <c r="AB37" s="87">
        <v>17.333333333333336</v>
      </c>
      <c r="AC37" s="68">
        <v>67.021451072467954</v>
      </c>
      <c r="AD37" s="68">
        <v>67.021451072467954</v>
      </c>
      <c r="AE37" s="68" t="s">
        <v>98</v>
      </c>
      <c r="AF37" s="68">
        <f t="shared" si="0"/>
        <v>7</v>
      </c>
    </row>
    <row r="38" spans="1:32" ht="14.4" customHeight="1" x14ac:dyDescent="0.3">
      <c r="A38" s="81" t="s">
        <v>94</v>
      </c>
      <c r="B38" s="81" t="s">
        <v>140</v>
      </c>
      <c r="C38" s="89">
        <v>2021</v>
      </c>
      <c r="D38" s="82" t="s">
        <v>27</v>
      </c>
      <c r="E38" s="147">
        <v>1</v>
      </c>
      <c r="F38" s="84" t="s">
        <v>178</v>
      </c>
      <c r="G38" s="87">
        <v>36.397986239867073</v>
      </c>
      <c r="H38" s="87">
        <v>63.602013760132927</v>
      </c>
      <c r="I38" s="88">
        <v>31.977234319821118</v>
      </c>
      <c r="J38" s="88">
        <v>94.524838136154926</v>
      </c>
      <c r="K38" s="87">
        <v>43.34030409278369</v>
      </c>
      <c r="L38" s="87">
        <v>56.65969590721631</v>
      </c>
      <c r="M38" s="87">
        <v>71.692657022484667</v>
      </c>
      <c r="N38" s="87">
        <v>100</v>
      </c>
      <c r="O38" s="88">
        <v>-11.263148675786724</v>
      </c>
      <c r="P38" s="87">
        <v>60</v>
      </c>
      <c r="Q38" s="88">
        <v>74.957309560700836</v>
      </c>
      <c r="R38" s="88">
        <v>59.965847648560668</v>
      </c>
      <c r="S38" s="87">
        <v>18.932638564293047</v>
      </c>
      <c r="T38" s="87">
        <v>100</v>
      </c>
      <c r="U38" s="87">
        <v>122.23130245123005</v>
      </c>
      <c r="V38" s="87">
        <v>70</v>
      </c>
      <c r="W38" s="87">
        <v>73.987826673134137</v>
      </c>
      <c r="X38" s="87">
        <v>70</v>
      </c>
      <c r="Y38" s="87">
        <v>0</v>
      </c>
      <c r="Z38" s="87">
        <v>80</v>
      </c>
      <c r="AA38" s="87">
        <v>80</v>
      </c>
      <c r="AB38" s="87">
        <v>16</v>
      </c>
      <c r="AC38" s="68">
        <v>75.965847648560668</v>
      </c>
      <c r="AD38" s="68">
        <v>75.965847648560668</v>
      </c>
      <c r="AE38" s="68" t="s">
        <v>95</v>
      </c>
      <c r="AF38" s="68">
        <f t="shared" si="0"/>
        <v>1</v>
      </c>
    </row>
    <row r="39" spans="1:32" ht="14.4" customHeight="1" x14ac:dyDescent="0.3">
      <c r="A39" s="81" t="s">
        <v>132</v>
      </c>
      <c r="B39" s="81" t="s">
        <v>141</v>
      </c>
      <c r="C39" s="89">
        <v>2021</v>
      </c>
      <c r="D39" s="82" t="s">
        <v>133</v>
      </c>
      <c r="E39" s="147">
        <v>1</v>
      </c>
      <c r="F39" s="84" t="s">
        <v>178</v>
      </c>
      <c r="G39" s="87">
        <v>60.98803190503169</v>
      </c>
      <c r="H39" s="87">
        <v>39.01196809496831</v>
      </c>
      <c r="I39" s="88">
        <v>25.870640208686641</v>
      </c>
      <c r="J39" s="88">
        <v>76.473720452084606</v>
      </c>
      <c r="K39" s="87">
        <v>63.670073906004049</v>
      </c>
      <c r="L39" s="87">
        <v>36.329926093995951</v>
      </c>
      <c r="M39" s="87">
        <v>35.943015341031867</v>
      </c>
      <c r="N39" s="87">
        <v>50</v>
      </c>
      <c r="O39" s="88">
        <v>-5.779604211073984</v>
      </c>
      <c r="P39" s="87">
        <v>80</v>
      </c>
      <c r="Q39" s="88">
        <v>56.363122928209769</v>
      </c>
      <c r="R39" s="88">
        <v>45.09049834256782</v>
      </c>
      <c r="S39" s="87">
        <v>5.1658665229204708</v>
      </c>
      <c r="T39" s="87">
        <v>36.390688382796789</v>
      </c>
      <c r="U39" s="87">
        <v>129.35722399195311</v>
      </c>
      <c r="V39" s="87">
        <v>70</v>
      </c>
      <c r="W39" s="87">
        <v>77.287132663768574</v>
      </c>
      <c r="X39" s="87">
        <v>70</v>
      </c>
      <c r="Y39" s="87">
        <v>0</v>
      </c>
      <c r="Z39" s="87">
        <v>58.796896127598927</v>
      </c>
      <c r="AA39" s="87">
        <v>58.796896127598927</v>
      </c>
      <c r="AB39" s="87">
        <v>11.759379225519787</v>
      </c>
      <c r="AC39" s="68">
        <v>56.849877568087607</v>
      </c>
      <c r="AD39" s="68">
        <v>56.849877568087607</v>
      </c>
      <c r="AE39" s="68" t="s">
        <v>109</v>
      </c>
      <c r="AF39" s="68">
        <f t="shared" si="0"/>
        <v>17</v>
      </c>
    </row>
    <row r="40" spans="1:32" ht="15" customHeight="1" x14ac:dyDescent="0.3">
      <c r="A40" s="81" t="s">
        <v>128</v>
      </c>
      <c r="B40" s="81" t="s">
        <v>142</v>
      </c>
      <c r="C40" s="89">
        <v>2021</v>
      </c>
      <c r="D40" s="82" t="s">
        <v>176</v>
      </c>
      <c r="E40" s="147">
        <v>1</v>
      </c>
      <c r="F40" s="84" t="s">
        <v>178</v>
      </c>
      <c r="G40" s="87">
        <v>63.996872348471122</v>
      </c>
      <c r="H40" s="87">
        <v>36.003127651528878</v>
      </c>
      <c r="I40" s="88">
        <v>14.157158924125232</v>
      </c>
      <c r="J40" s="88">
        <v>41.848620877799689</v>
      </c>
      <c r="K40" s="87">
        <v>66.756189777978037</v>
      </c>
      <c r="L40" s="87">
        <v>33.243810222021963</v>
      </c>
      <c r="M40" s="87">
        <v>57.168307487761858</v>
      </c>
      <c r="N40" s="87">
        <v>80</v>
      </c>
      <c r="O40" s="88">
        <v>14.119233098286626</v>
      </c>
      <c r="P40" s="87">
        <v>60</v>
      </c>
      <c r="Q40" s="88">
        <v>50.219111750270109</v>
      </c>
      <c r="R40" s="88">
        <v>40.175289400216087</v>
      </c>
      <c r="S40" s="87">
        <v>14.333145900919225</v>
      </c>
      <c r="T40" s="87">
        <v>100</v>
      </c>
      <c r="U40" s="87">
        <v>116.43310828166611</v>
      </c>
      <c r="V40" s="87">
        <v>80</v>
      </c>
      <c r="W40" s="87">
        <v>89.041524239234889</v>
      </c>
      <c r="X40" s="87">
        <v>80</v>
      </c>
      <c r="Y40" s="87">
        <v>0</v>
      </c>
      <c r="Z40" s="87">
        <v>86.666666666666671</v>
      </c>
      <c r="AA40" s="87">
        <v>86.666666666666671</v>
      </c>
      <c r="AB40" s="87">
        <v>17.333333333333336</v>
      </c>
      <c r="AC40" s="68">
        <v>57.508622733549423</v>
      </c>
      <c r="AD40" s="68">
        <v>57.508622733549423</v>
      </c>
      <c r="AE40" s="68" t="s">
        <v>109</v>
      </c>
      <c r="AF40" s="68">
        <f t="shared" si="0"/>
        <v>15</v>
      </c>
    </row>
    <row r="41" spans="1:32" ht="13.5" customHeight="1" x14ac:dyDescent="0.3">
      <c r="A41" s="81" t="s">
        <v>105</v>
      </c>
      <c r="B41" s="81" t="s">
        <v>143</v>
      </c>
      <c r="C41" s="89">
        <v>2021</v>
      </c>
      <c r="D41" s="82" t="s">
        <v>6</v>
      </c>
      <c r="E41" s="147">
        <v>2</v>
      </c>
      <c r="F41" s="84" t="s">
        <v>178</v>
      </c>
      <c r="G41" s="87">
        <v>46.724889673417039</v>
      </c>
      <c r="H41" s="87">
        <v>53.275110326582961</v>
      </c>
      <c r="I41" s="88">
        <v>24.539904754834982</v>
      </c>
      <c r="J41" s="88">
        <v>75.740892324862799</v>
      </c>
      <c r="K41" s="87">
        <v>60.745027571021865</v>
      </c>
      <c r="L41" s="87">
        <v>39.254972428978135</v>
      </c>
      <c r="M41" s="87">
        <v>54.961331556340966</v>
      </c>
      <c r="N41" s="87">
        <v>70</v>
      </c>
      <c r="O41" s="88">
        <v>11.454485769301865</v>
      </c>
      <c r="P41" s="87">
        <v>60</v>
      </c>
      <c r="Q41" s="88">
        <v>59.654195016084785</v>
      </c>
      <c r="R41" s="88">
        <v>47.723356012867832</v>
      </c>
      <c r="S41" s="87">
        <v>15.859380943724977</v>
      </c>
      <c r="T41" s="87">
        <v>68.051570755698435</v>
      </c>
      <c r="U41" s="87">
        <v>121.85783991278359</v>
      </c>
      <c r="V41" s="87">
        <v>70</v>
      </c>
      <c r="W41" s="87">
        <v>98.026677878273716</v>
      </c>
      <c r="X41" s="87">
        <v>100</v>
      </c>
      <c r="Y41" s="87">
        <v>0</v>
      </c>
      <c r="Z41" s="87">
        <v>79.350523585232807</v>
      </c>
      <c r="AA41" s="87">
        <v>79.350523585232807</v>
      </c>
      <c r="AB41" s="87">
        <v>15.870104717046562</v>
      </c>
      <c r="AC41" s="68">
        <v>63.593460729914398</v>
      </c>
      <c r="AD41" s="68">
        <v>63.593460729914398</v>
      </c>
      <c r="AE41" s="68" t="s">
        <v>98</v>
      </c>
      <c r="AF41" s="68">
        <f t="shared" si="0"/>
        <v>9</v>
      </c>
    </row>
    <row r="42" spans="1:32" ht="14.4" customHeight="1" x14ac:dyDescent="0.3">
      <c r="A42" s="81" t="s">
        <v>121</v>
      </c>
      <c r="B42" s="81" t="s">
        <v>144</v>
      </c>
      <c r="C42" s="89">
        <v>2021</v>
      </c>
      <c r="D42" s="82" t="s">
        <v>122</v>
      </c>
      <c r="E42" s="147">
        <v>4</v>
      </c>
      <c r="F42" s="84" t="s">
        <v>178</v>
      </c>
      <c r="G42" s="87">
        <v>73.004015011358518</v>
      </c>
      <c r="H42" s="87">
        <v>26.995984988641482</v>
      </c>
      <c r="I42" s="88">
        <v>7.5497174705745778</v>
      </c>
      <c r="J42" s="88">
        <v>17.517205225428381</v>
      </c>
      <c r="K42" s="87">
        <v>51.387121899262752</v>
      </c>
      <c r="L42" s="87">
        <v>48.612878100737248</v>
      </c>
      <c r="M42" s="87">
        <v>45.396697457940839</v>
      </c>
      <c r="N42" s="87">
        <v>70</v>
      </c>
      <c r="O42" s="88">
        <v>17.534676149761871</v>
      </c>
      <c r="P42" s="87">
        <v>40</v>
      </c>
      <c r="Q42" s="88">
        <v>40.625213662961428</v>
      </c>
      <c r="R42" s="88">
        <v>32.500170930369144</v>
      </c>
      <c r="S42" s="87">
        <v>12.362409619346737</v>
      </c>
      <c r="T42" s="87">
        <v>76.129129205950463</v>
      </c>
      <c r="U42" s="87">
        <v>112.72784101376138</v>
      </c>
      <c r="V42" s="87">
        <v>80</v>
      </c>
      <c r="W42" s="87">
        <v>89.688996297451865</v>
      </c>
      <c r="X42" s="87">
        <v>80</v>
      </c>
      <c r="Y42" s="87">
        <v>0</v>
      </c>
      <c r="Z42" s="87">
        <v>78.709709735316821</v>
      </c>
      <c r="AA42" s="87">
        <v>78.709709735316821</v>
      </c>
      <c r="AB42" s="87">
        <v>15.741941947063365</v>
      </c>
      <c r="AC42" s="68">
        <v>48.242112877432511</v>
      </c>
      <c r="AD42" s="68">
        <v>48.242112877432511</v>
      </c>
      <c r="AE42" s="68" t="s">
        <v>109</v>
      </c>
      <c r="AF42" s="68">
        <f t="shared" si="0"/>
        <v>27</v>
      </c>
    </row>
    <row r="43" spans="1:32" ht="13.5" customHeight="1" x14ac:dyDescent="0.3">
      <c r="A43" s="81" t="s">
        <v>126</v>
      </c>
      <c r="B43" s="81" t="s">
        <v>145</v>
      </c>
      <c r="C43" s="89">
        <v>2021</v>
      </c>
      <c r="D43" s="82" t="s">
        <v>8</v>
      </c>
      <c r="E43" s="126">
        <v>3</v>
      </c>
      <c r="F43" s="84" t="s">
        <v>178</v>
      </c>
      <c r="G43" s="87">
        <v>78.06207316041251</v>
      </c>
      <c r="H43" s="87">
        <v>21.93792683958749</v>
      </c>
      <c r="I43" s="88">
        <v>5.4604251822196597</v>
      </c>
      <c r="J43" s="88">
        <v>33.510326410552217</v>
      </c>
      <c r="K43" s="87">
        <v>41.205958502154047</v>
      </c>
      <c r="L43" s="87">
        <v>58.794041497845953</v>
      </c>
      <c r="M43" s="87">
        <v>57.231689290252753</v>
      </c>
      <c r="N43" s="87">
        <v>80</v>
      </c>
      <c r="O43" s="88">
        <v>20.256897246646119</v>
      </c>
      <c r="P43" s="87">
        <v>20</v>
      </c>
      <c r="Q43" s="88">
        <v>42.848458949597131</v>
      </c>
      <c r="R43" s="88">
        <v>34.278767159677706</v>
      </c>
      <c r="S43" s="87">
        <v>41.808625632489644</v>
      </c>
      <c r="T43" s="87">
        <v>100</v>
      </c>
      <c r="U43" s="87">
        <v>132.07878284630476</v>
      </c>
      <c r="V43" s="87">
        <v>60</v>
      </c>
      <c r="W43" s="87">
        <v>97.651343895456563</v>
      </c>
      <c r="X43" s="87">
        <v>100</v>
      </c>
      <c r="Y43" s="87">
        <v>0</v>
      </c>
      <c r="Z43" s="87">
        <v>86.666666666666671</v>
      </c>
      <c r="AA43" s="87">
        <v>86.666666666666671</v>
      </c>
      <c r="AB43" s="87">
        <v>17.333333333333336</v>
      </c>
      <c r="AC43" s="68">
        <v>51.612100493011042</v>
      </c>
      <c r="AD43" s="68">
        <v>51.612100493011042</v>
      </c>
      <c r="AE43" s="68" t="s">
        <v>109</v>
      </c>
      <c r="AF43" s="68">
        <f t="shared" si="0"/>
        <v>25</v>
      </c>
    </row>
    <row r="44" spans="1:32" ht="14.4" customHeight="1" x14ac:dyDescent="0.3">
      <c r="A44" s="81" t="s">
        <v>104</v>
      </c>
      <c r="B44" s="81" t="s">
        <v>146</v>
      </c>
      <c r="C44" s="89">
        <v>2021</v>
      </c>
      <c r="D44" s="82" t="s">
        <v>9</v>
      </c>
      <c r="E44" s="147">
        <v>2</v>
      </c>
      <c r="F44" s="84" t="s">
        <v>178</v>
      </c>
      <c r="G44" s="87">
        <v>75.7241921746472</v>
      </c>
      <c r="H44" s="87">
        <v>24.2758078253528</v>
      </c>
      <c r="I44" s="88">
        <v>32.399809404911757</v>
      </c>
      <c r="J44" s="88">
        <v>100</v>
      </c>
      <c r="K44" s="87">
        <v>23.582774486177414</v>
      </c>
      <c r="L44" s="87">
        <v>76.417225513822586</v>
      </c>
      <c r="M44" s="87">
        <v>54.32910687854308</v>
      </c>
      <c r="N44" s="87">
        <v>70</v>
      </c>
      <c r="O44" s="88">
        <v>18.472358459962955</v>
      </c>
      <c r="P44" s="87">
        <v>40</v>
      </c>
      <c r="Q44" s="88">
        <v>62.138606667835077</v>
      </c>
      <c r="R44" s="88">
        <v>49.710885334268063</v>
      </c>
      <c r="S44" s="87">
        <v>28.394403257092943</v>
      </c>
      <c r="T44" s="87">
        <v>100</v>
      </c>
      <c r="U44" s="87">
        <v>115.66421569495587</v>
      </c>
      <c r="V44" s="87">
        <v>80</v>
      </c>
      <c r="W44" s="87">
        <v>91.046112630445251</v>
      </c>
      <c r="X44" s="87">
        <v>100</v>
      </c>
      <c r="Y44" s="87">
        <v>0</v>
      </c>
      <c r="Z44" s="87">
        <v>93.333333333333329</v>
      </c>
      <c r="AA44" s="87">
        <v>93.333333333333329</v>
      </c>
      <c r="AB44" s="87">
        <v>18.666666666666668</v>
      </c>
      <c r="AC44" s="68">
        <v>68.377552000934728</v>
      </c>
      <c r="AD44" s="68">
        <v>68.377552000934728</v>
      </c>
      <c r="AE44" s="68" t="s">
        <v>98</v>
      </c>
      <c r="AF44" s="68">
        <f t="shared" si="0"/>
        <v>6</v>
      </c>
    </row>
    <row r="45" spans="1:32" ht="14.4" customHeight="1" x14ac:dyDescent="0.3">
      <c r="A45" s="81" t="s">
        <v>129</v>
      </c>
      <c r="B45" s="81" t="s">
        <v>147</v>
      </c>
      <c r="C45" s="89">
        <v>2021</v>
      </c>
      <c r="D45" s="82" t="s">
        <v>130</v>
      </c>
      <c r="E45" s="147">
        <v>2</v>
      </c>
      <c r="F45" s="84" t="s">
        <v>178</v>
      </c>
      <c r="G45" s="87">
        <v>76.756914373606364</v>
      </c>
      <c r="H45" s="87">
        <v>23.243085626393636</v>
      </c>
      <c r="I45" s="88">
        <v>19.724380983414711</v>
      </c>
      <c r="J45" s="88">
        <v>60.878077203826173</v>
      </c>
      <c r="K45" s="87">
        <v>94.42938240664833</v>
      </c>
      <c r="L45" s="87">
        <v>5.5706175933516704</v>
      </c>
      <c r="M45" s="87">
        <v>51.767571582843743</v>
      </c>
      <c r="N45" s="87">
        <v>70</v>
      </c>
      <c r="O45" s="88">
        <v>15.579983775281775</v>
      </c>
      <c r="P45" s="87">
        <v>40</v>
      </c>
      <c r="Q45" s="88">
        <v>39.9383560847143</v>
      </c>
      <c r="R45" s="88">
        <v>31.950684867771443</v>
      </c>
      <c r="S45" s="87">
        <v>7.291637404213958</v>
      </c>
      <c r="T45" s="87">
        <v>31.287941219048399</v>
      </c>
      <c r="U45" s="87">
        <v>121.868832164645</v>
      </c>
      <c r="V45" s="87">
        <v>70</v>
      </c>
      <c r="W45" s="87">
        <v>92.600955680563644</v>
      </c>
      <c r="X45" s="87">
        <v>100</v>
      </c>
      <c r="Y45" s="87">
        <v>0</v>
      </c>
      <c r="Z45" s="87">
        <v>67.095980406349469</v>
      </c>
      <c r="AA45" s="87">
        <v>67.095980406349469</v>
      </c>
      <c r="AB45" s="87">
        <v>13.419196081269895</v>
      </c>
      <c r="AC45" s="68">
        <v>45.369880949041338</v>
      </c>
      <c r="AD45" s="68">
        <v>45.369880949041338</v>
      </c>
      <c r="AE45" s="68" t="s">
        <v>109</v>
      </c>
      <c r="AF45" s="68">
        <f t="shared" si="0"/>
        <v>30</v>
      </c>
    </row>
    <row r="46" spans="1:32" ht="14.4" customHeight="1" x14ac:dyDescent="0.3">
      <c r="A46" s="81" t="s">
        <v>96</v>
      </c>
      <c r="B46" s="81" t="s">
        <v>148</v>
      </c>
      <c r="C46" s="89">
        <v>2021</v>
      </c>
      <c r="D46" s="82" t="s">
        <v>10</v>
      </c>
      <c r="E46" s="152" t="s">
        <v>51</v>
      </c>
      <c r="F46" s="84" t="s">
        <v>178</v>
      </c>
      <c r="G46" s="87">
        <v>35.354251029027353</v>
      </c>
      <c r="H46" s="87">
        <v>64.645748970972647</v>
      </c>
      <c r="I46" s="88">
        <v>33.999363742874657</v>
      </c>
      <c r="J46" s="88">
        <v>100</v>
      </c>
      <c r="K46" s="87">
        <v>79.919205922995857</v>
      </c>
      <c r="L46" s="87">
        <v>20.080794077004143</v>
      </c>
      <c r="M46" s="87">
        <v>72.825601798953087</v>
      </c>
      <c r="N46" s="87">
        <v>100</v>
      </c>
      <c r="O46" s="88">
        <v>7.1403138739673686</v>
      </c>
      <c r="P46" s="87">
        <v>80</v>
      </c>
      <c r="Q46" s="88">
        <v>72.945308609595358</v>
      </c>
      <c r="R46" s="88">
        <v>58.356246887676292</v>
      </c>
      <c r="S46" s="87">
        <v>5.1895140979289378</v>
      </c>
      <c r="T46" s="87">
        <v>29.380107828603467</v>
      </c>
      <c r="U46" s="87">
        <v>123.05807697531068</v>
      </c>
      <c r="V46" s="87">
        <v>70</v>
      </c>
      <c r="W46" s="87">
        <v>91.010103664484689</v>
      </c>
      <c r="X46" s="87">
        <v>100</v>
      </c>
      <c r="Y46" s="87">
        <v>0</v>
      </c>
      <c r="Z46" s="87">
        <v>66.460035942867819</v>
      </c>
      <c r="AA46" s="87">
        <v>66.460035942867819</v>
      </c>
      <c r="AB46" s="87">
        <v>13.292007188573564</v>
      </c>
      <c r="AC46" s="68">
        <v>71.648254076249856</v>
      </c>
      <c r="AD46" s="68">
        <v>71.648254076249856</v>
      </c>
      <c r="AE46" s="68" t="s">
        <v>95</v>
      </c>
      <c r="AF46" s="68">
        <f t="shared" si="0"/>
        <v>2</v>
      </c>
    </row>
    <row r="47" spans="1:32" ht="14.4" customHeight="1" x14ac:dyDescent="0.3">
      <c r="A47" s="81" t="s">
        <v>115</v>
      </c>
      <c r="B47" s="81" t="s">
        <v>149</v>
      </c>
      <c r="C47" s="89">
        <v>2021</v>
      </c>
      <c r="D47" s="82" t="s">
        <v>116</v>
      </c>
      <c r="E47" s="147">
        <v>4</v>
      </c>
      <c r="F47" s="84" t="s">
        <v>178</v>
      </c>
      <c r="G47" s="87">
        <v>73.746619459729374</v>
      </c>
      <c r="H47" s="87">
        <v>26.253380540270626</v>
      </c>
      <c r="I47" s="88">
        <v>17.706408697451952</v>
      </c>
      <c r="J47" s="88">
        <v>41.083232076891264</v>
      </c>
      <c r="K47" s="87">
        <v>34.669482741770658</v>
      </c>
      <c r="L47" s="87">
        <v>65.330517258229349</v>
      </c>
      <c r="M47" s="87">
        <v>25.92469300418297</v>
      </c>
      <c r="N47" s="87">
        <v>40</v>
      </c>
      <c r="O47" s="88">
        <v>8.0226342555829984</v>
      </c>
      <c r="P47" s="87">
        <v>80</v>
      </c>
      <c r="Q47" s="88">
        <v>50.533425975078252</v>
      </c>
      <c r="R47" s="88">
        <v>40.426740780062602</v>
      </c>
      <c r="S47" s="87">
        <v>2.5212006884313576</v>
      </c>
      <c r="T47" s="87">
        <v>15.52584155303734</v>
      </c>
      <c r="U47" s="87">
        <v>113.03786950945042</v>
      </c>
      <c r="V47" s="87">
        <v>80</v>
      </c>
      <c r="W47" s="87">
        <v>88.359061350837635</v>
      </c>
      <c r="X47" s="87">
        <v>80</v>
      </c>
      <c r="Y47" s="87">
        <v>0</v>
      </c>
      <c r="Z47" s="87">
        <v>58.508613851012448</v>
      </c>
      <c r="AA47" s="87">
        <v>58.508613851012448</v>
      </c>
      <c r="AB47" s="87">
        <v>11.70172277020249</v>
      </c>
      <c r="AC47" s="68">
        <v>52.128463550265096</v>
      </c>
      <c r="AD47" s="68">
        <v>52.128463550265096</v>
      </c>
      <c r="AE47" s="68" t="s">
        <v>109</v>
      </c>
      <c r="AF47" s="68">
        <f t="shared" si="0"/>
        <v>24</v>
      </c>
    </row>
    <row r="48" spans="1:32" ht="14.4" customHeight="1" x14ac:dyDescent="0.3">
      <c r="A48" s="81" t="s">
        <v>100</v>
      </c>
      <c r="B48" s="81" t="s">
        <v>150</v>
      </c>
      <c r="C48" s="89">
        <v>2021</v>
      </c>
      <c r="D48" s="82" t="s">
        <v>11</v>
      </c>
      <c r="E48" s="147">
        <v>2</v>
      </c>
      <c r="F48" s="84" t="s">
        <v>178</v>
      </c>
      <c r="G48" s="87">
        <v>64.65888215328772</v>
      </c>
      <c r="H48" s="87">
        <v>35.34111784671228</v>
      </c>
      <c r="I48" s="88">
        <v>18.251919356814359</v>
      </c>
      <c r="J48" s="88">
        <v>56.333415819561573</v>
      </c>
      <c r="K48" s="87">
        <v>57.933953332149265</v>
      </c>
      <c r="L48" s="87">
        <v>42.066046667850735</v>
      </c>
      <c r="M48" s="87">
        <v>62.44227975463955</v>
      </c>
      <c r="N48" s="87">
        <v>80</v>
      </c>
      <c r="O48" s="88">
        <v>22.4205278931591</v>
      </c>
      <c r="P48" s="87">
        <v>20</v>
      </c>
      <c r="Q48" s="88">
        <v>46.74811606682492</v>
      </c>
      <c r="R48" s="88">
        <v>37.398492853459935</v>
      </c>
      <c r="S48" s="87">
        <v>29.312965771617844</v>
      </c>
      <c r="T48" s="87">
        <v>100</v>
      </c>
      <c r="U48" s="87">
        <v>146.41198682167342</v>
      </c>
      <c r="V48" s="87">
        <v>50</v>
      </c>
      <c r="W48" s="87">
        <v>90.17412614212148</v>
      </c>
      <c r="X48" s="87">
        <v>100</v>
      </c>
      <c r="Y48" s="87">
        <v>0</v>
      </c>
      <c r="Z48" s="87">
        <v>83.333333333333329</v>
      </c>
      <c r="AA48" s="87">
        <v>83.333333333333329</v>
      </c>
      <c r="AB48" s="87">
        <v>16.666666666666668</v>
      </c>
      <c r="AC48" s="68">
        <v>54.065159520126599</v>
      </c>
      <c r="AD48" s="68">
        <v>54.065159520126599</v>
      </c>
      <c r="AE48" s="68" t="s">
        <v>109</v>
      </c>
      <c r="AF48" s="68">
        <f t="shared" si="0"/>
        <v>20</v>
      </c>
    </row>
    <row r="49" spans="1:32" ht="14.4" customHeight="1" x14ac:dyDescent="0.3">
      <c r="A49" s="81" t="s">
        <v>118</v>
      </c>
      <c r="B49" s="81" t="s">
        <v>151</v>
      </c>
      <c r="C49" s="89">
        <v>2021</v>
      </c>
      <c r="D49" s="82" t="s">
        <v>136</v>
      </c>
      <c r="E49" s="147">
        <v>4</v>
      </c>
      <c r="F49" s="84" t="s">
        <v>178</v>
      </c>
      <c r="G49" s="87">
        <v>73.698693740213884</v>
      </c>
      <c r="H49" s="87">
        <v>26.301306259786116</v>
      </c>
      <c r="I49" s="88">
        <v>10.716637759318056</v>
      </c>
      <c r="J49" s="88">
        <v>24.865240810430262</v>
      </c>
      <c r="K49" s="87">
        <v>41.295288245122528</v>
      </c>
      <c r="L49" s="87">
        <v>58.704711754877472</v>
      </c>
      <c r="M49" s="87">
        <v>55.588146463452389</v>
      </c>
      <c r="N49" s="87">
        <v>80</v>
      </c>
      <c r="O49" s="88">
        <v>19.944933523471491</v>
      </c>
      <c r="P49" s="87">
        <v>40</v>
      </c>
      <c r="Q49" s="88">
        <v>45.974251765018771</v>
      </c>
      <c r="R49" s="88">
        <v>36.779401412015019</v>
      </c>
      <c r="S49" s="87">
        <v>35.96863721026228</v>
      </c>
      <c r="T49" s="87">
        <v>100</v>
      </c>
      <c r="U49" s="87">
        <v>158.24604655944256</v>
      </c>
      <c r="V49" s="87">
        <v>0</v>
      </c>
      <c r="W49" s="87">
        <v>90.053307095223815</v>
      </c>
      <c r="X49" s="87">
        <v>100</v>
      </c>
      <c r="Y49" s="87">
        <v>0</v>
      </c>
      <c r="Z49" s="87">
        <v>66.666666666666671</v>
      </c>
      <c r="AA49" s="87">
        <v>66.666666666666671</v>
      </c>
      <c r="AB49" s="87">
        <v>13.333333333333336</v>
      </c>
      <c r="AC49" s="68">
        <v>50.112734745348355</v>
      </c>
      <c r="AD49" s="68">
        <v>50.112734745348355</v>
      </c>
      <c r="AE49" s="68" t="s">
        <v>109</v>
      </c>
      <c r="AF49" s="68">
        <f t="shared" si="0"/>
        <v>26</v>
      </c>
    </row>
    <row r="50" spans="1:32" ht="13.5" customHeight="1" x14ac:dyDescent="0.3">
      <c r="A50" s="81" t="s">
        <v>112</v>
      </c>
      <c r="B50" s="81" t="s">
        <v>152</v>
      </c>
      <c r="C50" s="89">
        <v>2021</v>
      </c>
      <c r="D50" s="82" t="s">
        <v>12</v>
      </c>
      <c r="E50" s="147">
        <v>2</v>
      </c>
      <c r="F50" s="84" t="s">
        <v>178</v>
      </c>
      <c r="G50" s="87">
        <v>61.821493068308428</v>
      </c>
      <c r="H50" s="87">
        <v>38.178506931691572</v>
      </c>
      <c r="I50" s="88">
        <v>20.703026356795107</v>
      </c>
      <c r="J50" s="88">
        <v>63.898605383945757</v>
      </c>
      <c r="K50" s="87">
        <v>46.396427514613613</v>
      </c>
      <c r="L50" s="87">
        <v>53.603572485386387</v>
      </c>
      <c r="M50" s="87">
        <v>55.93820903079547</v>
      </c>
      <c r="N50" s="87">
        <v>80</v>
      </c>
      <c r="O50" s="88">
        <v>25.819022581203981</v>
      </c>
      <c r="P50" s="87">
        <v>20</v>
      </c>
      <c r="Q50" s="88">
        <v>51.136136960204745</v>
      </c>
      <c r="R50" s="88">
        <v>40.9089095681638</v>
      </c>
      <c r="S50" s="87">
        <v>13.228351259063681</v>
      </c>
      <c r="T50" s="87">
        <v>56.761993729874263</v>
      </c>
      <c r="U50" s="87">
        <v>105.31246950346151</v>
      </c>
      <c r="V50" s="87">
        <v>100</v>
      </c>
      <c r="W50" s="87">
        <v>94.17287846961375</v>
      </c>
      <c r="X50" s="87">
        <v>100</v>
      </c>
      <c r="Y50" s="87">
        <v>0</v>
      </c>
      <c r="Z50" s="87">
        <v>85.587331243291416</v>
      </c>
      <c r="AA50" s="87">
        <v>85.587331243291416</v>
      </c>
      <c r="AB50" s="87">
        <v>17.117466248658285</v>
      </c>
      <c r="AC50" s="68">
        <v>58.026375816822082</v>
      </c>
      <c r="AD50" s="68">
        <v>58.026375816822082</v>
      </c>
      <c r="AE50" s="68" t="s">
        <v>109</v>
      </c>
      <c r="AF50" s="68">
        <f t="shared" si="0"/>
        <v>13</v>
      </c>
    </row>
    <row r="51" spans="1:32" ht="13.5" customHeight="1" x14ac:dyDescent="0.3">
      <c r="A51" s="81" t="s">
        <v>99</v>
      </c>
      <c r="B51" s="81" t="s">
        <v>153</v>
      </c>
      <c r="C51" s="89">
        <v>2021</v>
      </c>
      <c r="D51" s="82" t="s">
        <v>13</v>
      </c>
      <c r="E51" s="147">
        <v>1</v>
      </c>
      <c r="F51" s="84" t="s">
        <v>178</v>
      </c>
      <c r="G51" s="87">
        <v>51.676005365718147</v>
      </c>
      <c r="H51" s="87">
        <v>48.323994634281853</v>
      </c>
      <c r="I51" s="88">
        <v>22.982988318630046</v>
      </c>
      <c r="J51" s="88">
        <v>67.937809410773255</v>
      </c>
      <c r="K51" s="87">
        <v>18.405499776263628</v>
      </c>
      <c r="L51" s="87">
        <v>81.594500223736375</v>
      </c>
      <c r="M51" s="87">
        <v>56.13519548169613</v>
      </c>
      <c r="N51" s="87">
        <v>80</v>
      </c>
      <c r="O51" s="88">
        <v>26.802868851526291</v>
      </c>
      <c r="P51" s="87">
        <v>20</v>
      </c>
      <c r="Q51" s="88">
        <v>59.571260853758289</v>
      </c>
      <c r="R51" s="88">
        <v>47.657008683006637</v>
      </c>
      <c r="S51" s="87">
        <v>13.534437839989232</v>
      </c>
      <c r="T51" s="87">
        <v>95.342670525086646</v>
      </c>
      <c r="U51" s="87">
        <v>138.310964322975</v>
      </c>
      <c r="V51" s="87">
        <v>60</v>
      </c>
      <c r="W51" s="87">
        <v>86.666641705068102</v>
      </c>
      <c r="X51" s="87">
        <v>80</v>
      </c>
      <c r="Y51" s="87">
        <v>0</v>
      </c>
      <c r="Z51" s="87">
        <v>78.447556841695544</v>
      </c>
      <c r="AA51" s="87">
        <v>78.447556841695544</v>
      </c>
      <c r="AB51" s="87">
        <v>15.68951136833911</v>
      </c>
      <c r="AC51" s="68">
        <v>63.346520051345749</v>
      </c>
      <c r="AD51" s="68">
        <v>63.346520051345749</v>
      </c>
      <c r="AE51" s="68" t="s">
        <v>98</v>
      </c>
      <c r="AF51" s="68">
        <f t="shared" si="0"/>
        <v>10</v>
      </c>
    </row>
    <row r="52" spans="1:32" ht="15" customHeight="1" x14ac:dyDescent="0.3">
      <c r="A52" s="81" t="s">
        <v>127</v>
      </c>
      <c r="B52" s="81" t="s">
        <v>154</v>
      </c>
      <c r="C52" s="89">
        <v>2021</v>
      </c>
      <c r="D52" s="82" t="s">
        <v>14</v>
      </c>
      <c r="E52" s="147">
        <v>1</v>
      </c>
      <c r="F52" s="84" t="s">
        <v>178</v>
      </c>
      <c r="G52" s="87">
        <v>64.059989994827475</v>
      </c>
      <c r="H52" s="87">
        <v>35.940010005172525</v>
      </c>
      <c r="I52" s="88">
        <v>18.210545079756926</v>
      </c>
      <c r="J52" s="88">
        <v>53.830447274428494</v>
      </c>
      <c r="K52" s="87">
        <v>61.341152860599401</v>
      </c>
      <c r="L52" s="87">
        <v>38.658847139400599</v>
      </c>
      <c r="M52" s="87">
        <v>59.374412031449161</v>
      </c>
      <c r="N52" s="87">
        <v>80</v>
      </c>
      <c r="O52" s="88">
        <v>22.160784799637497</v>
      </c>
      <c r="P52" s="87">
        <v>20</v>
      </c>
      <c r="Q52" s="88">
        <v>45.685860883800324</v>
      </c>
      <c r="R52" s="88">
        <v>36.548688707040263</v>
      </c>
      <c r="S52" s="87">
        <v>21.573322075833389</v>
      </c>
      <c r="T52" s="87">
        <v>100</v>
      </c>
      <c r="U52" s="87">
        <v>133.71185209685711</v>
      </c>
      <c r="V52" s="87">
        <v>60</v>
      </c>
      <c r="W52" s="87">
        <v>88.676586992013995</v>
      </c>
      <c r="X52" s="87">
        <v>80</v>
      </c>
      <c r="Y52" s="87">
        <v>0</v>
      </c>
      <c r="Z52" s="87">
        <v>80</v>
      </c>
      <c r="AA52" s="87">
        <v>80</v>
      </c>
      <c r="AB52" s="87">
        <v>16</v>
      </c>
      <c r="AC52" s="68">
        <v>52.548688707040263</v>
      </c>
      <c r="AD52" s="68">
        <v>52.548688707040263</v>
      </c>
      <c r="AE52" s="68" t="s">
        <v>109</v>
      </c>
      <c r="AF52" s="68">
        <f t="shared" si="0"/>
        <v>23</v>
      </c>
    </row>
    <row r="53" spans="1:32" ht="13.5" customHeight="1" x14ac:dyDescent="0.3">
      <c r="A53" s="81" t="s">
        <v>111</v>
      </c>
      <c r="B53" s="81" t="s">
        <v>155</v>
      </c>
      <c r="C53" s="89">
        <v>2021</v>
      </c>
      <c r="D53" s="82" t="s">
        <v>15</v>
      </c>
      <c r="E53" s="147">
        <v>2</v>
      </c>
      <c r="F53" s="84" t="s">
        <v>178</v>
      </c>
      <c r="G53" s="87">
        <v>68.560061983865012</v>
      </c>
      <c r="H53" s="87">
        <v>31.439938016134988</v>
      </c>
      <c r="I53" s="88">
        <v>16.830116377961016</v>
      </c>
      <c r="J53" s="88">
        <v>51.945109206135015</v>
      </c>
      <c r="K53" s="87">
        <v>70.642400007755967</v>
      </c>
      <c r="L53" s="87">
        <v>29.357599992244033</v>
      </c>
      <c r="M53" s="87">
        <v>58.728343544429698</v>
      </c>
      <c r="N53" s="87">
        <v>80</v>
      </c>
      <c r="O53" s="88">
        <v>10.706399476620945</v>
      </c>
      <c r="P53" s="87">
        <v>60</v>
      </c>
      <c r="Q53" s="88">
        <v>50.548529442902804</v>
      </c>
      <c r="R53" s="88">
        <v>40.438823554322248</v>
      </c>
      <c r="S53" s="87">
        <v>31.485437834269952</v>
      </c>
      <c r="T53" s="87">
        <v>100</v>
      </c>
      <c r="U53" s="87">
        <v>114.13667288328074</v>
      </c>
      <c r="V53" s="87">
        <v>80</v>
      </c>
      <c r="W53" s="87">
        <v>80.482775876113408</v>
      </c>
      <c r="X53" s="87">
        <v>80</v>
      </c>
      <c r="Y53" s="87">
        <v>0</v>
      </c>
      <c r="Z53" s="87">
        <v>86.666666666666671</v>
      </c>
      <c r="AA53" s="87">
        <v>86.666666666666671</v>
      </c>
      <c r="AB53" s="87">
        <v>17.333333333333336</v>
      </c>
      <c r="AC53" s="68">
        <v>57.772156887655584</v>
      </c>
      <c r="AD53" s="68">
        <v>57.772156887655584</v>
      </c>
      <c r="AE53" s="68" t="s">
        <v>109</v>
      </c>
      <c r="AF53" s="68">
        <f t="shared" si="0"/>
        <v>14</v>
      </c>
    </row>
    <row r="54" spans="1:32" ht="13.5" customHeight="1" x14ac:dyDescent="0.3">
      <c r="A54" s="81" t="s">
        <v>135</v>
      </c>
      <c r="B54" s="81" t="s">
        <v>156</v>
      </c>
      <c r="C54" s="89">
        <v>2021</v>
      </c>
      <c r="D54" s="82" t="s">
        <v>16</v>
      </c>
      <c r="E54" s="126">
        <v>3</v>
      </c>
      <c r="F54" s="84" t="s">
        <v>178</v>
      </c>
      <c r="G54" s="87">
        <v>52.276368714786756</v>
      </c>
      <c r="H54" s="87">
        <v>47.723631285213244</v>
      </c>
      <c r="I54" s="88">
        <v>10.98419182333906</v>
      </c>
      <c r="J54" s="88">
        <v>67.40937584032325</v>
      </c>
      <c r="K54" s="87">
        <v>57.622610171530226</v>
      </c>
      <c r="L54" s="87">
        <v>42.377389828469774</v>
      </c>
      <c r="M54" s="87">
        <v>47.31142585629604</v>
      </c>
      <c r="N54" s="87">
        <v>70</v>
      </c>
      <c r="O54" s="88">
        <v>17.653263272528964</v>
      </c>
      <c r="P54" s="87">
        <v>40</v>
      </c>
      <c r="Q54" s="88">
        <v>53.502079390801256</v>
      </c>
      <c r="R54" s="88">
        <v>42.801663512641007</v>
      </c>
      <c r="S54" s="87">
        <v>17.8542285541767</v>
      </c>
      <c r="T54" s="87">
        <v>100</v>
      </c>
      <c r="U54" s="87">
        <v>111.84101289259654</v>
      </c>
      <c r="V54" s="87">
        <v>80</v>
      </c>
      <c r="W54" s="87">
        <v>99.780016223081304</v>
      </c>
      <c r="X54" s="87">
        <v>100</v>
      </c>
      <c r="Y54" s="87">
        <v>0</v>
      </c>
      <c r="Z54" s="87">
        <v>93.333333333333329</v>
      </c>
      <c r="AA54" s="87">
        <v>93.333333333333329</v>
      </c>
      <c r="AB54" s="87">
        <v>18.666666666666668</v>
      </c>
      <c r="AC54" s="68">
        <v>61.468330179307671</v>
      </c>
      <c r="AD54" s="68">
        <v>61.468330179307671</v>
      </c>
      <c r="AE54" s="68" t="s">
        <v>98</v>
      </c>
      <c r="AF54" s="68">
        <f t="shared" si="0"/>
        <v>11</v>
      </c>
    </row>
    <row r="55" spans="1:32" ht="14.4" customHeight="1" x14ac:dyDescent="0.3">
      <c r="A55" s="81" t="s">
        <v>114</v>
      </c>
      <c r="B55" s="81" t="s">
        <v>157</v>
      </c>
      <c r="C55" s="89">
        <v>2021</v>
      </c>
      <c r="D55" s="82" t="s">
        <v>7</v>
      </c>
      <c r="E55" s="147">
        <v>2</v>
      </c>
      <c r="F55" s="84" t="s">
        <v>178</v>
      </c>
      <c r="G55" s="87">
        <v>42.818070310027259</v>
      </c>
      <c r="H55" s="87">
        <v>57.181929689972741</v>
      </c>
      <c r="I55" s="88">
        <v>12.750221025539506</v>
      </c>
      <c r="J55" s="88">
        <v>39.352765524622484</v>
      </c>
      <c r="K55" s="87">
        <v>42.02143829706408</v>
      </c>
      <c r="L55" s="87">
        <v>57.97856170293592</v>
      </c>
      <c r="M55" s="87">
        <v>65.744060173449682</v>
      </c>
      <c r="N55" s="87">
        <v>100</v>
      </c>
      <c r="O55" s="88">
        <v>22.657450163555886</v>
      </c>
      <c r="P55" s="87">
        <v>20</v>
      </c>
      <c r="Q55" s="88">
        <v>54.902651383506225</v>
      </c>
      <c r="R55" s="88">
        <v>43.92212110680498</v>
      </c>
      <c r="S55" s="87">
        <v>24.91447795756735</v>
      </c>
      <c r="T55" s="87">
        <v>100</v>
      </c>
      <c r="U55" s="87">
        <v>160.93481261093831</v>
      </c>
      <c r="V55" s="87">
        <v>0</v>
      </c>
      <c r="W55" s="87">
        <v>93.423570446983831</v>
      </c>
      <c r="X55" s="87">
        <v>100</v>
      </c>
      <c r="Y55" s="87">
        <v>0</v>
      </c>
      <c r="Z55" s="87">
        <v>66.666666666666671</v>
      </c>
      <c r="AA55" s="87">
        <v>66.666666666666671</v>
      </c>
      <c r="AB55" s="87">
        <v>13.333333333333336</v>
      </c>
      <c r="AC55" s="68">
        <v>57.255454440138315</v>
      </c>
      <c r="AD55" s="68">
        <v>57.255454440138315</v>
      </c>
      <c r="AE55" s="68" t="s">
        <v>109</v>
      </c>
      <c r="AF55" s="68">
        <f t="shared" si="0"/>
        <v>16</v>
      </c>
    </row>
    <row r="56" spans="1:32" ht="13.5" customHeight="1" x14ac:dyDescent="0.3">
      <c r="A56" s="81" t="s">
        <v>117</v>
      </c>
      <c r="B56" s="81" t="s">
        <v>158</v>
      </c>
      <c r="C56" s="89">
        <v>2021</v>
      </c>
      <c r="D56" s="82" t="s">
        <v>17</v>
      </c>
      <c r="E56" s="147">
        <v>1</v>
      </c>
      <c r="F56" s="84" t="s">
        <v>178</v>
      </c>
      <c r="G56" s="87">
        <v>47.639740365941648</v>
      </c>
      <c r="H56" s="87">
        <v>52.360259634058352</v>
      </c>
      <c r="I56" s="88">
        <v>33.829451549825087</v>
      </c>
      <c r="J56" s="88">
        <v>100</v>
      </c>
      <c r="K56" s="87">
        <v>90.6885757122147</v>
      </c>
      <c r="L56" s="87">
        <v>9.3114242877853002</v>
      </c>
      <c r="M56" s="87">
        <v>47.116365092236762</v>
      </c>
      <c r="N56" s="87">
        <v>70</v>
      </c>
      <c r="O56" s="88">
        <v>13.399265032532998</v>
      </c>
      <c r="P56" s="87">
        <v>60</v>
      </c>
      <c r="Q56" s="88">
        <v>58.334336784368737</v>
      </c>
      <c r="R56" s="88">
        <v>46.667469427494993</v>
      </c>
      <c r="S56" s="87">
        <v>11.634023606218385</v>
      </c>
      <c r="T56" s="87">
        <v>81.955297492403446</v>
      </c>
      <c r="U56" s="87">
        <v>167.58408621160825</v>
      </c>
      <c r="V56" s="87">
        <v>0</v>
      </c>
      <c r="W56" s="87">
        <v>78.673546074483909</v>
      </c>
      <c r="X56" s="87">
        <v>70</v>
      </c>
      <c r="Y56" s="87">
        <v>0</v>
      </c>
      <c r="Z56" s="87">
        <v>50.651765830801146</v>
      </c>
      <c r="AA56" s="87">
        <v>50.651765830801146</v>
      </c>
      <c r="AB56" s="87">
        <v>10.13035316616023</v>
      </c>
      <c r="AC56" s="68">
        <v>56.797822593655226</v>
      </c>
      <c r="AD56" s="68">
        <v>56.797822593655226</v>
      </c>
      <c r="AE56" s="68" t="s">
        <v>109</v>
      </c>
      <c r="AF56" s="68">
        <f t="shared" si="0"/>
        <v>18</v>
      </c>
    </row>
    <row r="57" spans="1:32" ht="14.4" customHeight="1" x14ac:dyDescent="0.3">
      <c r="A57" s="81" t="s">
        <v>97</v>
      </c>
      <c r="B57" s="81" t="s">
        <v>159</v>
      </c>
      <c r="C57" s="89">
        <v>2021</v>
      </c>
      <c r="D57" s="82" t="s">
        <v>18</v>
      </c>
      <c r="E57" s="126">
        <v>3</v>
      </c>
      <c r="F57" s="84" t="s">
        <v>178</v>
      </c>
      <c r="G57" s="87">
        <v>80.483332741237248</v>
      </c>
      <c r="H57" s="87">
        <v>19.516667258762752</v>
      </c>
      <c r="I57" s="88">
        <v>16.294753788194086</v>
      </c>
      <c r="J57" s="88">
        <v>100</v>
      </c>
      <c r="K57" s="87">
        <v>33.179209071731997</v>
      </c>
      <c r="L57" s="87">
        <v>66.820790928267996</v>
      </c>
      <c r="M57" s="87">
        <v>56.739279620481788</v>
      </c>
      <c r="N57" s="87">
        <v>80</v>
      </c>
      <c r="O57" s="88">
        <v>6.8361057452488332</v>
      </c>
      <c r="P57" s="87">
        <v>80</v>
      </c>
      <c r="Q57" s="88">
        <v>69.267491637406152</v>
      </c>
      <c r="R57" s="88">
        <v>55.413993309924926</v>
      </c>
      <c r="S57" s="87">
        <v>11.009314028244122</v>
      </c>
      <c r="T57" s="87">
        <v>63.700169135894441</v>
      </c>
      <c r="U57" s="87">
        <v>113.47785516797528</v>
      </c>
      <c r="V57" s="87">
        <v>80</v>
      </c>
      <c r="W57" s="87">
        <v>84.235916000257518</v>
      </c>
      <c r="X57" s="87">
        <v>80</v>
      </c>
      <c r="Y57" s="87">
        <v>0</v>
      </c>
      <c r="Z57" s="87">
        <v>74.566723045298147</v>
      </c>
      <c r="AA57" s="87">
        <v>74.566723045298147</v>
      </c>
      <c r="AB57" s="87">
        <v>14.91334460905963</v>
      </c>
      <c r="AC57" s="68">
        <v>70.327337918984554</v>
      </c>
      <c r="AD57" s="68">
        <v>70.327337918984554</v>
      </c>
      <c r="AE57" s="68" t="s">
        <v>95</v>
      </c>
      <c r="AF57" s="68">
        <f t="shared" si="0"/>
        <v>3</v>
      </c>
    </row>
    <row r="58" spans="1:32" ht="13.5" customHeight="1" x14ac:dyDescent="0.3">
      <c r="A58" s="81" t="s">
        <v>108</v>
      </c>
      <c r="B58" s="81" t="s">
        <v>160</v>
      </c>
      <c r="C58" s="89">
        <v>2021</v>
      </c>
      <c r="D58" s="82" t="s">
        <v>19</v>
      </c>
      <c r="E58" s="147">
        <v>2</v>
      </c>
      <c r="F58" s="84" t="s">
        <v>178</v>
      </c>
      <c r="G58" s="87">
        <v>58.736602786897741</v>
      </c>
      <c r="H58" s="87">
        <v>41.263397213102259</v>
      </c>
      <c r="I58" s="88">
        <v>27.622904115301889</v>
      </c>
      <c r="J58" s="88">
        <v>85.25637842522093</v>
      </c>
      <c r="K58" s="87">
        <v>70.743511999055499</v>
      </c>
      <c r="L58" s="87">
        <v>29.256488000944501</v>
      </c>
      <c r="M58" s="87">
        <v>51.926958761384427</v>
      </c>
      <c r="N58" s="87">
        <v>70</v>
      </c>
      <c r="O58" s="88">
        <v>2.2433453735909121</v>
      </c>
      <c r="P58" s="87">
        <v>100</v>
      </c>
      <c r="Q58" s="88">
        <v>65.155252727853536</v>
      </c>
      <c r="R58" s="88">
        <v>52.124202182282829</v>
      </c>
      <c r="S58" s="87">
        <v>35.952903309146613</v>
      </c>
      <c r="T58" s="87">
        <v>100</v>
      </c>
      <c r="U58" s="87">
        <v>115.15034942652917</v>
      </c>
      <c r="V58" s="87">
        <v>80</v>
      </c>
      <c r="W58" s="87">
        <v>81.246970730603877</v>
      </c>
      <c r="X58" s="87">
        <v>80</v>
      </c>
      <c r="Y58" s="87">
        <v>0</v>
      </c>
      <c r="Z58" s="87">
        <v>86.666666666666671</v>
      </c>
      <c r="AA58" s="87">
        <v>86.666666666666671</v>
      </c>
      <c r="AB58" s="87">
        <v>17.333333333333336</v>
      </c>
      <c r="AC58" s="68">
        <v>69.457535515616172</v>
      </c>
      <c r="AD58" s="68">
        <v>69.457535515616172</v>
      </c>
      <c r="AE58" s="68" t="s">
        <v>98</v>
      </c>
      <c r="AF58" s="68">
        <f t="shared" si="0"/>
        <v>5</v>
      </c>
    </row>
    <row r="59" spans="1:32" ht="15" customHeight="1" x14ac:dyDescent="0.3">
      <c r="A59" s="81" t="s">
        <v>103</v>
      </c>
      <c r="B59" s="81" t="s">
        <v>161</v>
      </c>
      <c r="C59" s="89">
        <v>2021</v>
      </c>
      <c r="D59" s="82" t="s">
        <v>20</v>
      </c>
      <c r="E59" s="152" t="s">
        <v>51</v>
      </c>
      <c r="F59" s="84" t="s">
        <v>178</v>
      </c>
      <c r="G59" s="87">
        <v>31.218196510189049</v>
      </c>
      <c r="H59" s="87">
        <v>68.781803489810954</v>
      </c>
      <c r="I59" s="88">
        <v>28.202897099329743</v>
      </c>
      <c r="J59" s="88">
        <v>82.951249654606571</v>
      </c>
      <c r="K59" s="87">
        <v>72.857700794834841</v>
      </c>
      <c r="L59" s="87">
        <v>27.142299205165159</v>
      </c>
      <c r="M59" s="87">
        <v>66.150409419045289</v>
      </c>
      <c r="N59" s="87">
        <v>100</v>
      </c>
      <c r="O59" s="88">
        <v>19.746973861127174</v>
      </c>
      <c r="P59" s="87">
        <v>40</v>
      </c>
      <c r="Q59" s="88">
        <v>63.775070469916535</v>
      </c>
      <c r="R59" s="88">
        <v>51.02005637593323</v>
      </c>
      <c r="S59" s="87">
        <v>18.177823755337297</v>
      </c>
      <c r="T59" s="87">
        <v>100</v>
      </c>
      <c r="U59" s="87">
        <v>119.31332253213023</v>
      </c>
      <c r="V59" s="87">
        <v>80</v>
      </c>
      <c r="W59" s="87">
        <v>94.329993271090402</v>
      </c>
      <c r="X59" s="87">
        <v>100</v>
      </c>
      <c r="Y59" s="87">
        <v>0</v>
      </c>
      <c r="Z59" s="87">
        <v>93.333333333333329</v>
      </c>
      <c r="AA59" s="87">
        <v>93.333333333333329</v>
      </c>
      <c r="AB59" s="87">
        <v>18.666666666666668</v>
      </c>
      <c r="AC59" s="68">
        <v>69.686723042599894</v>
      </c>
      <c r="AD59" s="68">
        <v>69.686723042599894</v>
      </c>
      <c r="AE59" s="68" t="s">
        <v>98</v>
      </c>
      <c r="AF59" s="68">
        <f t="shared" si="0"/>
        <v>4</v>
      </c>
    </row>
    <row r="60" spans="1:32" ht="14.4" customHeight="1" x14ac:dyDescent="0.3">
      <c r="A60" s="81" t="s">
        <v>110</v>
      </c>
      <c r="B60" s="81" t="s">
        <v>162</v>
      </c>
      <c r="C60" s="89">
        <v>2021</v>
      </c>
      <c r="D60" s="82" t="s">
        <v>21</v>
      </c>
      <c r="E60" s="147">
        <v>4</v>
      </c>
      <c r="F60" s="84" t="s">
        <v>178</v>
      </c>
      <c r="G60" s="87">
        <v>78.949254698657711</v>
      </c>
      <c r="H60" s="87">
        <v>21.050745301342289</v>
      </c>
      <c r="I60" s="88">
        <v>14.051446577791424</v>
      </c>
      <c r="J60" s="88">
        <v>32.602819161997438</v>
      </c>
      <c r="K60" s="87">
        <v>45.987793909110998</v>
      </c>
      <c r="L60" s="87">
        <v>54.012206090889002</v>
      </c>
      <c r="M60" s="87">
        <v>42.984848501574866</v>
      </c>
      <c r="N60" s="87">
        <v>50</v>
      </c>
      <c r="O60" s="88">
        <v>15.000292881405086</v>
      </c>
      <c r="P60" s="87">
        <v>40</v>
      </c>
      <c r="Q60" s="88">
        <v>39.53315411084575</v>
      </c>
      <c r="R60" s="88">
        <v>31.626523288676601</v>
      </c>
      <c r="S60" s="87">
        <v>0</v>
      </c>
      <c r="T60" s="87">
        <v>0</v>
      </c>
      <c r="U60" s="87">
        <v>149.32519233167622</v>
      </c>
      <c r="V60" s="87">
        <v>50</v>
      </c>
      <c r="W60" s="87">
        <v>89.792475605916579</v>
      </c>
      <c r="X60" s="87">
        <v>80</v>
      </c>
      <c r="Y60" s="87">
        <v>0</v>
      </c>
      <c r="Z60" s="87">
        <v>43.333333333333336</v>
      </c>
      <c r="AA60" s="87">
        <v>43.333333333333336</v>
      </c>
      <c r="AB60" s="87">
        <v>8.6666666666666679</v>
      </c>
      <c r="AC60" s="68">
        <v>40.293189955343266</v>
      </c>
      <c r="AD60" s="68">
        <v>40.293189955343266</v>
      </c>
      <c r="AE60" s="68" t="s">
        <v>109</v>
      </c>
      <c r="AF60" s="68">
        <f t="shared" si="0"/>
        <v>32</v>
      </c>
    </row>
    <row r="61" spans="1:32" ht="14.4" customHeight="1" x14ac:dyDescent="0.3">
      <c r="A61" s="81" t="s">
        <v>125</v>
      </c>
      <c r="B61" s="81" t="s">
        <v>163</v>
      </c>
      <c r="C61" s="89">
        <v>2021</v>
      </c>
      <c r="D61" s="82" t="s">
        <v>22</v>
      </c>
      <c r="E61" s="126">
        <v>3</v>
      </c>
      <c r="F61" s="84" t="s">
        <v>178</v>
      </c>
      <c r="G61" s="87">
        <v>66.895303414166634</v>
      </c>
      <c r="H61" s="87">
        <v>33.104696585833366</v>
      </c>
      <c r="I61" s="88">
        <v>6.1016647876548928</v>
      </c>
      <c r="J61" s="88">
        <v>37.445578294504124</v>
      </c>
      <c r="K61" s="87">
        <v>19.075858909768627</v>
      </c>
      <c r="L61" s="87">
        <v>80.924141090231373</v>
      </c>
      <c r="M61" s="87">
        <v>41.2714731871175</v>
      </c>
      <c r="N61" s="87">
        <v>50</v>
      </c>
      <c r="O61" s="88">
        <v>18.592093923633364</v>
      </c>
      <c r="P61" s="87">
        <v>40</v>
      </c>
      <c r="Q61" s="88">
        <v>48.29488319411378</v>
      </c>
      <c r="R61" s="88">
        <v>38.635906555291029</v>
      </c>
      <c r="S61" s="87">
        <v>4.0900921605459111</v>
      </c>
      <c r="T61" s="87">
        <v>23.665376583841891</v>
      </c>
      <c r="U61" s="87">
        <v>154.46037383011873</v>
      </c>
      <c r="V61" s="87">
        <v>0</v>
      </c>
      <c r="W61" s="87">
        <v>94.082559356758665</v>
      </c>
      <c r="X61" s="87">
        <v>100</v>
      </c>
      <c r="Y61" s="87">
        <v>0</v>
      </c>
      <c r="Z61" s="87">
        <v>41.221792194613961</v>
      </c>
      <c r="AA61" s="87">
        <v>41.221792194613961</v>
      </c>
      <c r="AB61" s="87">
        <v>8.2443584389227933</v>
      </c>
      <c r="AC61" s="68">
        <v>46.880264994213825</v>
      </c>
      <c r="AD61" s="68">
        <v>46.880264994213825</v>
      </c>
      <c r="AE61" s="68" t="s">
        <v>109</v>
      </c>
      <c r="AF61" s="68">
        <f t="shared" si="0"/>
        <v>28</v>
      </c>
    </row>
    <row r="62" spans="1:32" ht="14.4" customHeight="1" x14ac:dyDescent="0.3">
      <c r="A62" s="81" t="s">
        <v>113</v>
      </c>
      <c r="B62" s="81" t="s">
        <v>164</v>
      </c>
      <c r="C62" s="89">
        <v>2021</v>
      </c>
      <c r="D62" s="82" t="s">
        <v>23</v>
      </c>
      <c r="E62" s="147">
        <v>4</v>
      </c>
      <c r="F62" s="84" t="s">
        <v>178</v>
      </c>
      <c r="G62" s="87">
        <v>79.568838830314348</v>
      </c>
      <c r="H62" s="87">
        <v>20.431161169685652</v>
      </c>
      <c r="I62" s="88">
        <v>12.728949786460555</v>
      </c>
      <c r="J62" s="88">
        <v>29.534300665244967</v>
      </c>
      <c r="K62" s="87">
        <v>25.303203436390611</v>
      </c>
      <c r="L62" s="87">
        <v>74.696796563609382</v>
      </c>
      <c r="M62" s="87">
        <v>37.665157388055391</v>
      </c>
      <c r="N62" s="87">
        <v>50</v>
      </c>
      <c r="O62" s="88">
        <v>13.464020991462814</v>
      </c>
      <c r="P62" s="87">
        <v>60</v>
      </c>
      <c r="Q62" s="88">
        <v>46.932451679708002</v>
      </c>
      <c r="R62" s="88">
        <v>37.5459613437664</v>
      </c>
      <c r="S62" s="87">
        <v>10.384258599835105</v>
      </c>
      <c r="T62" s="87">
        <v>63.947449485711466</v>
      </c>
      <c r="U62" s="87">
        <v>103.19849247343249</v>
      </c>
      <c r="V62" s="87">
        <v>100</v>
      </c>
      <c r="W62" s="87">
        <v>85.620449238598724</v>
      </c>
      <c r="X62" s="87">
        <v>80</v>
      </c>
      <c r="Y62" s="87">
        <v>0</v>
      </c>
      <c r="Z62" s="87">
        <v>81.315816495237158</v>
      </c>
      <c r="AA62" s="87">
        <v>81.315816495237158</v>
      </c>
      <c r="AB62" s="87">
        <v>16.263163299047431</v>
      </c>
      <c r="AC62" s="68">
        <v>53.809124642813828</v>
      </c>
      <c r="AD62" s="68">
        <v>53.809124642813828</v>
      </c>
      <c r="AE62" s="68" t="s">
        <v>109</v>
      </c>
      <c r="AF62" s="68">
        <f t="shared" si="0"/>
        <v>21</v>
      </c>
    </row>
    <row r="63" spans="1:32" ht="13.5" customHeight="1" x14ac:dyDescent="0.3">
      <c r="A63" s="81" t="s">
        <v>106</v>
      </c>
      <c r="B63" s="81" t="s">
        <v>165</v>
      </c>
      <c r="C63" s="89">
        <v>2021</v>
      </c>
      <c r="D63" s="82" t="s">
        <v>173</v>
      </c>
      <c r="E63" s="126">
        <v>3</v>
      </c>
      <c r="F63" s="84" t="s">
        <v>178</v>
      </c>
      <c r="G63" s="87">
        <v>39.268672619475836</v>
      </c>
      <c r="H63" s="87">
        <v>60.731327380524164</v>
      </c>
      <c r="I63" s="88">
        <v>5.5041122966371816</v>
      </c>
      <c r="J63" s="88">
        <v>33.778431808064717</v>
      </c>
      <c r="K63" s="87">
        <v>20.746205170243353</v>
      </c>
      <c r="L63" s="87">
        <v>79.253794829756643</v>
      </c>
      <c r="M63" s="87">
        <v>38.559246306242557</v>
      </c>
      <c r="N63" s="87">
        <v>50</v>
      </c>
      <c r="O63" s="88">
        <v>64.237323654304831</v>
      </c>
      <c r="P63" s="87">
        <v>0</v>
      </c>
      <c r="Q63" s="88">
        <v>44.752710803669103</v>
      </c>
      <c r="R63" s="88">
        <v>35.802168642935285</v>
      </c>
      <c r="S63" s="87">
        <v>11.652847916936505</v>
      </c>
      <c r="T63" s="87">
        <v>67.423672475813504</v>
      </c>
      <c r="U63" s="87">
        <v>230.10798966022949</v>
      </c>
      <c r="V63" s="87">
        <v>0</v>
      </c>
      <c r="W63" s="87">
        <v>82.45676642276446</v>
      </c>
      <c r="X63" s="87">
        <v>80</v>
      </c>
      <c r="Y63" s="87">
        <v>0</v>
      </c>
      <c r="Z63" s="87">
        <v>49.141224158604501</v>
      </c>
      <c r="AA63" s="87">
        <v>49.141224158604501</v>
      </c>
      <c r="AB63" s="87">
        <v>9.8282448317209017</v>
      </c>
      <c r="AC63" s="68">
        <v>45.630413474656187</v>
      </c>
      <c r="AD63" s="68">
        <v>45.630413474656187</v>
      </c>
      <c r="AE63" s="68" t="s">
        <v>109</v>
      </c>
      <c r="AF63" s="68">
        <f t="shared" si="0"/>
        <v>29</v>
      </c>
    </row>
    <row r="64" spans="1:32" ht="14.4" customHeight="1" x14ac:dyDescent="0.3">
      <c r="A64" s="81" t="s">
        <v>131</v>
      </c>
      <c r="B64" s="81" t="s">
        <v>166</v>
      </c>
      <c r="C64" s="89">
        <v>2021</v>
      </c>
      <c r="D64" s="82" t="s">
        <v>24</v>
      </c>
      <c r="E64" s="147">
        <v>4</v>
      </c>
      <c r="F64" s="84" t="s">
        <v>178</v>
      </c>
      <c r="G64" s="87">
        <v>88.589988632046996</v>
      </c>
      <c r="H64" s="87">
        <v>11.410011367953004</v>
      </c>
      <c r="I64" s="88">
        <v>10.438751768402266</v>
      </c>
      <c r="J64" s="88">
        <v>24.220476824080333</v>
      </c>
      <c r="K64" s="87">
        <v>34.474593477400994</v>
      </c>
      <c r="L64" s="87">
        <v>65.525406522599013</v>
      </c>
      <c r="M64" s="87">
        <v>38.752049045220716</v>
      </c>
      <c r="N64" s="87">
        <v>50</v>
      </c>
      <c r="O64" s="88">
        <v>28.834965417780577</v>
      </c>
      <c r="P64" s="87">
        <v>20</v>
      </c>
      <c r="Q64" s="88">
        <v>34.231178942926469</v>
      </c>
      <c r="R64" s="88">
        <v>27.384943154341176</v>
      </c>
      <c r="S64" s="87">
        <v>7.0907506575604291</v>
      </c>
      <c r="T64" s="87">
        <v>43.665651729563166</v>
      </c>
      <c r="U64" s="87">
        <v>111.76613915228612</v>
      </c>
      <c r="V64" s="87">
        <v>80</v>
      </c>
      <c r="W64" s="87">
        <v>89.785854298700684</v>
      </c>
      <c r="X64" s="87">
        <v>80</v>
      </c>
      <c r="Y64" s="87">
        <v>0</v>
      </c>
      <c r="Z64" s="87">
        <v>67.888550576521055</v>
      </c>
      <c r="AA64" s="87">
        <v>67.888550576521055</v>
      </c>
      <c r="AB64" s="87">
        <v>13.577710115304212</v>
      </c>
      <c r="AC64" s="68">
        <v>40.962653269645386</v>
      </c>
      <c r="AD64" s="68">
        <v>40.962653269645386</v>
      </c>
      <c r="AE64" s="68" t="s">
        <v>109</v>
      </c>
      <c r="AF64" s="68">
        <f t="shared" si="0"/>
        <v>31</v>
      </c>
    </row>
    <row r="65" spans="1:32" ht="13.5" customHeight="1" x14ac:dyDescent="0.3">
      <c r="A65" s="81" t="s">
        <v>119</v>
      </c>
      <c r="B65" s="81" t="s">
        <v>167</v>
      </c>
      <c r="C65" s="89">
        <v>2021</v>
      </c>
      <c r="D65" s="82" t="s">
        <v>120</v>
      </c>
      <c r="E65" s="147">
        <v>4</v>
      </c>
      <c r="F65" s="84" t="s">
        <v>178</v>
      </c>
      <c r="G65" s="87">
        <v>72.192289963412179</v>
      </c>
      <c r="H65" s="87">
        <v>27.807710036587821</v>
      </c>
      <c r="I65" s="88">
        <v>42.830816770524649</v>
      </c>
      <c r="J65" s="88">
        <v>99.378050935845096</v>
      </c>
      <c r="K65" s="87">
        <v>22.056683359258518</v>
      </c>
      <c r="L65" s="87">
        <v>77.943316640741486</v>
      </c>
      <c r="M65" s="87">
        <v>64.28880297390856</v>
      </c>
      <c r="N65" s="87">
        <v>80</v>
      </c>
      <c r="O65" s="88">
        <v>31.057628512004825</v>
      </c>
      <c r="P65" s="87">
        <v>0</v>
      </c>
      <c r="Q65" s="88">
        <v>57.025815522634879</v>
      </c>
      <c r="R65" s="88">
        <v>45.620652418107909</v>
      </c>
      <c r="S65" s="87">
        <v>15.389963604862878</v>
      </c>
      <c r="T65" s="87">
        <v>94.773152146320243</v>
      </c>
      <c r="U65" s="87">
        <v>278.49509588664421</v>
      </c>
      <c r="V65" s="87">
        <v>0</v>
      </c>
      <c r="W65" s="87">
        <v>73.670419555555711</v>
      </c>
      <c r="X65" s="87">
        <v>70</v>
      </c>
      <c r="Y65" s="87">
        <v>0</v>
      </c>
      <c r="Z65" s="87">
        <v>54.924384048773412</v>
      </c>
      <c r="AA65" s="87">
        <v>54.924384048773412</v>
      </c>
      <c r="AB65" s="87">
        <v>10.984876809754683</v>
      </c>
      <c r="AC65" s="68">
        <v>56.60552922786259</v>
      </c>
      <c r="AD65" s="68">
        <v>56.60552922786259</v>
      </c>
      <c r="AE65" s="68" t="s">
        <v>109</v>
      </c>
      <c r="AF65" s="68">
        <f t="shared" si="0"/>
        <v>19</v>
      </c>
    </row>
    <row r="66" spans="1:32" ht="14.4" customHeight="1" x14ac:dyDescent="0.3">
      <c r="A66" s="81" t="s">
        <v>101</v>
      </c>
      <c r="B66" s="81" t="s">
        <v>168</v>
      </c>
      <c r="C66" s="89">
        <v>2021</v>
      </c>
      <c r="D66" s="82" t="s">
        <v>25</v>
      </c>
      <c r="E66" s="147">
        <v>4</v>
      </c>
      <c r="F66" s="84" t="s">
        <v>178</v>
      </c>
      <c r="G66" s="87">
        <v>73.243430113255997</v>
      </c>
      <c r="H66" s="87">
        <v>26.756569886744003</v>
      </c>
      <c r="I66" s="88">
        <v>43.098869787831411</v>
      </c>
      <c r="J66" s="88">
        <v>100</v>
      </c>
      <c r="K66" s="87">
        <v>19.054953887458598</v>
      </c>
      <c r="L66" s="87">
        <v>80.945046112541405</v>
      </c>
      <c r="M66" s="87">
        <v>53.693277620252488</v>
      </c>
      <c r="N66" s="87">
        <v>70</v>
      </c>
      <c r="O66" s="88">
        <v>15.139913031932291</v>
      </c>
      <c r="P66" s="87">
        <v>40</v>
      </c>
      <c r="Q66" s="88">
        <v>63.540323199857085</v>
      </c>
      <c r="R66" s="88">
        <v>50.832258559885673</v>
      </c>
      <c r="S66" s="87">
        <v>15.673488061990593</v>
      </c>
      <c r="T66" s="87">
        <v>96.519128108477645</v>
      </c>
      <c r="U66" s="87">
        <v>187.42789331728284</v>
      </c>
      <c r="V66" s="87">
        <v>0</v>
      </c>
      <c r="W66" s="87">
        <v>92.939411720802084</v>
      </c>
      <c r="X66" s="87">
        <v>100</v>
      </c>
      <c r="Y66" s="87">
        <v>0</v>
      </c>
      <c r="Z66" s="87">
        <v>65.50637603615921</v>
      </c>
      <c r="AA66" s="87">
        <v>65.50637603615921</v>
      </c>
      <c r="AB66" s="87">
        <v>13.101275207231843</v>
      </c>
      <c r="AC66" s="68">
        <v>63.933533767117517</v>
      </c>
      <c r="AD66" s="68">
        <v>63.933533767117517</v>
      </c>
      <c r="AE66" s="68" t="s">
        <v>98</v>
      </c>
      <c r="AF66" s="68">
        <f t="shared" si="0"/>
        <v>8</v>
      </c>
    </row>
    <row r="67" spans="1:32" ht="13.5" customHeight="1" x14ac:dyDescent="0.3">
      <c r="A67" s="81" t="s">
        <v>123</v>
      </c>
      <c r="B67" s="81" t="s">
        <v>169</v>
      </c>
      <c r="C67" s="89">
        <v>2021</v>
      </c>
      <c r="D67" s="82" t="s">
        <v>124</v>
      </c>
      <c r="E67" s="147">
        <v>4</v>
      </c>
      <c r="F67" s="84" t="s">
        <v>178</v>
      </c>
      <c r="G67" s="87">
        <v>83.329147326145574</v>
      </c>
      <c r="H67" s="87">
        <v>16.670852673854426</v>
      </c>
      <c r="I67" s="88">
        <v>37.937108732570906</v>
      </c>
      <c r="J67" s="88">
        <v>88.023442190779022</v>
      </c>
      <c r="K67" s="87">
        <v>9.6319136825602438</v>
      </c>
      <c r="L67" s="87">
        <v>90.368086317439762</v>
      </c>
      <c r="M67" s="87">
        <v>53.971808635372909</v>
      </c>
      <c r="N67" s="87">
        <v>70</v>
      </c>
      <c r="O67" s="88">
        <v>47.992765053434994</v>
      </c>
      <c r="P67" s="87">
        <v>0</v>
      </c>
      <c r="Q67" s="88">
        <v>53.012476236414635</v>
      </c>
      <c r="R67" s="88">
        <v>42.409980989131711</v>
      </c>
      <c r="S67" s="87">
        <v>31.142995807104327</v>
      </c>
      <c r="T67" s="87">
        <v>100</v>
      </c>
      <c r="U67" s="87">
        <v>123.13638533908275</v>
      </c>
      <c r="V67" s="87">
        <v>70</v>
      </c>
      <c r="W67" s="87">
        <v>81.776299959484717</v>
      </c>
      <c r="X67" s="87">
        <v>80</v>
      </c>
      <c r="Y67" s="87">
        <v>0</v>
      </c>
      <c r="Z67" s="87">
        <v>83.333333333333329</v>
      </c>
      <c r="AA67" s="87">
        <v>83.333333333333329</v>
      </c>
      <c r="AB67" s="87">
        <v>16.666666666666668</v>
      </c>
      <c r="AC67" s="68">
        <v>59.076647655798382</v>
      </c>
      <c r="AD67" s="68">
        <v>59.076647655798382</v>
      </c>
      <c r="AE67" s="68" t="s">
        <v>109</v>
      </c>
      <c r="AF67" s="68">
        <f t="shared" si="0"/>
        <v>12</v>
      </c>
    </row>
    <row r="68" spans="1:32" ht="15" customHeight="1" x14ac:dyDescent="0.3">
      <c r="A68" s="81" t="s">
        <v>134</v>
      </c>
      <c r="B68" s="81" t="s">
        <v>170</v>
      </c>
      <c r="C68" s="89">
        <v>2021</v>
      </c>
      <c r="D68" s="82" t="s">
        <v>26</v>
      </c>
      <c r="E68" s="147">
        <v>4</v>
      </c>
      <c r="F68" s="84" t="s">
        <v>178</v>
      </c>
      <c r="G68" s="87">
        <v>81.41550083848729</v>
      </c>
      <c r="H68" s="87">
        <v>18.58449916151271</v>
      </c>
      <c r="I68" s="88">
        <v>15.111062667159844</v>
      </c>
      <c r="J68" s="88">
        <v>35.061389640956016</v>
      </c>
      <c r="K68" s="87">
        <v>20.664287598154321</v>
      </c>
      <c r="L68" s="87">
        <v>79.335712401845683</v>
      </c>
      <c r="M68" s="87">
        <v>42.300213776612203</v>
      </c>
      <c r="N68" s="87">
        <v>50</v>
      </c>
      <c r="O68" s="88">
        <v>16.26970959133979</v>
      </c>
      <c r="P68" s="87">
        <v>40</v>
      </c>
      <c r="Q68" s="88">
        <v>44.59632024086288</v>
      </c>
      <c r="R68" s="88">
        <v>35.677056192690308</v>
      </c>
      <c r="S68" s="87">
        <v>31.853672938423351</v>
      </c>
      <c r="T68" s="87">
        <v>100</v>
      </c>
      <c r="U68" s="87">
        <v>83.014145279210211</v>
      </c>
      <c r="V68" s="87">
        <v>80</v>
      </c>
      <c r="W68" s="87">
        <v>84.260980060953898</v>
      </c>
      <c r="X68" s="87">
        <v>80</v>
      </c>
      <c r="Y68" s="87">
        <v>0</v>
      </c>
      <c r="Z68" s="87">
        <v>86.666666666666671</v>
      </c>
      <c r="AA68" s="87">
        <v>86.666666666666671</v>
      </c>
      <c r="AB68" s="87">
        <v>17.333333333333336</v>
      </c>
      <c r="AC68" s="68">
        <v>53.010389526023644</v>
      </c>
      <c r="AD68" s="68">
        <v>53.010389526023644</v>
      </c>
      <c r="AE68" s="68" t="s">
        <v>109</v>
      </c>
      <c r="AF68" s="68">
        <f t="shared" si="0"/>
        <v>22</v>
      </c>
    </row>
    <row r="69" spans="1:32" ht="13.5" customHeight="1" x14ac:dyDescent="0.3">
      <c r="A69" s="82" t="s">
        <v>94</v>
      </c>
      <c r="B69" s="81" t="s">
        <v>140</v>
      </c>
      <c r="C69" s="82">
        <v>2022</v>
      </c>
      <c r="D69" s="82" t="s">
        <v>27</v>
      </c>
      <c r="E69" s="147">
        <v>1</v>
      </c>
      <c r="F69" s="84" t="s">
        <v>178</v>
      </c>
      <c r="G69" s="87">
        <v>27.77467083134097</v>
      </c>
      <c r="H69" s="87">
        <v>72.22532916865903</v>
      </c>
      <c r="I69" s="88">
        <v>11.009136957676603</v>
      </c>
      <c r="J69" s="88">
        <v>53.344779643791099</v>
      </c>
      <c r="K69" s="87">
        <v>49.826765741064833</v>
      </c>
      <c r="L69" s="87">
        <v>50.173234258935167</v>
      </c>
      <c r="M69" s="87">
        <v>64.697509943387217</v>
      </c>
      <c r="N69" s="87">
        <v>80</v>
      </c>
      <c r="O69" s="88">
        <v>-3.7581945278368827</v>
      </c>
      <c r="P69" s="87">
        <v>100</v>
      </c>
      <c r="Q69" s="88">
        <v>71.148668614277057</v>
      </c>
      <c r="R69" s="88">
        <v>56.91893489142165</v>
      </c>
      <c r="S69" s="87">
        <v>32.057267272925088</v>
      </c>
      <c r="T69" s="87">
        <v>100</v>
      </c>
      <c r="U69" s="87">
        <v>108.24423715777934</v>
      </c>
      <c r="V69" s="87">
        <v>100</v>
      </c>
      <c r="W69" s="87">
        <v>70.34168802477565</v>
      </c>
      <c r="X69" s="87">
        <v>70</v>
      </c>
      <c r="Y69" s="87">
        <v>0.18025792427137546</v>
      </c>
      <c r="Z69" s="87">
        <v>90</v>
      </c>
      <c r="AA69" s="87">
        <v>90.180257924271373</v>
      </c>
      <c r="AB69" s="87">
        <v>18.036051584854274</v>
      </c>
      <c r="AC69" s="68">
        <v>74.918934891421657</v>
      </c>
      <c r="AD69" s="68">
        <v>74.95498647627592</v>
      </c>
      <c r="AE69" s="68" t="s">
        <v>95</v>
      </c>
      <c r="AF69" s="68">
        <f t="shared" si="0"/>
        <v>1</v>
      </c>
    </row>
    <row r="70" spans="1:32" ht="14.4" customHeight="1" x14ac:dyDescent="0.3">
      <c r="A70" s="82" t="s">
        <v>96</v>
      </c>
      <c r="B70" s="81" t="s">
        <v>148</v>
      </c>
      <c r="C70" s="82">
        <v>2022</v>
      </c>
      <c r="D70" s="82" t="s">
        <v>10</v>
      </c>
      <c r="E70" s="152" t="s">
        <v>51</v>
      </c>
      <c r="F70" s="84" t="s">
        <v>178</v>
      </c>
      <c r="G70" s="87">
        <v>26.233567961990126</v>
      </c>
      <c r="H70" s="87">
        <v>73.766432038009867</v>
      </c>
      <c r="I70" s="88">
        <v>11.641883267567584</v>
      </c>
      <c r="J70" s="88">
        <v>100</v>
      </c>
      <c r="K70" s="87">
        <v>81.027420199853339</v>
      </c>
      <c r="L70" s="87">
        <v>18.972579800146661</v>
      </c>
      <c r="M70" s="87">
        <v>71.249923209113376</v>
      </c>
      <c r="N70" s="87">
        <v>100</v>
      </c>
      <c r="O70" s="88">
        <v>10.318595412914746</v>
      </c>
      <c r="P70" s="87">
        <v>60</v>
      </c>
      <c r="Q70" s="88">
        <v>70.547802367631306</v>
      </c>
      <c r="R70" s="88">
        <v>56.438241894105047</v>
      </c>
      <c r="S70" s="87">
        <v>12.392838547193925</v>
      </c>
      <c r="T70" s="87">
        <v>71.645420430745844</v>
      </c>
      <c r="U70" s="87">
        <v>134.9171204207251</v>
      </c>
      <c r="V70" s="87">
        <v>60</v>
      </c>
      <c r="W70" s="87">
        <v>90.840536341239684</v>
      </c>
      <c r="X70" s="87">
        <v>100</v>
      </c>
      <c r="Y70" s="87">
        <v>0.28025665257616239</v>
      </c>
      <c r="Z70" s="87">
        <v>77.215140143581948</v>
      </c>
      <c r="AA70" s="87">
        <v>77.495396796158104</v>
      </c>
      <c r="AB70" s="87">
        <v>15.499079359231622</v>
      </c>
      <c r="AC70" s="68">
        <v>71.881269922821446</v>
      </c>
      <c r="AD70" s="68">
        <v>71.937321253336677</v>
      </c>
      <c r="AE70" s="68" t="s">
        <v>95</v>
      </c>
      <c r="AF70" s="68">
        <f t="shared" ref="AF70:AF133" si="1">COUNTIFS($C$5:$C$164,$C70,$AD$5:$AD$164,"&gt;"&amp;$AD70)+1</f>
        <v>2</v>
      </c>
    </row>
    <row r="71" spans="1:32" ht="13.5" customHeight="1" x14ac:dyDescent="0.3">
      <c r="A71" s="82" t="s">
        <v>97</v>
      </c>
      <c r="B71" s="81" t="s">
        <v>159</v>
      </c>
      <c r="C71" s="82">
        <v>2022</v>
      </c>
      <c r="D71" s="82" t="s">
        <v>18</v>
      </c>
      <c r="E71" s="126">
        <v>3</v>
      </c>
      <c r="F71" s="84" t="s">
        <v>178</v>
      </c>
      <c r="G71" s="87">
        <v>69.188963207251064</v>
      </c>
      <c r="H71" s="87">
        <v>30.811036792748936</v>
      </c>
      <c r="I71" s="88">
        <v>10.582820860904658</v>
      </c>
      <c r="J71" s="88">
        <v>100</v>
      </c>
      <c r="K71" s="87">
        <v>31.44942731552781</v>
      </c>
      <c r="L71" s="87">
        <v>68.550572684472186</v>
      </c>
      <c r="M71" s="87">
        <v>59.994147544698109</v>
      </c>
      <c r="N71" s="87">
        <v>80</v>
      </c>
      <c r="O71" s="88">
        <v>8.9077737651558628</v>
      </c>
      <c r="P71" s="87">
        <v>80</v>
      </c>
      <c r="Q71" s="88">
        <v>71.87232189544423</v>
      </c>
      <c r="R71" s="88">
        <v>57.497857516355388</v>
      </c>
      <c r="S71" s="87">
        <v>2.7977101013130437</v>
      </c>
      <c r="T71" s="87">
        <v>19.592334223666246</v>
      </c>
      <c r="U71" s="87">
        <v>134.24756669315158</v>
      </c>
      <c r="V71" s="87">
        <v>60</v>
      </c>
      <c r="W71" s="87">
        <v>88.330230243518884</v>
      </c>
      <c r="X71" s="87">
        <v>80</v>
      </c>
      <c r="Y71" s="87">
        <v>0.34320824518242921</v>
      </c>
      <c r="Z71" s="87">
        <v>53.197444741222078</v>
      </c>
      <c r="AA71" s="87">
        <v>53.54065298640451</v>
      </c>
      <c r="AB71" s="87">
        <v>10.708130597280903</v>
      </c>
      <c r="AC71" s="68">
        <v>68.137346464599801</v>
      </c>
      <c r="AD71" s="68">
        <v>68.205988113636295</v>
      </c>
      <c r="AE71" s="68" t="s">
        <v>98</v>
      </c>
      <c r="AF71" s="68">
        <f t="shared" si="1"/>
        <v>3</v>
      </c>
    </row>
    <row r="72" spans="1:32" ht="14.4" customHeight="1" x14ac:dyDescent="0.3">
      <c r="A72" s="82" t="s">
        <v>99</v>
      </c>
      <c r="B72" s="81" t="s">
        <v>153</v>
      </c>
      <c r="C72" s="82">
        <v>2022</v>
      </c>
      <c r="D72" s="82" t="s">
        <v>13</v>
      </c>
      <c r="E72" s="147">
        <v>1</v>
      </c>
      <c r="F72" s="84" t="s">
        <v>178</v>
      </c>
      <c r="G72" s="87">
        <v>37.648871458911017</v>
      </c>
      <c r="H72" s="87">
        <v>62.351128541088983</v>
      </c>
      <c r="I72" s="88">
        <v>20.637702566567782</v>
      </c>
      <c r="J72" s="88">
        <v>100</v>
      </c>
      <c r="K72" s="87">
        <v>17.616077362393433</v>
      </c>
      <c r="L72" s="87">
        <v>82.38392263760656</v>
      </c>
      <c r="M72" s="87">
        <v>50.925053024932922</v>
      </c>
      <c r="N72" s="87">
        <v>70</v>
      </c>
      <c r="O72" s="88">
        <v>24.787269243094968</v>
      </c>
      <c r="P72" s="87">
        <v>20</v>
      </c>
      <c r="Q72" s="88">
        <v>66.947010235739114</v>
      </c>
      <c r="R72" s="88">
        <v>53.557608188591296</v>
      </c>
      <c r="S72" s="87">
        <v>5.7617169668930757</v>
      </c>
      <c r="T72" s="87">
        <v>38.693395345693467</v>
      </c>
      <c r="U72" s="87">
        <v>102.3735817699535</v>
      </c>
      <c r="V72" s="87">
        <v>100</v>
      </c>
      <c r="W72" s="87">
        <v>88.663927973715545</v>
      </c>
      <c r="X72" s="87">
        <v>80</v>
      </c>
      <c r="Y72" s="87">
        <v>0.20905962564121183</v>
      </c>
      <c r="Z72" s="87">
        <v>72.897798448564487</v>
      </c>
      <c r="AA72" s="87">
        <v>73.106858074205704</v>
      </c>
      <c r="AB72" s="87">
        <v>14.621371614841141</v>
      </c>
      <c r="AC72" s="68">
        <v>68.137167878304197</v>
      </c>
      <c r="AD72" s="68">
        <v>68.178979803432441</v>
      </c>
      <c r="AE72" s="68" t="s">
        <v>98</v>
      </c>
      <c r="AF72" s="68">
        <f t="shared" si="1"/>
        <v>4</v>
      </c>
    </row>
    <row r="73" spans="1:32" ht="14.4" customHeight="1" x14ac:dyDescent="0.3">
      <c r="A73" s="82" t="s">
        <v>100</v>
      </c>
      <c r="B73" s="81" t="s">
        <v>150</v>
      </c>
      <c r="C73" s="82">
        <v>2022</v>
      </c>
      <c r="D73" s="82" t="s">
        <v>11</v>
      </c>
      <c r="E73" s="126">
        <v>3</v>
      </c>
      <c r="F73" s="84" t="s">
        <v>178</v>
      </c>
      <c r="G73" s="87">
        <v>51.982924919340405</v>
      </c>
      <c r="H73" s="87">
        <v>48.017075080659595</v>
      </c>
      <c r="I73" s="88">
        <v>9.428906514614587</v>
      </c>
      <c r="J73" s="88">
        <v>89.09634433525288</v>
      </c>
      <c r="K73" s="87">
        <v>63.519806338366728</v>
      </c>
      <c r="L73" s="87">
        <v>36.480193661633272</v>
      </c>
      <c r="M73" s="87">
        <v>61.206238946242955</v>
      </c>
      <c r="N73" s="87">
        <v>80</v>
      </c>
      <c r="O73" s="88">
        <v>12.342638882455557</v>
      </c>
      <c r="P73" s="87">
        <v>60</v>
      </c>
      <c r="Q73" s="88">
        <v>62.718722615509151</v>
      </c>
      <c r="R73" s="88">
        <v>50.174978092407322</v>
      </c>
      <c r="S73" s="87">
        <v>35.911906487993704</v>
      </c>
      <c r="T73" s="87">
        <v>100</v>
      </c>
      <c r="U73" s="87">
        <v>135.80376124083145</v>
      </c>
      <c r="V73" s="87">
        <v>60</v>
      </c>
      <c r="W73" s="87">
        <v>87.49967954085264</v>
      </c>
      <c r="X73" s="87">
        <v>80</v>
      </c>
      <c r="Y73" s="87">
        <v>0.29508324625827953</v>
      </c>
      <c r="Z73" s="87">
        <v>80</v>
      </c>
      <c r="AA73" s="87">
        <v>80.295083246258287</v>
      </c>
      <c r="AB73" s="87">
        <v>16.059016649251657</v>
      </c>
      <c r="AC73" s="68">
        <v>66.174978092407315</v>
      </c>
      <c r="AD73" s="68">
        <v>66.233994741658975</v>
      </c>
      <c r="AE73" s="68" t="s">
        <v>98</v>
      </c>
      <c r="AF73" s="68">
        <f t="shared" si="1"/>
        <v>5</v>
      </c>
    </row>
    <row r="74" spans="1:32" ht="14.4" customHeight="1" x14ac:dyDescent="0.3">
      <c r="A74" s="82" t="s">
        <v>101</v>
      </c>
      <c r="B74" s="81" t="s">
        <v>168</v>
      </c>
      <c r="C74" s="82">
        <v>2022</v>
      </c>
      <c r="D74" s="82" t="s">
        <v>25</v>
      </c>
      <c r="E74" s="147">
        <v>4</v>
      </c>
      <c r="F74" s="84" t="s">
        <v>178</v>
      </c>
      <c r="G74" s="87">
        <v>65.518209805019168</v>
      </c>
      <c r="H74" s="87">
        <v>34.481790194980832</v>
      </c>
      <c r="I74" s="88">
        <v>19.248558960087543</v>
      </c>
      <c r="J74" s="88">
        <v>100</v>
      </c>
      <c r="K74" s="87">
        <v>19.749477674835308</v>
      </c>
      <c r="L74" s="87">
        <v>80.250522325164695</v>
      </c>
      <c r="M74" s="87">
        <v>49.682352027177338</v>
      </c>
      <c r="N74" s="87">
        <v>70</v>
      </c>
      <c r="O74" s="88">
        <v>12.258956360847288</v>
      </c>
      <c r="P74" s="87">
        <v>60</v>
      </c>
      <c r="Q74" s="88">
        <v>68.9464625040291</v>
      </c>
      <c r="R74" s="88">
        <v>55.157170003223285</v>
      </c>
      <c r="S74" s="87">
        <v>9.3601067205412676</v>
      </c>
      <c r="T74" s="87">
        <v>75.584262645049222</v>
      </c>
      <c r="U74" s="87">
        <v>197.44512070183845</v>
      </c>
      <c r="V74" s="87">
        <v>0</v>
      </c>
      <c r="W74" s="87">
        <v>86.229072803146707</v>
      </c>
      <c r="X74" s="87">
        <v>80</v>
      </c>
      <c r="Y74" s="87">
        <v>0</v>
      </c>
      <c r="Z74" s="87">
        <v>51.861420881683074</v>
      </c>
      <c r="AA74" s="87">
        <v>51.861420881683074</v>
      </c>
      <c r="AB74" s="87">
        <v>10.372284176336615</v>
      </c>
      <c r="AC74" s="68">
        <v>65.529454179559906</v>
      </c>
      <c r="AD74" s="68">
        <v>65.529454179559906</v>
      </c>
      <c r="AE74" s="68" t="s">
        <v>98</v>
      </c>
      <c r="AF74" s="68">
        <f t="shared" si="1"/>
        <v>6</v>
      </c>
    </row>
    <row r="75" spans="1:32" ht="14.4" customHeight="1" x14ac:dyDescent="0.3">
      <c r="A75" s="82" t="s">
        <v>102</v>
      </c>
      <c r="B75" s="81" t="s">
        <v>139</v>
      </c>
      <c r="C75" s="82">
        <v>2022</v>
      </c>
      <c r="D75" s="82" t="s">
        <v>2</v>
      </c>
      <c r="E75" s="152" t="s">
        <v>51</v>
      </c>
      <c r="F75" s="84" t="s">
        <v>178</v>
      </c>
      <c r="G75" s="87">
        <v>30.693679567343512</v>
      </c>
      <c r="H75" s="87">
        <v>69.306320432656491</v>
      </c>
      <c r="I75" s="88">
        <v>7.8143251060647998</v>
      </c>
      <c r="J75" s="88">
        <v>67.122517263459031</v>
      </c>
      <c r="K75" s="87">
        <v>82.694451676655575</v>
      </c>
      <c r="L75" s="87">
        <v>17.305548323344425</v>
      </c>
      <c r="M75" s="87">
        <v>68.267450239469198</v>
      </c>
      <c r="N75" s="87">
        <v>100</v>
      </c>
      <c r="O75" s="88">
        <v>19.477321535771068</v>
      </c>
      <c r="P75" s="87">
        <v>40</v>
      </c>
      <c r="Q75" s="88">
        <v>58.746877203891998</v>
      </c>
      <c r="R75" s="88">
        <v>46.997501763113604</v>
      </c>
      <c r="S75" s="87">
        <v>29.919959021212712</v>
      </c>
      <c r="T75" s="87">
        <v>100</v>
      </c>
      <c r="U75" s="87">
        <v>120.54041446581151</v>
      </c>
      <c r="V75" s="87">
        <v>70</v>
      </c>
      <c r="W75" s="87">
        <v>89.230252753422505</v>
      </c>
      <c r="X75" s="87">
        <v>80</v>
      </c>
      <c r="Y75" s="87">
        <v>0.21218080264158748</v>
      </c>
      <c r="Z75" s="87">
        <v>83.333333333333329</v>
      </c>
      <c r="AA75" s="87">
        <v>83.545514135974912</v>
      </c>
      <c r="AB75" s="87">
        <v>16.709102827194982</v>
      </c>
      <c r="AC75" s="68">
        <v>63.664168429780275</v>
      </c>
      <c r="AD75" s="68">
        <v>63.706604590308586</v>
      </c>
      <c r="AE75" s="68" t="s">
        <v>98</v>
      </c>
      <c r="AF75" s="68">
        <f t="shared" si="1"/>
        <v>7</v>
      </c>
    </row>
    <row r="76" spans="1:32" ht="14.4" customHeight="1" x14ac:dyDescent="0.3">
      <c r="A76" s="82" t="s">
        <v>103</v>
      </c>
      <c r="B76" s="81" t="s">
        <v>161</v>
      </c>
      <c r="C76" s="82">
        <v>2022</v>
      </c>
      <c r="D76" s="82" t="s">
        <v>20</v>
      </c>
      <c r="E76" s="152" t="s">
        <v>51</v>
      </c>
      <c r="F76" s="84" t="s">
        <v>178</v>
      </c>
      <c r="G76" s="87">
        <v>24.038098474881643</v>
      </c>
      <c r="H76" s="87">
        <v>75.96190152511835</v>
      </c>
      <c r="I76" s="88">
        <v>5.8071246600091637</v>
      </c>
      <c r="J76" s="88">
        <v>49.881316678263559</v>
      </c>
      <c r="K76" s="87">
        <v>67.334003408202477</v>
      </c>
      <c r="L76" s="87">
        <v>32.665996591797523</v>
      </c>
      <c r="M76" s="87">
        <v>67.914930070273201</v>
      </c>
      <c r="N76" s="87">
        <v>100</v>
      </c>
      <c r="O76" s="88">
        <v>18.0140602433966</v>
      </c>
      <c r="P76" s="87">
        <v>40</v>
      </c>
      <c r="Q76" s="88">
        <v>59.701842959035886</v>
      </c>
      <c r="R76" s="88">
        <v>47.761474367228715</v>
      </c>
      <c r="S76" s="87">
        <v>9.5795849705714247</v>
      </c>
      <c r="T76" s="87">
        <v>55.381451969617423</v>
      </c>
      <c r="U76" s="87">
        <v>114.71588743982245</v>
      </c>
      <c r="V76" s="87">
        <v>80</v>
      </c>
      <c r="W76" s="87">
        <v>93.88539394074904</v>
      </c>
      <c r="X76" s="87">
        <v>100</v>
      </c>
      <c r="Y76" s="87">
        <v>0.11823785017751598</v>
      </c>
      <c r="Z76" s="87">
        <v>78.460483989872472</v>
      </c>
      <c r="AA76" s="87">
        <v>78.578721840049994</v>
      </c>
      <c r="AB76" s="87">
        <v>15.71574436801</v>
      </c>
      <c r="AC76" s="68">
        <v>63.453571165203208</v>
      </c>
      <c r="AD76" s="68">
        <v>63.477218735238715</v>
      </c>
      <c r="AE76" s="68" t="s">
        <v>98</v>
      </c>
      <c r="AF76" s="68">
        <f t="shared" si="1"/>
        <v>8</v>
      </c>
    </row>
    <row r="77" spans="1:32" ht="14.4" customHeight="1" x14ac:dyDescent="0.3">
      <c r="A77" s="82" t="s">
        <v>104</v>
      </c>
      <c r="B77" s="81" t="s">
        <v>146</v>
      </c>
      <c r="C77" s="82">
        <v>2022</v>
      </c>
      <c r="D77" s="82" t="s">
        <v>9</v>
      </c>
      <c r="E77" s="147">
        <v>2</v>
      </c>
      <c r="F77" s="84" t="s">
        <v>178</v>
      </c>
      <c r="G77" s="87">
        <v>54.841252626843271</v>
      </c>
      <c r="H77" s="87">
        <v>45.158747373156729</v>
      </c>
      <c r="I77" s="88">
        <v>56.917472858183885</v>
      </c>
      <c r="J77" s="88">
        <v>100</v>
      </c>
      <c r="K77" s="87">
        <v>27.876331217084743</v>
      </c>
      <c r="L77" s="87">
        <v>72.12366878291526</v>
      </c>
      <c r="M77" s="87">
        <v>59.435043386495543</v>
      </c>
      <c r="N77" s="87">
        <v>80</v>
      </c>
      <c r="O77" s="88">
        <v>-29.380187575440907</v>
      </c>
      <c r="P77" s="87">
        <v>20</v>
      </c>
      <c r="Q77" s="88">
        <v>63.456483231214392</v>
      </c>
      <c r="R77" s="88">
        <v>50.765186584971516</v>
      </c>
      <c r="S77" s="87">
        <v>10.280269183616682</v>
      </c>
      <c r="T77" s="87">
        <v>59.206412834292593</v>
      </c>
      <c r="U77" s="87">
        <v>135.10921921241902</v>
      </c>
      <c r="V77" s="87">
        <v>60</v>
      </c>
      <c r="W77" s="87">
        <v>58.345292002315993</v>
      </c>
      <c r="X77" s="87">
        <v>50</v>
      </c>
      <c r="Y77" s="87">
        <v>0.21248736143576388</v>
      </c>
      <c r="Z77" s="87">
        <v>56.402137611430867</v>
      </c>
      <c r="AA77" s="87">
        <v>56.614624972866629</v>
      </c>
      <c r="AB77" s="87">
        <v>11.322924994573327</v>
      </c>
      <c r="AC77" s="68">
        <v>62.045614107257691</v>
      </c>
      <c r="AD77" s="68">
        <v>62.088111579544844</v>
      </c>
      <c r="AE77" s="68" t="s">
        <v>98</v>
      </c>
      <c r="AF77" s="68">
        <f t="shared" si="1"/>
        <v>9</v>
      </c>
    </row>
    <row r="78" spans="1:32" ht="14.4" customHeight="1" x14ac:dyDescent="0.3">
      <c r="A78" s="82" t="s">
        <v>105</v>
      </c>
      <c r="B78" s="81" t="s">
        <v>143</v>
      </c>
      <c r="C78" s="82">
        <v>2022</v>
      </c>
      <c r="D78" s="82" t="s">
        <v>6</v>
      </c>
      <c r="E78" s="147">
        <v>2</v>
      </c>
      <c r="F78" s="84" t="s">
        <v>178</v>
      </c>
      <c r="G78" s="87">
        <v>48.888806432601612</v>
      </c>
      <c r="H78" s="87">
        <v>51.111193567398388</v>
      </c>
      <c r="I78" s="88">
        <v>25.396905290819653</v>
      </c>
      <c r="J78" s="88">
        <v>44.620577856818812</v>
      </c>
      <c r="K78" s="87">
        <v>60.288846202560798</v>
      </c>
      <c r="L78" s="87">
        <v>39.711153797439202</v>
      </c>
      <c r="M78" s="87">
        <v>53.190412558907205</v>
      </c>
      <c r="N78" s="87">
        <v>70</v>
      </c>
      <c r="O78" s="88">
        <v>11.545896912577538</v>
      </c>
      <c r="P78" s="87">
        <v>60</v>
      </c>
      <c r="Q78" s="88">
        <v>53.088585044331282</v>
      </c>
      <c r="R78" s="88">
        <v>42.470868035465031</v>
      </c>
      <c r="S78" s="87">
        <v>21.317800188251162</v>
      </c>
      <c r="T78" s="87">
        <v>100</v>
      </c>
      <c r="U78" s="87">
        <v>126.78777760492703</v>
      </c>
      <c r="V78" s="87">
        <v>70</v>
      </c>
      <c r="W78" s="87">
        <v>90.78312618347131</v>
      </c>
      <c r="X78" s="87">
        <v>100</v>
      </c>
      <c r="Y78" s="87">
        <v>0.16925399653633602</v>
      </c>
      <c r="Z78" s="87">
        <v>90</v>
      </c>
      <c r="AA78" s="87">
        <v>90.169253996536341</v>
      </c>
      <c r="AB78" s="87">
        <v>18.03385079930727</v>
      </c>
      <c r="AC78" s="68">
        <v>60.470868035465031</v>
      </c>
      <c r="AD78" s="68">
        <v>60.504718834772305</v>
      </c>
      <c r="AE78" s="68" t="s">
        <v>98</v>
      </c>
      <c r="AF78" s="68">
        <f t="shared" si="1"/>
        <v>10</v>
      </c>
    </row>
    <row r="79" spans="1:32" ht="14.4" customHeight="1" x14ac:dyDescent="0.3">
      <c r="A79" s="82" t="s">
        <v>106</v>
      </c>
      <c r="B79" s="81" t="s">
        <v>165</v>
      </c>
      <c r="C79" s="82">
        <v>2022</v>
      </c>
      <c r="D79" s="82" t="s">
        <v>173</v>
      </c>
      <c r="E79" s="126">
        <v>3</v>
      </c>
      <c r="F79" s="84" t="s">
        <v>178</v>
      </c>
      <c r="G79" s="87">
        <v>14.717175804187775</v>
      </c>
      <c r="H79" s="87">
        <v>85.282824195812225</v>
      </c>
      <c r="I79" s="88">
        <v>9.3769184116160584</v>
      </c>
      <c r="J79" s="88">
        <v>88.605094377591925</v>
      </c>
      <c r="K79" s="87">
        <v>19.946454971847778</v>
      </c>
      <c r="L79" s="87">
        <v>80.053545028152229</v>
      </c>
      <c r="M79" s="87">
        <v>0.14689574747233933</v>
      </c>
      <c r="N79" s="87">
        <v>20</v>
      </c>
      <c r="O79" s="88">
        <v>31.476624876239185</v>
      </c>
      <c r="P79" s="87">
        <v>0</v>
      </c>
      <c r="Q79" s="88">
        <v>54.788292720311276</v>
      </c>
      <c r="R79" s="88">
        <v>43.830634176249021</v>
      </c>
      <c r="S79" s="87">
        <v>10.902288104776062</v>
      </c>
      <c r="T79" s="87">
        <v>76.348608188970104</v>
      </c>
      <c r="U79" s="87">
        <v>100.62653070163432</v>
      </c>
      <c r="V79" s="87">
        <v>100</v>
      </c>
      <c r="W79" s="87">
        <v>74.461894288569979</v>
      </c>
      <c r="X79" s="87">
        <v>70</v>
      </c>
      <c r="Y79" s="87">
        <v>0.65798582584237475</v>
      </c>
      <c r="Z79" s="87">
        <v>82.116202729656706</v>
      </c>
      <c r="AA79" s="87">
        <v>82.77418855549908</v>
      </c>
      <c r="AB79" s="87">
        <v>16.554837711099818</v>
      </c>
      <c r="AC79" s="68">
        <v>60.253874722180363</v>
      </c>
      <c r="AD79" s="68">
        <v>60.385471887348842</v>
      </c>
      <c r="AE79" s="68" t="s">
        <v>98</v>
      </c>
      <c r="AF79" s="68">
        <f t="shared" si="1"/>
        <v>11</v>
      </c>
    </row>
    <row r="80" spans="1:32" ht="14.4" customHeight="1" x14ac:dyDescent="0.3">
      <c r="A80" s="82" t="s">
        <v>108</v>
      </c>
      <c r="B80" s="81" t="s">
        <v>160</v>
      </c>
      <c r="C80" s="82">
        <v>2022</v>
      </c>
      <c r="D80" s="82" t="s">
        <v>19</v>
      </c>
      <c r="E80" s="147">
        <v>2</v>
      </c>
      <c r="F80" s="84" t="s">
        <v>178</v>
      </c>
      <c r="G80" s="87">
        <v>54.912903192557195</v>
      </c>
      <c r="H80" s="87">
        <v>45.087096807442805</v>
      </c>
      <c r="I80" s="88">
        <v>3.6902537882046262</v>
      </c>
      <c r="J80" s="88">
        <v>6.4835165774125239</v>
      </c>
      <c r="K80" s="87">
        <v>77.134703447937738</v>
      </c>
      <c r="L80" s="87">
        <v>22.865296552062262</v>
      </c>
      <c r="M80" s="87">
        <v>56.216570822054926</v>
      </c>
      <c r="N80" s="87">
        <v>80</v>
      </c>
      <c r="O80" s="88">
        <v>-0.16662372164431011</v>
      </c>
      <c r="P80" s="87">
        <v>100</v>
      </c>
      <c r="Q80" s="88">
        <v>50.887181987383521</v>
      </c>
      <c r="R80" s="88">
        <v>40.709745589906817</v>
      </c>
      <c r="S80" s="87">
        <v>29.385788566481565</v>
      </c>
      <c r="T80" s="87">
        <v>100</v>
      </c>
      <c r="U80" s="87">
        <v>112.43199833126978</v>
      </c>
      <c r="V80" s="87">
        <v>80</v>
      </c>
      <c r="W80" s="87">
        <v>86.119884252640858</v>
      </c>
      <c r="X80" s="87">
        <v>80</v>
      </c>
      <c r="Y80" s="87">
        <v>0.22532102412550192</v>
      </c>
      <c r="Z80" s="87">
        <v>86.666666666666671</v>
      </c>
      <c r="AA80" s="87">
        <v>86.891987690792178</v>
      </c>
      <c r="AB80" s="87">
        <v>17.378397538158435</v>
      </c>
      <c r="AC80" s="68">
        <v>58.043078923240152</v>
      </c>
      <c r="AD80" s="68">
        <v>58.088143128065255</v>
      </c>
      <c r="AE80" s="68" t="s">
        <v>109</v>
      </c>
      <c r="AF80" s="68">
        <f t="shared" si="1"/>
        <v>12</v>
      </c>
    </row>
    <row r="81" spans="1:32" ht="14.4" customHeight="1" x14ac:dyDescent="0.3">
      <c r="A81" s="82" t="s">
        <v>110</v>
      </c>
      <c r="B81" s="81" t="s">
        <v>162</v>
      </c>
      <c r="C81" s="82">
        <v>2022</v>
      </c>
      <c r="D81" s="82" t="s">
        <v>21</v>
      </c>
      <c r="E81" s="147">
        <v>4</v>
      </c>
      <c r="F81" s="84" t="s">
        <v>178</v>
      </c>
      <c r="G81" s="87">
        <v>72.520535826553669</v>
      </c>
      <c r="H81" s="87">
        <v>27.479464173446331</v>
      </c>
      <c r="I81" s="88">
        <v>15.251796318828163</v>
      </c>
      <c r="J81" s="88">
        <v>79.236042295182799</v>
      </c>
      <c r="K81" s="87">
        <v>46.093963785424556</v>
      </c>
      <c r="L81" s="87">
        <v>53.906036214575444</v>
      </c>
      <c r="M81" s="87">
        <v>35.007625167452808</v>
      </c>
      <c r="N81" s="87">
        <v>50</v>
      </c>
      <c r="O81" s="88">
        <v>14.513835852062115</v>
      </c>
      <c r="P81" s="87">
        <v>60</v>
      </c>
      <c r="Q81" s="88">
        <v>54.12430853664091</v>
      </c>
      <c r="R81" s="88">
        <v>43.299446829312728</v>
      </c>
      <c r="S81" s="87">
        <v>4.9557787070041854</v>
      </c>
      <c r="T81" s="87">
        <v>40.018654763723248</v>
      </c>
      <c r="U81" s="87">
        <v>120.50239310518204</v>
      </c>
      <c r="V81" s="87">
        <v>70</v>
      </c>
      <c r="W81" s="87">
        <v>93.059494699419787</v>
      </c>
      <c r="X81" s="87">
        <v>100</v>
      </c>
      <c r="Y81" s="87">
        <v>0</v>
      </c>
      <c r="Z81" s="87">
        <v>70.006218254574421</v>
      </c>
      <c r="AA81" s="87">
        <v>70.006218254574421</v>
      </c>
      <c r="AB81" s="87">
        <v>14.001243650914885</v>
      </c>
      <c r="AC81" s="68">
        <v>57.300690480227615</v>
      </c>
      <c r="AD81" s="68">
        <v>57.300690480227615</v>
      </c>
      <c r="AE81" s="68" t="s">
        <v>109</v>
      </c>
      <c r="AF81" s="68">
        <f t="shared" si="1"/>
        <v>13</v>
      </c>
    </row>
    <row r="82" spans="1:32" ht="14.4" customHeight="1" x14ac:dyDescent="0.3">
      <c r="A82" s="82" t="s">
        <v>111</v>
      </c>
      <c r="B82" s="81" t="s">
        <v>155</v>
      </c>
      <c r="C82" s="82">
        <v>2022</v>
      </c>
      <c r="D82" s="82" t="s">
        <v>15</v>
      </c>
      <c r="E82" s="147">
        <v>2</v>
      </c>
      <c r="F82" s="84" t="s">
        <v>178</v>
      </c>
      <c r="G82" s="87">
        <v>47.086793695955144</v>
      </c>
      <c r="H82" s="87">
        <v>52.913206304044856</v>
      </c>
      <c r="I82" s="88">
        <v>2.3955700046707449</v>
      </c>
      <c r="J82" s="88">
        <v>4.2088481522002388</v>
      </c>
      <c r="K82" s="87">
        <v>63.615593932007805</v>
      </c>
      <c r="L82" s="87">
        <v>36.384406067992195</v>
      </c>
      <c r="M82" s="87">
        <v>58.015703751520995</v>
      </c>
      <c r="N82" s="87">
        <v>80</v>
      </c>
      <c r="O82" s="88">
        <v>7.3174709563885099</v>
      </c>
      <c r="P82" s="87">
        <v>80</v>
      </c>
      <c r="Q82" s="88">
        <v>50.701292104847461</v>
      </c>
      <c r="R82" s="88">
        <v>40.561033683877973</v>
      </c>
      <c r="S82" s="87">
        <v>12.731217987543481</v>
      </c>
      <c r="T82" s="87">
        <v>73.321985503563326</v>
      </c>
      <c r="U82" s="87">
        <v>129.20319826422195</v>
      </c>
      <c r="V82" s="87">
        <v>70</v>
      </c>
      <c r="W82" s="87">
        <v>79.753362929792004</v>
      </c>
      <c r="X82" s="87">
        <v>70</v>
      </c>
      <c r="Y82" s="87">
        <v>0.14895486811942527</v>
      </c>
      <c r="Z82" s="87">
        <v>71.10732850118778</v>
      </c>
      <c r="AA82" s="87">
        <v>71.256283369307212</v>
      </c>
      <c r="AB82" s="87">
        <v>14.251256673861443</v>
      </c>
      <c r="AC82" s="68">
        <v>54.782499384115532</v>
      </c>
      <c r="AD82" s="68">
        <v>54.812290357739414</v>
      </c>
      <c r="AE82" s="68" t="s">
        <v>109</v>
      </c>
      <c r="AF82" s="68">
        <f t="shared" si="1"/>
        <v>14</v>
      </c>
    </row>
    <row r="83" spans="1:32" ht="14.4" customHeight="1" x14ac:dyDescent="0.3">
      <c r="A83" s="82" t="s">
        <v>112</v>
      </c>
      <c r="B83" s="81" t="s">
        <v>152</v>
      </c>
      <c r="C83" s="82">
        <v>2022</v>
      </c>
      <c r="D83" s="82" t="s">
        <v>12</v>
      </c>
      <c r="E83" s="126">
        <v>3</v>
      </c>
      <c r="F83" s="84" t="s">
        <v>178</v>
      </c>
      <c r="G83" s="87">
        <v>56.330466180818121</v>
      </c>
      <c r="H83" s="87">
        <v>43.669533819181879</v>
      </c>
      <c r="I83" s="88">
        <v>2.198286433914137</v>
      </c>
      <c r="J83" s="88">
        <v>20.772216243734277</v>
      </c>
      <c r="K83" s="87">
        <v>47.363910634212701</v>
      </c>
      <c r="L83" s="87">
        <v>52.636089365787299</v>
      </c>
      <c r="M83" s="87">
        <v>56.888034894851828</v>
      </c>
      <c r="N83" s="87">
        <v>80</v>
      </c>
      <c r="O83" s="88">
        <v>29.881562672058827</v>
      </c>
      <c r="P83" s="87">
        <v>20</v>
      </c>
      <c r="Q83" s="88">
        <v>43.415567885740685</v>
      </c>
      <c r="R83" s="88">
        <v>34.732454308592551</v>
      </c>
      <c r="S83" s="87">
        <v>25.18217159749819</v>
      </c>
      <c r="T83" s="87">
        <v>100</v>
      </c>
      <c r="U83" s="87">
        <v>119.12733106475015</v>
      </c>
      <c r="V83" s="87">
        <v>80</v>
      </c>
      <c r="W83" s="87">
        <v>91.938902800642353</v>
      </c>
      <c r="X83" s="87">
        <v>100</v>
      </c>
      <c r="Y83" s="87">
        <v>0.21207068716161395</v>
      </c>
      <c r="Z83" s="87">
        <v>93.333333333333329</v>
      </c>
      <c r="AA83" s="87">
        <v>93.545404020494942</v>
      </c>
      <c r="AB83" s="87">
        <v>18.709080804098988</v>
      </c>
      <c r="AC83" s="68">
        <v>53.399120975259223</v>
      </c>
      <c r="AD83" s="68">
        <v>53.44153511269154</v>
      </c>
      <c r="AE83" s="68" t="s">
        <v>109</v>
      </c>
      <c r="AF83" s="68">
        <f t="shared" si="1"/>
        <v>15</v>
      </c>
    </row>
    <row r="84" spans="1:32" ht="14.4" customHeight="1" x14ac:dyDescent="0.3">
      <c r="A84" s="82" t="s">
        <v>113</v>
      </c>
      <c r="B84" s="81" t="s">
        <v>164</v>
      </c>
      <c r="C84" s="82">
        <v>2022</v>
      </c>
      <c r="D84" s="82" t="s">
        <v>23</v>
      </c>
      <c r="E84" s="147">
        <v>4</v>
      </c>
      <c r="F84" s="84" t="s">
        <v>178</v>
      </c>
      <c r="G84" s="87">
        <v>74.966158384509924</v>
      </c>
      <c r="H84" s="87">
        <v>25.033841615490076</v>
      </c>
      <c r="I84" s="88">
        <v>6.010731939620042</v>
      </c>
      <c r="J84" s="88">
        <v>31.226919127210888</v>
      </c>
      <c r="K84" s="87">
        <v>33.773417583680995</v>
      </c>
      <c r="L84" s="87">
        <v>66.226582416319005</v>
      </c>
      <c r="M84" s="87">
        <v>31.667769525216876</v>
      </c>
      <c r="N84" s="87">
        <v>40</v>
      </c>
      <c r="O84" s="88">
        <v>9.3827124188277136</v>
      </c>
      <c r="P84" s="87">
        <v>80</v>
      </c>
      <c r="Q84" s="88">
        <v>48.497468631803997</v>
      </c>
      <c r="R84" s="88">
        <v>38.797974905443198</v>
      </c>
      <c r="S84" s="87">
        <v>4.821795911543191</v>
      </c>
      <c r="T84" s="87">
        <v>38.936723637893508</v>
      </c>
      <c r="U84" s="87">
        <v>119.88506027518324</v>
      </c>
      <c r="V84" s="87">
        <v>80</v>
      </c>
      <c r="W84" s="87">
        <v>87.266305254019528</v>
      </c>
      <c r="X84" s="87">
        <v>80</v>
      </c>
      <c r="Y84" s="87">
        <v>0.12532544169917081</v>
      </c>
      <c r="Z84" s="87">
        <v>66.312241212631179</v>
      </c>
      <c r="AA84" s="87">
        <v>66.437566654330354</v>
      </c>
      <c r="AB84" s="87">
        <v>13.287513330866071</v>
      </c>
      <c r="AC84" s="68">
        <v>52.060423147969431</v>
      </c>
      <c r="AD84" s="68">
        <v>52.085488236309267</v>
      </c>
      <c r="AE84" s="68" t="s">
        <v>109</v>
      </c>
      <c r="AF84" s="68">
        <f t="shared" si="1"/>
        <v>16</v>
      </c>
    </row>
    <row r="85" spans="1:32" ht="14.4" customHeight="1" x14ac:dyDescent="0.3">
      <c r="A85" s="82" t="s">
        <v>114</v>
      </c>
      <c r="B85" s="81" t="s">
        <v>157</v>
      </c>
      <c r="C85" s="82">
        <v>2022</v>
      </c>
      <c r="D85" s="82" t="s">
        <v>7</v>
      </c>
      <c r="E85" s="147">
        <v>2</v>
      </c>
      <c r="F85" s="84" t="s">
        <v>178</v>
      </c>
      <c r="G85" s="87">
        <v>23.131154767754253</v>
      </c>
      <c r="H85" s="87">
        <v>76.868845232245747</v>
      </c>
      <c r="I85" s="88">
        <v>0.3085682361472068</v>
      </c>
      <c r="J85" s="88">
        <v>0.54213270662251345</v>
      </c>
      <c r="K85" s="87">
        <v>51.744659438606732</v>
      </c>
      <c r="L85" s="87">
        <v>48.255340561393268</v>
      </c>
      <c r="M85" s="87">
        <v>71.975424431323205</v>
      </c>
      <c r="N85" s="87">
        <v>100</v>
      </c>
      <c r="O85" s="88">
        <v>38.55833607941203</v>
      </c>
      <c r="P85" s="87">
        <v>0</v>
      </c>
      <c r="Q85" s="88">
        <v>45.133263700052304</v>
      </c>
      <c r="R85" s="88">
        <v>36.106610960041841</v>
      </c>
      <c r="S85" s="87">
        <v>16.085170124950011</v>
      </c>
      <c r="T85" s="87">
        <v>92.638160141306486</v>
      </c>
      <c r="U85" s="87">
        <v>136.21101696560666</v>
      </c>
      <c r="V85" s="87">
        <v>60</v>
      </c>
      <c r="W85" s="87">
        <v>87.798790994089231</v>
      </c>
      <c r="X85" s="87">
        <v>80</v>
      </c>
      <c r="Y85" s="87">
        <v>0.20229783218738828</v>
      </c>
      <c r="Z85" s="87">
        <v>77.546053380435495</v>
      </c>
      <c r="AA85" s="87">
        <v>77.748351212622879</v>
      </c>
      <c r="AB85" s="87">
        <v>15.549670242524577</v>
      </c>
      <c r="AC85" s="68">
        <v>51.615821636128942</v>
      </c>
      <c r="AD85" s="68">
        <v>51.656281202566419</v>
      </c>
      <c r="AE85" s="68" t="s">
        <v>109</v>
      </c>
      <c r="AF85" s="68">
        <f t="shared" si="1"/>
        <v>17</v>
      </c>
    </row>
    <row r="86" spans="1:32" ht="14.4" customHeight="1" x14ac:dyDescent="0.3">
      <c r="A86" s="82" t="s">
        <v>115</v>
      </c>
      <c r="B86" s="81" t="s">
        <v>149</v>
      </c>
      <c r="C86" s="82">
        <v>2022</v>
      </c>
      <c r="D86" s="82" t="s">
        <v>116</v>
      </c>
      <c r="E86" s="147">
        <v>4</v>
      </c>
      <c r="F86" s="84" t="s">
        <v>178</v>
      </c>
      <c r="G86" s="87">
        <v>77.157099341978892</v>
      </c>
      <c r="H86" s="87">
        <v>22.842900658021108</v>
      </c>
      <c r="I86" s="88">
        <v>6.183659754344264</v>
      </c>
      <c r="J86" s="88">
        <v>32.125312690504607</v>
      </c>
      <c r="K86" s="87">
        <v>31.822883467531547</v>
      </c>
      <c r="L86" s="87">
        <v>68.17711653246846</v>
      </c>
      <c r="M86" s="87">
        <v>16.97733297045513</v>
      </c>
      <c r="N86" s="87">
        <v>30</v>
      </c>
      <c r="O86" s="88">
        <v>8.9442818002370075</v>
      </c>
      <c r="P86" s="87">
        <v>80</v>
      </c>
      <c r="Q86" s="88">
        <v>46.629065976198838</v>
      </c>
      <c r="R86" s="88">
        <v>37.30325278095907</v>
      </c>
      <c r="S86" s="87">
        <v>4.0000174211266568</v>
      </c>
      <c r="T86" s="87">
        <v>32.300739336626528</v>
      </c>
      <c r="U86" s="87">
        <v>90.784995517019937</v>
      </c>
      <c r="V86" s="87">
        <v>100</v>
      </c>
      <c r="W86" s="87">
        <v>89.674058868082398</v>
      </c>
      <c r="X86" s="87">
        <v>80</v>
      </c>
      <c r="Y86" s="87">
        <v>0.17330022689879279</v>
      </c>
      <c r="Z86" s="87">
        <v>70.76691311220884</v>
      </c>
      <c r="AA86" s="87">
        <v>70.940213339107629</v>
      </c>
      <c r="AB86" s="87">
        <v>14.188042667821527</v>
      </c>
      <c r="AC86" s="68">
        <v>51.456635403400838</v>
      </c>
      <c r="AD86" s="68">
        <v>51.491295448780598</v>
      </c>
      <c r="AE86" s="68" t="s">
        <v>109</v>
      </c>
      <c r="AF86" s="68">
        <f t="shared" si="1"/>
        <v>18</v>
      </c>
    </row>
    <row r="87" spans="1:32" ht="13.5" customHeight="1" x14ac:dyDescent="0.3">
      <c r="A87" s="82" t="s">
        <v>117</v>
      </c>
      <c r="B87" s="81" t="s">
        <v>158</v>
      </c>
      <c r="C87" s="82">
        <v>2022</v>
      </c>
      <c r="D87" s="82" t="s">
        <v>17</v>
      </c>
      <c r="E87" s="147">
        <v>1</v>
      </c>
      <c r="F87" s="84" t="s">
        <v>178</v>
      </c>
      <c r="G87" s="87">
        <v>40.21506033818914</v>
      </c>
      <c r="H87" s="87">
        <v>59.78493966181086</v>
      </c>
      <c r="I87" s="88">
        <v>9.3401132915118694</v>
      </c>
      <c r="J87" s="88">
        <v>45.257524481637134</v>
      </c>
      <c r="K87" s="87">
        <v>96.995187385290379</v>
      </c>
      <c r="L87" s="87">
        <v>3.0048126147096212</v>
      </c>
      <c r="M87" s="87">
        <v>47.700274276261418</v>
      </c>
      <c r="N87" s="87">
        <v>70</v>
      </c>
      <c r="O87" s="88">
        <v>17.941534784752434</v>
      </c>
      <c r="P87" s="87">
        <v>40</v>
      </c>
      <c r="Q87" s="88">
        <v>43.609455351631524</v>
      </c>
      <c r="R87" s="88">
        <v>34.887564281305224</v>
      </c>
      <c r="S87" s="87">
        <v>14.347982653403641</v>
      </c>
      <c r="T87" s="87">
        <v>96.355334427450671</v>
      </c>
      <c r="U87" s="87">
        <v>120.4713798236787</v>
      </c>
      <c r="V87" s="87">
        <v>70</v>
      </c>
      <c r="W87" s="87">
        <v>84.173939926612988</v>
      </c>
      <c r="X87" s="87">
        <v>80</v>
      </c>
      <c r="Y87" s="87">
        <v>0.18960691247602626</v>
      </c>
      <c r="Z87" s="87">
        <v>82.118444809150205</v>
      </c>
      <c r="AA87" s="87">
        <v>82.308051721626242</v>
      </c>
      <c r="AB87" s="87">
        <v>16.461610344325248</v>
      </c>
      <c r="AC87" s="68">
        <v>51.311253243135269</v>
      </c>
      <c r="AD87" s="68">
        <v>51.349174625630468</v>
      </c>
      <c r="AE87" s="68" t="s">
        <v>109</v>
      </c>
      <c r="AF87" s="68">
        <f t="shared" si="1"/>
        <v>19</v>
      </c>
    </row>
    <row r="88" spans="1:32" ht="13.5" customHeight="1" x14ac:dyDescent="0.3">
      <c r="A88" s="82" t="s">
        <v>118</v>
      </c>
      <c r="B88" s="81" t="s">
        <v>151</v>
      </c>
      <c r="C88" s="82">
        <v>2022</v>
      </c>
      <c r="D88" s="82" t="s">
        <v>136</v>
      </c>
      <c r="E88" s="147">
        <v>4</v>
      </c>
      <c r="F88" s="84" t="s">
        <v>178</v>
      </c>
      <c r="G88" s="87">
        <v>65.315710822166267</v>
      </c>
      <c r="H88" s="87">
        <v>34.684289177833733</v>
      </c>
      <c r="I88" s="88">
        <v>5.5068077260018589</v>
      </c>
      <c r="J88" s="88">
        <v>28.608935024280971</v>
      </c>
      <c r="K88" s="87">
        <v>51.895487971686116</v>
      </c>
      <c r="L88" s="87">
        <v>48.104512028313884</v>
      </c>
      <c r="M88" s="87">
        <v>63.436825481831661</v>
      </c>
      <c r="N88" s="87">
        <v>80</v>
      </c>
      <c r="O88" s="88">
        <v>18.435295151661101</v>
      </c>
      <c r="P88" s="87">
        <v>40</v>
      </c>
      <c r="Q88" s="88">
        <v>46.27954724608572</v>
      </c>
      <c r="R88" s="88">
        <v>37.023637796868577</v>
      </c>
      <c r="S88" s="87">
        <v>30.902665764825848</v>
      </c>
      <c r="T88" s="87">
        <v>100</v>
      </c>
      <c r="U88" s="87">
        <v>188.26266907772589</v>
      </c>
      <c r="V88" s="87">
        <v>0</v>
      </c>
      <c r="W88" s="87">
        <v>90.278618425726236</v>
      </c>
      <c r="X88" s="87">
        <v>100</v>
      </c>
      <c r="Y88" s="87">
        <v>0.30030061931231911</v>
      </c>
      <c r="Z88" s="87">
        <v>66.666666666666671</v>
      </c>
      <c r="AA88" s="87">
        <v>66.966967285978996</v>
      </c>
      <c r="AB88" s="87">
        <v>13.393393457195799</v>
      </c>
      <c r="AC88" s="68">
        <v>50.356971130201913</v>
      </c>
      <c r="AD88" s="68">
        <v>50.417031254064376</v>
      </c>
      <c r="AE88" s="68" t="s">
        <v>109</v>
      </c>
      <c r="AF88" s="68">
        <f t="shared" si="1"/>
        <v>20</v>
      </c>
    </row>
    <row r="89" spans="1:32" ht="13.5" customHeight="1" x14ac:dyDescent="0.3">
      <c r="A89" s="82" t="s">
        <v>119</v>
      </c>
      <c r="B89" s="81" t="s">
        <v>167</v>
      </c>
      <c r="C89" s="82">
        <v>2022</v>
      </c>
      <c r="D89" s="82" t="s">
        <v>120</v>
      </c>
      <c r="E89" s="147">
        <v>4</v>
      </c>
      <c r="F89" s="84" t="s">
        <v>178</v>
      </c>
      <c r="G89" s="87">
        <v>69.843976780148409</v>
      </c>
      <c r="H89" s="87">
        <v>30.156023219851591</v>
      </c>
      <c r="I89" s="88">
        <v>2.8325681642497167</v>
      </c>
      <c r="J89" s="88">
        <v>14.715741423153444</v>
      </c>
      <c r="K89" s="87">
        <v>20.093008055603491</v>
      </c>
      <c r="L89" s="87">
        <v>79.906991944396509</v>
      </c>
      <c r="M89" s="87">
        <v>53.597673683352376</v>
      </c>
      <c r="N89" s="87">
        <v>70</v>
      </c>
      <c r="O89" s="88">
        <v>22.210659393438977</v>
      </c>
      <c r="P89" s="87">
        <v>20</v>
      </c>
      <c r="Q89" s="88">
        <v>42.955751317480306</v>
      </c>
      <c r="R89" s="88">
        <v>34.364601053984245</v>
      </c>
      <c r="S89" s="87">
        <v>19.321900432349643</v>
      </c>
      <c r="T89" s="87">
        <v>100</v>
      </c>
      <c r="U89" s="87">
        <v>136.16745427730888</v>
      </c>
      <c r="V89" s="87">
        <v>60</v>
      </c>
      <c r="W89" s="87">
        <v>73.101046417275398</v>
      </c>
      <c r="X89" s="87">
        <v>70</v>
      </c>
      <c r="Y89" s="87">
        <v>0.18200620729174866</v>
      </c>
      <c r="Z89" s="87">
        <v>76.666666666666671</v>
      </c>
      <c r="AA89" s="87">
        <v>76.848672873958421</v>
      </c>
      <c r="AB89" s="87">
        <v>15.369734574791686</v>
      </c>
      <c r="AC89" s="68">
        <v>49.697934387317581</v>
      </c>
      <c r="AD89" s="68">
        <v>49.734335628775931</v>
      </c>
      <c r="AE89" s="68" t="s">
        <v>109</v>
      </c>
      <c r="AF89" s="68">
        <f t="shared" si="1"/>
        <v>21</v>
      </c>
    </row>
    <row r="90" spans="1:32" ht="14.4" customHeight="1" x14ac:dyDescent="0.3">
      <c r="A90" s="82" t="s">
        <v>121</v>
      </c>
      <c r="B90" s="81" t="s">
        <v>144</v>
      </c>
      <c r="C90" s="82">
        <v>2022</v>
      </c>
      <c r="D90" s="82" t="s">
        <v>122</v>
      </c>
      <c r="E90" s="147">
        <v>4</v>
      </c>
      <c r="F90" s="84" t="s">
        <v>178</v>
      </c>
      <c r="G90" s="87">
        <v>64.167257847500437</v>
      </c>
      <c r="H90" s="87">
        <v>35.832742152499563</v>
      </c>
      <c r="I90" s="88">
        <v>1.599233538632435</v>
      </c>
      <c r="J90" s="88">
        <v>8.3083286491653379</v>
      </c>
      <c r="K90" s="87">
        <v>44.963337080219929</v>
      </c>
      <c r="L90" s="87">
        <v>55.036662919780071</v>
      </c>
      <c r="M90" s="87">
        <v>43.872714754525234</v>
      </c>
      <c r="N90" s="87">
        <v>50</v>
      </c>
      <c r="O90" s="88">
        <v>13.927783698802642</v>
      </c>
      <c r="P90" s="87">
        <v>60</v>
      </c>
      <c r="Q90" s="88">
        <v>41.835546744288997</v>
      </c>
      <c r="R90" s="88">
        <v>33.468437395431202</v>
      </c>
      <c r="S90" s="87">
        <v>8.839828844795818</v>
      </c>
      <c r="T90" s="87">
        <v>71.382940931221754</v>
      </c>
      <c r="U90" s="87">
        <v>124.57552804354653</v>
      </c>
      <c r="V90" s="87">
        <v>70</v>
      </c>
      <c r="W90" s="87">
        <v>90.527931504032622</v>
      </c>
      <c r="X90" s="87">
        <v>100</v>
      </c>
      <c r="Y90" s="87">
        <v>0.20559104534780459</v>
      </c>
      <c r="Z90" s="87">
        <v>80.460980310407251</v>
      </c>
      <c r="AA90" s="87">
        <v>80.666571355755053</v>
      </c>
      <c r="AB90" s="87">
        <v>16.133314271151011</v>
      </c>
      <c r="AC90" s="68">
        <v>49.560633457512651</v>
      </c>
      <c r="AD90" s="68">
        <v>49.601751666582217</v>
      </c>
      <c r="AE90" s="68" t="s">
        <v>109</v>
      </c>
      <c r="AF90" s="68">
        <f t="shared" si="1"/>
        <v>22</v>
      </c>
    </row>
    <row r="91" spans="1:32" ht="13.5" customHeight="1" x14ac:dyDescent="0.3">
      <c r="A91" s="82" t="s">
        <v>123</v>
      </c>
      <c r="B91" s="81" t="s">
        <v>169</v>
      </c>
      <c r="C91" s="82">
        <v>2022</v>
      </c>
      <c r="D91" s="82" t="s">
        <v>124</v>
      </c>
      <c r="E91" s="147">
        <v>4</v>
      </c>
      <c r="F91" s="84" t="s">
        <v>178</v>
      </c>
      <c r="G91" s="87">
        <v>73.818198053321083</v>
      </c>
      <c r="H91" s="87">
        <v>26.181801946678917</v>
      </c>
      <c r="I91" s="88">
        <v>7.1894545278629511</v>
      </c>
      <c r="J91" s="88">
        <v>37.350611766680814</v>
      </c>
      <c r="K91" s="87">
        <v>10.006586500589858</v>
      </c>
      <c r="L91" s="87">
        <v>89.993413499410138</v>
      </c>
      <c r="M91" s="87">
        <v>60.633487452783584</v>
      </c>
      <c r="N91" s="87">
        <v>80</v>
      </c>
      <c r="O91" s="88">
        <v>37.930547317309085</v>
      </c>
      <c r="P91" s="87">
        <v>0</v>
      </c>
      <c r="Q91" s="88">
        <v>46.70516544255397</v>
      </c>
      <c r="R91" s="88">
        <v>37.364132354043178</v>
      </c>
      <c r="S91" s="87">
        <v>30.219923748735994</v>
      </c>
      <c r="T91" s="87">
        <v>100</v>
      </c>
      <c r="U91" s="87">
        <v>157.72989911260538</v>
      </c>
      <c r="V91" s="87">
        <v>0</v>
      </c>
      <c r="W91" s="87">
        <v>81.699695048122507</v>
      </c>
      <c r="X91" s="87">
        <v>80</v>
      </c>
      <c r="Y91" s="87">
        <v>0</v>
      </c>
      <c r="Z91" s="87">
        <v>60</v>
      </c>
      <c r="AA91" s="87">
        <v>60</v>
      </c>
      <c r="AB91" s="87">
        <v>12</v>
      </c>
      <c r="AC91" s="68">
        <v>49.364132354043178</v>
      </c>
      <c r="AD91" s="68">
        <v>49.364132354043178</v>
      </c>
      <c r="AE91" s="68" t="s">
        <v>109</v>
      </c>
      <c r="AF91" s="68">
        <f t="shared" si="1"/>
        <v>23</v>
      </c>
    </row>
    <row r="92" spans="1:32" ht="14.4" customHeight="1" x14ac:dyDescent="0.3">
      <c r="A92" s="82" t="s">
        <v>125</v>
      </c>
      <c r="B92" s="81" t="s">
        <v>163</v>
      </c>
      <c r="C92" s="82">
        <v>2022</v>
      </c>
      <c r="D92" s="82" t="s">
        <v>22</v>
      </c>
      <c r="E92" s="126">
        <v>3</v>
      </c>
      <c r="F92" s="84" t="s">
        <v>178</v>
      </c>
      <c r="G92" s="87">
        <v>49.51511484755526</v>
      </c>
      <c r="H92" s="87">
        <v>50.48488515244474</v>
      </c>
      <c r="I92" s="88">
        <v>0</v>
      </c>
      <c r="J92" s="88">
        <v>0</v>
      </c>
      <c r="K92" s="87">
        <v>19.548881342517969</v>
      </c>
      <c r="L92" s="87">
        <v>80.451118657482027</v>
      </c>
      <c r="M92" s="87">
        <v>55.065334003780009</v>
      </c>
      <c r="N92" s="87">
        <v>80</v>
      </c>
      <c r="O92" s="88">
        <v>12.261003256928293</v>
      </c>
      <c r="P92" s="87">
        <v>60</v>
      </c>
      <c r="Q92" s="88">
        <v>54.187200761985352</v>
      </c>
      <c r="R92" s="88">
        <v>43.349760609588287</v>
      </c>
      <c r="S92" s="87">
        <v>1.2777950174573505</v>
      </c>
      <c r="T92" s="87">
        <v>8.9483849808492426</v>
      </c>
      <c r="U92" s="87">
        <v>176.60082293825684</v>
      </c>
      <c r="V92" s="87">
        <v>0</v>
      </c>
      <c r="W92" s="87">
        <v>85.113430973777938</v>
      </c>
      <c r="X92" s="87">
        <v>80</v>
      </c>
      <c r="Y92" s="87">
        <v>0.22704073524496227</v>
      </c>
      <c r="Z92" s="87">
        <v>29.64946166028308</v>
      </c>
      <c r="AA92" s="87">
        <v>29.876502395528043</v>
      </c>
      <c r="AB92" s="87">
        <v>5.9753004791056092</v>
      </c>
      <c r="AC92" s="68">
        <v>49.279652941644905</v>
      </c>
      <c r="AD92" s="68">
        <v>49.3250610886939</v>
      </c>
      <c r="AE92" s="68" t="s">
        <v>109</v>
      </c>
      <c r="AF92" s="68">
        <f t="shared" si="1"/>
        <v>24</v>
      </c>
    </row>
    <row r="93" spans="1:32" ht="13.5" customHeight="1" x14ac:dyDescent="0.3">
      <c r="A93" s="82" t="s">
        <v>126</v>
      </c>
      <c r="B93" s="81" t="s">
        <v>145</v>
      </c>
      <c r="C93" s="82">
        <v>2022</v>
      </c>
      <c r="D93" s="82" t="s">
        <v>8</v>
      </c>
      <c r="E93" s="126">
        <v>3</v>
      </c>
      <c r="F93" s="84" t="s">
        <v>178</v>
      </c>
      <c r="G93" s="87">
        <v>71.385247407602932</v>
      </c>
      <c r="H93" s="87">
        <v>28.614752592397068</v>
      </c>
      <c r="I93" s="88">
        <v>7.7354710049202441E-2</v>
      </c>
      <c r="J93" s="88">
        <v>0.73094604043585676</v>
      </c>
      <c r="K93" s="87">
        <v>41.608523968159602</v>
      </c>
      <c r="L93" s="87">
        <v>58.391476031840398</v>
      </c>
      <c r="M93" s="87">
        <v>55.717208420983631</v>
      </c>
      <c r="N93" s="87">
        <v>80</v>
      </c>
      <c r="O93" s="88">
        <v>24.998905814392558</v>
      </c>
      <c r="P93" s="87">
        <v>20</v>
      </c>
      <c r="Q93" s="88">
        <v>37.547434932934664</v>
      </c>
      <c r="R93" s="88">
        <v>30.037947946347732</v>
      </c>
      <c r="S93" s="87">
        <v>23.885441003116675</v>
      </c>
      <c r="T93" s="87">
        <v>100</v>
      </c>
      <c r="U93" s="87">
        <v>131.1528460245024</v>
      </c>
      <c r="V93" s="87">
        <v>60</v>
      </c>
      <c r="W93" s="87">
        <v>97.204329951727146</v>
      </c>
      <c r="X93" s="87">
        <v>100</v>
      </c>
      <c r="Y93" s="87">
        <v>0.14731909783062724</v>
      </c>
      <c r="Z93" s="87">
        <v>86.666666666666671</v>
      </c>
      <c r="AA93" s="87">
        <v>86.813985764497303</v>
      </c>
      <c r="AB93" s="87">
        <v>17.362797152899461</v>
      </c>
      <c r="AC93" s="68">
        <v>47.371281279681071</v>
      </c>
      <c r="AD93" s="68">
        <v>47.400745099247189</v>
      </c>
      <c r="AE93" s="68" t="s">
        <v>109</v>
      </c>
      <c r="AF93" s="68">
        <f t="shared" si="1"/>
        <v>25</v>
      </c>
    </row>
    <row r="94" spans="1:32" ht="14.4" customHeight="1" x14ac:dyDescent="0.3">
      <c r="A94" s="82" t="s">
        <v>127</v>
      </c>
      <c r="B94" s="81" t="s">
        <v>154</v>
      </c>
      <c r="C94" s="82">
        <v>2022</v>
      </c>
      <c r="D94" s="82" t="s">
        <v>14</v>
      </c>
      <c r="E94" s="147">
        <v>2</v>
      </c>
      <c r="F94" s="84" t="s">
        <v>178</v>
      </c>
      <c r="G94" s="87">
        <v>56.095238139344737</v>
      </c>
      <c r="H94" s="87">
        <v>43.904761860655263</v>
      </c>
      <c r="I94" s="88">
        <v>7.6640168828438497</v>
      </c>
      <c r="J94" s="88">
        <v>13.465139082930801</v>
      </c>
      <c r="K94" s="87">
        <v>66.451017175510586</v>
      </c>
      <c r="L94" s="87">
        <v>33.548982824489414</v>
      </c>
      <c r="M94" s="87">
        <v>58.897480097258772</v>
      </c>
      <c r="N94" s="87">
        <v>80</v>
      </c>
      <c r="O94" s="88">
        <v>21.980046332298535</v>
      </c>
      <c r="P94" s="87">
        <v>20</v>
      </c>
      <c r="Q94" s="88">
        <v>38.183776753615099</v>
      </c>
      <c r="R94" s="88">
        <v>30.547021402892081</v>
      </c>
      <c r="S94" s="87">
        <v>24.433038728414267</v>
      </c>
      <c r="T94" s="87">
        <v>100</v>
      </c>
      <c r="U94" s="87">
        <v>132.42384120482748</v>
      </c>
      <c r="V94" s="87">
        <v>60</v>
      </c>
      <c r="W94" s="87">
        <v>89.917106665099183</v>
      </c>
      <c r="X94" s="87">
        <v>80</v>
      </c>
      <c r="Y94" s="87">
        <v>0.19126899605320691</v>
      </c>
      <c r="Z94" s="87">
        <v>80</v>
      </c>
      <c r="AA94" s="87">
        <v>80.191268996053211</v>
      </c>
      <c r="AB94" s="87">
        <v>16.038253799210644</v>
      </c>
      <c r="AC94" s="68">
        <v>46.547021402892085</v>
      </c>
      <c r="AD94" s="68">
        <v>46.585275202102721</v>
      </c>
      <c r="AE94" s="68" t="s">
        <v>109</v>
      </c>
      <c r="AF94" s="68">
        <f t="shared" si="1"/>
        <v>26</v>
      </c>
    </row>
    <row r="95" spans="1:32" ht="14.4" customHeight="1" x14ac:dyDescent="0.3">
      <c r="A95" s="82" t="s">
        <v>128</v>
      </c>
      <c r="B95" s="81" t="s">
        <v>142</v>
      </c>
      <c r="C95" s="82">
        <v>2022</v>
      </c>
      <c r="D95" s="82" t="s">
        <v>176</v>
      </c>
      <c r="E95" s="147">
        <v>1</v>
      </c>
      <c r="F95" s="84" t="s">
        <v>178</v>
      </c>
      <c r="G95" s="87">
        <v>55.715067206988522</v>
      </c>
      <c r="H95" s="87">
        <v>44.284932793011478</v>
      </c>
      <c r="I95" s="88">
        <v>0.25949314566434512</v>
      </c>
      <c r="J95" s="88">
        <v>1.2573741908884433</v>
      </c>
      <c r="K95" s="87">
        <v>71.019689811119889</v>
      </c>
      <c r="L95" s="87">
        <v>28.980310188880111</v>
      </c>
      <c r="M95" s="87">
        <v>60.132700931896721</v>
      </c>
      <c r="N95" s="87">
        <v>80</v>
      </c>
      <c r="O95" s="88">
        <v>20.207798476278015</v>
      </c>
      <c r="P95" s="87">
        <v>20</v>
      </c>
      <c r="Q95" s="88">
        <v>34.904523434556005</v>
      </c>
      <c r="R95" s="88">
        <v>27.923618747644806</v>
      </c>
      <c r="S95" s="87">
        <v>20.100892314160177</v>
      </c>
      <c r="T95" s="87">
        <v>100</v>
      </c>
      <c r="U95" s="87">
        <v>120.35245718040174</v>
      </c>
      <c r="V95" s="87">
        <v>70</v>
      </c>
      <c r="W95" s="87">
        <v>88.125223696029465</v>
      </c>
      <c r="X95" s="87">
        <v>80</v>
      </c>
      <c r="Y95" s="87">
        <v>0.17729082663059426</v>
      </c>
      <c r="Z95" s="87">
        <v>83.333333333333329</v>
      </c>
      <c r="AA95" s="87">
        <v>83.510624159963925</v>
      </c>
      <c r="AB95" s="87">
        <v>16.702124831992787</v>
      </c>
      <c r="AC95" s="68">
        <v>44.590285414311474</v>
      </c>
      <c r="AD95" s="68">
        <v>44.625743579637593</v>
      </c>
      <c r="AE95" s="68" t="s">
        <v>109</v>
      </c>
      <c r="AF95" s="68">
        <f t="shared" si="1"/>
        <v>27</v>
      </c>
    </row>
    <row r="96" spans="1:32" ht="13.5" customHeight="1" x14ac:dyDescent="0.3">
      <c r="A96" s="82" t="s">
        <v>129</v>
      </c>
      <c r="B96" s="81" t="s">
        <v>147</v>
      </c>
      <c r="C96" s="82">
        <v>2022</v>
      </c>
      <c r="D96" s="82" t="s">
        <v>130</v>
      </c>
      <c r="E96" s="147">
        <v>2</v>
      </c>
      <c r="F96" s="84" t="s">
        <v>178</v>
      </c>
      <c r="G96" s="87">
        <v>66.078631070711822</v>
      </c>
      <c r="H96" s="87">
        <v>33.921368929288178</v>
      </c>
      <c r="I96" s="88">
        <v>13.802017982887127</v>
      </c>
      <c r="J96" s="88">
        <v>24.249175674535596</v>
      </c>
      <c r="K96" s="87">
        <v>79.36441765673726</v>
      </c>
      <c r="L96" s="87">
        <v>20.63558234326274</v>
      </c>
      <c r="M96" s="87">
        <v>39.203384430697966</v>
      </c>
      <c r="N96" s="87">
        <v>50</v>
      </c>
      <c r="O96" s="88">
        <v>14.968971334060191</v>
      </c>
      <c r="P96" s="87">
        <v>60</v>
      </c>
      <c r="Q96" s="88">
        <v>37.761225389417305</v>
      </c>
      <c r="R96" s="88">
        <v>30.208980311533846</v>
      </c>
      <c r="S96" s="87">
        <v>7.3107859394406489</v>
      </c>
      <c r="T96" s="87">
        <v>42.10448216312038</v>
      </c>
      <c r="U96" s="87">
        <v>125.28462519502349</v>
      </c>
      <c r="V96" s="87">
        <v>70</v>
      </c>
      <c r="W96" s="87">
        <v>88.41315140800306</v>
      </c>
      <c r="X96" s="87">
        <v>80</v>
      </c>
      <c r="Y96" s="87">
        <v>0.23810333908707426</v>
      </c>
      <c r="Z96" s="87">
        <v>64.034827387706798</v>
      </c>
      <c r="AA96" s="87">
        <v>64.272930726793874</v>
      </c>
      <c r="AB96" s="87">
        <v>12.854586145358775</v>
      </c>
      <c r="AC96" s="68">
        <v>43.015945789075204</v>
      </c>
      <c r="AD96" s="68">
        <v>43.063566456892623</v>
      </c>
      <c r="AE96" s="68" t="s">
        <v>109</v>
      </c>
      <c r="AF96" s="68">
        <f t="shared" si="1"/>
        <v>28</v>
      </c>
    </row>
    <row r="97" spans="1:32" ht="14.4" customHeight="1" x14ac:dyDescent="0.3">
      <c r="A97" s="82" t="s">
        <v>131</v>
      </c>
      <c r="B97" s="81" t="s">
        <v>166</v>
      </c>
      <c r="C97" s="82">
        <v>2022</v>
      </c>
      <c r="D97" s="82" t="s">
        <v>24</v>
      </c>
      <c r="E97" s="147">
        <v>4</v>
      </c>
      <c r="F97" s="84" t="s">
        <v>178</v>
      </c>
      <c r="G97" s="87">
        <v>73.762513425148029</v>
      </c>
      <c r="H97" s="87">
        <v>26.237486574851971</v>
      </c>
      <c r="I97" s="88">
        <v>0</v>
      </c>
      <c r="J97" s="88">
        <v>0</v>
      </c>
      <c r="K97" s="87">
        <v>34.865469150350528</v>
      </c>
      <c r="L97" s="87">
        <v>65.134530849649479</v>
      </c>
      <c r="M97" s="87">
        <v>40.125569954899611</v>
      </c>
      <c r="N97" s="87">
        <v>50</v>
      </c>
      <c r="O97" s="88">
        <v>24.213060019809664</v>
      </c>
      <c r="P97" s="87">
        <v>20</v>
      </c>
      <c r="Q97" s="88">
        <v>32.27440348490029</v>
      </c>
      <c r="R97" s="88">
        <v>25.819522787920235</v>
      </c>
      <c r="S97" s="87">
        <v>11.414696508156155</v>
      </c>
      <c r="T97" s="87">
        <v>92.175382679409182</v>
      </c>
      <c r="U97" s="87">
        <v>110.89443256788341</v>
      </c>
      <c r="V97" s="87">
        <v>80</v>
      </c>
      <c r="W97" s="87">
        <v>78.991829133551377</v>
      </c>
      <c r="X97" s="87">
        <v>70</v>
      </c>
      <c r="Y97" s="87">
        <v>0.23296800301111475</v>
      </c>
      <c r="Z97" s="87">
        <v>80.725127559803056</v>
      </c>
      <c r="AA97" s="87">
        <v>80.958095562814165</v>
      </c>
      <c r="AB97" s="87">
        <v>16.191619112562833</v>
      </c>
      <c r="AC97" s="68">
        <v>41.964548299880846</v>
      </c>
      <c r="AD97" s="68">
        <v>42.011141900483068</v>
      </c>
      <c r="AE97" s="68" t="s">
        <v>109</v>
      </c>
      <c r="AF97" s="68">
        <f t="shared" si="1"/>
        <v>29</v>
      </c>
    </row>
    <row r="98" spans="1:32" ht="14.4" customHeight="1" x14ac:dyDescent="0.3">
      <c r="A98" s="82" t="s">
        <v>132</v>
      </c>
      <c r="B98" s="81" t="s">
        <v>141</v>
      </c>
      <c r="C98" s="82">
        <v>2022</v>
      </c>
      <c r="D98" s="82" t="s">
        <v>133</v>
      </c>
      <c r="E98" s="147">
        <v>1</v>
      </c>
      <c r="F98" s="84" t="s">
        <v>178</v>
      </c>
      <c r="G98" s="87">
        <v>50.142114113438922</v>
      </c>
      <c r="H98" s="87">
        <v>49.857885886561078</v>
      </c>
      <c r="I98" s="88">
        <v>0</v>
      </c>
      <c r="J98" s="88">
        <v>0</v>
      </c>
      <c r="K98" s="87">
        <v>59.86349380447772</v>
      </c>
      <c r="L98" s="87">
        <v>40.13650619552228</v>
      </c>
      <c r="M98" s="87">
        <v>36.63148594066827</v>
      </c>
      <c r="N98" s="87">
        <v>50</v>
      </c>
      <c r="O98" s="88">
        <v>18.784267226411405</v>
      </c>
      <c r="P98" s="87">
        <v>40</v>
      </c>
      <c r="Q98" s="88">
        <v>35.998878416416673</v>
      </c>
      <c r="R98" s="88">
        <v>28.799102733133338</v>
      </c>
      <c r="S98" s="87">
        <v>2.1856349279465732</v>
      </c>
      <c r="T98" s="87">
        <v>14.677853291706551</v>
      </c>
      <c r="U98" s="87">
        <v>108.75950390637475</v>
      </c>
      <c r="V98" s="87">
        <v>100</v>
      </c>
      <c r="W98" s="87">
        <v>85.624275729200122</v>
      </c>
      <c r="X98" s="87">
        <v>80</v>
      </c>
      <c r="Y98" s="87">
        <v>0.25807812350358572</v>
      </c>
      <c r="Z98" s="87">
        <v>64.89261776390218</v>
      </c>
      <c r="AA98" s="87">
        <v>65.15069588740576</v>
      </c>
      <c r="AB98" s="87">
        <v>13.030139177481153</v>
      </c>
      <c r="AC98" s="68">
        <v>41.777626285913776</v>
      </c>
      <c r="AD98" s="68">
        <v>41.829241910614492</v>
      </c>
      <c r="AE98" s="68" t="s">
        <v>109</v>
      </c>
      <c r="AF98" s="68">
        <f t="shared" si="1"/>
        <v>30</v>
      </c>
    </row>
    <row r="99" spans="1:32" ht="14.4" customHeight="1" x14ac:dyDescent="0.3">
      <c r="A99" s="82" t="s">
        <v>134</v>
      </c>
      <c r="B99" s="81" t="s">
        <v>170</v>
      </c>
      <c r="C99" s="82">
        <v>2022</v>
      </c>
      <c r="D99" s="82" t="s">
        <v>26</v>
      </c>
      <c r="E99" s="147">
        <v>4</v>
      </c>
      <c r="F99" s="84" t="s">
        <v>178</v>
      </c>
      <c r="G99" s="87">
        <v>67.877689864632643</v>
      </c>
      <c r="H99" s="87">
        <v>32.122310135367357</v>
      </c>
      <c r="I99" s="88">
        <v>9.0183941348668892E-3</v>
      </c>
      <c r="J99" s="88">
        <v>4.685230802766481E-2</v>
      </c>
      <c r="K99" s="87">
        <v>24.358527375099335</v>
      </c>
      <c r="L99" s="87">
        <v>75.641472624900672</v>
      </c>
      <c r="M99" s="87">
        <v>35.243433760937307</v>
      </c>
      <c r="N99" s="87">
        <v>50</v>
      </c>
      <c r="O99" s="88">
        <v>15.161265621770067</v>
      </c>
      <c r="P99" s="87">
        <v>40</v>
      </c>
      <c r="Q99" s="88">
        <v>39.562127013659143</v>
      </c>
      <c r="R99" s="88">
        <v>31.649701610927316</v>
      </c>
      <c r="S99" s="87">
        <v>0</v>
      </c>
      <c r="T99" s="87">
        <v>0</v>
      </c>
      <c r="U99" s="87">
        <v>111.52027942831265</v>
      </c>
      <c r="V99" s="87">
        <v>80</v>
      </c>
      <c r="W99" s="87">
        <v>78.007111054724092</v>
      </c>
      <c r="X99" s="87">
        <v>70</v>
      </c>
      <c r="Y99" s="87">
        <v>0</v>
      </c>
      <c r="Z99" s="87">
        <v>50</v>
      </c>
      <c r="AA99" s="87">
        <v>50</v>
      </c>
      <c r="AB99" s="87">
        <v>10</v>
      </c>
      <c r="AC99" s="68">
        <v>41.649701610927316</v>
      </c>
      <c r="AD99" s="68">
        <v>41.649701610927316</v>
      </c>
      <c r="AE99" s="68" t="s">
        <v>109</v>
      </c>
      <c r="AF99" s="68">
        <f t="shared" si="1"/>
        <v>31</v>
      </c>
    </row>
    <row r="100" spans="1:32" ht="14.4" customHeight="1" x14ac:dyDescent="0.3">
      <c r="A100" s="82" t="s">
        <v>135</v>
      </c>
      <c r="B100" s="81" t="s">
        <v>156</v>
      </c>
      <c r="C100" s="82">
        <v>2022</v>
      </c>
      <c r="D100" s="82" t="s">
        <v>16</v>
      </c>
      <c r="E100" s="126">
        <v>3</v>
      </c>
      <c r="F100" s="84" t="s">
        <v>178</v>
      </c>
      <c r="G100" s="87">
        <v>40.979216464242818</v>
      </c>
      <c r="H100" s="87">
        <v>59.020783535757182</v>
      </c>
      <c r="I100" s="88">
        <v>1.1861272589543423</v>
      </c>
      <c r="J100" s="88">
        <v>11.208044381967815</v>
      </c>
      <c r="K100" s="87">
        <v>60.189224302039392</v>
      </c>
      <c r="L100" s="87">
        <v>39.810775697960608</v>
      </c>
      <c r="M100" s="87">
        <v>53.414903867673814</v>
      </c>
      <c r="N100" s="87">
        <v>70</v>
      </c>
      <c r="O100" s="88">
        <v>43.005825116879222</v>
      </c>
      <c r="P100" s="87">
        <v>0</v>
      </c>
      <c r="Q100" s="88">
        <v>36.007920723137126</v>
      </c>
      <c r="R100" s="88">
        <v>28.806336578509701</v>
      </c>
      <c r="S100" s="87">
        <v>0</v>
      </c>
      <c r="T100" s="87">
        <v>0</v>
      </c>
      <c r="U100" s="87">
        <v>123.28721273292837</v>
      </c>
      <c r="V100" s="87">
        <v>70</v>
      </c>
      <c r="W100" s="87">
        <v>95.218020835337256</v>
      </c>
      <c r="X100" s="87">
        <v>100</v>
      </c>
      <c r="Y100" s="87">
        <v>0.15690189122515541</v>
      </c>
      <c r="Z100" s="87">
        <v>56.666666666666664</v>
      </c>
      <c r="AA100" s="87">
        <v>56.823568557891818</v>
      </c>
      <c r="AB100" s="87">
        <v>11.364713711578364</v>
      </c>
      <c r="AC100" s="68">
        <v>40.139669911843036</v>
      </c>
      <c r="AD100" s="68">
        <v>40.171050290088061</v>
      </c>
      <c r="AE100" s="68" t="s">
        <v>109</v>
      </c>
      <c r="AF100" s="68">
        <f t="shared" si="1"/>
        <v>32</v>
      </c>
    </row>
    <row r="101" spans="1:32" ht="14.4" customHeight="1" x14ac:dyDescent="0.3">
      <c r="A101" s="82" t="s">
        <v>131</v>
      </c>
      <c r="B101" s="81" t="s">
        <v>166</v>
      </c>
      <c r="C101" s="82">
        <v>2023</v>
      </c>
      <c r="D101" s="82" t="s">
        <v>24</v>
      </c>
      <c r="E101" s="147">
        <v>4</v>
      </c>
      <c r="F101" s="84" t="s">
        <v>178</v>
      </c>
      <c r="G101" s="87">
        <v>82.727495510012105</v>
      </c>
      <c r="H101" s="87">
        <v>17.272504489987895</v>
      </c>
      <c r="I101" s="88">
        <v>0.2428056391174219</v>
      </c>
      <c r="J101" s="88">
        <v>1.5877438892687177</v>
      </c>
      <c r="K101" s="87">
        <v>32.488229771870031</v>
      </c>
      <c r="L101" s="87">
        <v>67.511770228129961</v>
      </c>
      <c r="M101" s="87">
        <v>42.612137924434926</v>
      </c>
      <c r="N101" s="87">
        <v>50</v>
      </c>
      <c r="O101" s="88">
        <v>6.5642605574871089</v>
      </c>
      <c r="P101" s="87">
        <v>80</v>
      </c>
      <c r="Q101" s="88">
        <v>43.274403721477313</v>
      </c>
      <c r="R101" s="88">
        <v>34.619522977181852</v>
      </c>
      <c r="S101" s="87">
        <v>18.410761782770393</v>
      </c>
      <c r="T101" s="87">
        <v>100</v>
      </c>
      <c r="U101" s="87">
        <v>88.571671554077298</v>
      </c>
      <c r="V101" s="87">
        <v>80</v>
      </c>
      <c r="W101" s="87">
        <v>86.715962302834285</v>
      </c>
      <c r="X101" s="87">
        <v>80</v>
      </c>
      <c r="Y101" s="87">
        <v>0</v>
      </c>
      <c r="Z101" s="87">
        <v>86.666666666666671</v>
      </c>
      <c r="AA101" s="87">
        <v>86.666666666666671</v>
      </c>
      <c r="AB101" s="87">
        <v>17.333333333333336</v>
      </c>
      <c r="AC101" s="68">
        <v>51.952856310515187</v>
      </c>
      <c r="AD101" s="68">
        <v>51.952856310515187</v>
      </c>
      <c r="AE101" s="68" t="s">
        <v>109</v>
      </c>
      <c r="AF101" s="68">
        <f t="shared" si="1"/>
        <v>21</v>
      </c>
    </row>
    <row r="102" spans="1:32" ht="14.4" customHeight="1" x14ac:dyDescent="0.3">
      <c r="A102" s="82" t="s">
        <v>102</v>
      </c>
      <c r="B102" s="81" t="s">
        <v>139</v>
      </c>
      <c r="C102" s="82">
        <v>2023</v>
      </c>
      <c r="D102" s="82" t="s">
        <v>2</v>
      </c>
      <c r="E102" s="152" t="s">
        <v>51</v>
      </c>
      <c r="F102" s="84" t="s">
        <v>178</v>
      </c>
      <c r="G102" s="87">
        <v>30.154817262649438</v>
      </c>
      <c r="H102" s="87">
        <v>69.845182737350569</v>
      </c>
      <c r="I102" s="88">
        <v>5.5720207404540814</v>
      </c>
      <c r="J102" s="88">
        <v>100</v>
      </c>
      <c r="K102" s="87">
        <v>76.290453203152993</v>
      </c>
      <c r="L102" s="87">
        <v>23.709546796847007</v>
      </c>
      <c r="M102" s="87">
        <v>61.422801347548614</v>
      </c>
      <c r="N102" s="87">
        <v>80</v>
      </c>
      <c r="O102" s="88">
        <v>19.081111432825693</v>
      </c>
      <c r="P102" s="87">
        <v>40</v>
      </c>
      <c r="Q102" s="88">
        <v>62.710945906839513</v>
      </c>
      <c r="R102" s="88">
        <v>50.16875672547161</v>
      </c>
      <c r="S102" s="87">
        <v>22.810763845870554</v>
      </c>
      <c r="T102" s="87">
        <v>100</v>
      </c>
      <c r="U102" s="87">
        <v>121.66977068344384</v>
      </c>
      <c r="V102" s="87">
        <v>80</v>
      </c>
      <c r="W102" s="87">
        <v>94.792212361393069</v>
      </c>
      <c r="X102" s="87">
        <v>100</v>
      </c>
      <c r="Y102" s="87">
        <v>4.0803692067927881E-2</v>
      </c>
      <c r="Z102" s="87">
        <v>93.333333333333329</v>
      </c>
      <c r="AA102" s="87">
        <v>93.374137025401254</v>
      </c>
      <c r="AB102" s="87">
        <v>18.674827405080251</v>
      </c>
      <c r="AC102" s="68">
        <v>68.835423392138281</v>
      </c>
      <c r="AD102" s="68">
        <v>68.843584130551861</v>
      </c>
      <c r="AE102" s="68" t="s">
        <v>98</v>
      </c>
      <c r="AF102" s="68">
        <f t="shared" si="1"/>
        <v>4</v>
      </c>
    </row>
    <row r="103" spans="1:32" ht="14.4" customHeight="1" x14ac:dyDescent="0.3">
      <c r="A103" s="82" t="s">
        <v>110</v>
      </c>
      <c r="B103" s="81" t="s">
        <v>162</v>
      </c>
      <c r="C103" s="82">
        <v>2023</v>
      </c>
      <c r="D103" s="82" t="s">
        <v>21</v>
      </c>
      <c r="E103" s="147">
        <v>4</v>
      </c>
      <c r="F103" s="84" t="s">
        <v>178</v>
      </c>
      <c r="G103" s="87">
        <v>74.239524655170072</v>
      </c>
      <c r="H103" s="87">
        <v>25.760475344829928</v>
      </c>
      <c r="I103" s="88">
        <v>5.5518216172355181</v>
      </c>
      <c r="J103" s="88">
        <v>36.304226207912556</v>
      </c>
      <c r="K103" s="87">
        <v>52.465524115659058</v>
      </c>
      <c r="L103" s="87">
        <v>47.534475884340942</v>
      </c>
      <c r="M103" s="87">
        <v>42.118257396966762</v>
      </c>
      <c r="N103" s="87">
        <v>50</v>
      </c>
      <c r="O103" s="88">
        <v>11.293299977070486</v>
      </c>
      <c r="P103" s="87">
        <v>60</v>
      </c>
      <c r="Q103" s="88">
        <v>43.919835487416684</v>
      </c>
      <c r="R103" s="88">
        <v>35.13586838993335</v>
      </c>
      <c r="S103" s="87">
        <v>5.8125306389638354</v>
      </c>
      <c r="T103" s="87">
        <v>40.761099493427366</v>
      </c>
      <c r="U103" s="87">
        <v>119.25524997806409</v>
      </c>
      <c r="V103" s="87">
        <v>100</v>
      </c>
      <c r="W103" s="87">
        <v>93.535643643135657</v>
      </c>
      <c r="X103" s="87">
        <v>100</v>
      </c>
      <c r="Y103" s="87">
        <v>0</v>
      </c>
      <c r="Z103" s="87">
        <v>80.253699831142455</v>
      </c>
      <c r="AA103" s="87">
        <v>80.253699831142455</v>
      </c>
      <c r="AB103" s="87">
        <v>16.050739966228491</v>
      </c>
      <c r="AC103" s="68">
        <v>51.186608356161841</v>
      </c>
      <c r="AD103" s="68">
        <v>51.186608356161841</v>
      </c>
      <c r="AE103" s="68" t="s">
        <v>109</v>
      </c>
      <c r="AF103" s="68">
        <f t="shared" si="1"/>
        <v>23</v>
      </c>
    </row>
    <row r="104" spans="1:32" ht="14.4" customHeight="1" x14ac:dyDescent="0.3">
      <c r="A104" s="82" t="s">
        <v>94</v>
      </c>
      <c r="B104" s="81" t="s">
        <v>140</v>
      </c>
      <c r="C104" s="82">
        <v>2023</v>
      </c>
      <c r="D104" s="82" t="s">
        <v>27</v>
      </c>
      <c r="E104" s="147">
        <v>1</v>
      </c>
      <c r="F104" s="84" t="s">
        <v>178</v>
      </c>
      <c r="G104" s="87">
        <v>30.030330491440047</v>
      </c>
      <c r="H104" s="87">
        <v>69.969669508559946</v>
      </c>
      <c r="I104" s="88">
        <v>1.6111841950147094</v>
      </c>
      <c r="J104" s="88">
        <v>12.590250174201204</v>
      </c>
      <c r="K104" s="87">
        <v>50.685077854002444</v>
      </c>
      <c r="L104" s="87">
        <v>49.314922145997556</v>
      </c>
      <c r="M104" s="87">
        <v>59.357310098473818</v>
      </c>
      <c r="N104" s="87">
        <v>80</v>
      </c>
      <c r="O104" s="88">
        <v>-2.8080958216528638</v>
      </c>
      <c r="P104" s="87">
        <v>100</v>
      </c>
      <c r="Q104" s="88">
        <v>62.374968365751741</v>
      </c>
      <c r="R104" s="88">
        <v>49.899974692601397</v>
      </c>
      <c r="S104" s="87">
        <v>22.666486194217782</v>
      </c>
      <c r="T104" s="87">
        <v>100</v>
      </c>
      <c r="U104" s="87">
        <v>91.49065419971997</v>
      </c>
      <c r="V104" s="87">
        <v>100</v>
      </c>
      <c r="W104" s="87">
        <v>79.212705965221943</v>
      </c>
      <c r="X104" s="87">
        <v>70</v>
      </c>
      <c r="Y104" s="87">
        <v>0</v>
      </c>
      <c r="Z104" s="87">
        <v>90</v>
      </c>
      <c r="AA104" s="87">
        <v>90</v>
      </c>
      <c r="AB104" s="87">
        <v>18</v>
      </c>
      <c r="AC104" s="68">
        <v>67.899974692601404</v>
      </c>
      <c r="AD104" s="68">
        <v>67.899974692601404</v>
      </c>
      <c r="AE104" s="68" t="s">
        <v>98</v>
      </c>
      <c r="AF104" s="68">
        <f t="shared" si="1"/>
        <v>5</v>
      </c>
    </row>
    <row r="105" spans="1:32" ht="14.4" customHeight="1" x14ac:dyDescent="0.3">
      <c r="A105" s="82" t="s">
        <v>132</v>
      </c>
      <c r="B105" s="81" t="s">
        <v>141</v>
      </c>
      <c r="C105" s="82">
        <v>2023</v>
      </c>
      <c r="D105" s="82" t="s">
        <v>133</v>
      </c>
      <c r="E105" s="147">
        <v>1</v>
      </c>
      <c r="F105" s="84" t="s">
        <v>178</v>
      </c>
      <c r="G105" s="87">
        <v>54.819564056415544</v>
      </c>
      <c r="H105" s="87">
        <v>45.180435943584456</v>
      </c>
      <c r="I105" s="88">
        <v>5.9245857902787503E-2</v>
      </c>
      <c r="J105" s="88">
        <v>0.46296393366399685</v>
      </c>
      <c r="K105" s="87">
        <v>87.606147320076715</v>
      </c>
      <c r="L105" s="87">
        <v>12.393852679923285</v>
      </c>
      <c r="M105" s="87">
        <v>37.24908490572799</v>
      </c>
      <c r="N105" s="87">
        <v>50</v>
      </c>
      <c r="O105" s="88">
        <v>9.6048401675259623</v>
      </c>
      <c r="P105" s="87">
        <v>80</v>
      </c>
      <c r="Q105" s="88">
        <v>37.607450511434351</v>
      </c>
      <c r="R105" s="88">
        <v>30.085960409147482</v>
      </c>
      <c r="S105" s="87">
        <v>0</v>
      </c>
      <c r="T105" s="87">
        <v>0</v>
      </c>
      <c r="U105" s="87">
        <v>94.860638164044303</v>
      </c>
      <c r="V105" s="87">
        <v>100</v>
      </c>
      <c r="W105" s="87">
        <v>86.644038450550525</v>
      </c>
      <c r="X105" s="87">
        <v>80</v>
      </c>
      <c r="Y105" s="87">
        <v>0</v>
      </c>
      <c r="Z105" s="87">
        <v>60</v>
      </c>
      <c r="AA105" s="87">
        <v>60</v>
      </c>
      <c r="AB105" s="87">
        <v>12</v>
      </c>
      <c r="AC105" s="68">
        <v>42.085960409147482</v>
      </c>
      <c r="AD105" s="68">
        <v>42.085960409147482</v>
      </c>
      <c r="AE105" s="68" t="s">
        <v>109</v>
      </c>
      <c r="AF105" s="68">
        <f t="shared" si="1"/>
        <v>32</v>
      </c>
    </row>
    <row r="106" spans="1:32" ht="14.4" customHeight="1" x14ac:dyDescent="0.3">
      <c r="A106" s="82" t="s">
        <v>128</v>
      </c>
      <c r="B106" s="81" t="s">
        <v>142</v>
      </c>
      <c r="C106" s="82">
        <v>2023</v>
      </c>
      <c r="D106" s="82" t="s">
        <v>176</v>
      </c>
      <c r="E106" s="147">
        <v>1</v>
      </c>
      <c r="F106" s="84" t="s">
        <v>178</v>
      </c>
      <c r="G106" s="87">
        <v>55.797443093804873</v>
      </c>
      <c r="H106" s="87">
        <v>44.202556906195127</v>
      </c>
      <c r="I106" s="88">
        <v>0.75307459574576618</v>
      </c>
      <c r="J106" s="88">
        <v>5.8847384362456907</v>
      </c>
      <c r="K106" s="87">
        <v>48.870085173692154</v>
      </c>
      <c r="L106" s="87">
        <v>51.129914826307846</v>
      </c>
      <c r="M106" s="87">
        <v>56.155623665485408</v>
      </c>
      <c r="N106" s="87">
        <v>80</v>
      </c>
      <c r="O106" s="88">
        <v>11.588505121545914</v>
      </c>
      <c r="P106" s="87">
        <v>60</v>
      </c>
      <c r="Q106" s="88">
        <v>48.24344203374973</v>
      </c>
      <c r="R106" s="88">
        <v>38.59475362699979</v>
      </c>
      <c r="S106" s="87">
        <v>11.498995902432078</v>
      </c>
      <c r="T106" s="87">
        <v>100</v>
      </c>
      <c r="U106" s="87">
        <v>99.468771015311674</v>
      </c>
      <c r="V106" s="87">
        <v>100</v>
      </c>
      <c r="W106" s="87">
        <v>88.160801979902558</v>
      </c>
      <c r="X106" s="87">
        <v>80</v>
      </c>
      <c r="Y106" s="87">
        <v>0</v>
      </c>
      <c r="Z106" s="87">
        <v>93.333333333333329</v>
      </c>
      <c r="AA106" s="87">
        <v>93.333333333333329</v>
      </c>
      <c r="AB106" s="87">
        <v>18.666666666666668</v>
      </c>
      <c r="AC106" s="68">
        <v>57.261420293666461</v>
      </c>
      <c r="AD106" s="68">
        <v>57.261420293666461</v>
      </c>
      <c r="AE106" s="68" t="s">
        <v>109</v>
      </c>
      <c r="AF106" s="68">
        <f t="shared" si="1"/>
        <v>14</v>
      </c>
    </row>
    <row r="107" spans="1:32" ht="14.4" customHeight="1" x14ac:dyDescent="0.3">
      <c r="A107" s="82" t="s">
        <v>105</v>
      </c>
      <c r="B107" s="81" t="s">
        <v>143</v>
      </c>
      <c r="C107" s="82">
        <v>2023</v>
      </c>
      <c r="D107" s="82" t="s">
        <v>6</v>
      </c>
      <c r="E107" s="147">
        <v>2</v>
      </c>
      <c r="F107" s="84" t="s">
        <v>178</v>
      </c>
      <c r="G107" s="87">
        <v>45.716168504956151</v>
      </c>
      <c r="H107" s="87">
        <v>54.283831495043849</v>
      </c>
      <c r="I107" s="88">
        <v>20.252509618817143</v>
      </c>
      <c r="J107" s="88">
        <v>37.987873635937838</v>
      </c>
      <c r="K107" s="87">
        <v>62.548916505089977</v>
      </c>
      <c r="L107" s="87">
        <v>37.451083494910023</v>
      </c>
      <c r="M107" s="87">
        <v>45.591644223837072</v>
      </c>
      <c r="N107" s="87">
        <v>70</v>
      </c>
      <c r="O107" s="88">
        <v>14.901744651098243</v>
      </c>
      <c r="P107" s="87">
        <v>60</v>
      </c>
      <c r="Q107" s="88">
        <v>51.944557725178342</v>
      </c>
      <c r="R107" s="88">
        <v>41.555646180142674</v>
      </c>
      <c r="S107" s="87">
        <v>20.600537452529373</v>
      </c>
      <c r="T107" s="87">
        <v>100</v>
      </c>
      <c r="U107" s="87">
        <v>119.18447995342545</v>
      </c>
      <c r="V107" s="87">
        <v>100</v>
      </c>
      <c r="W107" s="87">
        <v>92.498551504134767</v>
      </c>
      <c r="X107" s="87">
        <v>100</v>
      </c>
      <c r="Y107" s="87">
        <v>0</v>
      </c>
      <c r="Z107" s="87">
        <v>100</v>
      </c>
      <c r="AA107" s="87">
        <v>100</v>
      </c>
      <c r="AB107" s="87">
        <v>20</v>
      </c>
      <c r="AC107" s="68">
        <v>61.555646180142674</v>
      </c>
      <c r="AD107" s="68">
        <v>61.555646180142674</v>
      </c>
      <c r="AE107" s="68" t="s">
        <v>98</v>
      </c>
      <c r="AF107" s="68">
        <f t="shared" si="1"/>
        <v>7</v>
      </c>
    </row>
    <row r="108" spans="1:32" ht="14.4" customHeight="1" x14ac:dyDescent="0.3">
      <c r="A108" s="82" t="s">
        <v>121</v>
      </c>
      <c r="B108" s="81" t="s">
        <v>144</v>
      </c>
      <c r="C108" s="82">
        <v>2023</v>
      </c>
      <c r="D108" s="82" t="s">
        <v>122</v>
      </c>
      <c r="E108" s="147">
        <v>4</v>
      </c>
      <c r="F108" s="84" t="s">
        <v>178</v>
      </c>
      <c r="G108" s="87">
        <v>64.341780993195172</v>
      </c>
      <c r="H108" s="87">
        <v>35.658219006804828</v>
      </c>
      <c r="I108" s="88">
        <v>0.77465465512132115</v>
      </c>
      <c r="J108" s="88">
        <v>5.0655874362441509</v>
      </c>
      <c r="K108" s="87">
        <v>57.623075177975416</v>
      </c>
      <c r="L108" s="87">
        <v>42.376924822024584</v>
      </c>
      <c r="M108" s="87">
        <v>36.389027225320028</v>
      </c>
      <c r="N108" s="87">
        <v>50</v>
      </c>
      <c r="O108" s="88">
        <v>8.7276818992254501</v>
      </c>
      <c r="P108" s="87">
        <v>80</v>
      </c>
      <c r="Q108" s="88">
        <v>42.62014625301471</v>
      </c>
      <c r="R108" s="88">
        <v>34.096117002411766</v>
      </c>
      <c r="S108" s="87">
        <v>6.1499085403915927</v>
      </c>
      <c r="T108" s="87">
        <v>43.127004305144972</v>
      </c>
      <c r="U108" s="87">
        <v>126.29994473333171</v>
      </c>
      <c r="V108" s="87">
        <v>80</v>
      </c>
      <c r="W108" s="87">
        <v>92.045002216157926</v>
      </c>
      <c r="X108" s="87">
        <v>100</v>
      </c>
      <c r="Y108" s="87">
        <v>0</v>
      </c>
      <c r="Z108" s="87">
        <v>74.375668101714993</v>
      </c>
      <c r="AA108" s="87">
        <v>74.375668101714993</v>
      </c>
      <c r="AB108" s="87">
        <v>14.875133620343</v>
      </c>
      <c r="AC108" s="68">
        <v>48.971250622754766</v>
      </c>
      <c r="AD108" s="68">
        <v>48.971250622754766</v>
      </c>
      <c r="AE108" s="68" t="s">
        <v>109</v>
      </c>
      <c r="AF108" s="68">
        <f t="shared" si="1"/>
        <v>29</v>
      </c>
    </row>
    <row r="109" spans="1:32" ht="14.4" customHeight="1" x14ac:dyDescent="0.3">
      <c r="A109" s="82" t="s">
        <v>125</v>
      </c>
      <c r="B109" s="81" t="s">
        <v>163</v>
      </c>
      <c r="C109" s="82">
        <v>2023</v>
      </c>
      <c r="D109" s="82" t="s">
        <v>22</v>
      </c>
      <c r="E109" s="126">
        <v>3</v>
      </c>
      <c r="F109" s="84" t="s">
        <v>178</v>
      </c>
      <c r="G109" s="87">
        <v>46.832481026790404</v>
      </c>
      <c r="H109" s="87">
        <v>53.167518973209596</v>
      </c>
      <c r="I109" s="88">
        <v>0</v>
      </c>
      <c r="J109" s="88">
        <v>0</v>
      </c>
      <c r="K109" s="87">
        <v>19.75025475119077</v>
      </c>
      <c r="L109" s="87">
        <v>80.249745248809234</v>
      </c>
      <c r="M109" s="87">
        <v>56.152036422337147</v>
      </c>
      <c r="N109" s="87">
        <v>80</v>
      </c>
      <c r="O109" s="88">
        <v>12.28974468028337</v>
      </c>
      <c r="P109" s="87">
        <v>60</v>
      </c>
      <c r="Q109" s="88">
        <v>54.683452844403767</v>
      </c>
      <c r="R109" s="88">
        <v>43.746762275523018</v>
      </c>
      <c r="S109" s="87">
        <v>12.147977387633951</v>
      </c>
      <c r="T109" s="87">
        <v>100</v>
      </c>
      <c r="U109" s="87">
        <v>171.18481984605808</v>
      </c>
      <c r="V109" s="87">
        <v>0</v>
      </c>
      <c r="W109" s="87">
        <v>89.441120859241309</v>
      </c>
      <c r="X109" s="87">
        <v>80</v>
      </c>
      <c r="Y109" s="87">
        <v>0.25000994524354037</v>
      </c>
      <c r="Z109" s="87">
        <v>60</v>
      </c>
      <c r="AA109" s="87">
        <v>60.250009945243541</v>
      </c>
      <c r="AB109" s="87">
        <v>12.05000198904871</v>
      </c>
      <c r="AC109" s="68">
        <v>55.746762275523018</v>
      </c>
      <c r="AD109" s="68">
        <v>55.796764264571728</v>
      </c>
      <c r="AE109" s="68" t="s">
        <v>109</v>
      </c>
      <c r="AF109" s="68">
        <f t="shared" si="1"/>
        <v>15</v>
      </c>
    </row>
    <row r="110" spans="1:32" ht="14.4" customHeight="1" x14ac:dyDescent="0.3">
      <c r="A110" s="82" t="s">
        <v>126</v>
      </c>
      <c r="B110" s="81" t="s">
        <v>145</v>
      </c>
      <c r="C110" s="82">
        <v>2023</v>
      </c>
      <c r="D110" s="82" t="s">
        <v>8</v>
      </c>
      <c r="E110" s="126">
        <v>3</v>
      </c>
      <c r="F110" s="84" t="s">
        <v>178</v>
      </c>
      <c r="G110" s="87">
        <v>72.368145839124551</v>
      </c>
      <c r="H110" s="87">
        <v>27.631854160875449</v>
      </c>
      <c r="I110" s="88">
        <v>0.43241851312828927</v>
      </c>
      <c r="J110" s="88">
        <v>1.9079818125258918</v>
      </c>
      <c r="K110" s="87">
        <v>37.451752619055668</v>
      </c>
      <c r="L110" s="87">
        <v>62.548247380944332</v>
      </c>
      <c r="M110" s="87">
        <v>48.082057344483601</v>
      </c>
      <c r="N110" s="87">
        <v>70</v>
      </c>
      <c r="O110" s="88">
        <v>21.813141705209379</v>
      </c>
      <c r="P110" s="87">
        <v>20</v>
      </c>
      <c r="Q110" s="88">
        <v>36.41761667086913</v>
      </c>
      <c r="R110" s="88">
        <v>29.134093336695305</v>
      </c>
      <c r="S110" s="87">
        <v>21.733179809854128</v>
      </c>
      <c r="T110" s="87">
        <v>100</v>
      </c>
      <c r="U110" s="87">
        <v>104.69087092179542</v>
      </c>
      <c r="V110" s="87">
        <v>100</v>
      </c>
      <c r="W110" s="87">
        <v>93.18059640072785</v>
      </c>
      <c r="X110" s="87">
        <v>100</v>
      </c>
      <c r="Y110" s="87">
        <v>0</v>
      </c>
      <c r="Z110" s="87">
        <v>100</v>
      </c>
      <c r="AA110" s="87">
        <v>100</v>
      </c>
      <c r="AB110" s="87">
        <v>20</v>
      </c>
      <c r="AC110" s="68">
        <v>49.134093336695301</v>
      </c>
      <c r="AD110" s="68">
        <v>49.134093336695301</v>
      </c>
      <c r="AE110" s="68" t="s">
        <v>109</v>
      </c>
      <c r="AF110" s="68">
        <f t="shared" si="1"/>
        <v>28</v>
      </c>
    </row>
    <row r="111" spans="1:32" ht="14.4" customHeight="1" x14ac:dyDescent="0.3">
      <c r="A111" s="82" t="s">
        <v>104</v>
      </c>
      <c r="B111" s="81" t="s">
        <v>146</v>
      </c>
      <c r="C111" s="82">
        <v>2023</v>
      </c>
      <c r="D111" s="82" t="s">
        <v>9</v>
      </c>
      <c r="E111" s="147">
        <v>2</v>
      </c>
      <c r="F111" s="84" t="s">
        <v>178</v>
      </c>
      <c r="G111" s="87">
        <v>53.751788694574145</v>
      </c>
      <c r="H111" s="87">
        <v>46.248211305425855</v>
      </c>
      <c r="I111" s="88">
        <v>53.313090942941258</v>
      </c>
      <c r="J111" s="88">
        <v>100.00000000000001</v>
      </c>
      <c r="K111" s="87">
        <v>27.753328923164382</v>
      </c>
      <c r="L111" s="87">
        <v>72.246671076835611</v>
      </c>
      <c r="M111" s="87">
        <v>63.067547559709858</v>
      </c>
      <c r="N111" s="87">
        <v>80</v>
      </c>
      <c r="O111" s="88">
        <v>10.800099562986098</v>
      </c>
      <c r="P111" s="87">
        <v>60</v>
      </c>
      <c r="Q111" s="88">
        <v>71.698976476452302</v>
      </c>
      <c r="R111" s="88">
        <v>57.359181181161844</v>
      </c>
      <c r="S111" s="87">
        <v>8.2115715160584841</v>
      </c>
      <c r="T111" s="87">
        <v>74.64655179063358</v>
      </c>
      <c r="U111" s="87">
        <v>129.60049823015441</v>
      </c>
      <c r="V111" s="87">
        <v>80</v>
      </c>
      <c r="W111" s="87">
        <v>85.104609653999333</v>
      </c>
      <c r="X111" s="87">
        <v>80</v>
      </c>
      <c r="Y111" s="87">
        <v>0.19091871707136499</v>
      </c>
      <c r="Z111" s="87">
        <v>78.215517263544527</v>
      </c>
      <c r="AA111" s="87">
        <v>78.406435980615896</v>
      </c>
      <c r="AB111" s="87">
        <v>15.681287196123179</v>
      </c>
      <c r="AC111" s="68">
        <v>73.002284633870744</v>
      </c>
      <c r="AD111" s="68">
        <v>73.040468377285023</v>
      </c>
      <c r="AE111" s="68" t="s">
        <v>95</v>
      </c>
      <c r="AF111" s="68">
        <f t="shared" si="1"/>
        <v>1</v>
      </c>
    </row>
    <row r="112" spans="1:32" ht="14.4" customHeight="1" x14ac:dyDescent="0.3">
      <c r="A112" s="82" t="s">
        <v>115</v>
      </c>
      <c r="B112" s="81" t="s">
        <v>149</v>
      </c>
      <c r="C112" s="82">
        <v>2023</v>
      </c>
      <c r="D112" s="82" t="s">
        <v>116</v>
      </c>
      <c r="E112" s="126">
        <v>3</v>
      </c>
      <c r="F112" s="84" t="s">
        <v>178</v>
      </c>
      <c r="G112" s="87">
        <v>79.056233714721898</v>
      </c>
      <c r="H112" s="87">
        <v>20.943766285278102</v>
      </c>
      <c r="I112" s="88">
        <v>2.2290201202859508</v>
      </c>
      <c r="J112" s="88">
        <v>9.8352168562175244</v>
      </c>
      <c r="K112" s="87">
        <v>27.780984700012056</v>
      </c>
      <c r="L112" s="87">
        <v>72.219015299987944</v>
      </c>
      <c r="M112" s="87">
        <v>29.773741080073641</v>
      </c>
      <c r="N112" s="87">
        <v>40</v>
      </c>
      <c r="O112" s="88">
        <v>6.0734135917610246</v>
      </c>
      <c r="P112" s="87">
        <v>80</v>
      </c>
      <c r="Q112" s="88">
        <v>44.599599688296713</v>
      </c>
      <c r="R112" s="88">
        <v>35.679679750637369</v>
      </c>
      <c r="S112" s="87">
        <v>1.5026602050886027</v>
      </c>
      <c r="T112" s="87">
        <v>24.450498405878616</v>
      </c>
      <c r="U112" s="87">
        <v>100.56546732590502</v>
      </c>
      <c r="V112" s="87">
        <v>100</v>
      </c>
      <c r="W112" s="87">
        <v>87.292523727799249</v>
      </c>
      <c r="X112" s="87">
        <v>80</v>
      </c>
      <c r="Y112" s="87">
        <v>0</v>
      </c>
      <c r="Z112" s="87">
        <v>68.150166135292878</v>
      </c>
      <c r="AA112" s="87">
        <v>68.150166135292878</v>
      </c>
      <c r="AB112" s="87">
        <v>13.630033227058576</v>
      </c>
      <c r="AC112" s="68">
        <v>49.309712977695945</v>
      </c>
      <c r="AD112" s="68">
        <v>49.309712977695945</v>
      </c>
      <c r="AE112" s="68" t="s">
        <v>109</v>
      </c>
      <c r="AF112" s="68">
        <f t="shared" si="1"/>
        <v>25</v>
      </c>
    </row>
    <row r="113" spans="1:32" ht="14.4" customHeight="1" x14ac:dyDescent="0.3">
      <c r="A113" s="82" t="s">
        <v>129</v>
      </c>
      <c r="B113" s="81" t="s">
        <v>147</v>
      </c>
      <c r="C113" s="82">
        <v>2023</v>
      </c>
      <c r="D113" s="82" t="s">
        <v>130</v>
      </c>
      <c r="E113" s="147">
        <v>1</v>
      </c>
      <c r="F113" s="84" t="s">
        <v>178</v>
      </c>
      <c r="G113" s="87">
        <v>67.19401924706807</v>
      </c>
      <c r="H113" s="87">
        <v>32.80598075293193</v>
      </c>
      <c r="I113" s="88">
        <v>11.379816100343769</v>
      </c>
      <c r="J113" s="88">
        <v>88.925109917940048</v>
      </c>
      <c r="K113" s="87">
        <v>70.854045799677777</v>
      </c>
      <c r="L113" s="87">
        <v>29.145954200322223</v>
      </c>
      <c r="M113" s="87">
        <v>29.397548338646761</v>
      </c>
      <c r="N113" s="87">
        <v>40</v>
      </c>
      <c r="O113" s="88">
        <v>10.986044173565549</v>
      </c>
      <c r="P113" s="87">
        <v>60</v>
      </c>
      <c r="Q113" s="88">
        <v>50.175408974238835</v>
      </c>
      <c r="R113" s="88">
        <v>40.140327179391072</v>
      </c>
      <c r="S113" s="87">
        <v>1.5675706379102294</v>
      </c>
      <c r="T113" s="87">
        <v>19.042190351170426</v>
      </c>
      <c r="U113" s="87">
        <v>118.28795462333927</v>
      </c>
      <c r="V113" s="87">
        <v>100</v>
      </c>
      <c r="W113" s="87">
        <v>90.553259574553365</v>
      </c>
      <c r="X113" s="87">
        <v>100</v>
      </c>
      <c r="Y113" s="87">
        <v>0</v>
      </c>
      <c r="Z113" s="87">
        <v>73.01406345039014</v>
      </c>
      <c r="AA113" s="87">
        <v>73.01406345039014</v>
      </c>
      <c r="AB113" s="87">
        <v>14.602812690078029</v>
      </c>
      <c r="AC113" s="68">
        <v>54.743139869469104</v>
      </c>
      <c r="AD113" s="68">
        <v>54.743139869469104</v>
      </c>
      <c r="AE113" s="68" t="s">
        <v>109</v>
      </c>
      <c r="AF113" s="68">
        <f t="shared" si="1"/>
        <v>16</v>
      </c>
    </row>
    <row r="114" spans="1:32" ht="14.4" customHeight="1" x14ac:dyDescent="0.3">
      <c r="A114" s="82" t="s">
        <v>96</v>
      </c>
      <c r="B114" s="81" t="s">
        <v>148</v>
      </c>
      <c r="C114" s="82">
        <v>2023</v>
      </c>
      <c r="D114" s="82" t="s">
        <v>10</v>
      </c>
      <c r="E114" s="152" t="s">
        <v>51</v>
      </c>
      <c r="F114" s="84" t="s">
        <v>178</v>
      </c>
      <c r="G114" s="87">
        <v>26.483404360442432</v>
      </c>
      <c r="H114" s="87">
        <v>73.516595639557565</v>
      </c>
      <c r="I114" s="88">
        <v>1.7721538725381614</v>
      </c>
      <c r="J114" s="88">
        <v>31.804509622010904</v>
      </c>
      <c r="K114" s="87">
        <v>61.513050040864258</v>
      </c>
      <c r="L114" s="87">
        <v>38.486949959135742</v>
      </c>
      <c r="M114" s="87">
        <v>65.590237788198777</v>
      </c>
      <c r="N114" s="87">
        <v>100</v>
      </c>
      <c r="O114" s="88">
        <v>6.0179238163177144</v>
      </c>
      <c r="P114" s="87">
        <v>80</v>
      </c>
      <c r="Q114" s="88">
        <v>64.761611044140835</v>
      </c>
      <c r="R114" s="88">
        <v>51.809288835312671</v>
      </c>
      <c r="S114" s="87">
        <v>11.682538677711328</v>
      </c>
      <c r="T114" s="87">
        <v>81.530643747944552</v>
      </c>
      <c r="U114" s="87">
        <v>112.87819175946204</v>
      </c>
      <c r="V114" s="87">
        <v>100</v>
      </c>
      <c r="W114" s="87">
        <v>96.533473213893572</v>
      </c>
      <c r="X114" s="87">
        <v>100</v>
      </c>
      <c r="Y114" s="87">
        <v>0</v>
      </c>
      <c r="Z114" s="87">
        <v>93.843547915981517</v>
      </c>
      <c r="AA114" s="87">
        <v>93.843547915981517</v>
      </c>
      <c r="AB114" s="87">
        <v>18.768709583196305</v>
      </c>
      <c r="AC114" s="68">
        <v>70.577998418508969</v>
      </c>
      <c r="AD114" s="68">
        <v>70.577998418508969</v>
      </c>
      <c r="AE114" s="68" t="s">
        <v>95</v>
      </c>
      <c r="AF114" s="68">
        <f t="shared" si="1"/>
        <v>3</v>
      </c>
    </row>
    <row r="115" spans="1:32" ht="14.4" customHeight="1" x14ac:dyDescent="0.3">
      <c r="A115" s="82" t="s">
        <v>119</v>
      </c>
      <c r="B115" s="81" t="s">
        <v>167</v>
      </c>
      <c r="C115" s="82">
        <v>2023</v>
      </c>
      <c r="D115" s="82" t="s">
        <v>120</v>
      </c>
      <c r="E115" s="147">
        <v>4</v>
      </c>
      <c r="F115" s="84" t="s">
        <v>178</v>
      </c>
      <c r="G115" s="87">
        <v>67.041952811185396</v>
      </c>
      <c r="H115" s="87">
        <v>32.958047188814604</v>
      </c>
      <c r="I115" s="88">
        <v>10.037431327514456</v>
      </c>
      <c r="J115" s="88">
        <v>65.636326702067777</v>
      </c>
      <c r="K115" s="87">
        <v>17.646858760239908</v>
      </c>
      <c r="L115" s="87">
        <v>82.353141239760092</v>
      </c>
      <c r="M115" s="87">
        <v>66.071306003279076</v>
      </c>
      <c r="N115" s="87">
        <v>100</v>
      </c>
      <c r="O115" s="88">
        <v>26.043754882890155</v>
      </c>
      <c r="P115" s="87">
        <v>20</v>
      </c>
      <c r="Q115" s="88">
        <v>60.189503026128499</v>
      </c>
      <c r="R115" s="88">
        <v>48.151602420902805</v>
      </c>
      <c r="S115" s="87">
        <v>30.094936254139967</v>
      </c>
      <c r="T115" s="87">
        <v>100</v>
      </c>
      <c r="U115" s="87">
        <v>166.69168857952567</v>
      </c>
      <c r="V115" s="87">
        <v>0</v>
      </c>
      <c r="W115" s="87">
        <v>83.916108099761104</v>
      </c>
      <c r="X115" s="87">
        <v>80</v>
      </c>
      <c r="Y115" s="87">
        <v>0.20580039655857318</v>
      </c>
      <c r="Z115" s="87">
        <v>60</v>
      </c>
      <c r="AA115" s="87">
        <v>60.205800396558573</v>
      </c>
      <c r="AB115" s="87">
        <v>12.041160079311716</v>
      </c>
      <c r="AC115" s="68">
        <v>60.151602420902805</v>
      </c>
      <c r="AD115" s="68">
        <v>60.192762500214521</v>
      </c>
      <c r="AE115" s="68" t="s">
        <v>98</v>
      </c>
      <c r="AF115" s="68">
        <f t="shared" si="1"/>
        <v>10</v>
      </c>
    </row>
    <row r="116" spans="1:32" ht="14.4" customHeight="1" x14ac:dyDescent="0.3">
      <c r="A116" s="82" t="s">
        <v>118</v>
      </c>
      <c r="B116" s="81" t="s">
        <v>151</v>
      </c>
      <c r="C116" s="82">
        <v>2023</v>
      </c>
      <c r="D116" s="82" t="s">
        <v>136</v>
      </c>
      <c r="E116" s="147">
        <v>4</v>
      </c>
      <c r="F116" s="84" t="s">
        <v>178</v>
      </c>
      <c r="G116" s="87">
        <v>65.59713144562491</v>
      </c>
      <c r="H116" s="87">
        <v>34.40286855437509</v>
      </c>
      <c r="I116" s="88">
        <v>3.3799897931882148</v>
      </c>
      <c r="J116" s="88">
        <v>22.102279664641287</v>
      </c>
      <c r="K116" s="87">
        <v>52.611512352765111</v>
      </c>
      <c r="L116" s="87">
        <v>47.388487647234889</v>
      </c>
      <c r="M116" s="87">
        <v>62.575963389691665</v>
      </c>
      <c r="N116" s="87">
        <v>80</v>
      </c>
      <c r="O116" s="88">
        <v>26.883901631394401</v>
      </c>
      <c r="P116" s="87">
        <v>20</v>
      </c>
      <c r="Q116" s="88">
        <v>40.778727173250253</v>
      </c>
      <c r="R116" s="88">
        <v>32.622981738600203</v>
      </c>
      <c r="S116" s="87">
        <v>15.141454907397261</v>
      </c>
      <c r="T116" s="87">
        <v>100</v>
      </c>
      <c r="U116" s="87">
        <v>89.351776368964863</v>
      </c>
      <c r="V116" s="87">
        <v>80</v>
      </c>
      <c r="W116" s="87">
        <v>90.975586926611001</v>
      </c>
      <c r="X116" s="87">
        <v>100</v>
      </c>
      <c r="Y116" s="87">
        <v>0</v>
      </c>
      <c r="Z116" s="87">
        <v>93.333333333333329</v>
      </c>
      <c r="AA116" s="87">
        <v>93.333333333333329</v>
      </c>
      <c r="AB116" s="87">
        <v>18.666666666666668</v>
      </c>
      <c r="AC116" s="68">
        <v>51.289648405266874</v>
      </c>
      <c r="AD116" s="68">
        <v>51.289648405266874</v>
      </c>
      <c r="AE116" s="68" t="s">
        <v>109</v>
      </c>
      <c r="AF116" s="68">
        <f t="shared" si="1"/>
        <v>22</v>
      </c>
    </row>
    <row r="117" spans="1:32" ht="14.4" customHeight="1" x14ac:dyDescent="0.3">
      <c r="A117" s="82" t="s">
        <v>101</v>
      </c>
      <c r="B117" s="81" t="s">
        <v>168</v>
      </c>
      <c r="C117" s="82">
        <v>2023</v>
      </c>
      <c r="D117" s="82" t="s">
        <v>25</v>
      </c>
      <c r="E117" s="147">
        <v>4</v>
      </c>
      <c r="F117" s="84" t="s">
        <v>178</v>
      </c>
      <c r="G117" s="87">
        <v>68.311333896878438</v>
      </c>
      <c r="H117" s="87">
        <v>31.688666103121562</v>
      </c>
      <c r="I117" s="88">
        <v>15.292494007283075</v>
      </c>
      <c r="J117" s="88">
        <v>100</v>
      </c>
      <c r="K117" s="87">
        <v>23.12206617783556</v>
      </c>
      <c r="L117" s="87">
        <v>76.877933822164437</v>
      </c>
      <c r="M117" s="87">
        <v>33.438142650299554</v>
      </c>
      <c r="N117" s="87">
        <v>40</v>
      </c>
      <c r="O117" s="88">
        <v>10.823471327246414</v>
      </c>
      <c r="P117" s="87">
        <v>60</v>
      </c>
      <c r="Q117" s="88">
        <v>61.713319985057204</v>
      </c>
      <c r="R117" s="88">
        <v>49.370655988045769</v>
      </c>
      <c r="S117" s="87">
        <v>0</v>
      </c>
      <c r="T117" s="87">
        <v>0</v>
      </c>
      <c r="U117" s="87">
        <v>174.17515937362296</v>
      </c>
      <c r="V117" s="87">
        <v>0</v>
      </c>
      <c r="W117" s="87">
        <v>87.156156332587656</v>
      </c>
      <c r="X117" s="87">
        <v>80</v>
      </c>
      <c r="Y117" s="87">
        <v>0</v>
      </c>
      <c r="Z117" s="87">
        <v>26.666666666666668</v>
      </c>
      <c r="AA117" s="87">
        <v>26.666666666666668</v>
      </c>
      <c r="AB117" s="87">
        <v>5.3333333333333339</v>
      </c>
      <c r="AC117" s="68">
        <v>54.703989321379105</v>
      </c>
      <c r="AD117" s="68">
        <v>54.703989321379105</v>
      </c>
      <c r="AE117" s="68" t="s">
        <v>109</v>
      </c>
      <c r="AF117" s="68">
        <f t="shared" si="1"/>
        <v>18</v>
      </c>
    </row>
    <row r="118" spans="1:32" ht="14.4" x14ac:dyDescent="0.3">
      <c r="A118" s="82" t="s">
        <v>100</v>
      </c>
      <c r="B118" s="81" t="s">
        <v>150</v>
      </c>
      <c r="C118" s="82">
        <v>2023</v>
      </c>
      <c r="D118" s="82" t="s">
        <v>11</v>
      </c>
      <c r="E118" s="147">
        <v>2</v>
      </c>
      <c r="F118" s="84" t="s">
        <v>178</v>
      </c>
      <c r="G118" s="87">
        <v>51.518095750100002</v>
      </c>
      <c r="H118" s="87">
        <v>48.481904249899998</v>
      </c>
      <c r="I118" s="88">
        <v>9.8879842260424802</v>
      </c>
      <c r="J118" s="88">
        <v>18.547009845340181</v>
      </c>
      <c r="K118" s="87">
        <v>64.223904753259092</v>
      </c>
      <c r="L118" s="87">
        <v>35.776095246740908</v>
      </c>
      <c r="M118" s="87">
        <v>44.055842717760896</v>
      </c>
      <c r="N118" s="87">
        <v>50</v>
      </c>
      <c r="O118" s="88">
        <v>2.0115624603693583</v>
      </c>
      <c r="P118" s="87">
        <v>100</v>
      </c>
      <c r="Q118" s="88">
        <v>50.561001868396218</v>
      </c>
      <c r="R118" s="88">
        <v>40.448801494716975</v>
      </c>
      <c r="S118" s="87">
        <v>16.098323578926859</v>
      </c>
      <c r="T118" s="87">
        <v>100</v>
      </c>
      <c r="U118" s="87">
        <v>101.5355159296724</v>
      </c>
      <c r="V118" s="87">
        <v>100</v>
      </c>
      <c r="W118" s="87">
        <v>87.412060858495138</v>
      </c>
      <c r="X118" s="87">
        <v>80</v>
      </c>
      <c r="Y118" s="87">
        <v>0</v>
      </c>
      <c r="Z118" s="87">
        <v>93.333333333333329</v>
      </c>
      <c r="AA118" s="87">
        <v>93.333333333333329</v>
      </c>
      <c r="AB118" s="87">
        <v>18.666666666666668</v>
      </c>
      <c r="AC118" s="68">
        <v>59.115468161383646</v>
      </c>
      <c r="AD118" s="68">
        <v>59.115468161383646</v>
      </c>
      <c r="AE118" s="68" t="s">
        <v>109</v>
      </c>
      <c r="AF118" s="68">
        <f t="shared" si="1"/>
        <v>11</v>
      </c>
    </row>
    <row r="119" spans="1:32" ht="14.4" customHeight="1" x14ac:dyDescent="0.3">
      <c r="A119" s="82" t="s">
        <v>112</v>
      </c>
      <c r="B119" s="81" t="s">
        <v>152</v>
      </c>
      <c r="C119" s="82">
        <v>2023</v>
      </c>
      <c r="D119" s="82" t="s">
        <v>12</v>
      </c>
      <c r="E119" s="147">
        <v>2</v>
      </c>
      <c r="F119" s="84" t="s">
        <v>178</v>
      </c>
      <c r="G119" s="87">
        <v>54.844029673142032</v>
      </c>
      <c r="H119" s="87">
        <v>45.155970326857968</v>
      </c>
      <c r="I119" s="88">
        <v>10.833278673677636</v>
      </c>
      <c r="J119" s="88">
        <v>20.32010990559905</v>
      </c>
      <c r="K119" s="87">
        <v>45.199648465356681</v>
      </c>
      <c r="L119" s="87">
        <v>54.800351534643319</v>
      </c>
      <c r="M119" s="87">
        <v>51.184949341680422</v>
      </c>
      <c r="N119" s="87">
        <v>70</v>
      </c>
      <c r="O119" s="88">
        <v>22.943742265421019</v>
      </c>
      <c r="P119" s="87">
        <v>20</v>
      </c>
      <c r="Q119" s="88">
        <v>42.055286353420072</v>
      </c>
      <c r="R119" s="88">
        <v>33.644229082736061</v>
      </c>
      <c r="S119" s="87">
        <v>3.8096581083441521</v>
      </c>
      <c r="T119" s="87">
        <v>34.631354148592855</v>
      </c>
      <c r="U119" s="87">
        <v>105.13177353643843</v>
      </c>
      <c r="V119" s="87">
        <v>100</v>
      </c>
      <c r="W119" s="87">
        <v>79.047141587224232</v>
      </c>
      <c r="X119" s="87">
        <v>70</v>
      </c>
      <c r="Y119" s="87">
        <v>0</v>
      </c>
      <c r="Z119" s="87">
        <v>68.210451382864292</v>
      </c>
      <c r="AA119" s="87">
        <v>68.210451382864292</v>
      </c>
      <c r="AB119" s="87">
        <v>13.642090276572858</v>
      </c>
      <c r="AC119" s="68">
        <v>47.286319359308919</v>
      </c>
      <c r="AD119" s="68">
        <v>47.286319359308919</v>
      </c>
      <c r="AE119" s="68" t="s">
        <v>109</v>
      </c>
      <c r="AF119" s="68">
        <f t="shared" si="1"/>
        <v>30</v>
      </c>
    </row>
    <row r="120" spans="1:32" ht="14.4" customHeight="1" x14ac:dyDescent="0.3">
      <c r="A120" s="82" t="s">
        <v>99</v>
      </c>
      <c r="B120" s="81" t="s">
        <v>153</v>
      </c>
      <c r="C120" s="82">
        <v>2023</v>
      </c>
      <c r="D120" s="82" t="s">
        <v>13</v>
      </c>
      <c r="E120" s="147">
        <v>1</v>
      </c>
      <c r="F120" s="84" t="s">
        <v>178</v>
      </c>
      <c r="G120" s="87">
        <v>36.646286643815714</v>
      </c>
      <c r="H120" s="87">
        <v>63.353713356184286</v>
      </c>
      <c r="I120" s="88">
        <v>0.16310687022802972</v>
      </c>
      <c r="J120" s="88">
        <v>1.2745633352511359</v>
      </c>
      <c r="K120" s="87">
        <v>16.3486054700785</v>
      </c>
      <c r="L120" s="87">
        <v>83.651394529921504</v>
      </c>
      <c r="M120" s="87">
        <v>49.790226835403807</v>
      </c>
      <c r="N120" s="87">
        <v>70</v>
      </c>
      <c r="O120" s="88">
        <v>24.615687700155281</v>
      </c>
      <c r="P120" s="87">
        <v>20</v>
      </c>
      <c r="Q120" s="88">
        <v>47.655934244271386</v>
      </c>
      <c r="R120" s="88">
        <v>38.12474739541711</v>
      </c>
      <c r="S120" s="87">
        <v>7.8663883942327075</v>
      </c>
      <c r="T120" s="87">
        <v>95.557585448851285</v>
      </c>
      <c r="U120" s="87">
        <v>107.84491146833446</v>
      </c>
      <c r="V120" s="87">
        <v>100</v>
      </c>
      <c r="W120" s="87">
        <v>93.355555335029663</v>
      </c>
      <c r="X120" s="87">
        <v>100</v>
      </c>
      <c r="Y120" s="87">
        <v>0.11111005658870565</v>
      </c>
      <c r="Z120" s="87">
        <v>98.51919514961709</v>
      </c>
      <c r="AA120" s="87">
        <v>98.63030520620579</v>
      </c>
      <c r="AB120" s="87">
        <v>19.726061041241159</v>
      </c>
      <c r="AC120" s="68">
        <v>57.828586425340532</v>
      </c>
      <c r="AD120" s="68">
        <v>57.850808436658269</v>
      </c>
      <c r="AE120" s="68" t="s">
        <v>109</v>
      </c>
      <c r="AF120" s="68">
        <f t="shared" si="1"/>
        <v>13</v>
      </c>
    </row>
    <row r="121" spans="1:32" ht="14.4" customHeight="1" x14ac:dyDescent="0.3">
      <c r="A121" s="82" t="s">
        <v>127</v>
      </c>
      <c r="B121" s="81" t="s">
        <v>154</v>
      </c>
      <c r="C121" s="82">
        <v>2023</v>
      </c>
      <c r="D121" s="82" t="s">
        <v>14</v>
      </c>
      <c r="E121" s="147">
        <v>1</v>
      </c>
      <c r="F121" s="84" t="s">
        <v>178</v>
      </c>
      <c r="G121" s="87">
        <v>59.098109976511331</v>
      </c>
      <c r="H121" s="87">
        <v>40.901890023488669</v>
      </c>
      <c r="I121" s="88">
        <v>5.1660118740741199</v>
      </c>
      <c r="J121" s="88">
        <v>40.368681680677341</v>
      </c>
      <c r="K121" s="87">
        <v>50.215933432683492</v>
      </c>
      <c r="L121" s="87">
        <v>49.784066567316508</v>
      </c>
      <c r="M121" s="87">
        <v>53.023210806535438</v>
      </c>
      <c r="N121" s="87">
        <v>70</v>
      </c>
      <c r="O121" s="88">
        <v>19.947661275933051</v>
      </c>
      <c r="P121" s="87">
        <v>40</v>
      </c>
      <c r="Q121" s="88">
        <v>48.210927654296498</v>
      </c>
      <c r="R121" s="88">
        <v>38.568742123437204</v>
      </c>
      <c r="S121" s="87">
        <v>14.025203216268871</v>
      </c>
      <c r="T121" s="87">
        <v>100</v>
      </c>
      <c r="U121" s="87">
        <v>142.24289720307991</v>
      </c>
      <c r="V121" s="87">
        <v>60</v>
      </c>
      <c r="W121" s="87">
        <v>83.732999078602262</v>
      </c>
      <c r="X121" s="87">
        <v>80</v>
      </c>
      <c r="Y121" s="87">
        <v>0</v>
      </c>
      <c r="Z121" s="87">
        <v>80</v>
      </c>
      <c r="AA121" s="87">
        <v>80</v>
      </c>
      <c r="AB121" s="87">
        <v>16</v>
      </c>
      <c r="AC121" s="68">
        <v>54.568742123437204</v>
      </c>
      <c r="AD121" s="68">
        <v>54.568742123437204</v>
      </c>
      <c r="AE121" s="68" t="s">
        <v>109</v>
      </c>
      <c r="AF121" s="68">
        <f t="shared" si="1"/>
        <v>19</v>
      </c>
    </row>
    <row r="122" spans="1:32" ht="14.4" customHeight="1" x14ac:dyDescent="0.3">
      <c r="A122" s="82" t="s">
        <v>111</v>
      </c>
      <c r="B122" s="81" t="s">
        <v>155</v>
      </c>
      <c r="C122" s="82">
        <v>2023</v>
      </c>
      <c r="D122" s="82" t="s">
        <v>15</v>
      </c>
      <c r="E122" s="147">
        <v>2</v>
      </c>
      <c r="F122" s="84" t="s">
        <v>178</v>
      </c>
      <c r="G122" s="87">
        <v>52.004344511306826</v>
      </c>
      <c r="H122" s="87">
        <v>47.995655488693174</v>
      </c>
      <c r="I122" s="88">
        <v>1.4982859672055495</v>
      </c>
      <c r="J122" s="88">
        <v>2.8103528433740625</v>
      </c>
      <c r="K122" s="87">
        <v>55.923063824827565</v>
      </c>
      <c r="L122" s="87">
        <v>44.076936175172435</v>
      </c>
      <c r="M122" s="87">
        <v>56.278220352959188</v>
      </c>
      <c r="N122" s="87">
        <v>80</v>
      </c>
      <c r="O122" s="88">
        <v>8.7201008830099251</v>
      </c>
      <c r="P122" s="87">
        <v>80</v>
      </c>
      <c r="Q122" s="88">
        <v>50.976588901447933</v>
      </c>
      <c r="R122" s="88">
        <v>40.781271121158348</v>
      </c>
      <c r="S122" s="87">
        <v>12.706099662465434</v>
      </c>
      <c r="T122" s="87">
        <v>100</v>
      </c>
      <c r="U122" s="87">
        <v>128.52731560752414</v>
      </c>
      <c r="V122" s="87">
        <v>80</v>
      </c>
      <c r="W122" s="87">
        <v>81.395737155499376</v>
      </c>
      <c r="X122" s="87">
        <v>80</v>
      </c>
      <c r="Y122" s="87">
        <v>0.12032497469873672</v>
      </c>
      <c r="Z122" s="87">
        <v>86.666666666666671</v>
      </c>
      <c r="AA122" s="87">
        <v>86.786991641365404</v>
      </c>
      <c r="AB122" s="87">
        <v>17.357398328273081</v>
      </c>
      <c r="AC122" s="68">
        <v>58.114604454491683</v>
      </c>
      <c r="AD122" s="68">
        <v>58.138669449431433</v>
      </c>
      <c r="AE122" s="68" t="s">
        <v>109</v>
      </c>
      <c r="AF122" s="68">
        <f t="shared" si="1"/>
        <v>12</v>
      </c>
    </row>
    <row r="123" spans="1:32" ht="14.4" customHeight="1" x14ac:dyDescent="0.3">
      <c r="A123" s="82" t="s">
        <v>113</v>
      </c>
      <c r="B123" s="81" t="s">
        <v>164</v>
      </c>
      <c r="C123" s="82">
        <v>2023</v>
      </c>
      <c r="D123" s="82" t="s">
        <v>23</v>
      </c>
      <c r="E123" s="147">
        <v>4</v>
      </c>
      <c r="F123" s="84" t="s">
        <v>178</v>
      </c>
      <c r="G123" s="87">
        <v>73.474418441057111</v>
      </c>
      <c r="H123" s="87">
        <v>26.525581558942889</v>
      </c>
      <c r="I123" s="88">
        <v>10.731630884826968</v>
      </c>
      <c r="J123" s="88">
        <v>70.175805723487684</v>
      </c>
      <c r="K123" s="87">
        <v>27.195293901365115</v>
      </c>
      <c r="L123" s="87">
        <v>72.804706098634881</v>
      </c>
      <c r="M123" s="87">
        <v>35.479029077709306</v>
      </c>
      <c r="N123" s="87">
        <v>50</v>
      </c>
      <c r="O123" s="88">
        <v>5.9512023845777406</v>
      </c>
      <c r="P123" s="87">
        <v>80</v>
      </c>
      <c r="Q123" s="88">
        <v>59.901218676213091</v>
      </c>
      <c r="R123" s="88">
        <v>47.920974940970474</v>
      </c>
      <c r="S123" s="87">
        <v>5.1813699847845243</v>
      </c>
      <c r="T123" s="87">
        <v>36.335006313138202</v>
      </c>
      <c r="U123" s="87">
        <v>128.95821674038035</v>
      </c>
      <c r="V123" s="87">
        <v>80</v>
      </c>
      <c r="W123" s="87">
        <v>88.145102886887656</v>
      </c>
      <c r="X123" s="87">
        <v>80</v>
      </c>
      <c r="Y123" s="87">
        <v>4.2871336854514164E-2</v>
      </c>
      <c r="Z123" s="87">
        <v>65.445002104379398</v>
      </c>
      <c r="AA123" s="87">
        <v>65.487873441233916</v>
      </c>
      <c r="AB123" s="87">
        <v>13.097574688246784</v>
      </c>
      <c r="AC123" s="68">
        <v>61.009975361846358</v>
      </c>
      <c r="AD123" s="68">
        <v>61.018549629217262</v>
      </c>
      <c r="AE123" s="68" t="s">
        <v>98</v>
      </c>
      <c r="AF123" s="68">
        <f t="shared" si="1"/>
        <v>9</v>
      </c>
    </row>
    <row r="124" spans="1:32" ht="14.4" customHeight="1" x14ac:dyDescent="0.3">
      <c r="A124" s="82" t="s">
        <v>135</v>
      </c>
      <c r="B124" s="81" t="s">
        <v>156</v>
      </c>
      <c r="C124" s="82">
        <v>2023</v>
      </c>
      <c r="D124" s="82" t="s">
        <v>16</v>
      </c>
      <c r="E124" s="126">
        <v>3</v>
      </c>
      <c r="F124" s="84" t="s">
        <v>178</v>
      </c>
      <c r="G124" s="87">
        <v>40.358532650480846</v>
      </c>
      <c r="H124" s="87">
        <v>59.641467349519154</v>
      </c>
      <c r="I124" s="88">
        <v>1.5930800626672676</v>
      </c>
      <c r="J124" s="88">
        <v>7.0292267633901711</v>
      </c>
      <c r="K124" s="87">
        <v>59.252336407218365</v>
      </c>
      <c r="L124" s="87">
        <v>40.747663592781635</v>
      </c>
      <c r="M124" s="87">
        <v>50.068843908598637</v>
      </c>
      <c r="N124" s="87">
        <v>70</v>
      </c>
      <c r="O124" s="88">
        <v>10.679523678979546</v>
      </c>
      <c r="P124" s="87">
        <v>60</v>
      </c>
      <c r="Q124" s="88">
        <v>47.483671541138193</v>
      </c>
      <c r="R124" s="88">
        <v>37.986937232910556</v>
      </c>
      <c r="S124" s="87">
        <v>0</v>
      </c>
      <c r="T124" s="87">
        <v>0</v>
      </c>
      <c r="U124" s="87">
        <v>121.3294855592554</v>
      </c>
      <c r="V124" s="87">
        <v>80</v>
      </c>
      <c r="W124" s="87">
        <v>92.120871963584435</v>
      </c>
      <c r="X124" s="87">
        <v>100</v>
      </c>
      <c r="Y124" s="87">
        <v>5.3378888427658248E-2</v>
      </c>
      <c r="Z124" s="87">
        <v>60</v>
      </c>
      <c r="AA124" s="87">
        <v>60.053378888427659</v>
      </c>
      <c r="AB124" s="87">
        <v>12.010675777685533</v>
      </c>
      <c r="AC124" s="68">
        <v>49.986937232910556</v>
      </c>
      <c r="AD124" s="68">
        <v>49.997613010596091</v>
      </c>
      <c r="AE124" s="68" t="s">
        <v>109</v>
      </c>
      <c r="AF124" s="68">
        <f t="shared" si="1"/>
        <v>24</v>
      </c>
    </row>
    <row r="125" spans="1:32" ht="14.4" customHeight="1" x14ac:dyDescent="0.3">
      <c r="A125" s="82" t="s">
        <v>114</v>
      </c>
      <c r="B125" s="81" t="s">
        <v>157</v>
      </c>
      <c r="C125" s="82">
        <v>2023</v>
      </c>
      <c r="D125" s="82" t="s">
        <v>7</v>
      </c>
      <c r="E125" s="147">
        <v>2</v>
      </c>
      <c r="F125" s="84" t="s">
        <v>178</v>
      </c>
      <c r="G125" s="87">
        <v>30.010563685316935</v>
      </c>
      <c r="H125" s="87">
        <v>69.989436314683061</v>
      </c>
      <c r="I125" s="88">
        <v>1.1648411267799403</v>
      </c>
      <c r="J125" s="88">
        <v>2.1849063826117687</v>
      </c>
      <c r="K125" s="87">
        <v>46.524615460872504</v>
      </c>
      <c r="L125" s="87">
        <v>53.475384539127496</v>
      </c>
      <c r="M125" s="87">
        <v>63.288366685426126</v>
      </c>
      <c r="N125" s="87">
        <v>80</v>
      </c>
      <c r="O125" s="88">
        <v>39.283338394509379</v>
      </c>
      <c r="P125" s="87">
        <v>0</v>
      </c>
      <c r="Q125" s="88">
        <v>41.12994544728447</v>
      </c>
      <c r="R125" s="88">
        <v>32.903956357827575</v>
      </c>
      <c r="S125" s="87">
        <v>0.8083717252714564</v>
      </c>
      <c r="T125" s="87">
        <v>7.3484304117129025</v>
      </c>
      <c r="U125" s="87">
        <v>115.13343925868001</v>
      </c>
      <c r="V125" s="87">
        <v>100</v>
      </c>
      <c r="W125" s="87">
        <v>92.994729813190958</v>
      </c>
      <c r="X125" s="87">
        <v>100</v>
      </c>
      <c r="Y125" s="87">
        <v>0</v>
      </c>
      <c r="Z125" s="87">
        <v>69.116143470570975</v>
      </c>
      <c r="AA125" s="87">
        <v>69.116143470570975</v>
      </c>
      <c r="AB125" s="87">
        <v>13.823228694114196</v>
      </c>
      <c r="AC125" s="68">
        <v>46.727185051941774</v>
      </c>
      <c r="AD125" s="68">
        <v>46.727185051941774</v>
      </c>
      <c r="AE125" s="68" t="s">
        <v>109</v>
      </c>
      <c r="AF125" s="68">
        <f t="shared" si="1"/>
        <v>31</v>
      </c>
    </row>
    <row r="126" spans="1:32" ht="14.4" customHeight="1" x14ac:dyDescent="0.3">
      <c r="A126" s="82" t="s">
        <v>106</v>
      </c>
      <c r="B126" s="81" t="s">
        <v>165</v>
      </c>
      <c r="C126" s="82">
        <v>2023</v>
      </c>
      <c r="D126" s="82" t="s">
        <v>173</v>
      </c>
      <c r="E126" s="126">
        <v>3</v>
      </c>
      <c r="F126" s="84" t="s">
        <v>178</v>
      </c>
      <c r="G126" s="87">
        <v>26.158794889877235</v>
      </c>
      <c r="H126" s="87">
        <v>73.841205110122758</v>
      </c>
      <c r="I126" s="88">
        <v>22.663660119266531</v>
      </c>
      <c r="J126" s="88">
        <v>100.00000000000001</v>
      </c>
      <c r="K126" s="87">
        <v>19.037801851253981</v>
      </c>
      <c r="L126" s="87">
        <v>80.962198148746012</v>
      </c>
      <c r="M126" s="87">
        <v>-8.1593626420138019</v>
      </c>
      <c r="N126" s="87">
        <v>0</v>
      </c>
      <c r="O126" s="88">
        <v>10.837944173995195</v>
      </c>
      <c r="P126" s="87">
        <v>60</v>
      </c>
      <c r="Q126" s="88">
        <v>62.960680651773757</v>
      </c>
      <c r="R126" s="88">
        <v>50.368544521419011</v>
      </c>
      <c r="S126" s="87">
        <v>0</v>
      </c>
      <c r="T126" s="87">
        <v>0</v>
      </c>
      <c r="U126" s="87">
        <v>69.67363555377807</v>
      </c>
      <c r="V126" s="87">
        <v>60</v>
      </c>
      <c r="W126" s="87">
        <v>91.021166107278162</v>
      </c>
      <c r="X126" s="87">
        <v>100</v>
      </c>
      <c r="Y126" s="87">
        <v>0</v>
      </c>
      <c r="Z126" s="87">
        <v>53.333333333333336</v>
      </c>
      <c r="AA126" s="87">
        <v>53.333333333333336</v>
      </c>
      <c r="AB126" s="87">
        <v>10.666666666666668</v>
      </c>
      <c r="AC126" s="68">
        <v>61.035211188085682</v>
      </c>
      <c r="AD126" s="68">
        <v>61.035211188085682</v>
      </c>
      <c r="AE126" s="68" t="s">
        <v>98</v>
      </c>
      <c r="AF126" s="68">
        <f t="shared" si="1"/>
        <v>8</v>
      </c>
    </row>
    <row r="127" spans="1:32" ht="14.4" customHeight="1" x14ac:dyDescent="0.3">
      <c r="A127" s="82" t="s">
        <v>117</v>
      </c>
      <c r="B127" s="81" t="s">
        <v>158</v>
      </c>
      <c r="C127" s="82">
        <v>2023</v>
      </c>
      <c r="D127" s="82" t="s">
        <v>17</v>
      </c>
      <c r="E127" s="147">
        <v>1</v>
      </c>
      <c r="F127" s="84" t="s">
        <v>178</v>
      </c>
      <c r="G127" s="87">
        <v>40.456076251342353</v>
      </c>
      <c r="H127" s="87">
        <v>59.543923748657647</v>
      </c>
      <c r="I127" s="88">
        <v>12.797078475185518</v>
      </c>
      <c r="J127" s="88">
        <v>100.00000000000001</v>
      </c>
      <c r="K127" s="87">
        <v>82.489529331106723</v>
      </c>
      <c r="L127" s="87">
        <v>17.510470668893277</v>
      </c>
      <c r="M127" s="87">
        <v>41.993183227712635</v>
      </c>
      <c r="N127" s="87">
        <v>50</v>
      </c>
      <c r="O127" s="88">
        <v>19.720124265384005</v>
      </c>
      <c r="P127" s="87">
        <v>40</v>
      </c>
      <c r="Q127" s="88">
        <v>53.410878883510193</v>
      </c>
      <c r="R127" s="88">
        <v>42.728703106808155</v>
      </c>
      <c r="S127" s="87">
        <v>0</v>
      </c>
      <c r="T127" s="87">
        <v>0</v>
      </c>
      <c r="U127" s="87">
        <v>106.85691241570339</v>
      </c>
      <c r="V127" s="87">
        <v>100</v>
      </c>
      <c r="W127" s="87">
        <v>86.500439932906716</v>
      </c>
      <c r="X127" s="87">
        <v>80</v>
      </c>
      <c r="Y127" s="87">
        <v>0</v>
      </c>
      <c r="Z127" s="87">
        <v>60</v>
      </c>
      <c r="AA127" s="87">
        <v>60</v>
      </c>
      <c r="AB127" s="87">
        <v>12</v>
      </c>
      <c r="AC127" s="68">
        <v>54.728703106808155</v>
      </c>
      <c r="AD127" s="68">
        <v>54.728703106808155</v>
      </c>
      <c r="AE127" s="68" t="s">
        <v>109</v>
      </c>
      <c r="AF127" s="68">
        <f t="shared" si="1"/>
        <v>17</v>
      </c>
    </row>
    <row r="128" spans="1:32" ht="14.4" customHeight="1" x14ac:dyDescent="0.3">
      <c r="A128" s="82" t="s">
        <v>97</v>
      </c>
      <c r="B128" s="81" t="s">
        <v>159</v>
      </c>
      <c r="C128" s="82">
        <v>2023</v>
      </c>
      <c r="D128" s="82" t="s">
        <v>18</v>
      </c>
      <c r="E128" s="126">
        <v>3</v>
      </c>
      <c r="F128" s="84" t="s">
        <v>178</v>
      </c>
      <c r="G128" s="87">
        <v>71.174714195424485</v>
      </c>
      <c r="H128" s="87">
        <v>28.825285804575515</v>
      </c>
      <c r="I128" s="88">
        <v>17.151758090589961</v>
      </c>
      <c r="J128" s="88">
        <v>75.679559260638285</v>
      </c>
      <c r="K128" s="87">
        <v>35.200112212562104</v>
      </c>
      <c r="L128" s="87">
        <v>64.799887787437896</v>
      </c>
      <c r="M128" s="87">
        <v>56.695722508263621</v>
      </c>
      <c r="N128" s="87">
        <v>80</v>
      </c>
      <c r="O128" s="88">
        <v>0.77665280660436464</v>
      </c>
      <c r="P128" s="87">
        <v>100</v>
      </c>
      <c r="Q128" s="88">
        <v>69.860946570530331</v>
      </c>
      <c r="R128" s="88">
        <v>55.88875725642427</v>
      </c>
      <c r="S128" s="87">
        <v>1.4905279823988451</v>
      </c>
      <c r="T128" s="87">
        <v>24.253089244092639</v>
      </c>
      <c r="U128" s="87">
        <v>133.83626495921987</v>
      </c>
      <c r="V128" s="87">
        <v>70</v>
      </c>
      <c r="W128" s="87">
        <v>89.878127800643057</v>
      </c>
      <c r="X128" s="87">
        <v>80</v>
      </c>
      <c r="Y128" s="87">
        <v>0</v>
      </c>
      <c r="Z128" s="87">
        <v>58.084363081364209</v>
      </c>
      <c r="AA128" s="87">
        <v>58.084363081364209</v>
      </c>
      <c r="AB128" s="87">
        <v>11.616872616272843</v>
      </c>
      <c r="AC128" s="68">
        <v>67.505629872697114</v>
      </c>
      <c r="AD128" s="68">
        <v>67.505629872697114</v>
      </c>
      <c r="AE128" s="68" t="s">
        <v>98</v>
      </c>
      <c r="AF128" s="68">
        <f t="shared" si="1"/>
        <v>6</v>
      </c>
    </row>
    <row r="129" spans="1:32" ht="14.4" customHeight="1" x14ac:dyDescent="0.3">
      <c r="A129" s="82" t="s">
        <v>108</v>
      </c>
      <c r="B129" s="81" t="s">
        <v>160</v>
      </c>
      <c r="C129" s="82">
        <v>2023</v>
      </c>
      <c r="D129" s="82" t="s">
        <v>19</v>
      </c>
      <c r="E129" s="147">
        <v>2</v>
      </c>
      <c r="F129" s="84" t="s">
        <v>178</v>
      </c>
      <c r="G129" s="87">
        <v>55.89152230730808</v>
      </c>
      <c r="H129" s="87">
        <v>44.10847769269192</v>
      </c>
      <c r="I129" s="88">
        <v>2.9301535871700066</v>
      </c>
      <c r="J129" s="88">
        <v>5.4961240013377308</v>
      </c>
      <c r="K129" s="87">
        <v>82.964033925218132</v>
      </c>
      <c r="L129" s="87">
        <v>17.035966074781868</v>
      </c>
      <c r="M129" s="87">
        <v>36.379081025084439</v>
      </c>
      <c r="N129" s="87">
        <v>50</v>
      </c>
      <c r="O129" s="88">
        <v>1.0197756663332445</v>
      </c>
      <c r="P129" s="87">
        <v>100</v>
      </c>
      <c r="Q129" s="88">
        <v>43.328113553762307</v>
      </c>
      <c r="R129" s="88">
        <v>34.662490843009849</v>
      </c>
      <c r="S129" s="87">
        <v>14.76966552425008</v>
      </c>
      <c r="T129" s="87">
        <v>100</v>
      </c>
      <c r="U129" s="87">
        <v>100.94355468728628</v>
      </c>
      <c r="V129" s="87">
        <v>100</v>
      </c>
      <c r="W129" s="87">
        <v>89.276829651216445</v>
      </c>
      <c r="X129" s="87">
        <v>80</v>
      </c>
      <c r="Y129" s="87">
        <v>0</v>
      </c>
      <c r="Z129" s="87">
        <v>93.333333333333329</v>
      </c>
      <c r="AA129" s="87">
        <v>93.333333333333329</v>
      </c>
      <c r="AB129" s="87">
        <v>18.666666666666668</v>
      </c>
      <c r="AC129" s="68">
        <v>53.32915750967652</v>
      </c>
      <c r="AD129" s="68">
        <v>53.32915750967652</v>
      </c>
      <c r="AE129" s="68" t="s">
        <v>109</v>
      </c>
      <c r="AF129" s="68">
        <f t="shared" si="1"/>
        <v>20</v>
      </c>
    </row>
    <row r="130" spans="1:32" ht="14.4" customHeight="1" x14ac:dyDescent="0.3">
      <c r="A130" s="82" t="s">
        <v>103</v>
      </c>
      <c r="B130" s="81" t="s">
        <v>161</v>
      </c>
      <c r="C130" s="82">
        <v>2023</v>
      </c>
      <c r="D130" s="82" t="s">
        <v>20</v>
      </c>
      <c r="E130" s="152" t="s">
        <v>51</v>
      </c>
      <c r="F130" s="84" t="s">
        <v>178</v>
      </c>
      <c r="G130" s="87">
        <v>22.763110296703854</v>
      </c>
      <c r="H130" s="87">
        <v>77.236889703296143</v>
      </c>
      <c r="I130" s="88">
        <v>4.5782910559058108</v>
      </c>
      <c r="J130" s="88">
        <v>82.165721722218706</v>
      </c>
      <c r="K130" s="87">
        <v>71.797350921280952</v>
      </c>
      <c r="L130" s="87">
        <v>28.202649078719048</v>
      </c>
      <c r="M130" s="87">
        <v>63.683350939569394</v>
      </c>
      <c r="N130" s="87">
        <v>80</v>
      </c>
      <c r="O130" s="88">
        <v>8.8512530343667137</v>
      </c>
      <c r="P130" s="87">
        <v>80</v>
      </c>
      <c r="Q130" s="88">
        <v>69.521052100846788</v>
      </c>
      <c r="R130" s="88">
        <v>55.616841680677432</v>
      </c>
      <c r="S130" s="87">
        <v>8.4937443363511491</v>
      </c>
      <c r="T130" s="87">
        <v>59.276537632557776</v>
      </c>
      <c r="U130" s="87">
        <v>104.8327366738915</v>
      </c>
      <c r="V130" s="87">
        <v>100</v>
      </c>
      <c r="W130" s="87">
        <v>90.411888118837012</v>
      </c>
      <c r="X130" s="87">
        <v>100</v>
      </c>
      <c r="Y130" s="87">
        <v>0</v>
      </c>
      <c r="Z130" s="87">
        <v>86.425512544185935</v>
      </c>
      <c r="AA130" s="87">
        <v>86.425512544185935</v>
      </c>
      <c r="AB130" s="87">
        <v>17.285102508837188</v>
      </c>
      <c r="AC130" s="68">
        <v>72.901944189514623</v>
      </c>
      <c r="AD130" s="68">
        <v>72.901944189514623</v>
      </c>
      <c r="AE130" s="68" t="s">
        <v>95</v>
      </c>
      <c r="AF130" s="68">
        <f t="shared" si="1"/>
        <v>2</v>
      </c>
    </row>
    <row r="131" spans="1:32" ht="14.4" customHeight="1" x14ac:dyDescent="0.3">
      <c r="A131" s="82" t="s">
        <v>123</v>
      </c>
      <c r="B131" s="81" t="s">
        <v>169</v>
      </c>
      <c r="C131" s="82">
        <v>2023</v>
      </c>
      <c r="D131" s="82" t="s">
        <v>124</v>
      </c>
      <c r="E131" s="147">
        <v>4</v>
      </c>
      <c r="F131" s="84" t="s">
        <v>178</v>
      </c>
      <c r="G131" s="87">
        <v>74.059811413238592</v>
      </c>
      <c r="H131" s="87">
        <v>25.940188586761408</v>
      </c>
      <c r="I131" s="88">
        <v>2.5743309505181489</v>
      </c>
      <c r="J131" s="88">
        <v>16.833951017356092</v>
      </c>
      <c r="K131" s="87">
        <v>10.413843026142807</v>
      </c>
      <c r="L131" s="87">
        <v>89.586156973857186</v>
      </c>
      <c r="M131" s="87">
        <v>66.204712304237916</v>
      </c>
      <c r="N131" s="87">
        <v>100</v>
      </c>
      <c r="O131" s="88">
        <v>46.839559107606199</v>
      </c>
      <c r="P131" s="87">
        <v>0</v>
      </c>
      <c r="Q131" s="88">
        <v>46.472059315594933</v>
      </c>
      <c r="R131" s="88">
        <v>37.177647452475945</v>
      </c>
      <c r="S131" s="87">
        <v>38.300432117228155</v>
      </c>
      <c r="T131" s="87">
        <v>100</v>
      </c>
      <c r="U131" s="87">
        <v>150.16432753460595</v>
      </c>
      <c r="V131" s="87">
        <v>0</v>
      </c>
      <c r="W131" s="87">
        <v>88.985006545187886</v>
      </c>
      <c r="X131" s="87">
        <v>80</v>
      </c>
      <c r="Y131" s="87">
        <v>0.35005865319602036</v>
      </c>
      <c r="Z131" s="87">
        <v>60</v>
      </c>
      <c r="AA131" s="87">
        <v>60.350058653196022</v>
      </c>
      <c r="AB131" s="87">
        <v>12.070011730639205</v>
      </c>
      <c r="AC131" s="68">
        <v>49.177647452475945</v>
      </c>
      <c r="AD131" s="68">
        <v>49.247659183115147</v>
      </c>
      <c r="AE131" s="68" t="s">
        <v>109</v>
      </c>
      <c r="AF131" s="68">
        <f t="shared" si="1"/>
        <v>27</v>
      </c>
    </row>
    <row r="132" spans="1:32" ht="14.4" customHeight="1" x14ac:dyDescent="0.3">
      <c r="A132" s="82" t="s">
        <v>134</v>
      </c>
      <c r="B132" s="81" t="s">
        <v>170</v>
      </c>
      <c r="C132" s="82">
        <v>2023</v>
      </c>
      <c r="D132" s="82" t="s">
        <v>26</v>
      </c>
      <c r="E132" s="147">
        <v>4</v>
      </c>
      <c r="F132" s="84" t="s">
        <v>178</v>
      </c>
      <c r="G132" s="87">
        <v>66.450854624044752</v>
      </c>
      <c r="H132" s="87">
        <v>33.549145375955248</v>
      </c>
      <c r="I132" s="88">
        <v>3.3367804647621839</v>
      </c>
      <c r="J132" s="88">
        <v>21.819727136548408</v>
      </c>
      <c r="K132" s="87">
        <v>18.363319098271408</v>
      </c>
      <c r="L132" s="87">
        <v>81.636680901728596</v>
      </c>
      <c r="M132" s="87">
        <v>43.046998251735886</v>
      </c>
      <c r="N132" s="87">
        <v>50</v>
      </c>
      <c r="O132" s="88">
        <v>12.480291137088612</v>
      </c>
      <c r="P132" s="87">
        <v>60</v>
      </c>
      <c r="Q132" s="88">
        <v>49.401110682846451</v>
      </c>
      <c r="R132" s="88">
        <v>39.520888546277163</v>
      </c>
      <c r="S132" s="87">
        <v>9.2485583291120577</v>
      </c>
      <c r="T132" s="87">
        <v>64.856674250736532</v>
      </c>
      <c r="U132" s="87">
        <v>152.33152045453176</v>
      </c>
      <c r="V132" s="87">
        <v>0</v>
      </c>
      <c r="W132" s="87">
        <v>84.604137787704758</v>
      </c>
      <c r="X132" s="87">
        <v>80</v>
      </c>
      <c r="Y132" s="87">
        <v>0.43567456633630003</v>
      </c>
      <c r="Z132" s="87">
        <v>48.285558083578849</v>
      </c>
      <c r="AA132" s="87">
        <v>48.721232649915152</v>
      </c>
      <c r="AB132" s="87">
        <v>9.7442465299830303</v>
      </c>
      <c r="AC132" s="68">
        <v>49.17800016299293</v>
      </c>
      <c r="AD132" s="68">
        <v>49.265135076260194</v>
      </c>
      <c r="AE132" s="68" t="s">
        <v>109</v>
      </c>
      <c r="AF132" s="68">
        <f t="shared" si="1"/>
        <v>26</v>
      </c>
    </row>
    <row r="133" spans="1:32" ht="14.4" customHeight="1" x14ac:dyDescent="0.3">
      <c r="A133" s="82" t="s">
        <v>125</v>
      </c>
      <c r="B133" s="82" t="s">
        <v>163</v>
      </c>
      <c r="C133" s="82">
        <v>2024</v>
      </c>
      <c r="D133" s="82" t="s">
        <v>22</v>
      </c>
      <c r="E133" s="126">
        <v>3</v>
      </c>
      <c r="F133" s="92">
        <v>2</v>
      </c>
      <c r="G133" s="87">
        <v>52.476948078338765</v>
      </c>
      <c r="H133" s="87">
        <v>47.523051921661235</v>
      </c>
      <c r="I133" s="87">
        <v>48.179320422459881</v>
      </c>
      <c r="J133" s="87">
        <v>100</v>
      </c>
      <c r="K133" s="87">
        <v>22.704587991763088</v>
      </c>
      <c r="L133" s="87">
        <v>77.295412008236909</v>
      </c>
      <c r="M133" s="87">
        <v>54.013172226294337</v>
      </c>
      <c r="N133" s="87">
        <v>70</v>
      </c>
      <c r="O133" s="87">
        <v>15.269576646256182</v>
      </c>
      <c r="P133" s="87">
        <v>40</v>
      </c>
      <c r="Q133" s="87">
        <v>66.963692785979632</v>
      </c>
      <c r="R133" s="87">
        <v>53.570954228783705</v>
      </c>
      <c r="S133" s="87">
        <v>11.142043801892179</v>
      </c>
      <c r="T133" s="87">
        <v>100</v>
      </c>
      <c r="U133" s="87">
        <v>144.17725048145587</v>
      </c>
      <c r="V133" s="87">
        <v>60</v>
      </c>
      <c r="W133" s="87">
        <v>91.106523968230022</v>
      </c>
      <c r="X133" s="87">
        <v>100</v>
      </c>
      <c r="Y133" s="87">
        <v>0</v>
      </c>
      <c r="Z133" s="87">
        <v>86.666666666666671</v>
      </c>
      <c r="AA133" s="87">
        <v>86.666666666666671</v>
      </c>
      <c r="AB133" s="87">
        <v>17.333333333333336</v>
      </c>
      <c r="AC133" s="87">
        <v>70.904287562117048</v>
      </c>
      <c r="AD133" s="87">
        <v>70.904287562117048</v>
      </c>
      <c r="AE133" s="82" t="s">
        <v>95</v>
      </c>
      <c r="AF133" s="68">
        <f t="shared" si="1"/>
        <v>1</v>
      </c>
    </row>
    <row r="134" spans="1:32" ht="13.5" customHeight="1" x14ac:dyDescent="0.3">
      <c r="A134" s="82" t="s">
        <v>104</v>
      </c>
      <c r="B134" s="82" t="s">
        <v>146</v>
      </c>
      <c r="C134" s="82">
        <v>2024</v>
      </c>
      <c r="D134" s="82" t="s">
        <v>9</v>
      </c>
      <c r="E134" s="147">
        <v>2</v>
      </c>
      <c r="F134" s="92">
        <v>1</v>
      </c>
      <c r="G134" s="87">
        <v>61.414400256586212</v>
      </c>
      <c r="H134" s="87">
        <v>38.585599743413788</v>
      </c>
      <c r="I134" s="87">
        <v>52.081309351804371</v>
      </c>
      <c r="J134" s="87">
        <v>100</v>
      </c>
      <c r="K134" s="87">
        <v>25.144736379864334</v>
      </c>
      <c r="L134" s="87">
        <v>74.855263620135673</v>
      </c>
      <c r="M134" s="87">
        <v>52.830073222360298</v>
      </c>
      <c r="N134" s="87">
        <v>70</v>
      </c>
      <c r="O134" s="87">
        <v>11.822151672042093</v>
      </c>
      <c r="P134" s="87">
        <v>60</v>
      </c>
      <c r="Q134" s="87">
        <v>68.688172672709896</v>
      </c>
      <c r="R134" s="87">
        <v>54.950538138167921</v>
      </c>
      <c r="S134" s="87">
        <v>3.140512351848038</v>
      </c>
      <c r="T134" s="87">
        <v>26.964189747476148</v>
      </c>
      <c r="U134" s="87">
        <v>116.08065707166776</v>
      </c>
      <c r="V134" s="87">
        <v>100</v>
      </c>
      <c r="W134" s="87">
        <v>82.0985808244981</v>
      </c>
      <c r="X134" s="87">
        <v>80</v>
      </c>
      <c r="Y134" s="87">
        <v>0</v>
      </c>
      <c r="Z134" s="87">
        <v>68.988063249158714</v>
      </c>
      <c r="AA134" s="87">
        <v>68.988063249158714</v>
      </c>
      <c r="AB134" s="87">
        <v>13.797612649831743</v>
      </c>
      <c r="AC134" s="87">
        <v>68.748150787999663</v>
      </c>
      <c r="AD134" s="87">
        <v>68.748150787999663</v>
      </c>
      <c r="AE134" s="82" t="s">
        <v>98</v>
      </c>
      <c r="AF134" s="68">
        <f t="shared" ref="AF134:AF164" si="2">COUNTIFS($C$5:$C$164,$C134,$AD$5:$AD$164,"&gt;"&amp;$AD134)+1</f>
        <v>2</v>
      </c>
    </row>
    <row r="135" spans="1:32" ht="14.4" customHeight="1" x14ac:dyDescent="0.3">
      <c r="A135" s="82" t="s">
        <v>94</v>
      </c>
      <c r="B135" s="82" t="s">
        <v>140</v>
      </c>
      <c r="C135" s="82">
        <v>2024</v>
      </c>
      <c r="D135" s="82" t="s">
        <v>27</v>
      </c>
      <c r="E135" s="147">
        <v>1</v>
      </c>
      <c r="F135" s="92">
        <v>1</v>
      </c>
      <c r="G135" s="87">
        <v>34.211001887278144</v>
      </c>
      <c r="H135" s="87">
        <v>65.788998112721856</v>
      </c>
      <c r="I135" s="87">
        <v>5.3696511289117304</v>
      </c>
      <c r="J135" s="87">
        <v>10.310130823786015</v>
      </c>
      <c r="K135" s="87">
        <v>62.043276643800063</v>
      </c>
      <c r="L135" s="87">
        <v>37.956723356199937</v>
      </c>
      <c r="M135" s="87">
        <v>72.688552171829528</v>
      </c>
      <c r="N135" s="87">
        <v>100</v>
      </c>
      <c r="O135" s="87">
        <v>13.625166184260571</v>
      </c>
      <c r="P135" s="87">
        <v>60</v>
      </c>
      <c r="Q135" s="87">
        <v>54.811170458541561</v>
      </c>
      <c r="R135" s="87">
        <v>43.84893636683325</v>
      </c>
      <c r="S135" s="87">
        <v>18.2007198797006</v>
      </c>
      <c r="T135" s="87">
        <v>100</v>
      </c>
      <c r="U135" s="87">
        <v>93.086097190199368</v>
      </c>
      <c r="V135" s="87">
        <v>100</v>
      </c>
      <c r="W135" s="87">
        <v>77.981016453478617</v>
      </c>
      <c r="X135" s="87">
        <v>70</v>
      </c>
      <c r="Y135" s="87">
        <v>0</v>
      </c>
      <c r="Z135" s="87">
        <v>90</v>
      </c>
      <c r="AA135" s="87">
        <v>90</v>
      </c>
      <c r="AB135" s="87">
        <v>18</v>
      </c>
      <c r="AC135" s="87">
        <v>61.84893636683325</v>
      </c>
      <c r="AD135" s="87">
        <v>61.84893636683325</v>
      </c>
      <c r="AE135" s="82" t="s">
        <v>98</v>
      </c>
      <c r="AF135" s="68">
        <f t="shared" si="2"/>
        <v>3</v>
      </c>
    </row>
    <row r="136" spans="1:32" ht="14.4" x14ac:dyDescent="0.3">
      <c r="A136" s="82" t="s">
        <v>100</v>
      </c>
      <c r="B136" s="82" t="s">
        <v>150</v>
      </c>
      <c r="C136" s="82">
        <v>2024</v>
      </c>
      <c r="D136" s="82" t="s">
        <v>11</v>
      </c>
      <c r="E136" s="147">
        <v>2</v>
      </c>
      <c r="F136" s="92">
        <v>1</v>
      </c>
      <c r="G136" s="87">
        <v>57.575429535718428</v>
      </c>
      <c r="H136" s="87">
        <v>42.424570464281572</v>
      </c>
      <c r="I136" s="87">
        <v>22.221451996559438</v>
      </c>
      <c r="J136" s="87">
        <v>42.666845886027183</v>
      </c>
      <c r="K136" s="87">
        <v>70.449018467790026</v>
      </c>
      <c r="L136" s="87">
        <v>29.550981532209974</v>
      </c>
      <c r="M136" s="87">
        <v>60.511940066955404</v>
      </c>
      <c r="N136" s="87">
        <v>80</v>
      </c>
      <c r="O136" s="87">
        <v>10.748473986152195</v>
      </c>
      <c r="P136" s="87">
        <v>60</v>
      </c>
      <c r="Q136" s="87">
        <v>50.92847957650374</v>
      </c>
      <c r="R136" s="87">
        <v>40.742783661202992</v>
      </c>
      <c r="S136" s="87">
        <v>17.621921265647295</v>
      </c>
      <c r="T136" s="87">
        <v>100</v>
      </c>
      <c r="U136" s="87">
        <v>102.22452601618838</v>
      </c>
      <c r="V136" s="87">
        <v>100</v>
      </c>
      <c r="W136" s="87">
        <v>91.811071113553595</v>
      </c>
      <c r="X136" s="87">
        <v>100</v>
      </c>
      <c r="Y136" s="87">
        <v>0</v>
      </c>
      <c r="Z136" s="87">
        <v>100</v>
      </c>
      <c r="AA136" s="87">
        <v>100</v>
      </c>
      <c r="AB136" s="87">
        <v>20</v>
      </c>
      <c r="AC136" s="87">
        <v>60.742783661202992</v>
      </c>
      <c r="AD136" s="87">
        <v>60.742783661202992</v>
      </c>
      <c r="AE136" s="82" t="s">
        <v>98</v>
      </c>
      <c r="AF136" s="68">
        <f t="shared" si="2"/>
        <v>4</v>
      </c>
    </row>
    <row r="137" spans="1:32" ht="14.4" x14ac:dyDescent="0.3">
      <c r="A137" s="82" t="s">
        <v>97</v>
      </c>
      <c r="B137" s="82" t="s">
        <v>159</v>
      </c>
      <c r="C137" s="82">
        <v>2024</v>
      </c>
      <c r="D137" s="82" t="s">
        <v>18</v>
      </c>
      <c r="E137" s="126">
        <v>3</v>
      </c>
      <c r="F137" s="92">
        <v>1</v>
      </c>
      <c r="G137" s="87">
        <v>70.841224117975216</v>
      </c>
      <c r="H137" s="87">
        <v>29.158775882024784</v>
      </c>
      <c r="I137" s="87">
        <v>22.233328471282896</v>
      </c>
      <c r="J137" s="87">
        <v>42.68964960365885</v>
      </c>
      <c r="K137" s="87">
        <v>34.394761855011211</v>
      </c>
      <c r="L137" s="87">
        <v>65.605238144988789</v>
      </c>
      <c r="M137" s="87">
        <v>49.379725201358433</v>
      </c>
      <c r="N137" s="87">
        <v>70</v>
      </c>
      <c r="O137" s="87">
        <v>-4.7378580185394146</v>
      </c>
      <c r="P137" s="87">
        <v>100</v>
      </c>
      <c r="Q137" s="87">
        <v>61.490732726134482</v>
      </c>
      <c r="R137" s="87">
        <v>49.19258618090759</v>
      </c>
      <c r="S137" s="87">
        <v>0</v>
      </c>
      <c r="T137" s="87">
        <v>0</v>
      </c>
      <c r="U137" s="87">
        <v>94.541541759473787</v>
      </c>
      <c r="V137" s="87">
        <v>100</v>
      </c>
      <c r="W137" s="87">
        <v>79.525199018693357</v>
      </c>
      <c r="X137" s="87">
        <v>70</v>
      </c>
      <c r="Y137" s="87">
        <v>0</v>
      </c>
      <c r="Z137" s="87">
        <v>56.666666666666664</v>
      </c>
      <c r="AA137" s="87">
        <v>56.666666666666664</v>
      </c>
      <c r="AB137" s="87">
        <v>11.333333333333334</v>
      </c>
      <c r="AC137" s="87">
        <v>60.525919514240925</v>
      </c>
      <c r="AD137" s="87">
        <v>60.525919514240925</v>
      </c>
      <c r="AE137" s="82" t="s">
        <v>98</v>
      </c>
      <c r="AF137" s="68">
        <f t="shared" si="2"/>
        <v>5</v>
      </c>
    </row>
    <row r="138" spans="1:32" ht="14.4" x14ac:dyDescent="0.3">
      <c r="A138" s="82" t="s">
        <v>110</v>
      </c>
      <c r="B138" s="82" t="s">
        <v>162</v>
      </c>
      <c r="C138" s="82">
        <v>2024</v>
      </c>
      <c r="D138" s="82" t="s">
        <v>21</v>
      </c>
      <c r="E138" s="147">
        <v>4</v>
      </c>
      <c r="F138" s="92">
        <v>3</v>
      </c>
      <c r="G138" s="87">
        <v>79.193745250865007</v>
      </c>
      <c r="H138" s="87">
        <v>20.806254749134993</v>
      </c>
      <c r="I138" s="87">
        <v>14.963085714046425</v>
      </c>
      <c r="J138" s="87">
        <v>66.004741554158358</v>
      </c>
      <c r="K138" s="87">
        <v>53.464309663471035</v>
      </c>
      <c r="L138" s="87">
        <v>46.535690336528965</v>
      </c>
      <c r="M138" s="87">
        <v>41.842121900167157</v>
      </c>
      <c r="N138" s="87">
        <v>50</v>
      </c>
      <c r="O138" s="87">
        <v>4.5541325403078048</v>
      </c>
      <c r="P138" s="87">
        <v>100</v>
      </c>
      <c r="Q138" s="87">
        <v>56.66933732796447</v>
      </c>
      <c r="R138" s="87">
        <v>45.335469862371582</v>
      </c>
      <c r="S138" s="87">
        <v>7.79322833980995</v>
      </c>
      <c r="T138" s="87">
        <v>47.824909864818181</v>
      </c>
      <c r="U138" s="87">
        <v>123.51248452699161</v>
      </c>
      <c r="V138" s="87">
        <v>80</v>
      </c>
      <c r="W138" s="87">
        <v>89.071446594757433</v>
      </c>
      <c r="X138" s="87">
        <v>80</v>
      </c>
      <c r="Y138" s="87">
        <v>0</v>
      </c>
      <c r="Z138" s="87">
        <v>69.274969954939394</v>
      </c>
      <c r="AA138" s="87">
        <v>69.274969954939394</v>
      </c>
      <c r="AB138" s="87">
        <v>13.854993990987879</v>
      </c>
      <c r="AC138" s="87">
        <v>59.190463853359461</v>
      </c>
      <c r="AD138" s="87">
        <v>59.190463853359461</v>
      </c>
      <c r="AE138" s="82" t="s">
        <v>109</v>
      </c>
      <c r="AF138" s="68">
        <f t="shared" si="2"/>
        <v>6</v>
      </c>
    </row>
    <row r="139" spans="1:32" ht="13.5" customHeight="1" x14ac:dyDescent="0.3">
      <c r="A139" s="82" t="s">
        <v>101</v>
      </c>
      <c r="B139" s="81" t="s">
        <v>168</v>
      </c>
      <c r="C139" s="82">
        <v>2024</v>
      </c>
      <c r="D139" s="82" t="s">
        <v>25</v>
      </c>
      <c r="E139" s="147">
        <v>4</v>
      </c>
      <c r="F139" s="93">
        <v>3</v>
      </c>
      <c r="G139" s="87">
        <v>72.577203200699444</v>
      </c>
      <c r="H139" s="87">
        <v>27.422796799300556</v>
      </c>
      <c r="I139" s="88">
        <v>21.283029374889658</v>
      </c>
      <c r="J139" s="88">
        <v>93.88309872878898</v>
      </c>
      <c r="K139" s="87">
        <v>21.788201041423712</v>
      </c>
      <c r="L139" s="87">
        <v>78.211798958576281</v>
      </c>
      <c r="M139" s="87">
        <v>36.236550634107097</v>
      </c>
      <c r="N139" s="87">
        <v>50</v>
      </c>
      <c r="O139" s="88">
        <v>14.761246380356823</v>
      </c>
      <c r="P139" s="87">
        <v>60</v>
      </c>
      <c r="Q139" s="88">
        <v>61.903538897333171</v>
      </c>
      <c r="R139" s="88">
        <v>49.522831117866538</v>
      </c>
      <c r="S139" s="87">
        <v>5.8107594022268216</v>
      </c>
      <c r="T139" s="87">
        <v>35.659040456707515</v>
      </c>
      <c r="U139" s="87">
        <v>170.30111416704653</v>
      </c>
      <c r="V139" s="87">
        <v>0</v>
      </c>
      <c r="W139" s="87">
        <v>93.59371491889479</v>
      </c>
      <c r="X139" s="87">
        <v>100</v>
      </c>
      <c r="Y139" s="87">
        <v>0</v>
      </c>
      <c r="Z139" s="87">
        <v>45.219680152235838</v>
      </c>
      <c r="AA139" s="87">
        <v>45.219680152235838</v>
      </c>
      <c r="AB139" s="87">
        <v>9.0439360304471688</v>
      </c>
      <c r="AC139" s="68">
        <v>58.566767148313708</v>
      </c>
      <c r="AD139" s="68">
        <v>58.566767148313708</v>
      </c>
      <c r="AE139" s="68" t="s">
        <v>109</v>
      </c>
      <c r="AF139" s="68">
        <f t="shared" si="2"/>
        <v>7</v>
      </c>
    </row>
    <row r="140" spans="1:32" ht="13.5" customHeight="1" x14ac:dyDescent="0.3">
      <c r="A140" s="82" t="s">
        <v>134</v>
      </c>
      <c r="B140" s="81" t="s">
        <v>170</v>
      </c>
      <c r="C140" s="82">
        <v>2024</v>
      </c>
      <c r="D140" s="82" t="s">
        <v>26</v>
      </c>
      <c r="E140" s="147">
        <v>4</v>
      </c>
      <c r="F140" s="91">
        <v>3</v>
      </c>
      <c r="G140" s="87">
        <v>68.407648472065858</v>
      </c>
      <c r="H140" s="87">
        <v>31.592351527934142</v>
      </c>
      <c r="I140" s="88">
        <v>22.669713359560507</v>
      </c>
      <c r="J140" s="88">
        <v>99.999999999999986</v>
      </c>
      <c r="K140" s="87">
        <v>23.001453408562792</v>
      </c>
      <c r="L140" s="87">
        <v>76.998546591437204</v>
      </c>
      <c r="M140" s="87">
        <v>56.066222799915799</v>
      </c>
      <c r="N140" s="87">
        <v>80</v>
      </c>
      <c r="O140" s="88">
        <v>42.803458414241184</v>
      </c>
      <c r="P140" s="87">
        <v>0</v>
      </c>
      <c r="Q140" s="88">
        <v>57.718179623874263</v>
      </c>
      <c r="R140" s="88">
        <v>46.174543699099416</v>
      </c>
      <c r="S140" s="87">
        <v>20.851119687348614</v>
      </c>
      <c r="T140" s="87">
        <v>100</v>
      </c>
      <c r="U140" s="87">
        <v>154.93148336082805</v>
      </c>
      <c r="V140" s="87">
        <v>0</v>
      </c>
      <c r="W140" s="87">
        <v>87.133711966185018</v>
      </c>
      <c r="X140" s="87">
        <v>80</v>
      </c>
      <c r="Y140" s="87">
        <v>0.24541159818759983</v>
      </c>
      <c r="Z140" s="87">
        <v>60</v>
      </c>
      <c r="AA140" s="87">
        <v>60.245411598187601</v>
      </c>
      <c r="AB140" s="87">
        <v>12.04908231963752</v>
      </c>
      <c r="AC140" s="68">
        <v>58.174543699099416</v>
      </c>
      <c r="AD140" s="68">
        <v>58.223626018736937</v>
      </c>
      <c r="AE140" s="68" t="s">
        <v>109</v>
      </c>
      <c r="AF140" s="68">
        <f t="shared" si="2"/>
        <v>8</v>
      </c>
    </row>
    <row r="141" spans="1:32" ht="14.4" x14ac:dyDescent="0.3">
      <c r="A141" s="82" t="s">
        <v>105</v>
      </c>
      <c r="B141" s="81" t="s">
        <v>143</v>
      </c>
      <c r="C141" s="82">
        <v>2024</v>
      </c>
      <c r="D141" s="82" t="s">
        <v>6</v>
      </c>
      <c r="E141" s="147">
        <v>2</v>
      </c>
      <c r="F141" s="91">
        <v>1</v>
      </c>
      <c r="G141" s="87">
        <v>49.409206602991652</v>
      </c>
      <c r="H141" s="87">
        <v>50.590793397008348</v>
      </c>
      <c r="I141" s="88">
        <v>20.10742059708306</v>
      </c>
      <c r="J141" s="88">
        <v>38.607747860675538</v>
      </c>
      <c r="K141" s="87">
        <v>62.398946368562861</v>
      </c>
      <c r="L141" s="87">
        <v>37.601053631437139</v>
      </c>
      <c r="M141" s="87">
        <v>45.942906936658709</v>
      </c>
      <c r="N141" s="87">
        <v>70</v>
      </c>
      <c r="O141" s="88">
        <v>15.978800060975693</v>
      </c>
      <c r="P141" s="87">
        <v>40</v>
      </c>
      <c r="Q141" s="88">
        <v>47.359918977824201</v>
      </c>
      <c r="R141" s="88">
        <v>37.887935182259362</v>
      </c>
      <c r="S141" s="87">
        <v>16.66643037467923</v>
      </c>
      <c r="T141" s="87">
        <v>100</v>
      </c>
      <c r="U141" s="87">
        <v>112.77562047693085</v>
      </c>
      <c r="V141" s="87">
        <v>100</v>
      </c>
      <c r="W141" s="87">
        <v>91.634935662626191</v>
      </c>
      <c r="X141" s="87">
        <v>100</v>
      </c>
      <c r="Y141" s="87">
        <v>0</v>
      </c>
      <c r="Z141" s="87">
        <v>100</v>
      </c>
      <c r="AA141" s="87">
        <v>100</v>
      </c>
      <c r="AB141" s="87">
        <v>20</v>
      </c>
      <c r="AC141" s="68">
        <v>57.887935182259362</v>
      </c>
      <c r="AD141" s="68">
        <v>57.887935182259362</v>
      </c>
      <c r="AE141" s="68" t="s">
        <v>109</v>
      </c>
      <c r="AF141" s="68">
        <f t="shared" si="2"/>
        <v>9</v>
      </c>
    </row>
    <row r="142" spans="1:32" ht="14.4" x14ac:dyDescent="0.3">
      <c r="A142" s="82" t="s">
        <v>118</v>
      </c>
      <c r="B142" s="81" t="s">
        <v>151</v>
      </c>
      <c r="C142" s="82">
        <v>2024</v>
      </c>
      <c r="D142" s="82" t="s">
        <v>136</v>
      </c>
      <c r="E142" s="147">
        <v>4</v>
      </c>
      <c r="F142" s="91">
        <v>2</v>
      </c>
      <c r="G142" s="87">
        <v>67.171840945939152</v>
      </c>
      <c r="H142" s="87">
        <v>32.828159054060848</v>
      </c>
      <c r="I142" s="88">
        <v>7.7519249174384841</v>
      </c>
      <c r="J142" s="88">
        <v>16.089734868540713</v>
      </c>
      <c r="K142" s="87">
        <v>48.867639549072742</v>
      </c>
      <c r="L142" s="87">
        <v>51.132360450927258</v>
      </c>
      <c r="M142" s="87">
        <v>63.297323098048096</v>
      </c>
      <c r="N142" s="87">
        <v>80</v>
      </c>
      <c r="O142" s="88">
        <v>11.362505947083267</v>
      </c>
      <c r="P142" s="87">
        <v>60</v>
      </c>
      <c r="Q142" s="88">
        <v>48.010050874705762</v>
      </c>
      <c r="R142" s="88">
        <v>38.408040699764612</v>
      </c>
      <c r="S142" s="87">
        <v>13.878132244334246</v>
      </c>
      <c r="T142" s="87">
        <v>85.166300118122564</v>
      </c>
      <c r="U142" s="87">
        <v>115.95445570502545</v>
      </c>
      <c r="V142" s="87">
        <v>100</v>
      </c>
      <c r="W142" s="87">
        <v>91.354409646442136</v>
      </c>
      <c r="X142" s="87">
        <v>100</v>
      </c>
      <c r="Y142" s="87">
        <v>0</v>
      </c>
      <c r="Z142" s="87">
        <v>95.055433372707512</v>
      </c>
      <c r="AA142" s="87">
        <v>95.055433372707512</v>
      </c>
      <c r="AB142" s="87">
        <v>19.011086674541502</v>
      </c>
      <c r="AC142" s="68">
        <v>57.419127374306115</v>
      </c>
      <c r="AD142" s="68">
        <v>57.419127374306115</v>
      </c>
      <c r="AE142" s="68" t="s">
        <v>109</v>
      </c>
      <c r="AF142" s="68">
        <f t="shared" si="2"/>
        <v>10</v>
      </c>
    </row>
    <row r="143" spans="1:32" ht="13.5" customHeight="1" x14ac:dyDescent="0.3">
      <c r="A143" s="82" t="s">
        <v>113</v>
      </c>
      <c r="B143" s="81" t="s">
        <v>164</v>
      </c>
      <c r="C143" s="82">
        <v>2024</v>
      </c>
      <c r="D143" s="82" t="s">
        <v>23</v>
      </c>
      <c r="E143" s="147">
        <v>4</v>
      </c>
      <c r="F143" s="91">
        <v>3</v>
      </c>
      <c r="G143" s="87">
        <v>76.691917608225282</v>
      </c>
      <c r="H143" s="87">
        <v>23.308082391774718</v>
      </c>
      <c r="I143" s="88">
        <v>6.006212925386448</v>
      </c>
      <c r="J143" s="88">
        <v>26.494437005545308</v>
      </c>
      <c r="K143" s="87">
        <v>27.275861855437622</v>
      </c>
      <c r="L143" s="87">
        <v>72.724138144562374</v>
      </c>
      <c r="M143" s="87">
        <v>33.006962316576264</v>
      </c>
      <c r="N143" s="87">
        <v>40</v>
      </c>
      <c r="O143" s="88">
        <v>6.7608017494881647</v>
      </c>
      <c r="P143" s="87">
        <v>80</v>
      </c>
      <c r="Q143" s="88">
        <v>48.505331508376479</v>
      </c>
      <c r="R143" s="88">
        <v>38.804265206701189</v>
      </c>
      <c r="S143" s="87">
        <v>10.36996386483461</v>
      </c>
      <c r="T143" s="87">
        <v>63.637630711232461</v>
      </c>
      <c r="U143" s="87">
        <v>118.26839391314054</v>
      </c>
      <c r="V143" s="87">
        <v>100</v>
      </c>
      <c r="W143" s="87">
        <v>94.128773939603605</v>
      </c>
      <c r="X143" s="87">
        <v>100</v>
      </c>
      <c r="Y143" s="87">
        <v>0</v>
      </c>
      <c r="Z143" s="87">
        <v>87.879210237077487</v>
      </c>
      <c r="AA143" s="87">
        <v>87.879210237077487</v>
      </c>
      <c r="AB143" s="87">
        <v>17.575842047415499</v>
      </c>
      <c r="AC143" s="68">
        <v>56.380107254116687</v>
      </c>
      <c r="AD143" s="68">
        <v>56.380107254116687</v>
      </c>
      <c r="AE143" s="68" t="s">
        <v>109</v>
      </c>
      <c r="AF143" s="68">
        <f t="shared" si="2"/>
        <v>11</v>
      </c>
    </row>
    <row r="144" spans="1:32" ht="14.4" x14ac:dyDescent="0.3">
      <c r="A144" s="82" t="s">
        <v>119</v>
      </c>
      <c r="B144" s="81" t="s">
        <v>167</v>
      </c>
      <c r="C144" s="82">
        <v>2024</v>
      </c>
      <c r="D144" s="82" t="s">
        <v>120</v>
      </c>
      <c r="E144" s="147">
        <v>4</v>
      </c>
      <c r="F144" s="91">
        <v>3</v>
      </c>
      <c r="G144" s="87">
        <v>63.629225572667536</v>
      </c>
      <c r="H144" s="87">
        <v>36.370774427332464</v>
      </c>
      <c r="I144" s="88">
        <v>2.8936781398024474</v>
      </c>
      <c r="J144" s="88">
        <v>12.764511372095031</v>
      </c>
      <c r="K144" s="87">
        <v>15.028842870308551</v>
      </c>
      <c r="L144" s="87">
        <v>84.971157129691449</v>
      </c>
      <c r="M144" s="87">
        <v>68.023748714896314</v>
      </c>
      <c r="N144" s="87">
        <v>100</v>
      </c>
      <c r="O144" s="88">
        <v>33.302891394469164</v>
      </c>
      <c r="P144" s="87">
        <v>0</v>
      </c>
      <c r="Q144" s="88">
        <v>46.821288585823787</v>
      </c>
      <c r="R144" s="88">
        <v>37.457030868659032</v>
      </c>
      <c r="S144" s="87">
        <v>29.420344760012775</v>
      </c>
      <c r="T144" s="87">
        <v>100</v>
      </c>
      <c r="U144" s="87">
        <v>114.01450215171461</v>
      </c>
      <c r="V144" s="87">
        <v>100</v>
      </c>
      <c r="W144" s="87">
        <v>76.849005092357402</v>
      </c>
      <c r="X144" s="87">
        <v>70</v>
      </c>
      <c r="Y144" s="87">
        <v>0</v>
      </c>
      <c r="Z144" s="87">
        <v>90</v>
      </c>
      <c r="AA144" s="87">
        <v>90</v>
      </c>
      <c r="AB144" s="87">
        <v>18</v>
      </c>
      <c r="AC144" s="68">
        <v>55.457030868659032</v>
      </c>
      <c r="AD144" s="68">
        <v>55.457030868659032</v>
      </c>
      <c r="AE144" s="68" t="s">
        <v>109</v>
      </c>
      <c r="AF144" s="68">
        <f t="shared" si="2"/>
        <v>12</v>
      </c>
    </row>
    <row r="145" spans="1:32" ht="13.5" customHeight="1" x14ac:dyDescent="0.3">
      <c r="A145" s="82" t="s">
        <v>114</v>
      </c>
      <c r="B145" s="81" t="s">
        <v>157</v>
      </c>
      <c r="C145" s="82">
        <v>2024</v>
      </c>
      <c r="D145" s="82" t="s">
        <v>7</v>
      </c>
      <c r="E145" s="147">
        <v>2</v>
      </c>
      <c r="F145" s="91">
        <v>1</v>
      </c>
      <c r="G145" s="87">
        <v>36.579132018756091</v>
      </c>
      <c r="H145" s="87">
        <v>63.420867981243909</v>
      </c>
      <c r="I145" s="88">
        <v>3.3289887043309276</v>
      </c>
      <c r="J145" s="88">
        <v>6.3919067046565985</v>
      </c>
      <c r="K145" s="87">
        <v>52.675437387401523</v>
      </c>
      <c r="L145" s="87">
        <v>47.324562612598477</v>
      </c>
      <c r="M145" s="87">
        <v>67.886624421333295</v>
      </c>
      <c r="N145" s="87">
        <v>100</v>
      </c>
      <c r="O145" s="88">
        <v>31.674683077990228</v>
      </c>
      <c r="P145" s="87">
        <v>0</v>
      </c>
      <c r="Q145" s="88">
        <v>43.427467459699798</v>
      </c>
      <c r="R145" s="88">
        <v>34.74197396775984</v>
      </c>
      <c r="S145" s="87">
        <v>21.899329637923351</v>
      </c>
      <c r="T145" s="87">
        <v>100</v>
      </c>
      <c r="U145" s="87">
        <v>113.49181987316202</v>
      </c>
      <c r="V145" s="87">
        <v>100</v>
      </c>
      <c r="W145" s="87">
        <v>91.416388528946996</v>
      </c>
      <c r="X145" s="87">
        <v>100</v>
      </c>
      <c r="Y145" s="87">
        <v>0</v>
      </c>
      <c r="Z145" s="87">
        <v>100</v>
      </c>
      <c r="AA145" s="87">
        <v>100</v>
      </c>
      <c r="AB145" s="87">
        <v>20</v>
      </c>
      <c r="AC145" s="68">
        <v>54.74197396775984</v>
      </c>
      <c r="AD145" s="68">
        <v>54.74197396775984</v>
      </c>
      <c r="AE145" s="68" t="s">
        <v>109</v>
      </c>
      <c r="AF145" s="68">
        <f t="shared" si="2"/>
        <v>13</v>
      </c>
    </row>
    <row r="146" spans="1:32" ht="14.4" x14ac:dyDescent="0.3">
      <c r="A146" s="82" t="s">
        <v>123</v>
      </c>
      <c r="B146" s="81" t="s">
        <v>169</v>
      </c>
      <c r="C146" s="82">
        <v>2024</v>
      </c>
      <c r="D146" s="82" t="s">
        <v>124</v>
      </c>
      <c r="E146" s="147">
        <v>4</v>
      </c>
      <c r="F146" s="91">
        <v>3</v>
      </c>
      <c r="G146" s="87">
        <v>69.918394929095456</v>
      </c>
      <c r="H146" s="87">
        <v>30.081605070904544</v>
      </c>
      <c r="I146" s="88">
        <v>4.6169332724135863</v>
      </c>
      <c r="J146" s="88">
        <v>20.366085795551029</v>
      </c>
      <c r="K146" s="87">
        <v>17.20653189194168</v>
      </c>
      <c r="L146" s="87">
        <v>82.79346810805832</v>
      </c>
      <c r="M146" s="87">
        <v>59.170085588390542</v>
      </c>
      <c r="N146" s="87">
        <v>80</v>
      </c>
      <c r="O146" s="88">
        <v>34.596562066112838</v>
      </c>
      <c r="P146" s="87">
        <v>0</v>
      </c>
      <c r="Q146" s="88">
        <v>42.648231794902777</v>
      </c>
      <c r="R146" s="88">
        <v>34.11858543592222</v>
      </c>
      <c r="S146" s="87">
        <v>34.326659491291416</v>
      </c>
      <c r="T146" s="87">
        <v>100</v>
      </c>
      <c r="U146" s="87">
        <v>108.80491785645776</v>
      </c>
      <c r="V146" s="87">
        <v>100</v>
      </c>
      <c r="W146" s="87">
        <v>80.142562356194489</v>
      </c>
      <c r="X146" s="87">
        <v>80</v>
      </c>
      <c r="Y146" s="87">
        <v>0</v>
      </c>
      <c r="Z146" s="87">
        <v>93.333333333333329</v>
      </c>
      <c r="AA146" s="87">
        <v>93.333333333333329</v>
      </c>
      <c r="AB146" s="87">
        <v>18.666666666666668</v>
      </c>
      <c r="AC146" s="68">
        <v>52.785252102588885</v>
      </c>
      <c r="AD146" s="68">
        <v>52.785252102588885</v>
      </c>
      <c r="AE146" s="68" t="s">
        <v>109</v>
      </c>
      <c r="AF146" s="68">
        <f t="shared" si="2"/>
        <v>14</v>
      </c>
    </row>
    <row r="147" spans="1:32" ht="13.5" customHeight="1" x14ac:dyDescent="0.3">
      <c r="A147" s="82" t="s">
        <v>115</v>
      </c>
      <c r="B147" s="81" t="s">
        <v>149</v>
      </c>
      <c r="C147" s="82">
        <v>2024</v>
      </c>
      <c r="D147" s="82" t="s">
        <v>116</v>
      </c>
      <c r="E147" s="126">
        <v>3</v>
      </c>
      <c r="F147" s="91">
        <v>3</v>
      </c>
      <c r="G147" s="87">
        <v>78.825225231829364</v>
      </c>
      <c r="H147" s="87">
        <v>21.174774768170636</v>
      </c>
      <c r="I147" s="88">
        <v>1.7732825303802289</v>
      </c>
      <c r="J147" s="88">
        <v>7.8222538690917407</v>
      </c>
      <c r="K147" s="87">
        <v>24.337845830754581</v>
      </c>
      <c r="L147" s="87">
        <v>75.662154169245412</v>
      </c>
      <c r="M147" s="87">
        <v>35.43461378686186</v>
      </c>
      <c r="N147" s="87">
        <v>50</v>
      </c>
      <c r="O147" s="88">
        <v>7.5775546346907525</v>
      </c>
      <c r="P147" s="87">
        <v>80</v>
      </c>
      <c r="Q147" s="88">
        <v>46.931836561301552</v>
      </c>
      <c r="R147" s="88">
        <v>37.54546924904124</v>
      </c>
      <c r="S147" s="87">
        <v>4.3928227213120437</v>
      </c>
      <c r="T147" s="87">
        <v>53.555338534791332</v>
      </c>
      <c r="U147" s="87">
        <v>114.72412390367305</v>
      </c>
      <c r="V147" s="87">
        <v>100</v>
      </c>
      <c r="W147" s="87">
        <v>79.977120890631454</v>
      </c>
      <c r="X147" s="87">
        <v>70</v>
      </c>
      <c r="Y147" s="87">
        <v>0</v>
      </c>
      <c r="Z147" s="87">
        <v>74.518446178263773</v>
      </c>
      <c r="AA147" s="87">
        <v>74.518446178263773</v>
      </c>
      <c r="AB147" s="87">
        <v>14.903689235652756</v>
      </c>
      <c r="AC147" s="68">
        <v>52.449158484693996</v>
      </c>
      <c r="AD147" s="68">
        <v>52.449158484693996</v>
      </c>
      <c r="AE147" s="68" t="s">
        <v>109</v>
      </c>
      <c r="AF147" s="68">
        <f t="shared" si="2"/>
        <v>15</v>
      </c>
    </row>
    <row r="148" spans="1:32" ht="13.5" customHeight="1" x14ac:dyDescent="0.3">
      <c r="A148" s="82" t="s">
        <v>126</v>
      </c>
      <c r="B148" s="81" t="s">
        <v>145</v>
      </c>
      <c r="C148" s="82">
        <v>2024</v>
      </c>
      <c r="D148" s="82" t="s">
        <v>8</v>
      </c>
      <c r="E148" s="126">
        <v>3</v>
      </c>
      <c r="F148" s="91">
        <v>2</v>
      </c>
      <c r="G148" s="87">
        <v>77.043759840344407</v>
      </c>
      <c r="H148" s="87">
        <v>22.956240159655593</v>
      </c>
      <c r="I148" s="88">
        <v>1.145909485987572</v>
      </c>
      <c r="J148" s="88">
        <v>2.3784260050571002</v>
      </c>
      <c r="K148" s="87">
        <v>33.819531770726876</v>
      </c>
      <c r="L148" s="87">
        <v>66.180468229273117</v>
      </c>
      <c r="M148" s="87">
        <v>50.046764004504141</v>
      </c>
      <c r="N148" s="87">
        <v>70</v>
      </c>
      <c r="O148" s="88">
        <v>18.012331992559027</v>
      </c>
      <c r="P148" s="87">
        <v>40</v>
      </c>
      <c r="Q148" s="88">
        <v>40.303026878797162</v>
      </c>
      <c r="R148" s="88">
        <v>32.242421503037733</v>
      </c>
      <c r="S148" s="87">
        <v>29.637199244923941</v>
      </c>
      <c r="T148" s="87">
        <v>100</v>
      </c>
      <c r="U148" s="87">
        <v>96.357870403552838</v>
      </c>
      <c r="V148" s="87">
        <v>100</v>
      </c>
      <c r="W148" s="87">
        <v>97.873293670915317</v>
      </c>
      <c r="X148" s="87">
        <v>100</v>
      </c>
      <c r="Y148" s="87">
        <v>0</v>
      </c>
      <c r="Z148" s="87">
        <v>100</v>
      </c>
      <c r="AA148" s="87">
        <v>100</v>
      </c>
      <c r="AB148" s="87">
        <v>20</v>
      </c>
      <c r="AC148" s="68">
        <v>52.242421503037733</v>
      </c>
      <c r="AD148" s="68">
        <v>52.242421503037733</v>
      </c>
      <c r="AE148" s="68" t="s">
        <v>109</v>
      </c>
      <c r="AF148" s="68">
        <f t="shared" si="2"/>
        <v>16</v>
      </c>
    </row>
    <row r="149" spans="1:32" ht="13.5" customHeight="1" x14ac:dyDescent="0.3">
      <c r="A149" s="82" t="s">
        <v>102</v>
      </c>
      <c r="B149" s="81" t="s">
        <v>139</v>
      </c>
      <c r="C149" s="82">
        <v>2024</v>
      </c>
      <c r="D149" s="82" t="s">
        <v>2</v>
      </c>
      <c r="E149" s="152" t="s">
        <v>51</v>
      </c>
      <c r="F149" s="91">
        <v>1</v>
      </c>
      <c r="G149" s="87">
        <v>34.355525611349222</v>
      </c>
      <c r="H149" s="87">
        <v>65.644474388650778</v>
      </c>
      <c r="I149" s="88">
        <v>4.2309346371906154</v>
      </c>
      <c r="J149" s="88">
        <v>8.1237101944020793</v>
      </c>
      <c r="K149" s="87">
        <v>83.045367607228599</v>
      </c>
      <c r="L149" s="87">
        <v>16.954632392771401</v>
      </c>
      <c r="M149" s="87">
        <v>64.101437679612516</v>
      </c>
      <c r="N149" s="87">
        <v>80</v>
      </c>
      <c r="O149" s="88">
        <v>18.049207280957482</v>
      </c>
      <c r="P149" s="87">
        <v>40</v>
      </c>
      <c r="Q149" s="88">
        <v>42.144563395164852</v>
      </c>
      <c r="R149" s="88">
        <v>33.715650716131883</v>
      </c>
      <c r="S149" s="87">
        <v>27.671932811494745</v>
      </c>
      <c r="T149" s="87">
        <v>100</v>
      </c>
      <c r="U149" s="87">
        <v>109.96372928630274</v>
      </c>
      <c r="V149" s="87">
        <v>100</v>
      </c>
      <c r="W149" s="87">
        <v>79.462322396197408</v>
      </c>
      <c r="X149" s="87">
        <v>70</v>
      </c>
      <c r="Y149" s="87">
        <v>0</v>
      </c>
      <c r="Z149" s="87">
        <v>90</v>
      </c>
      <c r="AA149" s="87">
        <v>90</v>
      </c>
      <c r="AB149" s="87">
        <v>18</v>
      </c>
      <c r="AC149" s="68">
        <v>51.715650716131883</v>
      </c>
      <c r="AD149" s="68">
        <v>51.715650716131883</v>
      </c>
      <c r="AE149" s="68" t="s">
        <v>109</v>
      </c>
      <c r="AF149" s="68">
        <f t="shared" si="2"/>
        <v>17</v>
      </c>
    </row>
    <row r="150" spans="1:32" ht="14.4" x14ac:dyDescent="0.3">
      <c r="A150" s="82" t="s">
        <v>103</v>
      </c>
      <c r="B150" s="81" t="s">
        <v>161</v>
      </c>
      <c r="C150" s="82">
        <v>2024</v>
      </c>
      <c r="D150" s="82" t="s">
        <v>20</v>
      </c>
      <c r="E150" s="152" t="s">
        <v>51</v>
      </c>
      <c r="F150" s="91">
        <v>1</v>
      </c>
      <c r="G150" s="87">
        <v>26.923960775641337</v>
      </c>
      <c r="H150" s="87">
        <v>73.076039224358667</v>
      </c>
      <c r="I150" s="88">
        <v>5.335288249677153</v>
      </c>
      <c r="J150" s="88">
        <v>10.244151531670949</v>
      </c>
      <c r="K150" s="87">
        <v>90.119706651490674</v>
      </c>
      <c r="L150" s="87">
        <v>9.8802933485093263</v>
      </c>
      <c r="M150" s="87">
        <v>61.318510808470826</v>
      </c>
      <c r="N150" s="87">
        <v>80</v>
      </c>
      <c r="O150" s="88">
        <v>15.602887678379076</v>
      </c>
      <c r="P150" s="87">
        <v>40</v>
      </c>
      <c r="Q150" s="88">
        <v>42.640096820907786</v>
      </c>
      <c r="R150" s="88">
        <v>34.112077456726233</v>
      </c>
      <c r="S150" s="87">
        <v>13.076447611138015</v>
      </c>
      <c r="T150" s="87">
        <v>78.395387205464559</v>
      </c>
      <c r="U150" s="87">
        <v>90.807886920637941</v>
      </c>
      <c r="V150" s="87">
        <v>100</v>
      </c>
      <c r="W150" s="87">
        <v>81.655287714851937</v>
      </c>
      <c r="X150" s="87">
        <v>80</v>
      </c>
      <c r="Y150" s="87">
        <v>0</v>
      </c>
      <c r="Z150" s="87">
        <v>86.131795735154853</v>
      </c>
      <c r="AA150" s="87">
        <v>86.131795735154853</v>
      </c>
      <c r="AB150" s="87">
        <v>17.226359147030973</v>
      </c>
      <c r="AC150" s="68">
        <v>51.338436603757202</v>
      </c>
      <c r="AD150" s="68">
        <v>51.338436603757202</v>
      </c>
      <c r="AE150" s="68" t="s">
        <v>109</v>
      </c>
      <c r="AF150" s="68">
        <f t="shared" si="2"/>
        <v>18</v>
      </c>
    </row>
    <row r="151" spans="1:32" ht="14.4" x14ac:dyDescent="0.3">
      <c r="A151" s="82" t="s">
        <v>135</v>
      </c>
      <c r="B151" s="81" t="s">
        <v>156</v>
      </c>
      <c r="C151" s="82">
        <v>2024</v>
      </c>
      <c r="D151" s="82" t="s">
        <v>16</v>
      </c>
      <c r="E151" s="126">
        <v>3</v>
      </c>
      <c r="F151" s="91">
        <v>1</v>
      </c>
      <c r="G151" s="87">
        <v>43.448470476373934</v>
      </c>
      <c r="H151" s="87">
        <v>56.551529523626066</v>
      </c>
      <c r="I151" s="88">
        <v>4.0619815879312871</v>
      </c>
      <c r="J151" s="88">
        <v>7.7993077334000596</v>
      </c>
      <c r="K151" s="87">
        <v>69.537530892281751</v>
      </c>
      <c r="L151" s="87">
        <v>30.462469107718249</v>
      </c>
      <c r="M151" s="87">
        <v>47.702421651216845</v>
      </c>
      <c r="N151" s="87">
        <v>70</v>
      </c>
      <c r="O151" s="88">
        <v>12.086166365781004</v>
      </c>
      <c r="P151" s="87">
        <v>60</v>
      </c>
      <c r="Q151" s="88">
        <v>44.962661272948878</v>
      </c>
      <c r="R151" s="88">
        <v>35.970129018359103</v>
      </c>
      <c r="S151" s="87">
        <v>4.0423301239824241</v>
      </c>
      <c r="T151" s="87">
        <v>49.282288859269791</v>
      </c>
      <c r="U151" s="87">
        <v>102.30148670051821</v>
      </c>
      <c r="V151" s="87">
        <v>100</v>
      </c>
      <c r="W151" s="87">
        <v>89.53329272858366</v>
      </c>
      <c r="X151" s="87">
        <v>80</v>
      </c>
      <c r="Y151" s="87">
        <v>5.410353585830862E-2</v>
      </c>
      <c r="Z151" s="87">
        <v>76.427429619756595</v>
      </c>
      <c r="AA151" s="87">
        <v>76.481533155614898</v>
      </c>
      <c r="AB151" s="87">
        <v>15.296306631122981</v>
      </c>
      <c r="AC151" s="68">
        <v>51.255614942310423</v>
      </c>
      <c r="AD151" s="68">
        <v>51.266435649482084</v>
      </c>
      <c r="AE151" s="68" t="s">
        <v>109</v>
      </c>
      <c r="AF151" s="68">
        <f t="shared" si="2"/>
        <v>19</v>
      </c>
    </row>
    <row r="152" spans="1:32" ht="13.5" customHeight="1" x14ac:dyDescent="0.3">
      <c r="A152" s="82" t="s">
        <v>108</v>
      </c>
      <c r="B152" s="81" t="s">
        <v>160</v>
      </c>
      <c r="C152" s="82">
        <v>2024</v>
      </c>
      <c r="D152" s="82" t="s">
        <v>19</v>
      </c>
      <c r="E152" s="147">
        <v>2</v>
      </c>
      <c r="F152" s="91">
        <v>1</v>
      </c>
      <c r="G152" s="87">
        <v>60.148760428908126</v>
      </c>
      <c r="H152" s="87">
        <v>39.851239571091874</v>
      </c>
      <c r="I152" s="88">
        <v>9.7996821942681596</v>
      </c>
      <c r="J152" s="88">
        <v>18.816121015837414</v>
      </c>
      <c r="K152" s="87">
        <v>86.195381042240697</v>
      </c>
      <c r="L152" s="87">
        <v>13.804618957759303</v>
      </c>
      <c r="M152" s="87">
        <v>38.115918041903285</v>
      </c>
      <c r="N152" s="87">
        <v>50</v>
      </c>
      <c r="O152" s="88">
        <v>3.6011538739922431</v>
      </c>
      <c r="P152" s="87">
        <v>100</v>
      </c>
      <c r="Q152" s="88">
        <v>44.494395908937719</v>
      </c>
      <c r="R152" s="88">
        <v>35.595516727150176</v>
      </c>
      <c r="S152" s="87">
        <v>5.9810696698181758</v>
      </c>
      <c r="T152" s="87">
        <v>51.352989385617136</v>
      </c>
      <c r="U152" s="87">
        <v>104.8507549252851</v>
      </c>
      <c r="V152" s="87">
        <v>100</v>
      </c>
      <c r="W152" s="87">
        <v>86.565254569497284</v>
      </c>
      <c r="X152" s="87">
        <v>80</v>
      </c>
      <c r="Y152" s="87">
        <v>0</v>
      </c>
      <c r="Z152" s="87">
        <v>77.11766312853905</v>
      </c>
      <c r="AA152" s="87">
        <v>77.11766312853905</v>
      </c>
      <c r="AB152" s="87">
        <v>15.423532625707811</v>
      </c>
      <c r="AC152" s="68">
        <v>51.019049352857991</v>
      </c>
      <c r="AD152" s="68">
        <v>51.019049352857991</v>
      </c>
      <c r="AE152" s="68" t="s">
        <v>109</v>
      </c>
      <c r="AF152" s="68">
        <f t="shared" si="2"/>
        <v>20</v>
      </c>
    </row>
    <row r="153" spans="1:32" ht="14.4" x14ac:dyDescent="0.3">
      <c r="A153" s="82" t="s">
        <v>128</v>
      </c>
      <c r="B153" s="81" t="s">
        <v>142</v>
      </c>
      <c r="C153" s="82">
        <v>2024</v>
      </c>
      <c r="D153" s="82" t="s">
        <v>176</v>
      </c>
      <c r="E153" s="147">
        <v>1</v>
      </c>
      <c r="F153" s="91">
        <v>1</v>
      </c>
      <c r="G153" s="87">
        <v>60.379395063174826</v>
      </c>
      <c r="H153" s="87">
        <v>39.620604936825174</v>
      </c>
      <c r="I153" s="88">
        <v>4.5425522992134049</v>
      </c>
      <c r="J153" s="88">
        <v>8.7220393568235579</v>
      </c>
      <c r="K153" s="87">
        <v>65.651970280389634</v>
      </c>
      <c r="L153" s="87">
        <v>34.348029719610366</v>
      </c>
      <c r="M153" s="87">
        <v>41.546289690314744</v>
      </c>
      <c r="N153" s="87">
        <v>50</v>
      </c>
      <c r="O153" s="88">
        <v>11.081850225589537</v>
      </c>
      <c r="P153" s="87">
        <v>60</v>
      </c>
      <c r="Q153" s="88">
        <v>38.538134802651818</v>
      </c>
      <c r="R153" s="88">
        <v>30.830507842121456</v>
      </c>
      <c r="S153" s="87">
        <v>7.5780238886377376</v>
      </c>
      <c r="T153" s="87">
        <v>100</v>
      </c>
      <c r="U153" s="87">
        <v>97.708699532610524</v>
      </c>
      <c r="V153" s="87">
        <v>100</v>
      </c>
      <c r="W153" s="87">
        <v>90.705752534637185</v>
      </c>
      <c r="X153" s="87">
        <v>100</v>
      </c>
      <c r="Y153" s="87">
        <v>0</v>
      </c>
      <c r="Z153" s="87">
        <v>100</v>
      </c>
      <c r="AA153" s="87">
        <v>100</v>
      </c>
      <c r="AB153" s="87">
        <v>20</v>
      </c>
      <c r="AC153" s="68">
        <v>50.830507842121456</v>
      </c>
      <c r="AD153" s="68">
        <v>50.830507842121456</v>
      </c>
      <c r="AE153" s="68" t="s">
        <v>109</v>
      </c>
      <c r="AF153" s="68">
        <f t="shared" si="2"/>
        <v>21</v>
      </c>
    </row>
    <row r="154" spans="1:32" ht="14.4" x14ac:dyDescent="0.3">
      <c r="A154" s="82" t="s">
        <v>112</v>
      </c>
      <c r="B154" s="81" t="s">
        <v>152</v>
      </c>
      <c r="C154" s="82">
        <v>2024</v>
      </c>
      <c r="D154" s="82" t="s">
        <v>12</v>
      </c>
      <c r="E154" s="147">
        <v>2</v>
      </c>
      <c r="F154" s="91">
        <v>2</v>
      </c>
      <c r="G154" s="87">
        <v>56.620362495527139</v>
      </c>
      <c r="H154" s="87">
        <v>43.379637504472861</v>
      </c>
      <c r="I154" s="88">
        <v>5.3684629005129789</v>
      </c>
      <c r="J154" s="88">
        <v>11.142670451637063</v>
      </c>
      <c r="K154" s="87">
        <v>44.529079161315607</v>
      </c>
      <c r="L154" s="87">
        <v>55.470920838684393</v>
      </c>
      <c r="M154" s="87">
        <v>58.679883690096204</v>
      </c>
      <c r="N154" s="87">
        <v>80</v>
      </c>
      <c r="O154" s="88">
        <v>28.938934164214107</v>
      </c>
      <c r="P154" s="87">
        <v>20</v>
      </c>
      <c r="Q154" s="88">
        <v>41.998645758958865</v>
      </c>
      <c r="R154" s="88">
        <v>33.598916607167091</v>
      </c>
      <c r="S154" s="87">
        <v>6.1566684489454602</v>
      </c>
      <c r="T154" s="87">
        <v>52.860666563523161</v>
      </c>
      <c r="U154" s="87">
        <v>110.32202152155401</v>
      </c>
      <c r="V154" s="87">
        <v>100</v>
      </c>
      <c r="W154" s="87">
        <v>90.576066421225846</v>
      </c>
      <c r="X154" s="87">
        <v>100</v>
      </c>
      <c r="Y154" s="87">
        <v>0</v>
      </c>
      <c r="Z154" s="87">
        <v>84.286888854507723</v>
      </c>
      <c r="AA154" s="87">
        <v>84.286888854507723</v>
      </c>
      <c r="AB154" s="87">
        <v>16.857377770901547</v>
      </c>
      <c r="AC154" s="68">
        <v>50.456294378068634</v>
      </c>
      <c r="AD154" s="68">
        <v>50.456294378068634</v>
      </c>
      <c r="AE154" s="68" t="s">
        <v>109</v>
      </c>
      <c r="AF154" s="68">
        <f t="shared" si="2"/>
        <v>22</v>
      </c>
    </row>
    <row r="155" spans="1:32" ht="13.5" customHeight="1" x14ac:dyDescent="0.3">
      <c r="A155" s="82" t="s">
        <v>96</v>
      </c>
      <c r="B155" s="81" t="s">
        <v>148</v>
      </c>
      <c r="C155" s="82">
        <v>2024</v>
      </c>
      <c r="D155" s="82" t="s">
        <v>10</v>
      </c>
      <c r="E155" s="152" t="s">
        <v>51</v>
      </c>
      <c r="F155" s="91">
        <v>1</v>
      </c>
      <c r="G155" s="87">
        <v>31.322978059434107</v>
      </c>
      <c r="H155" s="87">
        <v>68.677021940565893</v>
      </c>
      <c r="I155" s="88">
        <v>1.4925838228206316</v>
      </c>
      <c r="J155" s="88">
        <v>2.8658723088898701</v>
      </c>
      <c r="K155" s="87">
        <v>71.756133596104235</v>
      </c>
      <c r="L155" s="87">
        <v>28.243866403895765</v>
      </c>
      <c r="M155" s="87">
        <v>64.782913871954534</v>
      </c>
      <c r="N155" s="87">
        <v>80</v>
      </c>
      <c r="O155" s="88">
        <v>16.006871981226848</v>
      </c>
      <c r="P155" s="87">
        <v>40</v>
      </c>
      <c r="Q155" s="88">
        <v>43.957352130670309</v>
      </c>
      <c r="R155" s="88">
        <v>35.165881704536247</v>
      </c>
      <c r="S155" s="87">
        <v>9.2919908693653426</v>
      </c>
      <c r="T155" s="87">
        <v>55.706965972400049</v>
      </c>
      <c r="U155" s="87">
        <v>103.98924178109581</v>
      </c>
      <c r="V155" s="87">
        <v>100</v>
      </c>
      <c r="W155" s="87">
        <v>73.579175652817653</v>
      </c>
      <c r="X155" s="87">
        <v>70</v>
      </c>
      <c r="Y155" s="87">
        <v>0</v>
      </c>
      <c r="Z155" s="87">
        <v>75.235655324133347</v>
      </c>
      <c r="AA155" s="87">
        <v>75.235655324133347</v>
      </c>
      <c r="AB155" s="87">
        <v>15.047131064826671</v>
      </c>
      <c r="AC155" s="68">
        <v>50.213012769362919</v>
      </c>
      <c r="AD155" s="68">
        <v>50.213012769362919</v>
      </c>
      <c r="AE155" s="68" t="s">
        <v>109</v>
      </c>
      <c r="AF155" s="68">
        <f t="shared" si="2"/>
        <v>23</v>
      </c>
    </row>
    <row r="156" spans="1:32" ht="14.4" x14ac:dyDescent="0.3">
      <c r="A156" s="82" t="s">
        <v>99</v>
      </c>
      <c r="B156" s="81" t="s">
        <v>153</v>
      </c>
      <c r="C156" s="82">
        <v>2024</v>
      </c>
      <c r="D156" s="82" t="s">
        <v>13</v>
      </c>
      <c r="E156" s="147">
        <v>1</v>
      </c>
      <c r="F156" s="91">
        <v>2</v>
      </c>
      <c r="G156" s="87">
        <v>40.874144510070821</v>
      </c>
      <c r="H156" s="87">
        <v>59.125855489929179</v>
      </c>
      <c r="I156" s="88">
        <v>5.1878574850046331</v>
      </c>
      <c r="J156" s="88">
        <v>10.767809590328294</v>
      </c>
      <c r="K156" s="87">
        <v>17.201417669654173</v>
      </c>
      <c r="L156" s="87">
        <v>82.798582330345823</v>
      </c>
      <c r="M156" s="87">
        <v>50.855722826583218</v>
      </c>
      <c r="N156" s="87">
        <v>70</v>
      </c>
      <c r="O156" s="88">
        <v>30.312823500869541</v>
      </c>
      <c r="P156" s="87">
        <v>0</v>
      </c>
      <c r="Q156" s="88">
        <v>44.538449482120662</v>
      </c>
      <c r="R156" s="88">
        <v>35.630759585696531</v>
      </c>
      <c r="S156" s="87">
        <v>0.91363910468747633</v>
      </c>
      <c r="T156" s="87">
        <v>13.447898032354962</v>
      </c>
      <c r="U156" s="87">
        <v>106.74647000286666</v>
      </c>
      <c r="V156" s="87">
        <v>100</v>
      </c>
      <c r="W156" s="87">
        <v>94.606676805432542</v>
      </c>
      <c r="X156" s="87">
        <v>100</v>
      </c>
      <c r="Y156" s="87">
        <v>4.4852405589005266E-2</v>
      </c>
      <c r="Z156" s="87">
        <v>71.149299344118319</v>
      </c>
      <c r="AA156" s="87">
        <v>71.194151749707331</v>
      </c>
      <c r="AB156" s="87">
        <v>14.238830349941466</v>
      </c>
      <c r="AC156" s="68">
        <v>49.860619454520197</v>
      </c>
      <c r="AD156" s="68">
        <v>49.869589935637997</v>
      </c>
      <c r="AE156" s="68" t="s">
        <v>109</v>
      </c>
      <c r="AF156" s="68">
        <f t="shared" si="2"/>
        <v>24</v>
      </c>
    </row>
    <row r="157" spans="1:32" ht="13.5" customHeight="1" x14ac:dyDescent="0.3">
      <c r="A157" s="82" t="s">
        <v>111</v>
      </c>
      <c r="B157" s="81" t="s">
        <v>155</v>
      </c>
      <c r="C157" s="82">
        <v>2024</v>
      </c>
      <c r="D157" s="82" t="s">
        <v>15</v>
      </c>
      <c r="E157" s="147">
        <v>2</v>
      </c>
      <c r="F157" s="91">
        <v>1</v>
      </c>
      <c r="G157" s="87">
        <v>54.942358468508928</v>
      </c>
      <c r="H157" s="87">
        <v>45.057641531491072</v>
      </c>
      <c r="I157" s="88">
        <v>0.18422488108178545</v>
      </c>
      <c r="J157" s="88">
        <v>0.35372551760817611</v>
      </c>
      <c r="K157" s="87">
        <v>63.0931296413222</v>
      </c>
      <c r="L157" s="87">
        <v>36.9068703586778</v>
      </c>
      <c r="M157" s="87">
        <v>53.695345848799526</v>
      </c>
      <c r="N157" s="87">
        <v>70</v>
      </c>
      <c r="O157" s="88">
        <v>12.956202299506822</v>
      </c>
      <c r="P157" s="87">
        <v>60</v>
      </c>
      <c r="Q157" s="88">
        <v>42.463647481555412</v>
      </c>
      <c r="R157" s="88">
        <v>33.970917985244334</v>
      </c>
      <c r="S157" s="87">
        <v>10.062890992767208</v>
      </c>
      <c r="T157" s="87">
        <v>86.399183234377247</v>
      </c>
      <c r="U157" s="87">
        <v>120.56938519043609</v>
      </c>
      <c r="V157" s="87">
        <v>80</v>
      </c>
      <c r="W157" s="87">
        <v>79.646588924594795</v>
      </c>
      <c r="X157" s="87">
        <v>70</v>
      </c>
      <c r="Y157" s="87">
        <v>9.8365918181800738E-2</v>
      </c>
      <c r="Z157" s="87">
        <v>78.799727744792406</v>
      </c>
      <c r="AA157" s="87">
        <v>78.898093662974205</v>
      </c>
      <c r="AB157" s="87">
        <v>15.779618732594841</v>
      </c>
      <c r="AC157" s="68">
        <v>49.730863534202818</v>
      </c>
      <c r="AD157" s="68">
        <v>49.750536717839175</v>
      </c>
      <c r="AE157" s="68" t="s">
        <v>109</v>
      </c>
      <c r="AF157" s="68">
        <f t="shared" si="2"/>
        <v>25</v>
      </c>
    </row>
    <row r="158" spans="1:32" ht="13.5" customHeight="1" x14ac:dyDescent="0.3">
      <c r="A158" s="82" t="s">
        <v>127</v>
      </c>
      <c r="B158" s="81" t="s">
        <v>154</v>
      </c>
      <c r="C158" s="82">
        <v>2024</v>
      </c>
      <c r="D158" s="82" t="s">
        <v>14</v>
      </c>
      <c r="E158" s="147">
        <v>1</v>
      </c>
      <c r="F158" s="91">
        <v>2</v>
      </c>
      <c r="G158" s="87">
        <v>61.950522142251948</v>
      </c>
      <c r="H158" s="87">
        <v>38.049477857748052</v>
      </c>
      <c r="I158" s="88">
        <v>3.626100653055532</v>
      </c>
      <c r="J158" s="88">
        <v>7.5262594433879624</v>
      </c>
      <c r="K158" s="87">
        <v>52.162253139046058</v>
      </c>
      <c r="L158" s="87">
        <v>47.837746860953942</v>
      </c>
      <c r="M158" s="87">
        <v>47.671775073727673</v>
      </c>
      <c r="N158" s="87">
        <v>70</v>
      </c>
      <c r="O158" s="88">
        <v>23.040326541797182</v>
      </c>
      <c r="P158" s="87">
        <v>20</v>
      </c>
      <c r="Q158" s="88">
        <v>36.682696832417989</v>
      </c>
      <c r="R158" s="88">
        <v>29.346157465934393</v>
      </c>
      <c r="S158" s="87">
        <v>6.4031835604160818</v>
      </c>
      <c r="T158" s="87">
        <v>94.248767550708152</v>
      </c>
      <c r="U158" s="87">
        <v>112.56192334139017</v>
      </c>
      <c r="V158" s="87">
        <v>100</v>
      </c>
      <c r="W158" s="87">
        <v>92.155238953666355</v>
      </c>
      <c r="X158" s="87">
        <v>100</v>
      </c>
      <c r="Y158" s="87">
        <v>0</v>
      </c>
      <c r="Z158" s="87">
        <v>98.082922516902727</v>
      </c>
      <c r="AA158" s="87">
        <v>98.082922516902727</v>
      </c>
      <c r="AB158" s="87">
        <v>19.616584503380547</v>
      </c>
      <c r="AC158" s="68">
        <v>48.962741969314941</v>
      </c>
      <c r="AD158" s="68">
        <v>48.962741969314941</v>
      </c>
      <c r="AE158" s="68" t="s">
        <v>109</v>
      </c>
      <c r="AF158" s="68">
        <f t="shared" si="2"/>
        <v>26</v>
      </c>
    </row>
    <row r="159" spans="1:32" ht="13.5" customHeight="1" x14ac:dyDescent="0.3">
      <c r="A159" s="82" t="s">
        <v>131</v>
      </c>
      <c r="B159" s="81" t="s">
        <v>166</v>
      </c>
      <c r="C159" s="82">
        <v>2024</v>
      </c>
      <c r="D159" s="82" t="s">
        <v>24</v>
      </c>
      <c r="E159" s="147">
        <v>4</v>
      </c>
      <c r="F159" s="91">
        <v>3</v>
      </c>
      <c r="G159" s="87">
        <v>59.154900066086064</v>
      </c>
      <c r="H159" s="87">
        <v>40.845099933913936</v>
      </c>
      <c r="I159" s="88">
        <v>0</v>
      </c>
      <c r="J159" s="88">
        <v>0</v>
      </c>
      <c r="K159" s="87">
        <v>30.748996235568228</v>
      </c>
      <c r="L159" s="87">
        <v>69.251003764431772</v>
      </c>
      <c r="M159" s="87">
        <v>49.728956630059912</v>
      </c>
      <c r="N159" s="87">
        <v>70</v>
      </c>
      <c r="O159" s="88">
        <v>37.355028180342586</v>
      </c>
      <c r="P159" s="87">
        <v>0</v>
      </c>
      <c r="Q159" s="88">
        <v>36.019220739669137</v>
      </c>
      <c r="R159" s="88">
        <v>28.815376591735312</v>
      </c>
      <c r="S159" s="87">
        <v>24.038345452372468</v>
      </c>
      <c r="T159" s="87">
        <v>100</v>
      </c>
      <c r="U159" s="87">
        <v>111.82696991351935</v>
      </c>
      <c r="V159" s="87">
        <v>100</v>
      </c>
      <c r="W159" s="87">
        <v>82.814882042513503</v>
      </c>
      <c r="X159" s="87">
        <v>80</v>
      </c>
      <c r="Y159" s="87">
        <v>0</v>
      </c>
      <c r="Z159" s="87">
        <v>93.333333333333329</v>
      </c>
      <c r="AA159" s="87">
        <v>93.333333333333329</v>
      </c>
      <c r="AB159" s="87">
        <v>18.666666666666668</v>
      </c>
      <c r="AC159" s="68">
        <v>47.48204325840198</v>
      </c>
      <c r="AD159" s="68">
        <v>47.48204325840198</v>
      </c>
      <c r="AE159" s="68" t="s">
        <v>109</v>
      </c>
      <c r="AF159" s="68">
        <f t="shared" si="2"/>
        <v>27</v>
      </c>
    </row>
    <row r="160" spans="1:32" ht="14.4" x14ac:dyDescent="0.3">
      <c r="A160" s="82" t="s">
        <v>121</v>
      </c>
      <c r="B160" s="81" t="s">
        <v>144</v>
      </c>
      <c r="C160" s="82">
        <v>2024</v>
      </c>
      <c r="D160" s="82" t="s">
        <v>122</v>
      </c>
      <c r="E160" s="147">
        <v>4</v>
      </c>
      <c r="F160" s="91">
        <v>3</v>
      </c>
      <c r="G160" s="87">
        <v>67.577804700378024</v>
      </c>
      <c r="H160" s="87">
        <v>32.422195299621976</v>
      </c>
      <c r="I160" s="88">
        <v>2.4263050768939505</v>
      </c>
      <c r="J160" s="88">
        <v>10.702848502805193</v>
      </c>
      <c r="K160" s="87">
        <v>50.709840050834153</v>
      </c>
      <c r="L160" s="87">
        <v>49.290159949165847</v>
      </c>
      <c r="M160" s="87">
        <v>34.059736193658544</v>
      </c>
      <c r="N160" s="87">
        <v>40</v>
      </c>
      <c r="O160" s="88">
        <v>6.9664629883059694</v>
      </c>
      <c r="P160" s="87">
        <v>80</v>
      </c>
      <c r="Q160" s="88">
        <v>42.483040750318608</v>
      </c>
      <c r="R160" s="88">
        <v>33.986432600254886</v>
      </c>
      <c r="S160" s="87">
        <v>0.16944414144317932</v>
      </c>
      <c r="T160" s="87">
        <v>1.039832331133669</v>
      </c>
      <c r="U160" s="87">
        <v>119.78713741683782</v>
      </c>
      <c r="V160" s="87">
        <v>100</v>
      </c>
      <c r="W160" s="87">
        <v>92.06827127521565</v>
      </c>
      <c r="X160" s="87">
        <v>100</v>
      </c>
      <c r="Y160" s="87">
        <v>0</v>
      </c>
      <c r="Z160" s="87">
        <v>67.013277443711218</v>
      </c>
      <c r="AA160" s="87">
        <v>67.013277443711218</v>
      </c>
      <c r="AB160" s="87">
        <v>13.402655488742244</v>
      </c>
      <c r="AC160" s="68">
        <v>47.389088088997127</v>
      </c>
      <c r="AD160" s="68">
        <v>47.389088088997127</v>
      </c>
      <c r="AE160" s="68" t="s">
        <v>109</v>
      </c>
      <c r="AF160" s="68">
        <f t="shared" si="2"/>
        <v>28</v>
      </c>
    </row>
    <row r="161" spans="1:32" ht="13.5" customHeight="1" x14ac:dyDescent="0.3">
      <c r="A161" s="82" t="s">
        <v>117</v>
      </c>
      <c r="B161" s="81" t="s">
        <v>158</v>
      </c>
      <c r="C161" s="82">
        <v>2024</v>
      </c>
      <c r="D161" s="82" t="s">
        <v>17</v>
      </c>
      <c r="E161" s="147">
        <v>1</v>
      </c>
      <c r="F161" s="91">
        <v>1</v>
      </c>
      <c r="G161" s="87">
        <v>45.242914046908666</v>
      </c>
      <c r="H161" s="87">
        <v>54.757085953091334</v>
      </c>
      <c r="I161" s="88">
        <v>13.296284853058488</v>
      </c>
      <c r="J161" s="88">
        <v>25.529859019563673</v>
      </c>
      <c r="K161" s="87">
        <v>76.024462593085772</v>
      </c>
      <c r="L161" s="87">
        <v>23.975537406914228</v>
      </c>
      <c r="M161" s="87">
        <v>41.118651078076788</v>
      </c>
      <c r="N161" s="87">
        <v>50</v>
      </c>
      <c r="O161" s="88">
        <v>20.68388976369646</v>
      </c>
      <c r="P161" s="87">
        <v>20</v>
      </c>
      <c r="Q161" s="88">
        <v>34.852496475913846</v>
      </c>
      <c r="R161" s="88">
        <v>27.881997180731076</v>
      </c>
      <c r="S161" s="87">
        <v>8.7534628902798275</v>
      </c>
      <c r="T161" s="87">
        <v>100</v>
      </c>
      <c r="U161" s="87">
        <v>104.64880027460482</v>
      </c>
      <c r="V161" s="87">
        <v>100</v>
      </c>
      <c r="W161" s="87">
        <v>85.603937166534479</v>
      </c>
      <c r="X161" s="87">
        <v>80</v>
      </c>
      <c r="Y161" s="87">
        <v>0</v>
      </c>
      <c r="Z161" s="87">
        <v>93.333333333333329</v>
      </c>
      <c r="AA161" s="87">
        <v>93.333333333333329</v>
      </c>
      <c r="AB161" s="87">
        <v>18.666666666666668</v>
      </c>
      <c r="AC161" s="68">
        <v>46.548663847397748</v>
      </c>
      <c r="AD161" s="68">
        <v>46.548663847397748</v>
      </c>
      <c r="AE161" s="68" t="s">
        <v>109</v>
      </c>
      <c r="AF161" s="68">
        <f t="shared" si="2"/>
        <v>29</v>
      </c>
    </row>
    <row r="162" spans="1:32" ht="13.5" customHeight="1" x14ac:dyDescent="0.3">
      <c r="A162" s="82" t="s">
        <v>132</v>
      </c>
      <c r="B162" s="81" t="s">
        <v>141</v>
      </c>
      <c r="C162" s="82">
        <v>2024</v>
      </c>
      <c r="D162" s="82" t="s">
        <v>133</v>
      </c>
      <c r="E162" s="147">
        <v>1</v>
      </c>
      <c r="F162" s="91">
        <v>2</v>
      </c>
      <c r="G162" s="87">
        <v>57.317021585794457</v>
      </c>
      <c r="H162" s="87">
        <v>42.682978414205543</v>
      </c>
      <c r="I162" s="88">
        <v>6.5260498302102139</v>
      </c>
      <c r="J162" s="88">
        <v>13.545333917096823</v>
      </c>
      <c r="K162" s="87">
        <v>78.494373232011753</v>
      </c>
      <c r="L162" s="87">
        <v>21.505626767988247</v>
      </c>
      <c r="M162" s="87">
        <v>38.766224851020162</v>
      </c>
      <c r="N162" s="87">
        <v>50</v>
      </c>
      <c r="O162" s="88">
        <v>5.1970393276892537</v>
      </c>
      <c r="P162" s="87">
        <v>80</v>
      </c>
      <c r="Q162" s="88">
        <v>41.546787819858125</v>
      </c>
      <c r="R162" s="88">
        <v>33.237430255886501</v>
      </c>
      <c r="S162" s="87">
        <v>0.40930310946841075</v>
      </c>
      <c r="T162" s="87">
        <v>6.0245522025240197</v>
      </c>
      <c r="U162" s="87">
        <v>92.65728438471659</v>
      </c>
      <c r="V162" s="87">
        <v>100</v>
      </c>
      <c r="W162" s="87">
        <v>85.015460650070466</v>
      </c>
      <c r="X162" s="87">
        <v>80</v>
      </c>
      <c r="Y162" s="87">
        <v>0</v>
      </c>
      <c r="Z162" s="87">
        <v>62.008184067508012</v>
      </c>
      <c r="AA162" s="87">
        <v>62.008184067508012</v>
      </c>
      <c r="AB162" s="87">
        <v>12.401636813501604</v>
      </c>
      <c r="AC162" s="68">
        <v>45.639067069388105</v>
      </c>
      <c r="AD162" s="68">
        <v>45.639067069388105</v>
      </c>
      <c r="AE162" s="68" t="s">
        <v>109</v>
      </c>
      <c r="AF162" s="68">
        <f t="shared" si="2"/>
        <v>30</v>
      </c>
    </row>
    <row r="163" spans="1:32" ht="13.5" customHeight="1" x14ac:dyDescent="0.3">
      <c r="A163" s="82" t="s">
        <v>129</v>
      </c>
      <c r="B163" s="81" t="s">
        <v>147</v>
      </c>
      <c r="C163" s="82">
        <v>2024</v>
      </c>
      <c r="D163" s="82" t="s">
        <v>130</v>
      </c>
      <c r="E163" s="147">
        <v>1</v>
      </c>
      <c r="F163" s="91">
        <v>2</v>
      </c>
      <c r="G163" s="87">
        <v>75.070373696078121</v>
      </c>
      <c r="H163" s="87">
        <v>24.929626303921879</v>
      </c>
      <c r="I163" s="88">
        <v>6.0464674258254263</v>
      </c>
      <c r="J163" s="88">
        <v>12.549922607473576</v>
      </c>
      <c r="K163" s="87">
        <v>70.376294859331551</v>
      </c>
      <c r="L163" s="87">
        <v>29.623705140668449</v>
      </c>
      <c r="M163" s="87">
        <v>33.258268433321305</v>
      </c>
      <c r="N163" s="87">
        <v>40</v>
      </c>
      <c r="O163" s="88">
        <v>19.134950900460815</v>
      </c>
      <c r="P163" s="87">
        <v>40</v>
      </c>
      <c r="Q163" s="88">
        <v>29.420650810412781</v>
      </c>
      <c r="R163" s="88">
        <v>23.536520648330225</v>
      </c>
      <c r="S163" s="87">
        <v>5.2990904252011788</v>
      </c>
      <c r="T163" s="87">
        <v>77.997567460414288</v>
      </c>
      <c r="U163" s="87">
        <v>106.16888297429209</v>
      </c>
      <c r="V163" s="87">
        <v>100</v>
      </c>
      <c r="W163" s="87">
        <v>90.570052515737459</v>
      </c>
      <c r="X163" s="87">
        <v>100</v>
      </c>
      <c r="Y163" s="87">
        <v>0</v>
      </c>
      <c r="Z163" s="87">
        <v>92.665855820138106</v>
      </c>
      <c r="AA163" s="87">
        <v>92.665855820138106</v>
      </c>
      <c r="AB163" s="87">
        <v>18.533171164027621</v>
      </c>
      <c r="AC163" s="68">
        <v>42.069691812357846</v>
      </c>
      <c r="AD163" s="68">
        <v>42.069691812357846</v>
      </c>
      <c r="AE163" s="68" t="s">
        <v>109</v>
      </c>
      <c r="AF163" s="68">
        <f t="shared" si="2"/>
        <v>31</v>
      </c>
    </row>
    <row r="164" spans="1:32" ht="14.4" x14ac:dyDescent="0.3">
      <c r="A164" s="82" t="s">
        <v>106</v>
      </c>
      <c r="B164" s="81" t="s">
        <v>165</v>
      </c>
      <c r="C164" s="82">
        <v>2024</v>
      </c>
      <c r="D164" s="82" t="s">
        <v>173</v>
      </c>
      <c r="E164" s="126">
        <v>3</v>
      </c>
      <c r="F164" s="91">
        <v>2</v>
      </c>
      <c r="G164" s="87">
        <v>25.418082512895658</v>
      </c>
      <c r="H164" s="87">
        <v>74.581917487104334</v>
      </c>
      <c r="I164" s="88">
        <v>14.948470837462835</v>
      </c>
      <c r="J164" s="88">
        <v>31.026736588202823</v>
      </c>
      <c r="K164" s="87">
        <v>16.48137972038144</v>
      </c>
      <c r="L164" s="87">
        <v>83.51862027961856</v>
      </c>
      <c r="M164" s="87">
        <v>10.653441275569818</v>
      </c>
      <c r="N164" s="87">
        <v>20</v>
      </c>
      <c r="O164" s="88">
        <v>45.213841554850021</v>
      </c>
      <c r="P164" s="87">
        <v>0</v>
      </c>
      <c r="Q164" s="88">
        <v>41.825454870985141</v>
      </c>
      <c r="R164" s="88">
        <v>33.460363896788117</v>
      </c>
      <c r="S164" s="87">
        <v>0</v>
      </c>
      <c r="T164" s="87">
        <v>0</v>
      </c>
      <c r="U164" s="87">
        <v>1240.8300378277838</v>
      </c>
      <c r="V164" s="87">
        <v>0</v>
      </c>
      <c r="W164" s="87">
        <v>71.245675822365627</v>
      </c>
      <c r="X164" s="87">
        <v>70</v>
      </c>
      <c r="Y164" s="87">
        <v>0</v>
      </c>
      <c r="Z164" s="87">
        <v>23.333333333333332</v>
      </c>
      <c r="AA164" s="87">
        <v>23.333333333333332</v>
      </c>
      <c r="AB164" s="87">
        <v>4.666666666666667</v>
      </c>
      <c r="AC164" s="68">
        <v>38.127030563454781</v>
      </c>
      <c r="AD164" s="68">
        <v>38.127030563454781</v>
      </c>
      <c r="AE164" s="68" t="s">
        <v>177</v>
      </c>
      <c r="AF164" s="68">
        <f t="shared" si="2"/>
        <v>32</v>
      </c>
    </row>
    <row r="165" spans="1:32" x14ac:dyDescent="0.3">
      <c r="A165" s="6"/>
      <c r="B165" s="6"/>
      <c r="C165" s="39"/>
      <c r="D165" s="6"/>
      <c r="E165" s="153"/>
      <c r="F165" s="10"/>
      <c r="G165" s="2"/>
      <c r="H165" s="3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2" ht="13.5" customHeight="1" x14ac:dyDescent="0.35">
      <c r="A166" s="49"/>
      <c r="B166" s="49"/>
      <c r="C166" s="14"/>
      <c r="D166" s="1"/>
      <c r="E166" s="153"/>
      <c r="F166" s="10"/>
      <c r="G166" s="21"/>
      <c r="H166" s="21"/>
      <c r="I166" s="21"/>
      <c r="J166" s="21"/>
      <c r="K166" s="21"/>
      <c r="L166" s="21"/>
      <c r="M166" s="21"/>
      <c r="N166" s="22"/>
      <c r="O166" s="21"/>
      <c r="P166" s="22"/>
      <c r="Q166" s="21"/>
      <c r="R166" s="21"/>
      <c r="S166" s="21"/>
      <c r="T166" s="21"/>
      <c r="U166" s="21"/>
      <c r="V166" s="22"/>
      <c r="W166" s="21"/>
      <c r="X166" s="22"/>
      <c r="Y166" s="21"/>
      <c r="Z166" s="21"/>
      <c r="AA166" s="21"/>
      <c r="AB166" s="21"/>
      <c r="AC166" s="26"/>
      <c r="AD166" s="26"/>
      <c r="AE166" s="62"/>
    </row>
    <row r="167" spans="1:32" x14ac:dyDescent="0.3">
      <c r="A167" s="63"/>
      <c r="B167" s="63"/>
      <c r="C167" s="39"/>
      <c r="D167" s="6"/>
      <c r="E167" s="153"/>
      <c r="F167" s="10"/>
      <c r="G167" s="64"/>
      <c r="H167" s="3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2" ht="13.5" customHeight="1" x14ac:dyDescent="0.35">
      <c r="A168" s="49"/>
      <c r="B168" s="49"/>
      <c r="C168" s="14"/>
      <c r="D168" s="1"/>
      <c r="E168" s="153"/>
      <c r="F168" s="10"/>
      <c r="G168" s="21"/>
      <c r="H168" s="21"/>
      <c r="I168" s="21"/>
      <c r="J168" s="21"/>
      <c r="K168" s="21"/>
      <c r="L168" s="21"/>
      <c r="M168" s="21"/>
      <c r="N168" s="22"/>
      <c r="O168" s="21"/>
      <c r="P168" s="22"/>
      <c r="Q168" s="21"/>
      <c r="R168" s="21"/>
      <c r="S168" s="21"/>
      <c r="T168" s="21"/>
      <c r="U168" s="21"/>
      <c r="V168" s="22"/>
      <c r="W168" s="21"/>
      <c r="X168" s="22"/>
      <c r="Y168" s="21"/>
      <c r="Z168" s="21"/>
      <c r="AA168" s="21"/>
      <c r="AB168" s="21"/>
      <c r="AC168" s="26"/>
      <c r="AD168" s="26"/>
      <c r="AE168" s="62"/>
    </row>
    <row r="169" spans="1:32" ht="13.5" customHeight="1" x14ac:dyDescent="0.35">
      <c r="A169" s="49"/>
      <c r="B169" s="49"/>
      <c r="C169" s="14"/>
      <c r="D169" s="1"/>
      <c r="E169" s="153"/>
      <c r="F169" s="10"/>
      <c r="G169" s="21"/>
      <c r="H169" s="21"/>
      <c r="I169" s="21"/>
      <c r="J169" s="21"/>
      <c r="K169" s="21"/>
      <c r="L169" s="21"/>
      <c r="M169" s="21"/>
      <c r="N169" s="22"/>
      <c r="O169" s="21"/>
      <c r="P169" s="22"/>
      <c r="Q169" s="21"/>
      <c r="R169" s="21"/>
      <c r="S169" s="21"/>
      <c r="T169" s="21"/>
      <c r="U169" s="21"/>
      <c r="V169" s="22"/>
      <c r="W169" s="21"/>
      <c r="X169" s="22"/>
      <c r="Y169" s="21"/>
      <c r="Z169" s="21"/>
      <c r="AA169" s="21"/>
      <c r="AB169" s="21"/>
      <c r="AC169" s="26"/>
      <c r="AD169" s="26"/>
      <c r="AE169" s="62"/>
    </row>
    <row r="170" spans="1:32" ht="13.5" customHeight="1" x14ac:dyDescent="0.35">
      <c r="A170" s="49"/>
      <c r="B170" s="49"/>
      <c r="C170" s="14"/>
      <c r="D170" s="1"/>
      <c r="E170" s="153"/>
      <c r="F170" s="10"/>
      <c r="G170" s="21"/>
      <c r="H170" s="21"/>
      <c r="I170" s="21"/>
      <c r="J170" s="21"/>
      <c r="K170" s="21"/>
      <c r="L170" s="21"/>
      <c r="M170" s="21"/>
      <c r="N170" s="22"/>
      <c r="O170" s="21"/>
      <c r="P170" s="22"/>
      <c r="Q170" s="21"/>
      <c r="R170" s="21"/>
      <c r="S170" s="21"/>
      <c r="T170" s="21"/>
      <c r="U170" s="21"/>
      <c r="V170" s="22"/>
      <c r="W170" s="21"/>
      <c r="X170" s="22"/>
      <c r="Y170" s="21"/>
      <c r="Z170" s="21"/>
      <c r="AA170" s="21"/>
      <c r="AB170" s="21"/>
      <c r="AC170" s="26"/>
      <c r="AD170" s="26"/>
      <c r="AE170" s="62"/>
    </row>
    <row r="171" spans="1:32" x14ac:dyDescent="0.3">
      <c r="A171" s="6"/>
      <c r="B171" s="6"/>
      <c r="C171" s="39"/>
      <c r="D171" s="6"/>
      <c r="E171" s="153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2" x14ac:dyDescent="0.3">
      <c r="A172" s="63"/>
      <c r="B172" s="63"/>
      <c r="C172" s="39"/>
      <c r="D172" s="6"/>
      <c r="E172" s="153"/>
      <c r="F172" s="10"/>
      <c r="G172" s="64"/>
      <c r="H172" s="3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2" x14ac:dyDescent="0.3">
      <c r="A173" s="6"/>
      <c r="B173" s="6"/>
      <c r="C173" s="39"/>
      <c r="D173" s="6"/>
      <c r="E173" s="153"/>
      <c r="F173" s="10"/>
      <c r="G173" s="2"/>
      <c r="H173" s="3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2" ht="13.5" customHeight="1" x14ac:dyDescent="0.35">
      <c r="A174" s="49"/>
      <c r="B174" s="49"/>
      <c r="C174" s="39"/>
      <c r="D174" s="1"/>
      <c r="E174" s="153"/>
      <c r="F174" s="10"/>
      <c r="G174" s="21"/>
      <c r="H174" s="21"/>
      <c r="I174" s="21"/>
      <c r="J174" s="21"/>
      <c r="K174" s="21"/>
      <c r="L174" s="21"/>
      <c r="M174" s="21"/>
      <c r="N174" s="22"/>
      <c r="O174" s="21"/>
      <c r="P174" s="22"/>
      <c r="Q174" s="21"/>
      <c r="R174" s="21"/>
      <c r="S174" s="21"/>
      <c r="T174" s="21"/>
      <c r="U174" s="21"/>
      <c r="V174" s="22"/>
      <c r="W174" s="21"/>
      <c r="X174" s="22"/>
      <c r="Y174" s="21"/>
      <c r="Z174" s="21"/>
      <c r="AA174" s="21"/>
      <c r="AB174" s="21"/>
      <c r="AC174" s="26"/>
      <c r="AD174" s="26"/>
      <c r="AE174" s="62"/>
    </row>
    <row r="175" spans="1:32" x14ac:dyDescent="0.3">
      <c r="A175" s="6"/>
      <c r="B175" s="6"/>
      <c r="C175" s="39"/>
      <c r="D175" s="6"/>
      <c r="E175" s="153"/>
      <c r="F175" s="10"/>
      <c r="G175" s="2"/>
      <c r="H175" s="3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2" x14ac:dyDescent="0.3">
      <c r="A176" s="6"/>
      <c r="B176" s="6"/>
      <c r="C176" s="39"/>
      <c r="D176" s="6"/>
      <c r="E176" s="153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3">
      <c r="A177" s="6"/>
      <c r="B177" s="6"/>
      <c r="C177" s="39"/>
      <c r="D177" s="6"/>
      <c r="E177" s="153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21"/>
      <c r="R177" s="21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3.5" customHeight="1" x14ac:dyDescent="0.35">
      <c r="A178" s="49"/>
      <c r="B178" s="49"/>
      <c r="C178" s="14"/>
      <c r="D178" s="1"/>
      <c r="E178" s="153"/>
      <c r="F178" s="10"/>
      <c r="G178" s="21"/>
      <c r="H178" s="21"/>
      <c r="I178" s="21"/>
      <c r="J178" s="21"/>
      <c r="K178" s="21"/>
      <c r="L178" s="21"/>
      <c r="M178" s="21"/>
      <c r="N178" s="22"/>
      <c r="O178" s="21"/>
      <c r="P178" s="22"/>
      <c r="Q178" s="21"/>
      <c r="R178" s="21"/>
      <c r="S178" s="21"/>
      <c r="T178" s="21"/>
      <c r="U178" s="21"/>
      <c r="V178" s="22"/>
      <c r="W178" s="21"/>
      <c r="X178" s="22"/>
      <c r="Y178" s="21"/>
      <c r="Z178" s="21"/>
      <c r="AA178" s="21"/>
      <c r="AB178" s="21"/>
      <c r="AC178" s="26"/>
      <c r="AD178" s="26"/>
      <c r="AE178" s="62"/>
    </row>
    <row r="179" spans="1:31" ht="13.5" customHeight="1" x14ac:dyDescent="0.35">
      <c r="A179" s="49"/>
      <c r="B179" s="49"/>
      <c r="C179" s="14"/>
      <c r="D179" s="1"/>
      <c r="E179" s="153"/>
      <c r="F179" s="10"/>
      <c r="G179" s="21"/>
      <c r="H179" s="21"/>
      <c r="I179" s="21"/>
      <c r="J179" s="21"/>
      <c r="K179" s="21"/>
      <c r="L179" s="21"/>
      <c r="M179" s="21"/>
      <c r="N179" s="22"/>
      <c r="O179" s="21"/>
      <c r="P179" s="22"/>
      <c r="Q179" s="21"/>
      <c r="R179" s="21"/>
      <c r="S179" s="21"/>
      <c r="T179" s="21"/>
      <c r="U179" s="21"/>
      <c r="V179" s="22"/>
      <c r="W179" s="21"/>
      <c r="X179" s="22"/>
      <c r="Y179" s="21"/>
      <c r="Z179" s="21"/>
      <c r="AA179" s="21"/>
      <c r="AB179" s="21"/>
      <c r="AC179" s="26"/>
      <c r="AD179" s="26"/>
      <c r="AE179" s="62"/>
    </row>
    <row r="180" spans="1:31" ht="13.5" customHeight="1" x14ac:dyDescent="0.35">
      <c r="A180" s="49"/>
      <c r="B180" s="49"/>
      <c r="C180" s="39"/>
      <c r="D180" s="1"/>
      <c r="E180" s="153"/>
      <c r="F180" s="10"/>
      <c r="G180" s="21"/>
      <c r="H180" s="21"/>
      <c r="I180" s="21"/>
      <c r="J180" s="21"/>
      <c r="K180" s="21"/>
      <c r="L180" s="21"/>
      <c r="M180" s="21"/>
      <c r="N180" s="22"/>
      <c r="O180" s="21"/>
      <c r="P180" s="22"/>
      <c r="Q180" s="21"/>
      <c r="R180" s="21"/>
      <c r="S180" s="21"/>
      <c r="T180" s="21"/>
      <c r="U180" s="21"/>
      <c r="V180" s="22"/>
      <c r="W180" s="21"/>
      <c r="X180" s="22"/>
      <c r="Y180" s="21"/>
      <c r="Z180" s="21"/>
      <c r="AA180" s="21"/>
      <c r="AB180" s="21"/>
      <c r="AC180" s="26"/>
      <c r="AD180" s="26"/>
      <c r="AE180" s="62"/>
    </row>
    <row r="181" spans="1:31" ht="15" x14ac:dyDescent="0.35">
      <c r="A181" s="6"/>
      <c r="B181" s="6"/>
      <c r="C181" s="39"/>
      <c r="D181" s="6"/>
      <c r="E181" s="153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65"/>
    </row>
    <row r="182" spans="1:31" x14ac:dyDescent="0.3">
      <c r="A182" s="6"/>
      <c r="B182" s="6"/>
      <c r="C182" s="39"/>
      <c r="D182" s="6"/>
      <c r="E182" s="153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21"/>
      <c r="R182" s="21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3">
      <c r="A183" s="6"/>
      <c r="B183" s="6"/>
      <c r="C183" s="39"/>
      <c r="D183" s="6"/>
      <c r="E183" s="153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1"/>
      <c r="R183" s="21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3.5" customHeight="1" x14ac:dyDescent="0.35">
      <c r="A184" s="49"/>
      <c r="B184" s="49"/>
      <c r="C184" s="39"/>
      <c r="D184" s="1"/>
      <c r="E184" s="153"/>
      <c r="F184" s="10"/>
      <c r="G184" s="21"/>
      <c r="H184" s="21"/>
      <c r="I184" s="21"/>
      <c r="J184" s="21"/>
      <c r="K184" s="21"/>
      <c r="L184" s="21"/>
      <c r="M184" s="21"/>
      <c r="N184" s="22"/>
      <c r="O184" s="21"/>
      <c r="P184" s="22"/>
      <c r="Q184" s="21"/>
      <c r="R184" s="21"/>
      <c r="S184" s="21"/>
      <c r="T184" s="21"/>
      <c r="U184" s="21"/>
      <c r="V184" s="22"/>
      <c r="W184" s="21"/>
      <c r="X184" s="22"/>
      <c r="Y184" s="21"/>
      <c r="Z184" s="21"/>
      <c r="AA184" s="21"/>
      <c r="AB184" s="21"/>
      <c r="AC184" s="26"/>
      <c r="AD184" s="26"/>
      <c r="AE184" s="62"/>
    </row>
    <row r="185" spans="1:31" x14ac:dyDescent="0.3">
      <c r="A185" s="6"/>
      <c r="B185" s="6"/>
      <c r="C185" s="39"/>
      <c r="D185" s="6"/>
      <c r="E185" s="153"/>
      <c r="F185" s="10"/>
      <c r="G185" s="2"/>
      <c r="H185" s="3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12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3">
      <c r="A186" s="6"/>
      <c r="B186" s="6"/>
      <c r="C186" s="39"/>
      <c r="D186" s="6"/>
      <c r="E186" s="153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21"/>
      <c r="R186" s="21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3">
      <c r="A187" s="6"/>
      <c r="B187" s="6"/>
      <c r="C187" s="39"/>
      <c r="D187" s="6"/>
      <c r="E187" s="153"/>
      <c r="F187" s="10"/>
      <c r="G187" s="2"/>
      <c r="H187" s="3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.5" customHeight="1" x14ac:dyDescent="0.35">
      <c r="A188" s="49"/>
      <c r="B188" s="49"/>
      <c r="C188" s="14"/>
      <c r="D188" s="1"/>
      <c r="E188" s="153"/>
      <c r="F188" s="10"/>
      <c r="G188" s="21"/>
      <c r="H188" s="21"/>
      <c r="I188" s="21"/>
      <c r="J188" s="21"/>
      <c r="K188" s="21"/>
      <c r="L188" s="21"/>
      <c r="M188" s="21"/>
      <c r="N188" s="22"/>
      <c r="O188" s="21"/>
      <c r="P188" s="22"/>
      <c r="Q188" s="21"/>
      <c r="R188" s="21"/>
      <c r="S188" s="21"/>
      <c r="T188" s="21"/>
      <c r="U188" s="21"/>
      <c r="V188" s="22"/>
      <c r="W188" s="21"/>
      <c r="X188" s="22"/>
      <c r="Y188" s="21"/>
      <c r="Z188" s="21"/>
      <c r="AA188" s="21"/>
      <c r="AB188" s="21"/>
      <c r="AC188" s="26"/>
      <c r="AD188" s="26"/>
      <c r="AE188" s="62"/>
    </row>
    <row r="189" spans="1:31" x14ac:dyDescent="0.3">
      <c r="A189" s="6"/>
      <c r="B189" s="6"/>
      <c r="C189" s="39"/>
      <c r="D189" s="6"/>
      <c r="E189" s="153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21"/>
      <c r="R189" s="21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6"/>
      <c r="B190" s="6"/>
      <c r="C190" s="39"/>
      <c r="D190" s="6"/>
      <c r="E190" s="153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21"/>
      <c r="R190" s="21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3.5" customHeight="1" x14ac:dyDescent="0.35">
      <c r="A191" s="49"/>
      <c r="B191" s="49"/>
      <c r="C191" s="14"/>
      <c r="D191" s="1"/>
      <c r="E191" s="153"/>
      <c r="F191" s="10"/>
      <c r="G191" s="21"/>
      <c r="H191" s="21"/>
      <c r="I191" s="21"/>
      <c r="J191" s="21"/>
      <c r="K191" s="21"/>
      <c r="L191" s="21"/>
      <c r="M191" s="21"/>
      <c r="N191" s="22"/>
      <c r="O191" s="21"/>
      <c r="P191" s="22"/>
      <c r="Q191" s="21"/>
      <c r="R191" s="21"/>
      <c r="S191" s="21"/>
      <c r="T191" s="21"/>
      <c r="U191" s="21"/>
      <c r="V191" s="22"/>
      <c r="W191" s="21"/>
      <c r="X191" s="22"/>
      <c r="Y191" s="21"/>
      <c r="Z191" s="21"/>
      <c r="AA191" s="21"/>
      <c r="AB191" s="21"/>
      <c r="AC191" s="26"/>
      <c r="AD191" s="26"/>
      <c r="AE191" s="62"/>
    </row>
    <row r="192" spans="1:31" x14ac:dyDescent="0.3">
      <c r="A192" s="6"/>
      <c r="B192" s="6"/>
      <c r="C192" s="39"/>
      <c r="D192" s="6"/>
      <c r="E192" s="153"/>
      <c r="F192" s="10"/>
      <c r="G192" s="2"/>
      <c r="H192" s="3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3.5" customHeight="1" x14ac:dyDescent="0.35">
      <c r="A193" s="49"/>
      <c r="B193" s="49"/>
      <c r="C193" s="39"/>
      <c r="D193" s="1"/>
      <c r="E193" s="153"/>
      <c r="F193" s="10"/>
      <c r="G193" s="21"/>
      <c r="H193" s="21"/>
      <c r="I193" s="21"/>
      <c r="J193" s="21"/>
      <c r="K193" s="21"/>
      <c r="L193" s="21"/>
      <c r="M193" s="21"/>
      <c r="N193" s="22"/>
      <c r="O193" s="21"/>
      <c r="P193" s="22"/>
      <c r="Q193" s="21"/>
      <c r="R193" s="21"/>
      <c r="S193" s="21"/>
      <c r="T193" s="21"/>
      <c r="U193" s="21"/>
      <c r="V193" s="22"/>
      <c r="W193" s="21"/>
      <c r="X193" s="22"/>
      <c r="Y193" s="21"/>
      <c r="Z193" s="21"/>
      <c r="AA193" s="21"/>
      <c r="AB193" s="21"/>
      <c r="AC193" s="26"/>
      <c r="AD193" s="26"/>
      <c r="AE193" s="62"/>
    </row>
    <row r="194" spans="1:31" x14ac:dyDescent="0.3">
      <c r="A194" s="6"/>
      <c r="B194" s="6"/>
      <c r="C194" s="39"/>
      <c r="D194" s="6"/>
      <c r="E194" s="153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21"/>
      <c r="R194" s="21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5" x14ac:dyDescent="0.35">
      <c r="A195" s="6"/>
      <c r="B195" s="6"/>
      <c r="C195" s="39"/>
      <c r="D195" s="6"/>
      <c r="E195" s="153"/>
      <c r="F195" s="10"/>
      <c r="G195" s="2"/>
      <c r="H195" s="3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65"/>
    </row>
    <row r="196" spans="1:31" ht="13.5" customHeight="1" x14ac:dyDescent="0.35">
      <c r="A196" s="49"/>
      <c r="B196" s="49"/>
      <c r="C196" s="14"/>
      <c r="D196" s="1"/>
      <c r="E196" s="153"/>
      <c r="F196" s="10"/>
      <c r="G196" s="21"/>
      <c r="H196" s="21"/>
      <c r="I196" s="21"/>
      <c r="J196" s="21"/>
      <c r="K196" s="21"/>
      <c r="L196" s="21"/>
      <c r="M196" s="21"/>
      <c r="N196" s="22"/>
      <c r="O196" s="21"/>
      <c r="P196" s="22"/>
      <c r="Q196" s="21"/>
      <c r="R196" s="21"/>
      <c r="S196" s="21"/>
      <c r="T196" s="21"/>
      <c r="U196" s="21"/>
      <c r="V196" s="22"/>
      <c r="W196" s="21"/>
      <c r="X196" s="22"/>
      <c r="Y196" s="21"/>
      <c r="Z196" s="21"/>
      <c r="AA196" s="21"/>
      <c r="AB196" s="21"/>
      <c r="AC196" s="26"/>
      <c r="AD196" s="26"/>
      <c r="AE196" s="62"/>
    </row>
    <row r="197" spans="1:31" ht="13.5" customHeight="1" x14ac:dyDescent="0.35">
      <c r="A197" s="49"/>
      <c r="B197" s="49"/>
      <c r="C197" s="39"/>
      <c r="D197" s="1"/>
      <c r="E197" s="153"/>
      <c r="F197" s="10"/>
      <c r="G197" s="21"/>
      <c r="H197" s="21"/>
      <c r="I197" s="21"/>
      <c r="J197" s="21"/>
      <c r="K197" s="21"/>
      <c r="L197" s="21"/>
      <c r="M197" s="21"/>
      <c r="N197" s="22"/>
      <c r="O197" s="21"/>
      <c r="P197" s="22"/>
      <c r="Q197" s="21"/>
      <c r="R197" s="21"/>
      <c r="S197" s="21"/>
      <c r="T197" s="21"/>
      <c r="U197" s="21"/>
      <c r="V197" s="22"/>
      <c r="W197" s="21"/>
      <c r="X197" s="22"/>
      <c r="Y197" s="21"/>
      <c r="Z197" s="21"/>
      <c r="AA197" s="21"/>
      <c r="AB197" s="21"/>
      <c r="AC197" s="26"/>
      <c r="AD197" s="26"/>
      <c r="AE197" s="62"/>
    </row>
    <row r="198" spans="1:31" ht="13.5" customHeight="1" x14ac:dyDescent="0.35">
      <c r="A198" s="49"/>
      <c r="B198" s="49"/>
      <c r="C198" s="39"/>
      <c r="D198" s="1"/>
      <c r="E198" s="153"/>
      <c r="F198" s="10"/>
      <c r="G198" s="21"/>
      <c r="H198" s="21"/>
      <c r="I198" s="21"/>
      <c r="J198" s="21"/>
      <c r="K198" s="21"/>
      <c r="L198" s="21"/>
      <c r="M198" s="21"/>
      <c r="N198" s="22"/>
      <c r="O198" s="21"/>
      <c r="P198" s="22"/>
      <c r="Q198" s="21"/>
      <c r="R198" s="21"/>
      <c r="S198" s="21"/>
      <c r="T198" s="21"/>
      <c r="U198" s="21"/>
      <c r="V198" s="22"/>
      <c r="W198" s="21"/>
      <c r="X198" s="22"/>
      <c r="Y198" s="21"/>
      <c r="Z198" s="21"/>
      <c r="AA198" s="21"/>
      <c r="AB198" s="21"/>
      <c r="AC198" s="26"/>
      <c r="AD198" s="26"/>
      <c r="AE198" s="62"/>
    </row>
    <row r="199" spans="1:31" x14ac:dyDescent="0.3">
      <c r="A199" s="6"/>
      <c r="B199" s="6"/>
      <c r="C199" s="39"/>
      <c r="D199" s="6"/>
      <c r="E199" s="153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21"/>
      <c r="R199" s="21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3">
      <c r="A200" s="6"/>
      <c r="B200" s="6"/>
      <c r="C200" s="39"/>
      <c r="D200" s="6"/>
      <c r="E200" s="153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21"/>
      <c r="R200" s="21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3">
      <c r="A201" s="63"/>
      <c r="B201" s="63"/>
      <c r="C201" s="39"/>
      <c r="D201" s="6"/>
      <c r="E201" s="153"/>
      <c r="F201" s="10"/>
      <c r="G201" s="64"/>
      <c r="H201" s="3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3">
      <c r="A202" s="63"/>
      <c r="B202" s="63"/>
      <c r="C202" s="39"/>
      <c r="D202" s="6"/>
      <c r="E202" s="153"/>
      <c r="F202" s="10"/>
      <c r="G202" s="64"/>
      <c r="H202" s="3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6"/>
      <c r="B203" s="6"/>
      <c r="C203" s="39"/>
      <c r="D203" s="6"/>
      <c r="E203" s="153"/>
      <c r="F203" s="10"/>
      <c r="G203" s="2"/>
      <c r="H203" s="3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3.5" customHeight="1" x14ac:dyDescent="0.35">
      <c r="A204" s="49"/>
      <c r="B204" s="49"/>
      <c r="C204" s="39"/>
      <c r="D204" s="1"/>
      <c r="E204" s="153"/>
      <c r="F204" s="10"/>
      <c r="G204" s="21"/>
      <c r="H204" s="21"/>
      <c r="I204" s="21"/>
      <c r="J204" s="21"/>
      <c r="K204" s="21"/>
      <c r="L204" s="21"/>
      <c r="M204" s="21"/>
      <c r="N204" s="22"/>
      <c r="O204" s="21"/>
      <c r="P204" s="22"/>
      <c r="Q204" s="21"/>
      <c r="R204" s="21"/>
      <c r="S204" s="21"/>
      <c r="T204" s="21"/>
      <c r="U204" s="21"/>
      <c r="V204" s="22"/>
      <c r="W204" s="21"/>
      <c r="X204" s="22"/>
      <c r="Y204" s="21"/>
      <c r="Z204" s="21"/>
      <c r="AA204" s="21"/>
      <c r="AB204" s="21"/>
      <c r="AC204" s="26"/>
      <c r="AD204" s="26"/>
      <c r="AE204" s="62"/>
    </row>
    <row r="205" spans="1:31" x14ac:dyDescent="0.3">
      <c r="A205" s="6"/>
      <c r="B205" s="6"/>
      <c r="C205" s="39"/>
      <c r="D205" s="6"/>
      <c r="E205" s="153"/>
      <c r="F205" s="10"/>
      <c r="G205" s="2"/>
      <c r="H205" s="3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.5" customHeight="1" x14ac:dyDescent="0.35">
      <c r="A206" s="49"/>
      <c r="B206" s="49"/>
      <c r="C206" s="14"/>
      <c r="D206" s="1"/>
      <c r="E206" s="153"/>
      <c r="F206" s="10"/>
      <c r="G206" s="21"/>
      <c r="H206" s="21"/>
      <c r="I206" s="21"/>
      <c r="J206" s="21"/>
      <c r="K206" s="21"/>
      <c r="L206" s="21"/>
      <c r="M206" s="21"/>
      <c r="N206" s="22"/>
      <c r="O206" s="21"/>
      <c r="P206" s="22"/>
      <c r="Q206" s="21"/>
      <c r="R206" s="21"/>
      <c r="S206" s="21"/>
      <c r="T206" s="21"/>
      <c r="U206" s="21"/>
      <c r="V206" s="22"/>
      <c r="W206" s="21"/>
      <c r="X206" s="22"/>
      <c r="Y206" s="21"/>
      <c r="Z206" s="21"/>
      <c r="AA206" s="21"/>
      <c r="AB206" s="21"/>
      <c r="AC206" s="26"/>
      <c r="AD206" s="26"/>
      <c r="AE206" s="62"/>
    </row>
    <row r="207" spans="1:31" ht="13.5" customHeight="1" x14ac:dyDescent="0.35">
      <c r="A207" s="49"/>
      <c r="B207" s="49"/>
      <c r="C207" s="39"/>
      <c r="D207" s="1"/>
      <c r="E207" s="153"/>
      <c r="F207" s="10"/>
      <c r="G207" s="21"/>
      <c r="H207" s="21"/>
      <c r="I207" s="21"/>
      <c r="J207" s="21"/>
      <c r="K207" s="21"/>
      <c r="L207" s="21"/>
      <c r="M207" s="21"/>
      <c r="N207" s="22"/>
      <c r="O207" s="21"/>
      <c r="P207" s="22"/>
      <c r="Q207" s="21"/>
      <c r="R207" s="21"/>
      <c r="S207" s="21"/>
      <c r="T207" s="21"/>
      <c r="U207" s="21"/>
      <c r="V207" s="22"/>
      <c r="W207" s="21"/>
      <c r="X207" s="22"/>
      <c r="Y207" s="21"/>
      <c r="Z207" s="21"/>
      <c r="AA207" s="21"/>
      <c r="AB207" s="21"/>
      <c r="AC207" s="26"/>
      <c r="AD207" s="26"/>
      <c r="AE207" s="62"/>
    </row>
    <row r="208" spans="1:31" x14ac:dyDescent="0.3">
      <c r="A208" s="6"/>
      <c r="B208" s="6"/>
      <c r="C208" s="39"/>
      <c r="D208" s="6"/>
      <c r="E208" s="153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21"/>
      <c r="R208" s="21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3">
      <c r="A209" s="63"/>
      <c r="B209" s="63"/>
      <c r="C209" s="39"/>
      <c r="D209" s="6"/>
      <c r="E209" s="153"/>
      <c r="F209" s="10"/>
      <c r="G209" s="64"/>
      <c r="H209" s="3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12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3">
      <c r="A210" s="6"/>
      <c r="B210" s="6"/>
      <c r="C210" s="39"/>
      <c r="D210" s="6"/>
      <c r="E210" s="153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21"/>
      <c r="R210" s="21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3">
      <c r="A211" s="63"/>
      <c r="B211" s="63"/>
      <c r="C211" s="39"/>
      <c r="D211" s="6"/>
      <c r="E211" s="153"/>
      <c r="F211" s="10"/>
      <c r="G211" s="64"/>
      <c r="H211" s="3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3">
      <c r="A212" s="6"/>
      <c r="B212" s="6"/>
      <c r="C212" s="39"/>
      <c r="D212" s="6"/>
      <c r="E212" s="153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21"/>
      <c r="R212" s="21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3">
      <c r="A213" s="6"/>
      <c r="B213" s="6"/>
      <c r="C213" s="39"/>
      <c r="D213" s="6"/>
      <c r="E213" s="153"/>
      <c r="F213" s="10"/>
      <c r="G213" s="2"/>
      <c r="H213" s="3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3">
      <c r="A214" s="6"/>
      <c r="B214" s="6"/>
      <c r="C214" s="39"/>
      <c r="D214" s="6"/>
      <c r="E214" s="153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21"/>
      <c r="R214" s="21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.5" customHeight="1" x14ac:dyDescent="0.35">
      <c r="A215" s="49"/>
      <c r="B215" s="49"/>
      <c r="C215" s="14"/>
      <c r="D215" s="1"/>
      <c r="E215" s="153"/>
      <c r="F215" s="10"/>
      <c r="G215" s="21"/>
      <c r="H215" s="21"/>
      <c r="I215" s="21"/>
      <c r="J215" s="21"/>
      <c r="K215" s="21"/>
      <c r="L215" s="21"/>
      <c r="M215" s="21"/>
      <c r="N215" s="22"/>
      <c r="O215" s="21"/>
      <c r="P215" s="22"/>
      <c r="Q215" s="21"/>
      <c r="R215" s="21"/>
      <c r="S215" s="21"/>
      <c r="T215" s="21"/>
      <c r="U215" s="21"/>
      <c r="V215" s="22"/>
      <c r="W215" s="21"/>
      <c r="X215" s="22"/>
      <c r="Y215" s="21"/>
      <c r="Z215" s="21"/>
      <c r="AA215" s="21"/>
      <c r="AB215" s="21"/>
      <c r="AC215" s="26"/>
      <c r="AD215" s="26"/>
      <c r="AE215" s="62"/>
    </row>
    <row r="216" spans="1:31" x14ac:dyDescent="0.3">
      <c r="A216" s="63"/>
      <c r="B216" s="63"/>
      <c r="C216" s="39"/>
      <c r="D216" s="6"/>
      <c r="E216" s="153"/>
      <c r="F216" s="10"/>
      <c r="G216" s="64"/>
      <c r="H216" s="3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3">
      <c r="A217" s="6"/>
      <c r="B217" s="6"/>
      <c r="C217" s="39"/>
      <c r="D217" s="6"/>
      <c r="E217" s="153"/>
      <c r="F217" s="10"/>
      <c r="G217" s="2"/>
      <c r="H217" s="3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3">
      <c r="A218" s="63"/>
      <c r="B218" s="63"/>
      <c r="C218" s="39"/>
      <c r="D218" s="6"/>
      <c r="E218" s="153"/>
      <c r="F218" s="10"/>
      <c r="G218" s="64"/>
      <c r="H218" s="3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3.5" customHeight="1" x14ac:dyDescent="0.35">
      <c r="A219" s="49"/>
      <c r="B219" s="49"/>
      <c r="C219" s="14"/>
      <c r="D219" s="1"/>
      <c r="E219" s="153"/>
      <c r="F219" s="10"/>
      <c r="G219" s="21"/>
      <c r="H219" s="21"/>
      <c r="I219" s="21"/>
      <c r="J219" s="21"/>
      <c r="K219" s="21"/>
      <c r="L219" s="21"/>
      <c r="M219" s="21"/>
      <c r="N219" s="22"/>
      <c r="O219" s="21"/>
      <c r="P219" s="22"/>
      <c r="Q219" s="21"/>
      <c r="R219" s="21"/>
      <c r="S219" s="21"/>
      <c r="T219" s="21"/>
      <c r="U219" s="21"/>
      <c r="V219" s="22"/>
      <c r="W219" s="21"/>
      <c r="X219" s="22"/>
      <c r="Y219" s="21"/>
      <c r="Z219" s="21"/>
      <c r="AA219" s="21"/>
      <c r="AB219" s="21"/>
      <c r="AC219" s="26"/>
      <c r="AD219" s="26"/>
      <c r="AE219" s="62"/>
    </row>
    <row r="220" spans="1:31" ht="13.5" customHeight="1" x14ac:dyDescent="0.35">
      <c r="A220" s="49"/>
      <c r="B220" s="49"/>
      <c r="C220" s="14"/>
      <c r="D220" s="1"/>
      <c r="E220" s="153"/>
      <c r="F220" s="10"/>
      <c r="G220" s="21"/>
      <c r="H220" s="21"/>
      <c r="I220" s="21"/>
      <c r="J220" s="21"/>
      <c r="K220" s="21"/>
      <c r="L220" s="21"/>
      <c r="M220" s="21"/>
      <c r="N220" s="22"/>
      <c r="O220" s="21"/>
      <c r="P220" s="22"/>
      <c r="Q220" s="21"/>
      <c r="R220" s="21"/>
      <c r="S220" s="21"/>
      <c r="T220" s="21"/>
      <c r="U220" s="21"/>
      <c r="V220" s="22"/>
      <c r="W220" s="21"/>
      <c r="X220" s="22"/>
      <c r="Y220" s="21"/>
      <c r="Z220" s="21"/>
      <c r="AA220" s="21"/>
      <c r="AB220" s="21"/>
      <c r="AC220" s="26"/>
      <c r="AD220" s="26"/>
      <c r="AE220" s="62"/>
    </row>
    <row r="221" spans="1:31" ht="13.5" customHeight="1" x14ac:dyDescent="0.35">
      <c r="A221" s="49"/>
      <c r="B221" s="49"/>
      <c r="C221" s="14"/>
      <c r="D221" s="1"/>
      <c r="E221" s="153"/>
      <c r="F221" s="10"/>
      <c r="G221" s="21"/>
      <c r="H221" s="21"/>
      <c r="I221" s="21"/>
      <c r="J221" s="21"/>
      <c r="K221" s="21"/>
      <c r="L221" s="21"/>
      <c r="M221" s="21"/>
      <c r="N221" s="22"/>
      <c r="O221" s="21"/>
      <c r="P221" s="22"/>
      <c r="Q221" s="21"/>
      <c r="R221" s="21"/>
      <c r="S221" s="21"/>
      <c r="T221" s="21"/>
      <c r="U221" s="21"/>
      <c r="V221" s="22"/>
      <c r="W221" s="21"/>
      <c r="X221" s="22"/>
      <c r="Y221" s="21"/>
      <c r="Z221" s="21"/>
      <c r="AA221" s="21"/>
      <c r="AB221" s="21"/>
      <c r="AC221" s="26"/>
      <c r="AD221" s="26"/>
      <c r="AE221" s="62"/>
    </row>
    <row r="222" spans="1:31" x14ac:dyDescent="0.3">
      <c r="A222" s="63"/>
      <c r="B222" s="63"/>
      <c r="C222" s="39"/>
      <c r="D222" s="6"/>
      <c r="E222" s="153"/>
      <c r="F222" s="10"/>
      <c r="G222" s="64"/>
      <c r="H222" s="3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3">
      <c r="A223" s="6"/>
      <c r="B223" s="6"/>
      <c r="C223" s="39"/>
      <c r="D223" s="6"/>
      <c r="E223" s="153"/>
      <c r="F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21"/>
      <c r="R223" s="21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3.5" customHeight="1" x14ac:dyDescent="0.35">
      <c r="A224" s="49"/>
      <c r="B224" s="49"/>
      <c r="C224" s="14"/>
      <c r="D224" s="1"/>
      <c r="E224" s="153"/>
      <c r="F224" s="10"/>
      <c r="G224" s="21"/>
      <c r="H224" s="21"/>
      <c r="I224" s="21"/>
      <c r="J224" s="21"/>
      <c r="K224" s="21"/>
      <c r="L224" s="21"/>
      <c r="M224" s="21"/>
      <c r="N224" s="22"/>
      <c r="O224" s="21"/>
      <c r="P224" s="22"/>
      <c r="Q224" s="21"/>
      <c r="R224" s="21"/>
      <c r="S224" s="21"/>
      <c r="T224" s="21"/>
      <c r="U224" s="21"/>
      <c r="V224" s="22"/>
      <c r="W224" s="21"/>
      <c r="X224" s="22"/>
      <c r="Y224" s="21"/>
      <c r="Z224" s="21"/>
      <c r="AA224" s="21"/>
      <c r="AB224" s="21"/>
      <c r="AC224" s="26"/>
      <c r="AD224" s="26"/>
      <c r="AE224" s="62"/>
    </row>
    <row r="225" spans="1:31" x14ac:dyDescent="0.3">
      <c r="A225" s="6"/>
      <c r="B225" s="6"/>
      <c r="C225" s="39"/>
      <c r="D225" s="6"/>
      <c r="E225" s="153"/>
      <c r="F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21"/>
      <c r="R225" s="21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3">
      <c r="A226" s="6"/>
      <c r="B226" s="6"/>
      <c r="C226" s="39"/>
      <c r="D226" s="6"/>
      <c r="E226" s="153"/>
      <c r="F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21"/>
      <c r="R226" s="21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3">
      <c r="A227" s="63"/>
      <c r="B227" s="63"/>
      <c r="C227" s="39"/>
      <c r="D227" s="6"/>
      <c r="E227" s="153"/>
      <c r="F227" s="10"/>
      <c r="G227" s="64"/>
      <c r="H227" s="3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3">
      <c r="A228" s="63"/>
      <c r="B228" s="63"/>
      <c r="C228" s="39"/>
      <c r="D228" s="6"/>
      <c r="E228" s="153"/>
      <c r="F228" s="10"/>
      <c r="G228" s="64"/>
      <c r="H228" s="3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3">
      <c r="A229" s="6"/>
      <c r="B229" s="6"/>
      <c r="C229" s="39"/>
      <c r="D229" s="6"/>
      <c r="E229" s="153"/>
      <c r="F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21"/>
      <c r="R229" s="21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3">
      <c r="A230" s="6"/>
      <c r="B230" s="6"/>
      <c r="C230" s="39"/>
      <c r="D230" s="6"/>
      <c r="E230" s="153"/>
      <c r="F230" s="10"/>
      <c r="G230" s="2"/>
      <c r="H230" s="3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3">
      <c r="A231" s="6"/>
      <c r="B231" s="6"/>
      <c r="C231" s="39"/>
      <c r="D231" s="6"/>
      <c r="E231" s="153"/>
      <c r="F231" s="10"/>
      <c r="G231" s="2"/>
      <c r="H231" s="3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3">
      <c r="A232" s="6"/>
      <c r="B232" s="6"/>
      <c r="C232" s="39"/>
      <c r="D232" s="6"/>
      <c r="E232" s="153"/>
      <c r="F232" s="10"/>
      <c r="G232" s="2"/>
      <c r="H232" s="3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3">
      <c r="A233" s="6"/>
      <c r="B233" s="6"/>
      <c r="C233" s="39"/>
      <c r="D233" s="6"/>
      <c r="E233" s="153"/>
      <c r="F233" s="10"/>
      <c r="G233" s="2"/>
      <c r="H233" s="3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3.5" customHeight="1" x14ac:dyDescent="0.35">
      <c r="A234" s="49"/>
      <c r="B234" s="49"/>
      <c r="C234" s="39"/>
      <c r="D234" s="1"/>
      <c r="E234" s="153"/>
      <c r="F234" s="10"/>
      <c r="G234" s="21"/>
      <c r="H234" s="21"/>
      <c r="I234" s="21"/>
      <c r="J234" s="21"/>
      <c r="K234" s="21"/>
      <c r="L234" s="21"/>
      <c r="M234" s="21"/>
      <c r="N234" s="22"/>
      <c r="O234" s="21"/>
      <c r="P234" s="22"/>
      <c r="Q234" s="21"/>
      <c r="R234" s="21"/>
      <c r="S234" s="21"/>
      <c r="T234" s="21"/>
      <c r="U234" s="21"/>
      <c r="V234" s="22"/>
      <c r="W234" s="21"/>
      <c r="X234" s="22"/>
      <c r="Y234" s="21"/>
      <c r="Z234" s="21"/>
      <c r="AA234" s="21"/>
      <c r="AB234" s="21"/>
      <c r="AC234" s="26"/>
      <c r="AD234" s="26"/>
      <c r="AE234" s="62"/>
    </row>
    <row r="235" spans="1:31" x14ac:dyDescent="0.3">
      <c r="A235" s="6"/>
      <c r="B235" s="6"/>
      <c r="C235" s="39"/>
      <c r="D235" s="6"/>
      <c r="E235" s="153"/>
      <c r="F235" s="10"/>
      <c r="G235" s="2"/>
      <c r="H235" s="3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3">
      <c r="A236" s="63"/>
      <c r="B236" s="63"/>
      <c r="C236" s="39"/>
      <c r="D236" s="6"/>
      <c r="E236" s="153"/>
      <c r="F236" s="10"/>
      <c r="G236" s="64"/>
      <c r="H236" s="3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3">
      <c r="A237" s="63"/>
      <c r="B237" s="63"/>
      <c r="C237" s="39"/>
      <c r="D237" s="6"/>
      <c r="E237" s="153"/>
      <c r="F237" s="10"/>
      <c r="G237" s="64"/>
      <c r="H237" s="3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3">
      <c r="A238" s="6"/>
      <c r="B238" s="6"/>
      <c r="C238" s="39"/>
      <c r="D238" s="6"/>
      <c r="E238" s="153"/>
      <c r="F238" s="10"/>
      <c r="G238" s="2"/>
      <c r="H238" s="3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3">
      <c r="A239" s="6"/>
      <c r="B239" s="6"/>
      <c r="C239" s="39"/>
      <c r="D239" s="6"/>
      <c r="E239" s="153"/>
      <c r="F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21"/>
      <c r="R239" s="21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3.5" customHeight="1" x14ac:dyDescent="0.35">
      <c r="A240" s="49"/>
      <c r="B240" s="49"/>
      <c r="C240" s="14"/>
      <c r="D240" s="1"/>
      <c r="E240" s="153"/>
      <c r="F240" s="10"/>
      <c r="G240" s="21"/>
      <c r="H240" s="21"/>
      <c r="I240" s="21"/>
      <c r="J240" s="21"/>
      <c r="K240" s="21"/>
      <c r="L240" s="21"/>
      <c r="M240" s="21"/>
      <c r="N240" s="22"/>
      <c r="O240" s="21"/>
      <c r="P240" s="22"/>
      <c r="Q240" s="21"/>
      <c r="R240" s="21"/>
      <c r="S240" s="21"/>
      <c r="T240" s="21"/>
      <c r="U240" s="21"/>
      <c r="V240" s="22"/>
      <c r="W240" s="21"/>
      <c r="X240" s="22"/>
      <c r="Y240" s="21"/>
      <c r="Z240" s="21"/>
      <c r="AA240" s="21"/>
      <c r="AB240" s="21"/>
      <c r="AC240" s="26"/>
      <c r="AD240" s="26"/>
      <c r="AE240" s="62"/>
    </row>
    <row r="241" spans="1:31" x14ac:dyDescent="0.3">
      <c r="A241" s="6"/>
      <c r="B241" s="6"/>
      <c r="C241" s="39"/>
      <c r="D241" s="6"/>
      <c r="E241" s="153"/>
      <c r="F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21"/>
      <c r="R241" s="21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3.5" customHeight="1" x14ac:dyDescent="0.35">
      <c r="A242" s="49"/>
      <c r="B242" s="49"/>
      <c r="C242" s="14"/>
      <c r="D242" s="1"/>
      <c r="E242" s="153"/>
      <c r="F242" s="10"/>
      <c r="G242" s="21"/>
      <c r="H242" s="21"/>
      <c r="I242" s="21"/>
      <c r="J242" s="21"/>
      <c r="K242" s="21"/>
      <c r="L242" s="21"/>
      <c r="M242" s="21"/>
      <c r="N242" s="22"/>
      <c r="O242" s="21"/>
      <c r="P242" s="22"/>
      <c r="Q242" s="21"/>
      <c r="R242" s="21"/>
      <c r="S242" s="21"/>
      <c r="T242" s="21"/>
      <c r="U242" s="21"/>
      <c r="V242" s="22"/>
      <c r="W242" s="21"/>
      <c r="X242" s="22"/>
      <c r="Y242" s="21"/>
      <c r="Z242" s="21"/>
      <c r="AA242" s="21"/>
      <c r="AB242" s="21"/>
      <c r="AC242" s="26"/>
      <c r="AD242" s="26"/>
      <c r="AE242" s="62"/>
    </row>
    <row r="243" spans="1:31" ht="13.5" customHeight="1" x14ac:dyDescent="0.35">
      <c r="A243" s="49"/>
      <c r="B243" s="49"/>
      <c r="C243" s="39"/>
      <c r="D243" s="1"/>
      <c r="E243" s="153"/>
      <c r="F243" s="10"/>
      <c r="G243" s="21"/>
      <c r="H243" s="21"/>
      <c r="I243" s="21"/>
      <c r="J243" s="21"/>
      <c r="K243" s="21"/>
      <c r="L243" s="21"/>
      <c r="M243" s="21"/>
      <c r="N243" s="22"/>
      <c r="O243" s="21"/>
      <c r="P243" s="22"/>
      <c r="Q243" s="21"/>
      <c r="R243" s="21"/>
      <c r="S243" s="21"/>
      <c r="T243" s="21"/>
      <c r="U243" s="21"/>
      <c r="V243" s="22"/>
      <c r="W243" s="21"/>
      <c r="X243" s="22"/>
      <c r="Y243" s="21"/>
      <c r="Z243" s="21"/>
      <c r="AA243" s="21"/>
      <c r="AB243" s="21"/>
      <c r="AC243" s="26"/>
      <c r="AD243" s="26"/>
      <c r="AE243" s="62"/>
    </row>
    <row r="244" spans="1:31" ht="13.5" customHeight="1" x14ac:dyDescent="0.35">
      <c r="A244" s="49"/>
      <c r="B244" s="49"/>
      <c r="C244" s="39"/>
      <c r="D244" s="1"/>
      <c r="E244" s="153"/>
      <c r="F244" s="10"/>
      <c r="G244" s="21"/>
      <c r="H244" s="21"/>
      <c r="I244" s="21"/>
      <c r="J244" s="21"/>
      <c r="K244" s="21"/>
      <c r="L244" s="21"/>
      <c r="M244" s="21"/>
      <c r="N244" s="22"/>
      <c r="O244" s="21"/>
      <c r="P244" s="22"/>
      <c r="Q244" s="21"/>
      <c r="R244" s="21"/>
      <c r="S244" s="21"/>
      <c r="T244" s="21"/>
      <c r="U244" s="21"/>
      <c r="V244" s="22"/>
      <c r="W244" s="21"/>
      <c r="X244" s="22"/>
      <c r="Y244" s="21"/>
      <c r="Z244" s="21"/>
      <c r="AA244" s="21"/>
      <c r="AB244" s="21"/>
      <c r="AC244" s="26"/>
      <c r="AD244" s="26"/>
      <c r="AE244" s="62"/>
    </row>
    <row r="245" spans="1:31" ht="13.5" customHeight="1" x14ac:dyDescent="0.35">
      <c r="A245" s="49"/>
      <c r="B245" s="49"/>
      <c r="C245" s="14"/>
      <c r="D245" s="1"/>
      <c r="E245" s="153"/>
      <c r="F245" s="10"/>
      <c r="G245" s="21"/>
      <c r="H245" s="21"/>
      <c r="I245" s="21"/>
      <c r="J245" s="21"/>
      <c r="K245" s="21"/>
      <c r="L245" s="21"/>
      <c r="M245" s="21"/>
      <c r="N245" s="22"/>
      <c r="O245" s="21"/>
      <c r="P245" s="22"/>
      <c r="Q245" s="21"/>
      <c r="R245" s="21"/>
      <c r="S245" s="21"/>
      <c r="T245" s="21"/>
      <c r="U245" s="21"/>
      <c r="V245" s="22"/>
      <c r="W245" s="21"/>
      <c r="X245" s="22"/>
      <c r="Y245" s="21"/>
      <c r="Z245" s="21"/>
      <c r="AA245" s="21"/>
      <c r="AB245" s="21"/>
      <c r="AC245" s="26"/>
      <c r="AD245" s="26"/>
      <c r="AE245" s="62"/>
    </row>
    <row r="246" spans="1:31" ht="13.5" customHeight="1" x14ac:dyDescent="0.3">
      <c r="A246" s="49"/>
      <c r="B246" s="49"/>
      <c r="C246" s="14"/>
      <c r="D246" s="6"/>
      <c r="E246" s="153"/>
      <c r="F246" s="10"/>
      <c r="G246" s="21"/>
      <c r="H246" s="21"/>
      <c r="I246" s="21"/>
      <c r="J246" s="21"/>
      <c r="K246" s="21"/>
      <c r="L246" s="21"/>
      <c r="M246" s="21"/>
      <c r="N246" s="22"/>
      <c r="O246" s="21"/>
      <c r="P246" s="22"/>
      <c r="Q246" s="21"/>
      <c r="R246" s="21"/>
      <c r="S246" s="21"/>
      <c r="T246" s="21"/>
      <c r="U246" s="21"/>
      <c r="V246" s="22"/>
      <c r="W246" s="21"/>
      <c r="X246" s="22"/>
      <c r="Y246" s="21"/>
      <c r="Z246" s="21"/>
      <c r="AA246" s="21"/>
      <c r="AB246" s="21"/>
      <c r="AC246" s="26"/>
      <c r="AD246" s="26"/>
      <c r="AE246" s="62"/>
    </row>
    <row r="247" spans="1:31" x14ac:dyDescent="0.3">
      <c r="A247" s="6"/>
      <c r="B247" s="6"/>
      <c r="C247" s="39"/>
      <c r="D247" s="6"/>
      <c r="E247" s="153"/>
      <c r="F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21"/>
      <c r="R247" s="21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3">
      <c r="A248" s="63"/>
      <c r="B248" s="63"/>
      <c r="C248" s="39"/>
      <c r="D248" s="6"/>
      <c r="E248" s="153"/>
      <c r="F248" s="10"/>
      <c r="G248" s="64"/>
      <c r="H248" s="3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3.5" customHeight="1" x14ac:dyDescent="0.35">
      <c r="A249" s="49"/>
      <c r="B249" s="49"/>
      <c r="C249" s="39"/>
      <c r="D249" s="1"/>
      <c r="E249" s="153"/>
      <c r="F249" s="10"/>
      <c r="G249" s="21"/>
      <c r="H249" s="21"/>
      <c r="I249" s="21"/>
      <c r="J249" s="21"/>
      <c r="K249" s="21"/>
      <c r="L249" s="21"/>
      <c r="M249" s="21"/>
      <c r="N249" s="22"/>
      <c r="O249" s="21"/>
      <c r="P249" s="22"/>
      <c r="Q249" s="21"/>
      <c r="R249" s="21"/>
      <c r="S249" s="21"/>
      <c r="T249" s="21"/>
      <c r="U249" s="21"/>
      <c r="V249" s="22"/>
      <c r="W249" s="21"/>
      <c r="X249" s="22"/>
      <c r="Y249" s="21"/>
      <c r="Z249" s="21"/>
      <c r="AA249" s="21"/>
      <c r="AB249" s="21"/>
      <c r="AC249" s="26"/>
      <c r="AD249" s="26"/>
      <c r="AE249" s="62"/>
    </row>
    <row r="250" spans="1:31" x14ac:dyDescent="0.3">
      <c r="A250" s="63"/>
      <c r="B250" s="63"/>
      <c r="C250" s="39"/>
      <c r="D250" s="6"/>
      <c r="E250" s="153"/>
      <c r="F250" s="10"/>
      <c r="G250" s="64"/>
      <c r="H250" s="3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3.5" customHeight="1" x14ac:dyDescent="0.35">
      <c r="A251" s="49"/>
      <c r="B251" s="49"/>
      <c r="C251" s="14"/>
      <c r="D251" s="1"/>
      <c r="E251" s="153"/>
      <c r="F251" s="10"/>
      <c r="G251" s="21"/>
      <c r="H251" s="21"/>
      <c r="I251" s="21"/>
      <c r="J251" s="21"/>
      <c r="K251" s="21"/>
      <c r="L251" s="21"/>
      <c r="M251" s="21"/>
      <c r="N251" s="22"/>
      <c r="O251" s="21"/>
      <c r="P251" s="22"/>
      <c r="Q251" s="21"/>
      <c r="R251" s="21"/>
      <c r="S251" s="21"/>
      <c r="T251" s="21"/>
      <c r="U251" s="21"/>
      <c r="V251" s="22"/>
      <c r="W251" s="21"/>
      <c r="X251" s="22"/>
      <c r="Y251" s="21"/>
      <c r="Z251" s="21"/>
      <c r="AA251" s="21"/>
      <c r="AB251" s="21"/>
      <c r="AC251" s="26"/>
      <c r="AD251" s="26"/>
      <c r="AE251" s="62"/>
    </row>
    <row r="252" spans="1:31" x14ac:dyDescent="0.3">
      <c r="A252" s="6"/>
      <c r="B252" s="6"/>
      <c r="C252" s="39"/>
      <c r="D252" s="6"/>
      <c r="E252" s="153"/>
      <c r="F252" s="1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21"/>
      <c r="R252" s="21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3.5" customHeight="1" x14ac:dyDescent="0.35">
      <c r="A253" s="49"/>
      <c r="B253" s="49"/>
      <c r="C253" s="39"/>
      <c r="D253" s="1"/>
      <c r="E253" s="153"/>
      <c r="F253" s="10"/>
      <c r="G253" s="21"/>
      <c r="H253" s="21"/>
      <c r="I253" s="21"/>
      <c r="J253" s="21"/>
      <c r="K253" s="21"/>
      <c r="L253" s="21"/>
      <c r="M253" s="21"/>
      <c r="N253" s="22"/>
      <c r="O253" s="21"/>
      <c r="P253" s="22"/>
      <c r="Q253" s="21"/>
      <c r="R253" s="21"/>
      <c r="S253" s="21"/>
      <c r="T253" s="21"/>
      <c r="U253" s="21"/>
      <c r="V253" s="22"/>
      <c r="W253" s="21"/>
      <c r="X253" s="22"/>
      <c r="Y253" s="21"/>
      <c r="Z253" s="21"/>
      <c r="AA253" s="21"/>
      <c r="AB253" s="21"/>
      <c r="AC253" s="26"/>
      <c r="AD253" s="26"/>
      <c r="AE253" s="62"/>
    </row>
    <row r="254" spans="1:31" ht="13.5" customHeight="1" x14ac:dyDescent="0.35">
      <c r="A254" s="49"/>
      <c r="B254" s="49"/>
      <c r="C254" s="39"/>
      <c r="D254" s="1"/>
      <c r="E254" s="153"/>
      <c r="F254" s="10"/>
      <c r="G254" s="21"/>
      <c r="H254" s="21"/>
      <c r="I254" s="21"/>
      <c r="J254" s="21"/>
      <c r="K254" s="21"/>
      <c r="L254" s="21"/>
      <c r="M254" s="21"/>
      <c r="N254" s="22"/>
      <c r="O254" s="21"/>
      <c r="P254" s="22"/>
      <c r="Q254" s="21"/>
      <c r="R254" s="21"/>
      <c r="S254" s="21"/>
      <c r="T254" s="21"/>
      <c r="U254" s="21"/>
      <c r="V254" s="22"/>
      <c r="W254" s="21"/>
      <c r="X254" s="22"/>
      <c r="Y254" s="21"/>
      <c r="Z254" s="21"/>
      <c r="AA254" s="21"/>
      <c r="AB254" s="21"/>
      <c r="AC254" s="26"/>
      <c r="AD254" s="26"/>
      <c r="AE254" s="62"/>
    </row>
    <row r="255" spans="1:31" ht="13.5" customHeight="1" x14ac:dyDescent="0.35">
      <c r="A255" s="49"/>
      <c r="B255" s="49"/>
      <c r="C255" s="14"/>
      <c r="D255" s="1"/>
      <c r="E255" s="153"/>
      <c r="F255" s="10"/>
      <c r="G255" s="21"/>
      <c r="H255" s="21"/>
      <c r="I255" s="21"/>
      <c r="J255" s="21"/>
      <c r="K255" s="21"/>
      <c r="L255" s="21"/>
      <c r="M255" s="21"/>
      <c r="N255" s="22"/>
      <c r="O255" s="21"/>
      <c r="P255" s="22"/>
      <c r="Q255" s="21"/>
      <c r="R255" s="21"/>
      <c r="S255" s="21"/>
      <c r="T255" s="21"/>
      <c r="U255" s="21"/>
      <c r="V255" s="22"/>
      <c r="W255" s="21"/>
      <c r="X255" s="22"/>
      <c r="Y255" s="21"/>
      <c r="Z255" s="21"/>
      <c r="AA255" s="21"/>
      <c r="AB255" s="21"/>
      <c r="AC255" s="26"/>
      <c r="AD255" s="26"/>
      <c r="AE255" s="62"/>
    </row>
    <row r="256" spans="1:31" x14ac:dyDescent="0.3">
      <c r="A256" s="6"/>
      <c r="B256" s="6"/>
      <c r="C256" s="39"/>
      <c r="D256" s="6"/>
      <c r="E256" s="153"/>
      <c r="F256" s="1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21"/>
      <c r="R256" s="21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3">
      <c r="A257" s="6"/>
      <c r="B257" s="6"/>
      <c r="C257" s="39"/>
      <c r="D257" s="6"/>
      <c r="E257" s="153"/>
      <c r="F257" s="10"/>
      <c r="G257" s="2"/>
      <c r="H257" s="3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3">
      <c r="A258" s="63"/>
      <c r="B258" s="63"/>
      <c r="C258" s="39"/>
      <c r="D258" s="6"/>
      <c r="E258" s="153"/>
      <c r="F258" s="10"/>
      <c r="G258" s="64"/>
      <c r="H258" s="3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3">
      <c r="A259" s="63"/>
      <c r="B259" s="63"/>
      <c r="C259" s="39"/>
      <c r="D259" s="6"/>
      <c r="E259" s="153"/>
      <c r="F259" s="10"/>
      <c r="G259" s="64"/>
      <c r="H259" s="3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3">
      <c r="A260" s="63"/>
      <c r="B260" s="63"/>
      <c r="C260" s="39"/>
      <c r="D260" s="6"/>
      <c r="E260" s="153"/>
      <c r="F260" s="10"/>
      <c r="G260" s="64"/>
      <c r="H260" s="3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3.5" customHeight="1" x14ac:dyDescent="0.35">
      <c r="A261" s="49"/>
      <c r="B261" s="49"/>
      <c r="C261" s="14"/>
      <c r="D261" s="1"/>
      <c r="E261" s="153"/>
      <c r="F261" s="10"/>
      <c r="G261" s="21"/>
      <c r="H261" s="21"/>
      <c r="I261" s="21"/>
      <c r="J261" s="21"/>
      <c r="K261" s="21"/>
      <c r="L261" s="21"/>
      <c r="M261" s="21"/>
      <c r="N261" s="22"/>
      <c r="O261" s="21"/>
      <c r="P261" s="22"/>
      <c r="Q261" s="21"/>
      <c r="R261" s="21"/>
      <c r="S261" s="21"/>
      <c r="T261" s="21"/>
      <c r="U261" s="21"/>
      <c r="V261" s="22"/>
      <c r="W261" s="21"/>
      <c r="X261" s="22"/>
      <c r="Y261" s="21"/>
      <c r="Z261" s="21"/>
      <c r="AA261" s="21"/>
      <c r="AB261" s="21"/>
      <c r="AC261" s="26"/>
      <c r="AD261" s="26"/>
      <c r="AE261" s="62"/>
    </row>
    <row r="262" spans="1:31" x14ac:dyDescent="0.3">
      <c r="A262" s="63"/>
      <c r="B262" s="63"/>
      <c r="C262" s="39"/>
      <c r="D262" s="6"/>
      <c r="E262" s="153"/>
      <c r="F262" s="10"/>
      <c r="G262" s="64"/>
      <c r="H262" s="3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3">
      <c r="A263" s="63"/>
      <c r="B263" s="63"/>
      <c r="C263" s="39"/>
      <c r="D263" s="6"/>
      <c r="E263" s="153"/>
      <c r="F263" s="10"/>
      <c r="G263" s="64"/>
      <c r="H263" s="3"/>
      <c r="I263" s="2"/>
      <c r="J263" s="2"/>
      <c r="K263" s="3"/>
      <c r="L263" s="3"/>
      <c r="M263" s="3"/>
      <c r="N263" s="3"/>
      <c r="O263" s="3"/>
      <c r="P263" s="3"/>
      <c r="Q263" s="21"/>
      <c r="R263" s="21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3">
      <c r="A264" s="63"/>
      <c r="B264" s="63"/>
      <c r="C264" s="39"/>
      <c r="D264" s="6"/>
      <c r="E264" s="153"/>
      <c r="F264" s="10"/>
      <c r="G264" s="64"/>
      <c r="H264" s="3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3.5" customHeight="1" x14ac:dyDescent="0.35">
      <c r="A265" s="49"/>
      <c r="B265" s="49"/>
      <c r="C265" s="14"/>
      <c r="D265" s="1"/>
      <c r="E265" s="153"/>
      <c r="F265" s="10"/>
      <c r="G265" s="21"/>
      <c r="H265" s="21"/>
      <c r="I265" s="21"/>
      <c r="J265" s="21"/>
      <c r="K265" s="21"/>
      <c r="L265" s="21"/>
      <c r="M265" s="21"/>
      <c r="N265" s="22"/>
      <c r="O265" s="21"/>
      <c r="P265" s="22"/>
      <c r="Q265" s="21"/>
      <c r="R265" s="21"/>
      <c r="S265" s="21"/>
      <c r="T265" s="21"/>
      <c r="U265" s="21"/>
      <c r="V265" s="22"/>
      <c r="W265" s="21"/>
      <c r="X265" s="22"/>
      <c r="Y265" s="21"/>
      <c r="Z265" s="21"/>
      <c r="AA265" s="21"/>
      <c r="AB265" s="21"/>
      <c r="AC265" s="26"/>
      <c r="AD265" s="26"/>
      <c r="AE265" s="62"/>
    </row>
    <row r="266" spans="1:31" x14ac:dyDescent="0.3">
      <c r="A266" s="6"/>
      <c r="B266" s="6"/>
      <c r="C266" s="39"/>
      <c r="D266" s="6"/>
      <c r="E266" s="153"/>
      <c r="F266" s="1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21"/>
      <c r="R266" s="21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3">
      <c r="A267" s="6"/>
      <c r="B267" s="6"/>
      <c r="C267" s="39"/>
      <c r="D267" s="6"/>
      <c r="E267" s="153"/>
      <c r="F267" s="1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21"/>
      <c r="R267" s="21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3.5" customHeight="1" x14ac:dyDescent="0.35">
      <c r="A268" s="49"/>
      <c r="B268" s="49"/>
      <c r="C268" s="14"/>
      <c r="D268" s="1"/>
      <c r="E268" s="153"/>
      <c r="F268" s="10"/>
      <c r="G268" s="21"/>
      <c r="H268" s="21"/>
      <c r="I268" s="21"/>
      <c r="J268" s="21"/>
      <c r="K268" s="21"/>
      <c r="L268" s="21"/>
      <c r="M268" s="21"/>
      <c r="N268" s="22"/>
      <c r="O268" s="21"/>
      <c r="P268" s="22"/>
      <c r="Q268" s="21"/>
      <c r="R268" s="21"/>
      <c r="S268" s="21"/>
      <c r="T268" s="21"/>
      <c r="U268" s="21"/>
      <c r="V268" s="22"/>
      <c r="W268" s="21"/>
      <c r="X268" s="22"/>
      <c r="Y268" s="21"/>
      <c r="Z268" s="21"/>
      <c r="AA268" s="21"/>
      <c r="AB268" s="21"/>
      <c r="AC268" s="26"/>
      <c r="AD268" s="26"/>
      <c r="AE268" s="62"/>
    </row>
    <row r="269" spans="1:31" ht="13.5" customHeight="1" x14ac:dyDescent="0.35">
      <c r="A269" s="49"/>
      <c r="B269" s="49"/>
      <c r="C269" s="14"/>
      <c r="D269" s="1"/>
      <c r="E269" s="153"/>
      <c r="F269" s="10"/>
      <c r="G269" s="21"/>
      <c r="H269" s="21"/>
      <c r="I269" s="21"/>
      <c r="J269" s="21"/>
      <c r="K269" s="21"/>
      <c r="L269" s="21"/>
      <c r="M269" s="21"/>
      <c r="N269" s="22"/>
      <c r="O269" s="21"/>
      <c r="P269" s="22"/>
      <c r="Q269" s="21"/>
      <c r="R269" s="21"/>
      <c r="S269" s="21"/>
      <c r="T269" s="21"/>
      <c r="U269" s="21"/>
      <c r="V269" s="22"/>
      <c r="W269" s="21"/>
      <c r="X269" s="22"/>
      <c r="Y269" s="21"/>
      <c r="Z269" s="21"/>
      <c r="AA269" s="21"/>
      <c r="AB269" s="21"/>
      <c r="AC269" s="26"/>
      <c r="AD269" s="26"/>
      <c r="AE269" s="62"/>
    </row>
    <row r="270" spans="1:31" x14ac:dyDescent="0.3">
      <c r="A270" s="6"/>
      <c r="B270" s="6"/>
      <c r="C270" s="39"/>
      <c r="D270" s="6"/>
      <c r="E270" s="153"/>
      <c r="F270" s="10"/>
      <c r="G270" s="2"/>
      <c r="H270" s="3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3">
      <c r="A271" s="63"/>
      <c r="B271" s="63"/>
      <c r="C271" s="39"/>
      <c r="D271" s="6"/>
      <c r="E271" s="153"/>
      <c r="F271" s="10"/>
      <c r="G271" s="64"/>
      <c r="H271" s="3"/>
      <c r="I271" s="2"/>
      <c r="J271" s="2"/>
      <c r="K271" s="3"/>
      <c r="L271" s="3"/>
      <c r="M271" s="3"/>
      <c r="N271" s="3"/>
      <c r="O271" s="3"/>
      <c r="P271" s="3"/>
      <c r="Q271" s="21"/>
      <c r="R271" s="21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3">
      <c r="A272" s="63"/>
      <c r="B272" s="63"/>
      <c r="C272" s="39"/>
      <c r="D272" s="6"/>
      <c r="E272" s="153"/>
      <c r="F272" s="10"/>
      <c r="G272" s="64"/>
      <c r="H272" s="3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3">
      <c r="A273" s="6"/>
      <c r="B273" s="6"/>
      <c r="C273" s="39"/>
      <c r="D273" s="6"/>
      <c r="E273" s="153"/>
      <c r="F273" s="1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21"/>
      <c r="R273" s="21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3">
      <c r="A274" s="6"/>
      <c r="B274" s="6"/>
      <c r="C274" s="39"/>
      <c r="D274" s="6"/>
      <c r="E274" s="153"/>
      <c r="F274" s="10"/>
      <c r="G274" s="2"/>
      <c r="H274" s="3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3.5" customHeight="1" x14ac:dyDescent="0.35">
      <c r="A275" s="49"/>
      <c r="B275" s="49"/>
      <c r="C275" s="14"/>
      <c r="D275" s="1"/>
      <c r="E275" s="153"/>
      <c r="F275" s="10"/>
      <c r="G275" s="21"/>
      <c r="H275" s="21"/>
      <c r="I275" s="21"/>
      <c r="J275" s="21"/>
      <c r="K275" s="21"/>
      <c r="L275" s="21"/>
      <c r="M275" s="21"/>
      <c r="N275" s="22"/>
      <c r="O275" s="21"/>
      <c r="P275" s="22"/>
      <c r="Q275" s="21"/>
      <c r="R275" s="21"/>
      <c r="S275" s="21"/>
      <c r="T275" s="21"/>
      <c r="U275" s="21"/>
      <c r="V275" s="22"/>
      <c r="W275" s="21"/>
      <c r="X275" s="22"/>
      <c r="Y275" s="21"/>
      <c r="Z275" s="21"/>
      <c r="AA275" s="21"/>
      <c r="AB275" s="21"/>
      <c r="AC275" s="26"/>
      <c r="AD275" s="26"/>
      <c r="AE275" s="62"/>
    </row>
    <row r="276" spans="1:31" x14ac:dyDescent="0.3">
      <c r="A276" s="6"/>
      <c r="B276" s="6"/>
      <c r="C276" s="39"/>
      <c r="D276" s="6"/>
      <c r="E276" s="153"/>
      <c r="F276" s="1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21"/>
      <c r="R276" s="21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3">
      <c r="A277" s="6"/>
      <c r="B277" s="6"/>
      <c r="C277" s="39"/>
      <c r="D277" s="6"/>
      <c r="E277" s="153"/>
      <c r="F277" s="10"/>
      <c r="G277" s="2"/>
      <c r="H277" s="3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3">
      <c r="A278" s="6"/>
      <c r="B278" s="6"/>
      <c r="C278" s="39"/>
      <c r="D278" s="6"/>
      <c r="E278" s="153"/>
      <c r="F278" s="10"/>
      <c r="G278" s="2"/>
      <c r="H278" s="3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3">
      <c r="A279" s="63"/>
      <c r="B279" s="63"/>
      <c r="C279" s="39"/>
      <c r="D279" s="6"/>
      <c r="E279" s="153"/>
      <c r="F279" s="10"/>
      <c r="G279" s="64"/>
      <c r="H279" s="3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3.5" customHeight="1" x14ac:dyDescent="0.35">
      <c r="A280" s="49"/>
      <c r="B280" s="49"/>
      <c r="C280" s="14"/>
      <c r="D280" s="1"/>
      <c r="E280" s="153"/>
      <c r="F280" s="10"/>
      <c r="G280" s="21"/>
      <c r="H280" s="21"/>
      <c r="I280" s="21"/>
      <c r="J280" s="21"/>
      <c r="K280" s="21"/>
      <c r="L280" s="21"/>
      <c r="M280" s="21"/>
      <c r="N280" s="22"/>
      <c r="O280" s="21"/>
      <c r="P280" s="22"/>
      <c r="Q280" s="21"/>
      <c r="R280" s="21"/>
      <c r="S280" s="21"/>
      <c r="T280" s="21"/>
      <c r="U280" s="21"/>
      <c r="V280" s="22"/>
      <c r="W280" s="21"/>
      <c r="X280" s="22"/>
      <c r="Y280" s="21"/>
      <c r="Z280" s="21"/>
      <c r="AA280" s="21"/>
      <c r="AB280" s="21"/>
      <c r="AC280" s="26"/>
      <c r="AD280" s="26"/>
      <c r="AE280" s="62"/>
    </row>
    <row r="281" spans="1:31" x14ac:dyDescent="0.3">
      <c r="A281" s="63"/>
      <c r="B281" s="63"/>
      <c r="C281" s="39"/>
      <c r="D281" s="6"/>
      <c r="E281" s="153"/>
      <c r="F281" s="10"/>
      <c r="G281" s="64"/>
      <c r="H281" s="3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3">
      <c r="A282" s="63"/>
      <c r="B282" s="63"/>
      <c r="C282" s="39"/>
      <c r="D282" s="6"/>
      <c r="E282" s="153"/>
      <c r="F282" s="10"/>
      <c r="G282" s="64"/>
      <c r="H282" s="3"/>
      <c r="I282" s="2"/>
      <c r="J282" s="2"/>
      <c r="K282" s="3"/>
      <c r="L282" s="3"/>
      <c r="M282" s="3"/>
      <c r="N282" s="3"/>
      <c r="O282" s="3"/>
      <c r="P282" s="3"/>
      <c r="Q282" s="21"/>
      <c r="R282" s="21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3.5" customHeight="1" x14ac:dyDescent="0.35">
      <c r="A283" s="49"/>
      <c r="B283" s="49"/>
      <c r="C283" s="14"/>
      <c r="D283" s="1"/>
      <c r="E283" s="153"/>
      <c r="F283" s="10"/>
      <c r="G283" s="21"/>
      <c r="H283" s="21"/>
      <c r="I283" s="21"/>
      <c r="J283" s="21"/>
      <c r="K283" s="21"/>
      <c r="L283" s="21"/>
      <c r="M283" s="21"/>
      <c r="N283" s="22"/>
      <c r="O283" s="21"/>
      <c r="P283" s="22"/>
      <c r="Q283" s="21"/>
      <c r="R283" s="21"/>
      <c r="S283" s="21"/>
      <c r="T283" s="21"/>
      <c r="U283" s="21"/>
      <c r="V283" s="22"/>
      <c r="W283" s="21"/>
      <c r="X283" s="22"/>
      <c r="Y283" s="21"/>
      <c r="Z283" s="21"/>
      <c r="AA283" s="21"/>
      <c r="AB283" s="21"/>
      <c r="AC283" s="26"/>
      <c r="AD283" s="26"/>
      <c r="AE283" s="62"/>
    </row>
    <row r="284" spans="1:31" x14ac:dyDescent="0.3">
      <c r="A284" s="63"/>
      <c r="B284" s="63"/>
      <c r="C284" s="39"/>
      <c r="D284" s="6"/>
      <c r="E284" s="153"/>
      <c r="F284" s="10"/>
      <c r="G284" s="64"/>
      <c r="H284" s="3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3">
      <c r="A285" s="6"/>
      <c r="B285" s="6"/>
      <c r="C285" s="39"/>
      <c r="D285" s="6"/>
      <c r="E285" s="153"/>
      <c r="F285" s="1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21"/>
      <c r="R285" s="21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3.5" customHeight="1" x14ac:dyDescent="0.35">
      <c r="A286" s="49"/>
      <c r="B286" s="49"/>
      <c r="C286" s="14"/>
      <c r="D286" s="1"/>
      <c r="E286" s="153"/>
      <c r="F286" s="10"/>
      <c r="G286" s="21"/>
      <c r="H286" s="21"/>
      <c r="I286" s="21"/>
      <c r="J286" s="21"/>
      <c r="K286" s="21"/>
      <c r="L286" s="21"/>
      <c r="M286" s="21"/>
      <c r="N286" s="22"/>
      <c r="O286" s="21"/>
      <c r="P286" s="22"/>
      <c r="Q286" s="21"/>
      <c r="R286" s="21"/>
      <c r="S286" s="21"/>
      <c r="T286" s="21"/>
      <c r="U286" s="21"/>
      <c r="V286" s="22"/>
      <c r="W286" s="21"/>
      <c r="X286" s="22"/>
      <c r="Y286" s="21"/>
      <c r="Z286" s="21"/>
      <c r="AA286" s="21"/>
      <c r="AB286" s="21"/>
      <c r="AC286" s="26"/>
      <c r="AD286" s="26"/>
      <c r="AE286" s="62"/>
    </row>
    <row r="287" spans="1:31" ht="13.5" customHeight="1" x14ac:dyDescent="0.35">
      <c r="A287" s="49"/>
      <c r="B287" s="49"/>
      <c r="C287" s="14"/>
      <c r="D287" s="1"/>
      <c r="E287" s="153"/>
      <c r="F287" s="10"/>
      <c r="G287" s="21"/>
      <c r="H287" s="21"/>
      <c r="I287" s="21"/>
      <c r="J287" s="21"/>
      <c r="K287" s="21"/>
      <c r="L287" s="21"/>
      <c r="M287" s="21"/>
      <c r="N287" s="22"/>
      <c r="O287" s="21"/>
      <c r="P287" s="22"/>
      <c r="Q287" s="21"/>
      <c r="R287" s="21"/>
      <c r="S287" s="21"/>
      <c r="T287" s="21"/>
      <c r="U287" s="21"/>
      <c r="V287" s="22"/>
      <c r="W287" s="21"/>
      <c r="X287" s="22"/>
      <c r="Y287" s="21"/>
      <c r="Z287" s="21"/>
      <c r="AA287" s="21"/>
      <c r="AB287" s="21"/>
      <c r="AC287" s="26"/>
      <c r="AD287" s="26"/>
      <c r="AE287" s="62"/>
    </row>
    <row r="288" spans="1:31" x14ac:dyDescent="0.3">
      <c r="A288" s="6"/>
      <c r="B288" s="6"/>
      <c r="C288" s="39"/>
      <c r="D288" s="6"/>
      <c r="E288" s="153"/>
      <c r="F288" s="10"/>
      <c r="G288" s="2"/>
      <c r="H288" s="3"/>
      <c r="I288" s="2"/>
      <c r="J288" s="2"/>
      <c r="K288" s="3"/>
      <c r="L288" s="3"/>
      <c r="M288" s="3"/>
      <c r="N288" s="3"/>
      <c r="O288" s="3"/>
      <c r="P288" s="3"/>
      <c r="Q288" s="21"/>
      <c r="R288" s="21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3">
      <c r="A289" s="63"/>
      <c r="B289" s="63"/>
      <c r="C289" s="39"/>
      <c r="D289" s="6"/>
      <c r="E289" s="153"/>
      <c r="F289" s="10"/>
      <c r="G289" s="64"/>
      <c r="H289" s="3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3">
      <c r="A290" s="6"/>
      <c r="B290" s="6"/>
      <c r="C290" s="39"/>
      <c r="D290" s="6"/>
      <c r="E290" s="153"/>
      <c r="F290" s="10"/>
      <c r="G290" s="2"/>
      <c r="H290" s="3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3">
      <c r="A291" s="6"/>
      <c r="B291" s="6"/>
      <c r="C291" s="39"/>
      <c r="D291" s="6"/>
      <c r="E291" s="153"/>
      <c r="F291" s="1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21"/>
      <c r="R291" s="21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3.5" customHeight="1" x14ac:dyDescent="0.35">
      <c r="A292" s="49"/>
      <c r="B292" s="49"/>
      <c r="C292" s="14"/>
      <c r="D292" s="1"/>
      <c r="E292" s="153"/>
      <c r="F292" s="10"/>
      <c r="G292" s="21"/>
      <c r="H292" s="21"/>
      <c r="I292" s="21"/>
      <c r="J292" s="21"/>
      <c r="K292" s="21"/>
      <c r="L292" s="21"/>
      <c r="M292" s="21"/>
      <c r="N292" s="22"/>
      <c r="O292" s="21"/>
      <c r="P292" s="22"/>
      <c r="Q292" s="21"/>
      <c r="R292" s="21"/>
      <c r="S292" s="21"/>
      <c r="T292" s="21"/>
      <c r="U292" s="21"/>
      <c r="V292" s="22"/>
      <c r="W292" s="21"/>
      <c r="X292" s="22"/>
      <c r="Y292" s="21"/>
      <c r="Z292" s="21"/>
      <c r="AA292" s="21"/>
      <c r="AB292" s="21"/>
      <c r="AC292" s="26"/>
      <c r="AD292" s="26"/>
      <c r="AE292" s="62"/>
    </row>
    <row r="293" spans="1:31" x14ac:dyDescent="0.3">
      <c r="A293" s="63"/>
      <c r="B293" s="63"/>
      <c r="C293" s="39"/>
      <c r="D293" s="6"/>
      <c r="E293" s="153"/>
      <c r="F293" s="10"/>
      <c r="G293" s="64"/>
      <c r="H293" s="3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3">
      <c r="A294" s="6"/>
      <c r="B294" s="6"/>
      <c r="C294" s="39"/>
      <c r="D294" s="6"/>
      <c r="E294" s="153"/>
      <c r="F294" s="10"/>
      <c r="G294" s="2"/>
      <c r="H294" s="3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3">
      <c r="A295" s="63"/>
      <c r="B295" s="63"/>
      <c r="C295" s="39"/>
      <c r="D295" s="6"/>
      <c r="E295" s="153"/>
      <c r="F295" s="10"/>
      <c r="G295" s="64"/>
      <c r="H295" s="3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3">
      <c r="A296" s="6"/>
      <c r="B296" s="6"/>
      <c r="C296" s="39"/>
      <c r="D296" s="6"/>
      <c r="E296" s="153"/>
      <c r="F296" s="1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21"/>
      <c r="R296" s="21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3.5" customHeight="1" x14ac:dyDescent="0.35">
      <c r="A297" s="49"/>
      <c r="B297" s="49"/>
      <c r="C297" s="14"/>
      <c r="D297" s="1"/>
      <c r="E297" s="153"/>
      <c r="F297" s="10"/>
      <c r="G297" s="21"/>
      <c r="H297" s="21"/>
      <c r="I297" s="21"/>
      <c r="J297" s="21"/>
      <c r="K297" s="21"/>
      <c r="L297" s="21"/>
      <c r="M297" s="21"/>
      <c r="N297" s="22"/>
      <c r="O297" s="21"/>
      <c r="P297" s="22"/>
      <c r="Q297" s="21"/>
      <c r="R297" s="21"/>
      <c r="S297" s="21"/>
      <c r="T297" s="21"/>
      <c r="U297" s="21"/>
      <c r="V297" s="22"/>
      <c r="W297" s="21"/>
      <c r="X297" s="22"/>
      <c r="Y297" s="21"/>
      <c r="Z297" s="21"/>
      <c r="AA297" s="21"/>
      <c r="AB297" s="21"/>
      <c r="AC297" s="26"/>
      <c r="AD297" s="26"/>
      <c r="AE297" s="62"/>
    </row>
    <row r="298" spans="1:31" x14ac:dyDescent="0.3">
      <c r="A298" s="63"/>
      <c r="B298" s="63"/>
      <c r="C298" s="39"/>
      <c r="D298" s="6"/>
      <c r="E298" s="153"/>
      <c r="F298" s="10"/>
      <c r="G298" s="64"/>
      <c r="H298" s="3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3">
      <c r="A299" s="6"/>
      <c r="B299" s="6"/>
      <c r="C299" s="39"/>
      <c r="D299" s="6"/>
      <c r="E299" s="153"/>
      <c r="F299" s="1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21"/>
      <c r="R299" s="21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3.5" customHeight="1" x14ac:dyDescent="0.35">
      <c r="A300" s="49"/>
      <c r="B300" s="49"/>
      <c r="C300" s="14"/>
      <c r="D300" s="1"/>
      <c r="E300" s="153"/>
      <c r="F300" s="10"/>
      <c r="G300" s="21"/>
      <c r="H300" s="21"/>
      <c r="I300" s="21"/>
      <c r="J300" s="21"/>
      <c r="K300" s="21"/>
      <c r="L300" s="21"/>
      <c r="M300" s="21"/>
      <c r="N300" s="22"/>
      <c r="O300" s="21"/>
      <c r="P300" s="22"/>
      <c r="Q300" s="21"/>
      <c r="R300" s="21"/>
      <c r="S300" s="21"/>
      <c r="T300" s="21"/>
      <c r="U300" s="21"/>
      <c r="V300" s="22"/>
      <c r="W300" s="21"/>
      <c r="X300" s="22"/>
      <c r="Y300" s="21"/>
      <c r="Z300" s="21"/>
      <c r="AA300" s="21"/>
      <c r="AB300" s="21"/>
      <c r="AC300" s="26"/>
      <c r="AD300" s="26"/>
      <c r="AE300" s="62"/>
    </row>
    <row r="301" spans="1:31" x14ac:dyDescent="0.3">
      <c r="A301" s="6"/>
      <c r="B301" s="6"/>
      <c r="C301" s="39"/>
      <c r="D301" s="6"/>
      <c r="E301" s="153"/>
      <c r="F301" s="1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21"/>
      <c r="R301" s="21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3">
      <c r="A302" s="63"/>
      <c r="B302" s="63"/>
      <c r="C302" s="39"/>
      <c r="D302" s="6"/>
      <c r="E302" s="153"/>
      <c r="F302" s="10"/>
      <c r="G302" s="64"/>
      <c r="H302" s="3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3">
      <c r="A303" s="6"/>
      <c r="B303" s="6"/>
      <c r="C303" s="39"/>
      <c r="D303" s="6"/>
      <c r="E303" s="153"/>
      <c r="F303" s="1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3">
      <c r="A304" s="6"/>
      <c r="B304" s="6"/>
      <c r="C304" s="39"/>
      <c r="D304" s="6"/>
      <c r="E304" s="153"/>
      <c r="F304" s="1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21"/>
      <c r="R304" s="21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3.5" customHeight="1" x14ac:dyDescent="0.35">
      <c r="A305" s="49"/>
      <c r="B305" s="49"/>
      <c r="C305" s="14"/>
      <c r="D305" s="1"/>
      <c r="E305" s="153"/>
      <c r="F305" s="10"/>
      <c r="G305" s="21"/>
      <c r="H305" s="21"/>
      <c r="I305" s="21"/>
      <c r="J305" s="21"/>
      <c r="K305" s="21"/>
      <c r="L305" s="21"/>
      <c r="M305" s="21"/>
      <c r="N305" s="22"/>
      <c r="O305" s="21"/>
      <c r="P305" s="22"/>
      <c r="Q305" s="21"/>
      <c r="R305" s="21"/>
      <c r="S305" s="21"/>
      <c r="T305" s="21"/>
      <c r="U305" s="21"/>
      <c r="V305" s="22"/>
      <c r="W305" s="21"/>
      <c r="X305" s="22"/>
      <c r="Y305" s="21"/>
      <c r="Z305" s="21"/>
      <c r="AA305" s="21"/>
      <c r="AB305" s="21"/>
      <c r="AC305" s="26"/>
      <c r="AD305" s="26"/>
      <c r="AE305" s="62"/>
    </row>
    <row r="306" spans="1:31" x14ac:dyDescent="0.3">
      <c r="A306" s="6"/>
      <c r="B306" s="6"/>
      <c r="C306" s="39"/>
      <c r="D306" s="6"/>
      <c r="E306" s="153"/>
      <c r="F306" s="1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3.5" customHeight="1" x14ac:dyDescent="0.35">
      <c r="A307" s="49"/>
      <c r="B307" s="49"/>
      <c r="C307" s="14"/>
      <c r="D307" s="1"/>
      <c r="E307" s="153"/>
      <c r="F307" s="10"/>
      <c r="G307" s="21"/>
      <c r="H307" s="21"/>
      <c r="I307" s="21"/>
      <c r="J307" s="21"/>
      <c r="K307" s="21"/>
      <c r="L307" s="21"/>
      <c r="M307" s="21"/>
      <c r="N307" s="22"/>
      <c r="O307" s="21"/>
      <c r="P307" s="22"/>
      <c r="Q307" s="21"/>
      <c r="R307" s="21"/>
      <c r="S307" s="21"/>
      <c r="T307" s="21"/>
      <c r="U307" s="21"/>
      <c r="V307" s="22"/>
      <c r="W307" s="21"/>
      <c r="X307" s="22"/>
      <c r="Y307" s="21"/>
      <c r="Z307" s="21"/>
      <c r="AA307" s="21"/>
      <c r="AB307" s="21"/>
      <c r="AC307" s="26"/>
      <c r="AD307" s="26"/>
      <c r="AE307" s="62"/>
    </row>
    <row r="308" spans="1:31" x14ac:dyDescent="0.3">
      <c r="A308" s="63"/>
      <c r="B308" s="63"/>
      <c r="C308" s="39"/>
      <c r="D308" s="6"/>
      <c r="E308" s="153"/>
      <c r="F308" s="10"/>
      <c r="G308" s="64"/>
      <c r="H308" s="3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3">
      <c r="A309" s="6"/>
      <c r="B309" s="6"/>
      <c r="C309" s="39"/>
      <c r="D309" s="6"/>
      <c r="E309" s="153"/>
      <c r="F309" s="10"/>
      <c r="G309" s="2"/>
      <c r="H309" s="3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3">
      <c r="A310" s="63"/>
      <c r="B310" s="63"/>
      <c r="C310" s="39"/>
      <c r="D310" s="6"/>
      <c r="E310" s="153"/>
      <c r="F310" s="10"/>
      <c r="G310" s="64"/>
      <c r="H310" s="3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3">
      <c r="A311" s="63"/>
      <c r="B311" s="63"/>
      <c r="C311" s="39"/>
      <c r="D311" s="6"/>
      <c r="E311" s="153"/>
      <c r="F311" s="10"/>
      <c r="G311" s="64"/>
      <c r="H311" s="3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3">
      <c r="A312" s="6"/>
      <c r="B312" s="6"/>
      <c r="C312" s="39"/>
      <c r="D312" s="6"/>
      <c r="E312" s="153"/>
      <c r="F312" s="10"/>
      <c r="G312" s="2"/>
      <c r="H312" s="3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x14ac:dyDescent="0.3">
      <c r="A313" s="6"/>
      <c r="B313" s="6"/>
      <c r="C313" s="39"/>
      <c r="D313" s="6"/>
      <c r="E313" s="153"/>
      <c r="F313" s="1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21"/>
      <c r="R313" s="21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3">
      <c r="A314" s="6"/>
      <c r="B314" s="6"/>
      <c r="C314" s="39"/>
      <c r="D314" s="6"/>
      <c r="E314" s="153"/>
      <c r="F314" s="1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21"/>
      <c r="R314" s="21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3">
      <c r="A315" s="63"/>
      <c r="B315" s="63"/>
      <c r="C315" s="39"/>
      <c r="D315" s="6"/>
      <c r="E315" s="153"/>
      <c r="F315" s="10"/>
      <c r="G315" s="64"/>
      <c r="H315" s="3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3">
      <c r="A316" s="63"/>
      <c r="B316" s="63"/>
      <c r="C316" s="39"/>
      <c r="D316" s="6"/>
      <c r="E316" s="153"/>
      <c r="F316" s="10"/>
      <c r="G316" s="64"/>
      <c r="H316" s="3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3">
      <c r="A317" s="6"/>
      <c r="B317" s="6"/>
      <c r="C317" s="39"/>
      <c r="D317" s="6"/>
      <c r="E317" s="153"/>
      <c r="F317" s="10"/>
      <c r="G317" s="2"/>
      <c r="H317" s="3"/>
      <c r="I317" s="2"/>
      <c r="J317" s="2"/>
      <c r="K317" s="3"/>
      <c r="L317" s="3"/>
      <c r="M317" s="3"/>
      <c r="N317" s="3"/>
      <c r="O317" s="3"/>
      <c r="P317" s="3"/>
      <c r="Q317" s="21"/>
      <c r="R317" s="21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3">
      <c r="A318" s="63"/>
      <c r="B318" s="63"/>
      <c r="C318" s="39"/>
      <c r="D318" s="6"/>
      <c r="E318" s="153"/>
      <c r="F318" s="10"/>
      <c r="G318" s="64"/>
      <c r="H318" s="3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3">
      <c r="A319" s="6"/>
      <c r="B319" s="6"/>
      <c r="C319" s="39"/>
      <c r="D319" s="6"/>
      <c r="E319" s="153"/>
      <c r="F319" s="1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21"/>
      <c r="R319" s="21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3">
      <c r="A320" s="6"/>
      <c r="B320" s="6"/>
      <c r="C320" s="39"/>
      <c r="D320" s="6"/>
      <c r="E320" s="153"/>
      <c r="F320" s="10"/>
      <c r="G320" s="2"/>
      <c r="H320" s="3"/>
      <c r="I320" s="2"/>
      <c r="J320" s="2"/>
      <c r="K320" s="3"/>
      <c r="L320" s="3"/>
      <c r="M320" s="3"/>
      <c r="N320" s="3"/>
      <c r="O320" s="3"/>
      <c r="P320" s="3"/>
      <c r="Q320" s="21"/>
      <c r="R320" s="21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3">
      <c r="A321" s="6"/>
      <c r="B321" s="6"/>
      <c r="C321" s="39"/>
      <c r="D321" s="6"/>
      <c r="E321" s="153"/>
      <c r="F321" s="1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21"/>
      <c r="R321" s="21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3">
      <c r="A322" s="6"/>
      <c r="B322" s="6"/>
      <c r="C322" s="39"/>
      <c r="D322" s="6"/>
      <c r="E322" s="153"/>
      <c r="F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21"/>
      <c r="R322" s="21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3">
      <c r="A323" s="6"/>
      <c r="B323" s="6"/>
      <c r="C323" s="39"/>
      <c r="D323" s="6"/>
      <c r="E323" s="153"/>
      <c r="F323" s="1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21"/>
      <c r="R323" s="21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3">
      <c r="A324" s="6"/>
      <c r="B324" s="6"/>
      <c r="C324" s="39"/>
      <c r="D324" s="6"/>
      <c r="E324" s="153"/>
      <c r="F324" s="1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21"/>
      <c r="R324" s="21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3">
      <c r="A325" s="6"/>
      <c r="B325" s="6"/>
      <c r="C325" s="39"/>
      <c r="D325" s="6"/>
      <c r="E325" s="153"/>
      <c r="F325" s="10"/>
      <c r="G325" s="2"/>
      <c r="H325" s="3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.5" customHeight="1" x14ac:dyDescent="0.35">
      <c r="A326" s="49"/>
      <c r="B326" s="49"/>
      <c r="C326" s="14"/>
      <c r="D326" s="1"/>
      <c r="E326" s="153"/>
      <c r="F326" s="10"/>
      <c r="G326" s="21"/>
      <c r="H326" s="21"/>
      <c r="I326" s="21"/>
      <c r="J326" s="21"/>
      <c r="K326" s="21"/>
      <c r="L326" s="21"/>
      <c r="M326" s="21"/>
      <c r="N326" s="22"/>
      <c r="O326" s="21"/>
      <c r="P326" s="22"/>
      <c r="Q326" s="21"/>
      <c r="R326" s="21"/>
      <c r="S326" s="21"/>
      <c r="T326" s="21"/>
      <c r="U326" s="21"/>
      <c r="V326" s="22"/>
      <c r="W326" s="21"/>
      <c r="X326" s="22"/>
      <c r="Y326" s="21"/>
      <c r="Z326" s="21"/>
      <c r="AA326" s="21"/>
      <c r="AB326" s="21"/>
      <c r="AC326" s="26"/>
      <c r="AD326" s="26"/>
      <c r="AE326" s="62"/>
    </row>
    <row r="327" spans="1:31" x14ac:dyDescent="0.3">
      <c r="A327" s="6"/>
      <c r="B327" s="6"/>
      <c r="C327" s="39"/>
      <c r="D327" s="6"/>
      <c r="E327" s="153"/>
      <c r="F327" s="1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21"/>
      <c r="R327" s="21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3">
      <c r="A328" s="6"/>
      <c r="B328" s="6"/>
      <c r="C328" s="39"/>
      <c r="D328" s="6"/>
      <c r="E328" s="153"/>
      <c r="F328" s="10"/>
      <c r="G328" s="2"/>
      <c r="H328" s="3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3.5" customHeight="1" x14ac:dyDescent="0.35">
      <c r="A329" s="49"/>
      <c r="B329" s="49"/>
      <c r="C329" s="39"/>
      <c r="D329" s="1"/>
      <c r="E329" s="153"/>
      <c r="F329" s="10"/>
      <c r="G329" s="21"/>
      <c r="H329" s="21"/>
      <c r="I329" s="21"/>
      <c r="J329" s="21"/>
      <c r="K329" s="21"/>
      <c r="L329" s="21"/>
      <c r="M329" s="21"/>
      <c r="N329" s="22"/>
      <c r="O329" s="21"/>
      <c r="P329" s="22"/>
      <c r="Q329" s="21"/>
      <c r="R329" s="21"/>
      <c r="S329" s="21"/>
      <c r="T329" s="21"/>
      <c r="U329" s="21"/>
      <c r="V329" s="22"/>
      <c r="W329" s="21"/>
      <c r="X329" s="22"/>
      <c r="Y329" s="21"/>
      <c r="Z329" s="21"/>
      <c r="AA329" s="21"/>
      <c r="AB329" s="21"/>
      <c r="AC329" s="26"/>
      <c r="AD329" s="26"/>
      <c r="AE329" s="62"/>
    </row>
    <row r="330" spans="1:31" ht="13.5" customHeight="1" x14ac:dyDescent="0.35">
      <c r="A330" s="49"/>
      <c r="B330" s="49"/>
      <c r="C330" s="14"/>
      <c r="D330" s="1"/>
      <c r="E330" s="153"/>
      <c r="F330" s="10"/>
      <c r="G330" s="21"/>
      <c r="H330" s="21"/>
      <c r="I330" s="21"/>
      <c r="J330" s="21"/>
      <c r="K330" s="21"/>
      <c r="L330" s="21"/>
      <c r="M330" s="21"/>
      <c r="N330" s="22"/>
      <c r="O330" s="21"/>
      <c r="P330" s="22"/>
      <c r="Q330" s="21"/>
      <c r="R330" s="21"/>
      <c r="S330" s="21"/>
      <c r="T330" s="21"/>
      <c r="U330" s="21"/>
      <c r="V330" s="22"/>
      <c r="W330" s="21"/>
      <c r="X330" s="22"/>
      <c r="Y330" s="21"/>
      <c r="Z330" s="21"/>
      <c r="AA330" s="21"/>
      <c r="AB330" s="21"/>
      <c r="AC330" s="26"/>
      <c r="AD330" s="26"/>
      <c r="AE330" s="62"/>
    </row>
    <row r="331" spans="1:31" x14ac:dyDescent="0.3">
      <c r="A331" s="42"/>
      <c r="B331" s="42"/>
      <c r="C331" s="43"/>
      <c r="D331" s="42"/>
      <c r="E331" s="154"/>
      <c r="F331" s="15"/>
      <c r="G331" s="29"/>
      <c r="H331" s="47"/>
      <c r="I331" s="29"/>
      <c r="J331" s="29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</row>
    <row r="332" spans="1:31" x14ac:dyDescent="0.3">
      <c r="A332" s="63"/>
      <c r="B332" s="63"/>
      <c r="C332" s="39"/>
      <c r="D332" s="6"/>
      <c r="E332" s="153"/>
      <c r="F332" s="10"/>
      <c r="G332" s="64"/>
      <c r="H332" s="3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3">
      <c r="A333" s="6"/>
      <c r="B333" s="6"/>
      <c r="C333" s="39"/>
      <c r="D333" s="6"/>
      <c r="E333" s="153"/>
      <c r="F333" s="1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21"/>
      <c r="R333" s="21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3">
      <c r="A334" s="63"/>
      <c r="B334" s="63"/>
      <c r="C334" s="39"/>
      <c r="D334" s="6"/>
      <c r="E334" s="153"/>
      <c r="F334" s="10"/>
      <c r="G334" s="64"/>
      <c r="H334" s="3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3">
      <c r="A335" s="6"/>
      <c r="B335" s="6"/>
      <c r="C335" s="39"/>
      <c r="D335" s="6"/>
      <c r="E335" s="153"/>
      <c r="F335" s="10"/>
      <c r="G335" s="2"/>
      <c r="H335" s="3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3">
      <c r="A336" s="6"/>
      <c r="B336" s="6"/>
      <c r="C336" s="39"/>
      <c r="D336" s="6"/>
      <c r="E336" s="153"/>
      <c r="F336" s="1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21"/>
      <c r="R336" s="21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3">
      <c r="A337" s="6"/>
      <c r="B337" s="6"/>
      <c r="C337" s="39"/>
      <c r="D337" s="6"/>
      <c r="E337" s="153"/>
      <c r="F337" s="10"/>
      <c r="G337" s="2"/>
      <c r="H337" s="3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3">
      <c r="A338" s="6"/>
      <c r="B338" s="6"/>
      <c r="C338" s="39"/>
      <c r="D338" s="6"/>
      <c r="E338" s="153"/>
      <c r="F338" s="1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21"/>
      <c r="R338" s="21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3">
      <c r="A339" s="6"/>
      <c r="B339" s="6"/>
      <c r="C339" s="39"/>
      <c r="D339" s="6"/>
      <c r="E339" s="153"/>
      <c r="F339" s="10"/>
      <c r="G339" s="2"/>
      <c r="H339" s="3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3">
      <c r="A340" s="6"/>
      <c r="B340" s="6"/>
      <c r="C340" s="39"/>
      <c r="D340" s="6"/>
      <c r="E340" s="153"/>
      <c r="F340" s="1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21"/>
      <c r="R340" s="21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3">
      <c r="A341" s="6"/>
      <c r="B341" s="6"/>
      <c r="C341" s="39"/>
      <c r="D341" s="6"/>
      <c r="E341" s="153"/>
      <c r="F341" s="10"/>
      <c r="G341" s="2"/>
      <c r="H341" s="3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3.5" customHeight="1" x14ac:dyDescent="0.35">
      <c r="A342" s="49"/>
      <c r="B342" s="49"/>
      <c r="C342" s="14"/>
      <c r="D342" s="1"/>
      <c r="E342" s="153"/>
      <c r="F342" s="10"/>
      <c r="G342" s="21"/>
      <c r="H342" s="21"/>
      <c r="I342" s="21"/>
      <c r="J342" s="21"/>
      <c r="K342" s="21"/>
      <c r="L342" s="21"/>
      <c r="M342" s="21"/>
      <c r="N342" s="22"/>
      <c r="O342" s="21"/>
      <c r="P342" s="22"/>
      <c r="Q342" s="21"/>
      <c r="R342" s="21"/>
      <c r="S342" s="21"/>
      <c r="T342" s="21"/>
      <c r="U342" s="21"/>
      <c r="V342" s="22"/>
      <c r="W342" s="21"/>
      <c r="X342" s="22"/>
      <c r="Y342" s="21"/>
      <c r="Z342" s="21"/>
      <c r="AA342" s="21"/>
      <c r="AB342" s="21"/>
      <c r="AC342" s="26"/>
      <c r="AD342" s="26"/>
      <c r="AE342" s="62"/>
    </row>
    <row r="343" spans="1:31" ht="13.5" customHeight="1" x14ac:dyDescent="0.35">
      <c r="A343" s="49"/>
      <c r="B343" s="49"/>
      <c r="C343" s="14"/>
      <c r="D343" s="1"/>
      <c r="E343" s="153"/>
      <c r="F343" s="10"/>
      <c r="G343" s="21"/>
      <c r="H343" s="21"/>
      <c r="I343" s="21"/>
      <c r="J343" s="21"/>
      <c r="K343" s="21"/>
      <c r="L343" s="21"/>
      <c r="M343" s="21"/>
      <c r="N343" s="22"/>
      <c r="O343" s="21"/>
      <c r="P343" s="22"/>
      <c r="Q343" s="21"/>
      <c r="R343" s="21"/>
      <c r="S343" s="21"/>
      <c r="T343" s="21"/>
      <c r="U343" s="21"/>
      <c r="V343" s="22"/>
      <c r="W343" s="21"/>
      <c r="X343" s="22"/>
      <c r="Y343" s="21"/>
      <c r="Z343" s="21"/>
      <c r="AA343" s="21"/>
      <c r="AB343" s="21"/>
      <c r="AC343" s="26"/>
      <c r="AD343" s="26"/>
      <c r="AE343" s="62"/>
    </row>
    <row r="344" spans="1:31" x14ac:dyDescent="0.3">
      <c r="A344" s="6"/>
      <c r="B344" s="6"/>
      <c r="C344" s="39"/>
      <c r="D344" s="6"/>
      <c r="E344" s="153"/>
      <c r="F344" s="1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21"/>
      <c r="R344" s="21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3">
      <c r="A345" s="6"/>
      <c r="B345" s="6"/>
      <c r="C345" s="39"/>
      <c r="D345" s="6"/>
      <c r="E345" s="153"/>
      <c r="F345" s="1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21"/>
      <c r="R345" s="21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x14ac:dyDescent="0.3">
      <c r="A346" s="6"/>
      <c r="B346" s="6"/>
      <c r="C346" s="39"/>
      <c r="D346" s="6"/>
      <c r="E346" s="153"/>
      <c r="F346" s="1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21"/>
      <c r="R346" s="21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.5" customHeight="1" x14ac:dyDescent="0.35">
      <c r="A347" s="49"/>
      <c r="B347" s="49"/>
      <c r="C347" s="14"/>
      <c r="D347" s="1"/>
      <c r="E347" s="153"/>
      <c r="F347" s="10"/>
      <c r="G347" s="21"/>
      <c r="H347" s="21"/>
      <c r="I347" s="21"/>
      <c r="J347" s="21"/>
      <c r="K347" s="21"/>
      <c r="L347" s="21"/>
      <c r="M347" s="21"/>
      <c r="N347" s="22"/>
      <c r="O347" s="21"/>
      <c r="P347" s="22"/>
      <c r="Q347" s="21"/>
      <c r="R347" s="21"/>
      <c r="S347" s="21"/>
      <c r="T347" s="21"/>
      <c r="U347" s="21"/>
      <c r="V347" s="22"/>
      <c r="W347" s="21"/>
      <c r="X347" s="22"/>
      <c r="Y347" s="21"/>
      <c r="Z347" s="21"/>
      <c r="AA347" s="21"/>
      <c r="AB347" s="21"/>
      <c r="AC347" s="26"/>
      <c r="AD347" s="26"/>
      <c r="AE347" s="62"/>
    </row>
    <row r="348" spans="1:31" x14ac:dyDescent="0.3">
      <c r="A348" s="6"/>
      <c r="B348" s="6"/>
      <c r="C348" s="39"/>
      <c r="D348" s="6"/>
      <c r="E348" s="153"/>
      <c r="F348" s="1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21"/>
      <c r="R348" s="21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3">
      <c r="A349" s="63"/>
      <c r="B349" s="63"/>
      <c r="C349" s="39"/>
      <c r="D349" s="6"/>
      <c r="E349" s="153"/>
      <c r="F349" s="10"/>
      <c r="G349" s="64"/>
      <c r="H349" s="3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3">
      <c r="A350" s="6"/>
      <c r="B350" s="6"/>
      <c r="C350" s="39"/>
      <c r="D350" s="6"/>
      <c r="E350" s="153"/>
      <c r="F350" s="1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21"/>
      <c r="R350" s="21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3.5" customHeight="1" x14ac:dyDescent="0.35">
      <c r="A351" s="49"/>
      <c r="B351" s="49"/>
      <c r="C351" s="39"/>
      <c r="D351" s="1"/>
      <c r="E351" s="153"/>
      <c r="F351" s="10"/>
      <c r="G351" s="21"/>
      <c r="H351" s="21"/>
      <c r="I351" s="21"/>
      <c r="J351" s="21"/>
      <c r="K351" s="21"/>
      <c r="L351" s="21"/>
      <c r="M351" s="21"/>
      <c r="N351" s="22"/>
      <c r="O351" s="21"/>
      <c r="P351" s="22"/>
      <c r="Q351" s="21"/>
      <c r="R351" s="21"/>
      <c r="S351" s="21"/>
      <c r="T351" s="21"/>
      <c r="U351" s="21"/>
      <c r="V351" s="22"/>
      <c r="W351" s="21"/>
      <c r="X351" s="22"/>
      <c r="Y351" s="21"/>
      <c r="Z351" s="21"/>
      <c r="AA351" s="21"/>
      <c r="AB351" s="21"/>
      <c r="AC351" s="26"/>
      <c r="AD351" s="26"/>
      <c r="AE351" s="62"/>
    </row>
    <row r="352" spans="1:31" x14ac:dyDescent="0.3">
      <c r="A352" s="6"/>
      <c r="B352" s="6"/>
      <c r="C352" s="39"/>
      <c r="D352" s="6"/>
      <c r="E352" s="153"/>
      <c r="F352" s="1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21"/>
      <c r="R352" s="21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3">
      <c r="A353" s="63"/>
      <c r="B353" s="63"/>
      <c r="C353" s="39"/>
      <c r="D353" s="6"/>
      <c r="E353" s="153"/>
      <c r="F353" s="10"/>
      <c r="G353" s="64"/>
      <c r="H353" s="3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3">
      <c r="A354" s="63"/>
      <c r="B354" s="63"/>
      <c r="C354" s="39"/>
      <c r="D354" s="6"/>
      <c r="E354" s="153"/>
      <c r="F354" s="10"/>
      <c r="G354" s="64"/>
      <c r="H354" s="3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3">
      <c r="A355" s="6"/>
      <c r="B355" s="6"/>
      <c r="C355" s="39"/>
      <c r="D355" s="6"/>
      <c r="E355" s="153"/>
      <c r="F355" s="1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21"/>
      <c r="R355" s="21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3">
      <c r="A356" s="6"/>
      <c r="B356" s="6"/>
      <c r="C356" s="39"/>
      <c r="D356" s="6"/>
      <c r="E356" s="153"/>
      <c r="F356" s="1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21"/>
      <c r="R356" s="21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x14ac:dyDescent="0.3">
      <c r="A357" s="6"/>
      <c r="B357" s="6"/>
      <c r="C357" s="39"/>
      <c r="D357" s="6"/>
      <c r="E357" s="153"/>
      <c r="F357" s="10"/>
      <c r="G357" s="2"/>
      <c r="H357" s="3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x14ac:dyDescent="0.3">
      <c r="A358" s="63"/>
      <c r="B358" s="63"/>
      <c r="C358" s="39"/>
      <c r="D358" s="6"/>
      <c r="E358" s="153"/>
      <c r="F358" s="10"/>
      <c r="G358" s="64"/>
      <c r="H358" s="3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x14ac:dyDescent="0.3">
      <c r="A359" s="6"/>
      <c r="B359" s="6"/>
      <c r="C359" s="39"/>
      <c r="D359" s="6"/>
      <c r="E359" s="153"/>
      <c r="F359" s="1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21"/>
      <c r="R359" s="21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x14ac:dyDescent="0.3">
      <c r="A360" s="6"/>
      <c r="B360" s="6"/>
      <c r="C360" s="39"/>
      <c r="D360" s="6"/>
      <c r="E360" s="153"/>
      <c r="F360" s="1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21"/>
      <c r="R360" s="21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x14ac:dyDescent="0.3">
      <c r="A361" s="6"/>
      <c r="B361" s="6"/>
      <c r="C361" s="39"/>
      <c r="D361" s="6"/>
      <c r="E361" s="153"/>
      <c r="F361" s="1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21"/>
      <c r="R361" s="21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x14ac:dyDescent="0.3">
      <c r="A362" s="6"/>
      <c r="B362" s="6"/>
      <c r="C362" s="39"/>
      <c r="D362" s="6"/>
      <c r="E362" s="153"/>
      <c r="F362" s="1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21"/>
      <c r="R362" s="21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x14ac:dyDescent="0.3">
      <c r="A363" s="63"/>
      <c r="B363" s="63"/>
      <c r="C363" s="39"/>
      <c r="D363" s="6"/>
      <c r="E363" s="153"/>
      <c r="F363" s="10"/>
      <c r="G363" s="64"/>
      <c r="H363" s="3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x14ac:dyDescent="0.3">
      <c r="A364" s="63"/>
      <c r="B364" s="63"/>
      <c r="C364" s="39"/>
      <c r="D364" s="6"/>
      <c r="E364" s="153"/>
      <c r="F364" s="10"/>
      <c r="G364" s="64"/>
      <c r="H364" s="3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.5" customHeight="1" x14ac:dyDescent="0.35">
      <c r="A365" s="49"/>
      <c r="B365" s="49"/>
      <c r="C365" s="14"/>
      <c r="D365" s="1"/>
      <c r="E365" s="153"/>
      <c r="F365" s="10"/>
      <c r="G365" s="21"/>
      <c r="H365" s="21"/>
      <c r="I365" s="21"/>
      <c r="J365" s="21"/>
      <c r="K365" s="21"/>
      <c r="L365" s="21"/>
      <c r="M365" s="21"/>
      <c r="N365" s="22"/>
      <c r="O365" s="21"/>
      <c r="P365" s="22"/>
      <c r="Q365" s="21"/>
      <c r="R365" s="21"/>
      <c r="S365" s="21"/>
      <c r="T365" s="21"/>
      <c r="U365" s="21"/>
      <c r="V365" s="22"/>
      <c r="W365" s="21"/>
      <c r="X365" s="22"/>
      <c r="Y365" s="21"/>
      <c r="Z365" s="21"/>
      <c r="AA365" s="21"/>
      <c r="AB365" s="21"/>
      <c r="AC365" s="26"/>
      <c r="AD365" s="26"/>
      <c r="AE365" s="62"/>
    </row>
    <row r="366" spans="1:31" x14ac:dyDescent="0.3">
      <c r="A366" s="6"/>
      <c r="B366" s="6"/>
      <c r="C366" s="39"/>
      <c r="D366" s="6"/>
      <c r="E366" s="153"/>
      <c r="F366" s="1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21"/>
      <c r="R366" s="21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x14ac:dyDescent="0.3">
      <c r="A367" s="6"/>
      <c r="B367" s="6"/>
      <c r="C367" s="39"/>
      <c r="D367" s="6"/>
      <c r="E367" s="153"/>
      <c r="F367" s="1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21"/>
      <c r="R367" s="21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3.5" customHeight="1" x14ac:dyDescent="0.35">
      <c r="A368" s="49"/>
      <c r="B368" s="49"/>
      <c r="C368" s="14"/>
      <c r="D368" s="1"/>
      <c r="E368" s="153"/>
      <c r="F368" s="10"/>
      <c r="G368" s="21"/>
      <c r="H368" s="21"/>
      <c r="I368" s="21"/>
      <c r="J368" s="21"/>
      <c r="K368" s="21"/>
      <c r="L368" s="21"/>
      <c r="M368" s="21"/>
      <c r="N368" s="22"/>
      <c r="O368" s="21"/>
      <c r="P368" s="22"/>
      <c r="Q368" s="21"/>
      <c r="R368" s="21"/>
      <c r="S368" s="21"/>
      <c r="T368" s="21"/>
      <c r="U368" s="21"/>
      <c r="V368" s="22"/>
      <c r="W368" s="21"/>
      <c r="X368" s="22"/>
      <c r="Y368" s="21"/>
      <c r="Z368" s="21"/>
      <c r="AA368" s="21"/>
      <c r="AB368" s="21"/>
      <c r="AC368" s="26"/>
      <c r="AD368" s="26"/>
      <c r="AE368" s="62"/>
    </row>
    <row r="369" spans="1:31" x14ac:dyDescent="0.3">
      <c r="A369" s="6"/>
      <c r="B369" s="6"/>
      <c r="C369" s="39"/>
      <c r="D369" s="6"/>
      <c r="E369" s="153"/>
      <c r="F369" s="1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3.5" customHeight="1" x14ac:dyDescent="0.35">
      <c r="A370" s="49"/>
      <c r="B370" s="49"/>
      <c r="C370" s="14"/>
      <c r="D370" s="1"/>
      <c r="E370" s="153"/>
      <c r="F370" s="10"/>
      <c r="G370" s="21"/>
      <c r="H370" s="21"/>
      <c r="I370" s="21"/>
      <c r="J370" s="21"/>
      <c r="K370" s="21"/>
      <c r="L370" s="21"/>
      <c r="M370" s="21"/>
      <c r="N370" s="22"/>
      <c r="O370" s="21"/>
      <c r="P370" s="22"/>
      <c r="Q370" s="21"/>
      <c r="R370" s="21"/>
      <c r="S370" s="21"/>
      <c r="T370" s="21"/>
      <c r="U370" s="21"/>
      <c r="V370" s="22"/>
      <c r="W370" s="21"/>
      <c r="X370" s="22"/>
      <c r="Y370" s="21"/>
      <c r="Z370" s="21"/>
      <c r="AA370" s="21"/>
      <c r="AB370" s="21"/>
      <c r="AC370" s="26"/>
      <c r="AD370" s="26"/>
      <c r="AE370" s="62"/>
    </row>
    <row r="371" spans="1:31" x14ac:dyDescent="0.3">
      <c r="A371" s="63"/>
      <c r="B371" s="63"/>
      <c r="C371" s="39"/>
      <c r="D371" s="6"/>
      <c r="E371" s="153"/>
      <c r="F371" s="10"/>
      <c r="G371" s="64"/>
      <c r="H371" s="3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3.5" customHeight="1" x14ac:dyDescent="0.35">
      <c r="A372" s="49"/>
      <c r="B372" s="49"/>
      <c r="C372" s="14"/>
      <c r="D372" s="1"/>
      <c r="E372" s="153"/>
      <c r="F372" s="10"/>
      <c r="G372" s="21"/>
      <c r="H372" s="21"/>
      <c r="I372" s="21"/>
      <c r="J372" s="21"/>
      <c r="K372" s="21"/>
      <c r="L372" s="21"/>
      <c r="M372" s="21"/>
      <c r="N372" s="22"/>
      <c r="O372" s="21"/>
      <c r="P372" s="22"/>
      <c r="Q372" s="21"/>
      <c r="R372" s="21"/>
      <c r="S372" s="21"/>
      <c r="T372" s="21"/>
      <c r="U372" s="21"/>
      <c r="V372" s="22"/>
      <c r="W372" s="21"/>
      <c r="X372" s="22"/>
      <c r="Y372" s="21"/>
      <c r="Z372" s="21"/>
      <c r="AA372" s="21"/>
      <c r="AB372" s="21"/>
      <c r="AC372" s="26"/>
      <c r="AD372" s="26"/>
      <c r="AE372" s="62"/>
    </row>
    <row r="373" spans="1:31" x14ac:dyDescent="0.3">
      <c r="A373" s="6"/>
      <c r="B373" s="6"/>
      <c r="C373" s="39"/>
      <c r="D373" s="6"/>
      <c r="E373" s="153"/>
      <c r="F373" s="1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21"/>
      <c r="R373" s="21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x14ac:dyDescent="0.3">
      <c r="A374" s="63"/>
      <c r="B374" s="63"/>
      <c r="C374" s="39"/>
      <c r="D374" s="6"/>
      <c r="E374" s="153"/>
      <c r="F374" s="10"/>
      <c r="G374" s="64"/>
      <c r="H374" s="3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.5" customHeight="1" x14ac:dyDescent="0.35">
      <c r="A375" s="49"/>
      <c r="B375" s="49"/>
      <c r="C375" s="14"/>
      <c r="D375" s="1"/>
      <c r="E375" s="153"/>
      <c r="F375" s="10"/>
      <c r="G375" s="21"/>
      <c r="H375" s="21"/>
      <c r="I375" s="21"/>
      <c r="J375" s="21"/>
      <c r="K375" s="21"/>
      <c r="L375" s="21"/>
      <c r="M375" s="21"/>
      <c r="N375" s="22"/>
      <c r="O375" s="21"/>
      <c r="P375" s="22"/>
      <c r="Q375" s="21"/>
      <c r="R375" s="21"/>
      <c r="S375" s="21"/>
      <c r="T375" s="21"/>
      <c r="U375" s="21"/>
      <c r="V375" s="22"/>
      <c r="W375" s="21"/>
      <c r="X375" s="22"/>
      <c r="Y375" s="21"/>
      <c r="Z375" s="21"/>
      <c r="AA375" s="21"/>
      <c r="AB375" s="21"/>
      <c r="AC375" s="26"/>
      <c r="AD375" s="26"/>
      <c r="AE375" s="62"/>
    </row>
    <row r="376" spans="1:31" x14ac:dyDescent="0.3">
      <c r="A376" s="63"/>
      <c r="B376" s="63"/>
      <c r="C376" s="39"/>
      <c r="D376" s="6"/>
      <c r="E376" s="153"/>
      <c r="F376" s="10"/>
      <c r="G376" s="64"/>
      <c r="H376" s="3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x14ac:dyDescent="0.3">
      <c r="A377" s="6"/>
      <c r="B377" s="6"/>
      <c r="C377" s="39"/>
      <c r="D377" s="6"/>
      <c r="E377" s="153"/>
      <c r="F377" s="1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21"/>
      <c r="R377" s="21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3">
      <c r="A378" s="6"/>
      <c r="B378" s="6"/>
      <c r="C378" s="39"/>
      <c r="D378" s="6"/>
      <c r="E378" s="153"/>
      <c r="F378" s="10"/>
      <c r="G378" s="2"/>
      <c r="H378" s="3"/>
      <c r="I378" s="2"/>
      <c r="J378" s="2"/>
      <c r="K378" s="3"/>
      <c r="L378" s="3"/>
      <c r="M378" s="3"/>
      <c r="N378" s="3"/>
      <c r="O378" s="3"/>
      <c r="P378" s="3"/>
      <c r="Q378" s="21"/>
      <c r="R378" s="21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3">
      <c r="A379" s="6"/>
      <c r="B379" s="6"/>
      <c r="C379" s="39"/>
      <c r="D379" s="6"/>
      <c r="E379" s="153"/>
      <c r="F379" s="1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21"/>
      <c r="R379" s="21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x14ac:dyDescent="0.3">
      <c r="A380" s="63"/>
      <c r="B380" s="63"/>
      <c r="C380" s="39"/>
      <c r="D380" s="6"/>
      <c r="E380" s="153"/>
      <c r="F380" s="10"/>
      <c r="G380" s="64"/>
      <c r="H380" s="3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3">
      <c r="A381" s="63"/>
      <c r="B381" s="63"/>
      <c r="C381" s="39"/>
      <c r="D381" s="6"/>
      <c r="E381" s="153"/>
      <c r="F381" s="10"/>
      <c r="G381" s="64"/>
      <c r="H381" s="3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x14ac:dyDescent="0.3">
      <c r="A382" s="63"/>
      <c r="B382" s="63"/>
      <c r="C382" s="39"/>
      <c r="D382" s="6"/>
      <c r="E382" s="153"/>
      <c r="F382" s="10"/>
      <c r="G382" s="64"/>
      <c r="H382" s="3"/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.5" customHeight="1" x14ac:dyDescent="0.35">
      <c r="A383" s="49"/>
      <c r="B383" s="49"/>
      <c r="C383" s="14"/>
      <c r="D383" s="1"/>
      <c r="E383" s="153"/>
      <c r="F383" s="10"/>
      <c r="G383" s="21"/>
      <c r="H383" s="21"/>
      <c r="I383" s="21"/>
      <c r="J383" s="21"/>
      <c r="K383" s="21"/>
      <c r="L383" s="21"/>
      <c r="M383" s="21"/>
      <c r="N383" s="22"/>
      <c r="O383" s="21"/>
      <c r="P383" s="22"/>
      <c r="Q383" s="21"/>
      <c r="R383" s="21"/>
      <c r="S383" s="21"/>
      <c r="T383" s="21"/>
      <c r="U383" s="21"/>
      <c r="V383" s="22"/>
      <c r="W383" s="21"/>
      <c r="X383" s="22"/>
      <c r="Y383" s="21"/>
      <c r="Z383" s="21"/>
      <c r="AA383" s="21"/>
      <c r="AB383" s="21"/>
      <c r="AC383" s="26"/>
      <c r="AD383" s="26"/>
      <c r="AE383" s="62"/>
    </row>
    <row r="384" spans="1:31" x14ac:dyDescent="0.3">
      <c r="A384" s="6"/>
      <c r="B384" s="6"/>
      <c r="C384" s="39"/>
      <c r="D384" s="6"/>
      <c r="E384" s="153"/>
      <c r="F384" s="10"/>
      <c r="G384" s="2"/>
      <c r="H384" s="3"/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3">
      <c r="A385" s="6"/>
      <c r="B385" s="6"/>
      <c r="C385" s="39"/>
      <c r="D385" s="6"/>
      <c r="E385" s="153"/>
      <c r="F385" s="1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21"/>
      <c r="R385" s="21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.5" customHeight="1" x14ac:dyDescent="0.35">
      <c r="A386" s="49"/>
      <c r="B386" s="49"/>
      <c r="C386" s="14"/>
      <c r="D386" s="1"/>
      <c r="E386" s="153"/>
      <c r="F386" s="10"/>
      <c r="G386" s="21"/>
      <c r="H386" s="21"/>
      <c r="I386" s="21"/>
      <c r="J386" s="21"/>
      <c r="K386" s="21"/>
      <c r="L386" s="21"/>
      <c r="M386" s="21"/>
      <c r="N386" s="22"/>
      <c r="O386" s="21"/>
      <c r="P386" s="22"/>
      <c r="Q386" s="21"/>
      <c r="R386" s="21"/>
      <c r="S386" s="21"/>
      <c r="T386" s="21"/>
      <c r="U386" s="21"/>
      <c r="V386" s="22"/>
      <c r="W386" s="21"/>
      <c r="X386" s="22"/>
      <c r="Y386" s="21"/>
      <c r="Z386" s="21"/>
      <c r="AA386" s="21"/>
      <c r="AB386" s="21"/>
      <c r="AC386" s="26"/>
      <c r="AD386" s="26"/>
      <c r="AE386" s="62"/>
    </row>
    <row r="387" spans="1:31" x14ac:dyDescent="0.3">
      <c r="A387" s="6"/>
      <c r="B387" s="6"/>
      <c r="C387" s="39"/>
      <c r="D387" s="6"/>
      <c r="E387" s="153"/>
      <c r="F387" s="10"/>
      <c r="G387" s="2"/>
      <c r="H387" s="3"/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3">
      <c r="A388" s="6"/>
      <c r="B388" s="6"/>
      <c r="C388" s="39"/>
      <c r="D388" s="6"/>
      <c r="E388" s="153"/>
      <c r="F388" s="1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21"/>
      <c r="R388" s="21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3.5" customHeight="1" x14ac:dyDescent="0.35">
      <c r="A389" s="49"/>
      <c r="B389" s="49"/>
      <c r="C389" s="14"/>
      <c r="D389" s="1"/>
      <c r="E389" s="153"/>
      <c r="F389" s="10"/>
      <c r="G389" s="21"/>
      <c r="H389" s="21"/>
      <c r="I389" s="21"/>
      <c r="J389" s="21"/>
      <c r="K389" s="21"/>
      <c r="L389" s="21"/>
      <c r="M389" s="21"/>
      <c r="N389" s="22"/>
      <c r="O389" s="21"/>
      <c r="P389" s="22"/>
      <c r="Q389" s="21"/>
      <c r="R389" s="21"/>
      <c r="S389" s="21"/>
      <c r="T389" s="21"/>
      <c r="U389" s="21"/>
      <c r="V389" s="22"/>
      <c r="W389" s="21"/>
      <c r="X389" s="22"/>
      <c r="Y389" s="21"/>
      <c r="Z389" s="21"/>
      <c r="AA389" s="21"/>
      <c r="AB389" s="21"/>
      <c r="AC389" s="26"/>
      <c r="AD389" s="26"/>
      <c r="AE389" s="62"/>
    </row>
    <row r="390" spans="1:31" x14ac:dyDescent="0.3">
      <c r="A390" s="6"/>
      <c r="B390" s="6"/>
      <c r="C390" s="39"/>
      <c r="D390" s="6"/>
      <c r="E390" s="153"/>
      <c r="F390" s="1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21"/>
      <c r="R390" s="21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3">
      <c r="A391" s="6"/>
      <c r="B391" s="6"/>
      <c r="C391" s="39"/>
      <c r="D391" s="6"/>
      <c r="E391" s="153"/>
      <c r="F391" s="1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21"/>
      <c r="R391" s="21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.5" customHeight="1" x14ac:dyDescent="0.35">
      <c r="A392" s="49"/>
      <c r="B392" s="49"/>
      <c r="C392" s="14"/>
      <c r="D392" s="6"/>
      <c r="E392" s="153"/>
      <c r="F392" s="10"/>
      <c r="G392" s="21"/>
      <c r="H392" s="21"/>
      <c r="I392" s="21"/>
      <c r="J392" s="21"/>
      <c r="K392" s="21"/>
      <c r="L392" s="21"/>
      <c r="M392" s="21"/>
      <c r="N392" s="22"/>
      <c r="O392" s="21"/>
      <c r="P392" s="22"/>
      <c r="Q392" s="21"/>
      <c r="R392" s="21"/>
      <c r="S392" s="21"/>
      <c r="T392" s="21"/>
      <c r="U392" s="21"/>
      <c r="V392" s="22"/>
      <c r="W392" s="21"/>
      <c r="X392" s="22"/>
      <c r="Y392" s="21"/>
      <c r="Z392" s="21"/>
      <c r="AA392" s="21"/>
      <c r="AB392" s="21"/>
      <c r="AC392" s="26"/>
      <c r="AD392" s="26"/>
      <c r="AE392" s="65"/>
    </row>
    <row r="393" spans="1:31" x14ac:dyDescent="0.3">
      <c r="A393" s="6"/>
      <c r="B393" s="6"/>
      <c r="C393" s="39"/>
      <c r="D393" s="6"/>
      <c r="E393" s="153"/>
      <c r="F393" s="10"/>
      <c r="G393" s="2"/>
      <c r="H393" s="3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.5" customHeight="1" x14ac:dyDescent="0.35">
      <c r="A394" s="49"/>
      <c r="B394" s="49"/>
      <c r="C394" s="14"/>
      <c r="D394" s="1"/>
      <c r="E394" s="153"/>
      <c r="F394" s="10"/>
      <c r="G394" s="21"/>
      <c r="H394" s="21"/>
      <c r="I394" s="21"/>
      <c r="J394" s="21"/>
      <c r="K394" s="21"/>
      <c r="L394" s="21"/>
      <c r="M394" s="21"/>
      <c r="N394" s="22"/>
      <c r="O394" s="21"/>
      <c r="P394" s="22"/>
      <c r="Q394" s="21"/>
      <c r="R394" s="21"/>
      <c r="S394" s="21"/>
      <c r="T394" s="21"/>
      <c r="U394" s="21"/>
      <c r="V394" s="22"/>
      <c r="W394" s="21"/>
      <c r="X394" s="22"/>
      <c r="Y394" s="21"/>
      <c r="Z394" s="21"/>
      <c r="AA394" s="21"/>
      <c r="AB394" s="21"/>
      <c r="AC394" s="26"/>
      <c r="AD394" s="26"/>
      <c r="AE394" s="62"/>
    </row>
    <row r="395" spans="1:31" x14ac:dyDescent="0.3">
      <c r="A395" s="63"/>
      <c r="B395" s="63"/>
      <c r="C395" s="39"/>
      <c r="D395" s="6"/>
      <c r="E395" s="153"/>
      <c r="F395" s="10"/>
      <c r="G395" s="64"/>
      <c r="H395" s="3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3.5" customHeight="1" x14ac:dyDescent="0.35">
      <c r="A396" s="49"/>
      <c r="B396" s="49"/>
      <c r="C396" s="14"/>
      <c r="D396" s="1"/>
      <c r="E396" s="153"/>
      <c r="F396" s="10"/>
      <c r="G396" s="21"/>
      <c r="H396" s="21"/>
      <c r="I396" s="21"/>
      <c r="J396" s="21"/>
      <c r="K396" s="21"/>
      <c r="L396" s="21"/>
      <c r="M396" s="21"/>
      <c r="N396" s="22"/>
      <c r="O396" s="21"/>
      <c r="P396" s="22"/>
      <c r="Q396" s="21"/>
      <c r="R396" s="21"/>
      <c r="S396" s="21"/>
      <c r="T396" s="21"/>
      <c r="U396" s="21"/>
      <c r="V396" s="22"/>
      <c r="W396" s="21"/>
      <c r="X396" s="22"/>
      <c r="Y396" s="21"/>
      <c r="Z396" s="21"/>
      <c r="AA396" s="21"/>
      <c r="AB396" s="21"/>
      <c r="AC396" s="26"/>
      <c r="AD396" s="26"/>
      <c r="AE396" s="62"/>
    </row>
    <row r="397" spans="1:31" x14ac:dyDescent="0.3">
      <c r="A397" s="63"/>
      <c r="B397" s="63"/>
      <c r="C397" s="39"/>
      <c r="D397" s="6"/>
      <c r="E397" s="153"/>
      <c r="F397" s="10"/>
      <c r="G397" s="64"/>
      <c r="H397" s="3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3">
      <c r="A398" s="6"/>
      <c r="B398" s="6"/>
      <c r="C398" s="39"/>
      <c r="D398" s="6"/>
      <c r="E398" s="153"/>
      <c r="F398" s="10"/>
      <c r="G398" s="2"/>
      <c r="H398" s="3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3">
      <c r="A399" s="6"/>
      <c r="B399" s="6"/>
      <c r="C399" s="39"/>
      <c r="D399" s="6"/>
      <c r="E399" s="153"/>
      <c r="F399" s="1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.5" customHeight="1" x14ac:dyDescent="0.35">
      <c r="A400" s="49"/>
      <c r="B400" s="49"/>
      <c r="C400" s="14"/>
      <c r="D400" s="1"/>
      <c r="E400" s="153"/>
      <c r="F400" s="10"/>
      <c r="G400" s="21"/>
      <c r="H400" s="21"/>
      <c r="I400" s="21"/>
      <c r="J400" s="21"/>
      <c r="K400" s="21"/>
      <c r="L400" s="21"/>
      <c r="M400" s="21"/>
      <c r="N400" s="22"/>
      <c r="O400" s="21"/>
      <c r="P400" s="22"/>
      <c r="Q400" s="21"/>
      <c r="R400" s="21"/>
      <c r="S400" s="21"/>
      <c r="T400" s="21"/>
      <c r="U400" s="21"/>
      <c r="V400" s="22"/>
      <c r="W400" s="21"/>
      <c r="X400" s="22"/>
      <c r="Y400" s="21"/>
      <c r="Z400" s="21"/>
      <c r="AA400" s="21"/>
      <c r="AB400" s="21"/>
      <c r="AC400" s="26"/>
      <c r="AD400" s="26"/>
      <c r="AE400" s="62"/>
    </row>
    <row r="401" spans="1:31" x14ac:dyDescent="0.3">
      <c r="A401" s="6"/>
      <c r="B401" s="6"/>
      <c r="C401" s="39"/>
      <c r="D401" s="6"/>
      <c r="E401" s="153"/>
      <c r="F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21"/>
      <c r="R401" s="21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.5" customHeight="1" x14ac:dyDescent="0.35">
      <c r="A402" s="49"/>
      <c r="B402" s="49"/>
      <c r="C402" s="14"/>
      <c r="D402" s="1"/>
      <c r="E402" s="153"/>
      <c r="F402" s="10"/>
      <c r="G402" s="21"/>
      <c r="H402" s="21"/>
      <c r="I402" s="21"/>
      <c r="J402" s="21"/>
      <c r="K402" s="21"/>
      <c r="L402" s="21"/>
      <c r="M402" s="21"/>
      <c r="N402" s="22"/>
      <c r="O402" s="21"/>
      <c r="P402" s="22"/>
      <c r="Q402" s="21"/>
      <c r="R402" s="21"/>
      <c r="S402" s="21"/>
      <c r="T402" s="21"/>
      <c r="U402" s="21"/>
      <c r="V402" s="22"/>
      <c r="W402" s="21"/>
      <c r="X402" s="22"/>
      <c r="Y402" s="21"/>
      <c r="Z402" s="21"/>
      <c r="AA402" s="21"/>
      <c r="AB402" s="21"/>
      <c r="AC402" s="26"/>
      <c r="AD402" s="26"/>
      <c r="AE402" s="62"/>
    </row>
    <row r="403" spans="1:31" x14ac:dyDescent="0.3">
      <c r="A403" s="6"/>
      <c r="B403" s="6"/>
      <c r="C403" s="39"/>
      <c r="D403" s="6"/>
      <c r="E403" s="153"/>
      <c r="F403" s="10"/>
      <c r="G403" s="2"/>
      <c r="H403" s="3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x14ac:dyDescent="0.3">
      <c r="A404" s="6"/>
      <c r="B404" s="6"/>
      <c r="C404" s="39"/>
      <c r="D404" s="6"/>
      <c r="E404" s="153"/>
      <c r="F404" s="10"/>
      <c r="G404" s="2"/>
      <c r="H404" s="3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3.5" customHeight="1" x14ac:dyDescent="0.35">
      <c r="A405" s="49"/>
      <c r="B405" s="49"/>
      <c r="C405" s="14"/>
      <c r="D405" s="1"/>
      <c r="E405" s="153"/>
      <c r="F405" s="10"/>
      <c r="G405" s="21"/>
      <c r="H405" s="21"/>
      <c r="I405" s="21"/>
      <c r="J405" s="21"/>
      <c r="K405" s="21"/>
      <c r="L405" s="21"/>
      <c r="M405" s="21"/>
      <c r="N405" s="22"/>
      <c r="O405" s="21"/>
      <c r="P405" s="22"/>
      <c r="Q405" s="21"/>
      <c r="R405" s="21"/>
      <c r="S405" s="21"/>
      <c r="T405" s="21"/>
      <c r="U405" s="21"/>
      <c r="V405" s="22"/>
      <c r="W405" s="21"/>
      <c r="X405" s="22"/>
      <c r="Y405" s="21"/>
      <c r="Z405" s="21"/>
      <c r="AA405" s="21"/>
      <c r="AB405" s="21"/>
      <c r="AC405" s="26"/>
      <c r="AD405" s="26"/>
      <c r="AE405" s="62"/>
    </row>
    <row r="406" spans="1:31" ht="13.5" customHeight="1" x14ac:dyDescent="0.3">
      <c r="A406" s="63"/>
      <c r="B406" s="63"/>
      <c r="C406" s="39"/>
      <c r="D406" s="6"/>
      <c r="E406" s="153"/>
      <c r="F406" s="10"/>
      <c r="G406" s="64"/>
      <c r="H406" s="3"/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3">
      <c r="A407" s="6"/>
      <c r="B407" s="6"/>
      <c r="C407" s="39"/>
      <c r="D407" s="6"/>
      <c r="E407" s="153"/>
      <c r="F407" s="10"/>
      <c r="G407" s="2"/>
      <c r="H407" s="3"/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x14ac:dyDescent="0.3">
      <c r="A408" s="63"/>
      <c r="B408" s="63"/>
      <c r="C408" s="39"/>
      <c r="D408" s="6"/>
      <c r="E408" s="153"/>
      <c r="F408" s="10"/>
      <c r="G408" s="64"/>
      <c r="H408" s="3"/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x14ac:dyDescent="0.3">
      <c r="A409" s="6"/>
      <c r="B409" s="6"/>
      <c r="C409" s="39"/>
      <c r="D409" s="6"/>
      <c r="E409" s="153"/>
      <c r="F409" s="1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21"/>
      <c r="R409" s="21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3.5" customHeight="1" x14ac:dyDescent="0.35">
      <c r="A410" s="49"/>
      <c r="B410" s="49"/>
      <c r="C410" s="39"/>
      <c r="D410" s="1"/>
      <c r="E410" s="153"/>
      <c r="F410" s="10"/>
      <c r="G410" s="21"/>
      <c r="H410" s="21"/>
      <c r="I410" s="21"/>
      <c r="J410" s="21"/>
      <c r="K410" s="21"/>
      <c r="L410" s="21"/>
      <c r="M410" s="21"/>
      <c r="N410" s="22"/>
      <c r="O410" s="21"/>
      <c r="P410" s="22"/>
      <c r="Q410" s="21"/>
      <c r="R410" s="21"/>
      <c r="S410" s="21"/>
      <c r="T410" s="21"/>
      <c r="U410" s="21"/>
      <c r="V410" s="22"/>
      <c r="W410" s="21"/>
      <c r="X410" s="22"/>
      <c r="Y410" s="21"/>
      <c r="Z410" s="21"/>
      <c r="AA410" s="21"/>
      <c r="AB410" s="21"/>
      <c r="AC410" s="26"/>
      <c r="AD410" s="26"/>
      <c r="AE410" s="62"/>
    </row>
    <row r="411" spans="1:31" x14ac:dyDescent="0.3">
      <c r="A411" s="6"/>
      <c r="B411" s="6"/>
      <c r="C411" s="39"/>
      <c r="D411" s="6"/>
      <c r="E411" s="153"/>
      <c r="F411" s="1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21"/>
      <c r="R411" s="21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3.5" customHeight="1" x14ac:dyDescent="0.35">
      <c r="A412" s="49"/>
      <c r="B412" s="49"/>
      <c r="C412" s="14"/>
      <c r="D412" s="1"/>
      <c r="E412" s="153"/>
      <c r="F412" s="10"/>
      <c r="G412" s="21"/>
      <c r="H412" s="21"/>
      <c r="I412" s="21"/>
      <c r="J412" s="21"/>
      <c r="K412" s="21"/>
      <c r="L412" s="21"/>
      <c r="M412" s="21"/>
      <c r="N412" s="22"/>
      <c r="O412" s="21"/>
      <c r="P412" s="22"/>
      <c r="Q412" s="21"/>
      <c r="R412" s="21"/>
      <c r="S412" s="21"/>
      <c r="T412" s="21"/>
      <c r="U412" s="21"/>
      <c r="V412" s="22"/>
      <c r="W412" s="21"/>
      <c r="X412" s="22"/>
      <c r="Y412" s="21"/>
      <c r="Z412" s="21"/>
      <c r="AA412" s="21"/>
      <c r="AB412" s="21"/>
      <c r="AC412" s="26"/>
      <c r="AD412" s="26"/>
      <c r="AE412" s="62"/>
    </row>
    <row r="413" spans="1:31" ht="13.5" customHeight="1" x14ac:dyDescent="0.35">
      <c r="A413" s="49"/>
      <c r="B413" s="49"/>
      <c r="C413" s="39"/>
      <c r="D413" s="1"/>
      <c r="E413" s="153"/>
      <c r="F413" s="10"/>
      <c r="G413" s="21"/>
      <c r="H413" s="21"/>
      <c r="I413" s="21"/>
      <c r="J413" s="21"/>
      <c r="K413" s="21"/>
      <c r="L413" s="21"/>
      <c r="M413" s="21"/>
      <c r="N413" s="22"/>
      <c r="O413" s="21"/>
      <c r="P413" s="22"/>
      <c r="Q413" s="21"/>
      <c r="R413" s="21"/>
      <c r="S413" s="21"/>
      <c r="T413" s="21"/>
      <c r="U413" s="21"/>
      <c r="V413" s="22"/>
      <c r="W413" s="21"/>
      <c r="X413" s="22"/>
      <c r="Y413" s="21"/>
      <c r="Z413" s="21"/>
      <c r="AA413" s="21"/>
      <c r="AB413" s="21"/>
      <c r="AC413" s="26"/>
      <c r="AD413" s="26"/>
      <c r="AE413" s="62"/>
    </row>
    <row r="414" spans="1:31" x14ac:dyDescent="0.3">
      <c r="A414" s="6"/>
      <c r="B414" s="6"/>
      <c r="C414" s="39"/>
      <c r="D414" s="6"/>
      <c r="E414" s="153"/>
      <c r="F414" s="1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21"/>
      <c r="R414" s="21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x14ac:dyDescent="0.3">
      <c r="A415" s="63"/>
      <c r="B415" s="63"/>
      <c r="C415" s="39"/>
      <c r="D415" s="6"/>
      <c r="E415" s="153"/>
      <c r="F415" s="10"/>
      <c r="G415" s="64"/>
      <c r="H415" s="3"/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3">
      <c r="A416" s="63"/>
      <c r="B416" s="63"/>
      <c r="C416" s="39"/>
      <c r="D416" s="6"/>
      <c r="E416" s="153"/>
      <c r="F416" s="10"/>
      <c r="G416" s="64"/>
      <c r="H416" s="3"/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x14ac:dyDescent="0.3">
      <c r="A417" s="6"/>
      <c r="B417" s="6"/>
      <c r="C417" s="39"/>
      <c r="D417" s="6"/>
      <c r="E417" s="153"/>
      <c r="F417" s="1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21"/>
      <c r="R417" s="21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x14ac:dyDescent="0.3">
      <c r="A418" s="63"/>
      <c r="B418" s="63"/>
      <c r="C418" s="39"/>
      <c r="D418" s="6"/>
      <c r="E418" s="153"/>
      <c r="F418" s="10"/>
      <c r="G418" s="64"/>
      <c r="H418" s="3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x14ac:dyDescent="0.3">
      <c r="A419" s="6"/>
      <c r="B419" s="6"/>
      <c r="C419" s="39"/>
      <c r="D419" s="6"/>
      <c r="E419" s="153"/>
      <c r="F419" s="1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21"/>
      <c r="R419" s="21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.5" customHeight="1" x14ac:dyDescent="0.35">
      <c r="A420" s="49"/>
      <c r="B420" s="49"/>
      <c r="C420" s="39"/>
      <c r="D420" s="1"/>
      <c r="E420" s="153"/>
      <c r="F420" s="10"/>
      <c r="G420" s="21"/>
      <c r="H420" s="21"/>
      <c r="I420" s="21"/>
      <c r="J420" s="21"/>
      <c r="K420" s="21"/>
      <c r="L420" s="21"/>
      <c r="M420" s="21"/>
      <c r="N420" s="22"/>
      <c r="O420" s="21"/>
      <c r="P420" s="22"/>
      <c r="Q420" s="21"/>
      <c r="R420" s="21"/>
      <c r="S420" s="21"/>
      <c r="T420" s="21"/>
      <c r="U420" s="21"/>
      <c r="V420" s="22"/>
      <c r="W420" s="21"/>
      <c r="X420" s="22"/>
      <c r="Y420" s="21"/>
      <c r="Z420" s="21"/>
      <c r="AA420" s="21"/>
      <c r="AB420" s="21"/>
      <c r="AC420" s="26"/>
      <c r="AD420" s="26"/>
      <c r="AE420" s="62"/>
    </row>
    <row r="421" spans="1:31" ht="13.5" customHeight="1" x14ac:dyDescent="0.35">
      <c r="A421" s="49"/>
      <c r="B421" s="49"/>
      <c r="C421" s="14"/>
      <c r="D421" s="1"/>
      <c r="E421" s="153"/>
      <c r="F421" s="10"/>
      <c r="G421" s="21"/>
      <c r="H421" s="21"/>
      <c r="I421" s="21"/>
      <c r="J421" s="21"/>
      <c r="K421" s="21"/>
      <c r="L421" s="21"/>
      <c r="M421" s="21"/>
      <c r="N421" s="22"/>
      <c r="O421" s="21"/>
      <c r="P421" s="22"/>
      <c r="Q421" s="21"/>
      <c r="R421" s="21"/>
      <c r="S421" s="21"/>
      <c r="T421" s="21"/>
      <c r="U421" s="21"/>
      <c r="V421" s="22"/>
      <c r="W421" s="21"/>
      <c r="X421" s="22"/>
      <c r="Y421" s="21"/>
      <c r="Z421" s="21"/>
      <c r="AA421" s="21"/>
      <c r="AB421" s="21"/>
      <c r="AC421" s="26"/>
      <c r="AD421" s="26"/>
      <c r="AE421" s="62"/>
    </row>
    <row r="422" spans="1:31" x14ac:dyDescent="0.3">
      <c r="A422" s="6"/>
      <c r="B422" s="6"/>
      <c r="C422" s="39"/>
      <c r="D422" s="6"/>
      <c r="E422" s="153"/>
      <c r="F422" s="10"/>
      <c r="G422" s="2"/>
      <c r="H422" s="3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x14ac:dyDescent="0.3">
      <c r="A423" s="6"/>
      <c r="B423" s="6"/>
      <c r="C423" s="39"/>
      <c r="D423" s="6"/>
      <c r="E423" s="153"/>
      <c r="F423" s="1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21"/>
      <c r="R423" s="21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3">
      <c r="A424" s="6"/>
      <c r="B424" s="6"/>
      <c r="C424" s="39"/>
      <c r="D424" s="6"/>
      <c r="E424" s="153"/>
      <c r="F424" s="1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21"/>
      <c r="R424" s="21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3">
      <c r="A425" s="6"/>
      <c r="B425" s="6"/>
      <c r="C425" s="39"/>
      <c r="D425" s="6"/>
      <c r="E425" s="153"/>
      <c r="F425" s="10"/>
      <c r="G425" s="2"/>
      <c r="H425" s="3"/>
      <c r="I425" s="2"/>
      <c r="J425" s="2"/>
      <c r="K425" s="3"/>
      <c r="L425" s="3"/>
      <c r="M425" s="3"/>
      <c r="N425" s="3"/>
      <c r="O425" s="3"/>
      <c r="P425" s="3"/>
      <c r="Q425" s="21"/>
      <c r="R425" s="21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x14ac:dyDescent="0.3">
      <c r="A426" s="6"/>
      <c r="B426" s="6"/>
      <c r="C426" s="39"/>
      <c r="D426" s="6"/>
      <c r="E426" s="153"/>
      <c r="F426" s="1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21"/>
      <c r="R426" s="21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x14ac:dyDescent="0.3">
      <c r="A427" s="63"/>
      <c r="B427" s="63"/>
      <c r="C427" s="39"/>
      <c r="D427" s="6"/>
      <c r="E427" s="153"/>
      <c r="F427" s="10"/>
      <c r="G427" s="64"/>
      <c r="H427" s="3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3.5" customHeight="1" x14ac:dyDescent="0.35">
      <c r="A428" s="49"/>
      <c r="B428" s="49"/>
      <c r="C428" s="14"/>
      <c r="D428" s="1"/>
      <c r="E428" s="153"/>
      <c r="F428" s="10"/>
      <c r="G428" s="21"/>
      <c r="H428" s="21"/>
      <c r="I428" s="21"/>
      <c r="J428" s="21"/>
      <c r="K428" s="21"/>
      <c r="L428" s="21"/>
      <c r="M428" s="21"/>
      <c r="N428" s="22"/>
      <c r="O428" s="21"/>
      <c r="P428" s="22"/>
      <c r="Q428" s="21"/>
      <c r="R428" s="21"/>
      <c r="S428" s="21"/>
      <c r="T428" s="21"/>
      <c r="U428" s="21"/>
      <c r="V428" s="22"/>
      <c r="W428" s="21"/>
      <c r="X428" s="22"/>
      <c r="Y428" s="21"/>
      <c r="Z428" s="21"/>
      <c r="AA428" s="21"/>
      <c r="AB428" s="21"/>
      <c r="AC428" s="26"/>
      <c r="AD428" s="26"/>
      <c r="AE428" s="62"/>
    </row>
    <row r="429" spans="1:31" x14ac:dyDescent="0.3">
      <c r="A429" s="63"/>
      <c r="B429" s="63"/>
      <c r="C429" s="39"/>
      <c r="D429" s="6"/>
      <c r="E429" s="153"/>
      <c r="F429" s="10"/>
      <c r="G429" s="64"/>
      <c r="H429" s="3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3">
      <c r="A430" s="6"/>
      <c r="B430" s="6"/>
      <c r="C430" s="39"/>
      <c r="D430" s="6"/>
      <c r="E430" s="153"/>
      <c r="F430" s="10"/>
      <c r="G430" s="2"/>
      <c r="H430" s="3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x14ac:dyDescent="0.3">
      <c r="A431" s="63"/>
      <c r="B431" s="63"/>
      <c r="C431" s="39"/>
      <c r="D431" s="6"/>
      <c r="E431" s="153"/>
      <c r="F431" s="10"/>
      <c r="G431" s="64"/>
      <c r="H431" s="3"/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3">
      <c r="A432" s="63"/>
      <c r="B432" s="63"/>
      <c r="C432" s="39"/>
      <c r="D432" s="6"/>
      <c r="E432" s="153"/>
      <c r="F432" s="10"/>
      <c r="G432" s="64"/>
      <c r="H432" s="3"/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3">
      <c r="A433" s="63"/>
      <c r="B433" s="63"/>
      <c r="C433" s="39"/>
      <c r="D433" s="6"/>
      <c r="E433" s="153"/>
      <c r="F433" s="10"/>
      <c r="G433" s="64"/>
      <c r="H433" s="3"/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.5" customHeight="1" x14ac:dyDescent="0.35">
      <c r="A434" s="49"/>
      <c r="B434" s="49"/>
      <c r="C434" s="14"/>
      <c r="D434" s="1"/>
      <c r="E434" s="153"/>
      <c r="F434" s="10"/>
      <c r="G434" s="21"/>
      <c r="H434" s="21"/>
      <c r="I434" s="21"/>
      <c r="J434" s="21"/>
      <c r="K434" s="21"/>
      <c r="L434" s="21"/>
      <c r="M434" s="21"/>
      <c r="N434" s="22"/>
      <c r="O434" s="21"/>
      <c r="P434" s="22"/>
      <c r="Q434" s="21"/>
      <c r="R434" s="21"/>
      <c r="S434" s="21"/>
      <c r="T434" s="21"/>
      <c r="U434" s="21"/>
      <c r="V434" s="22"/>
      <c r="W434" s="21"/>
      <c r="X434" s="22"/>
      <c r="Y434" s="21"/>
      <c r="Z434" s="21"/>
      <c r="AA434" s="21"/>
      <c r="AB434" s="21"/>
      <c r="AC434" s="26"/>
      <c r="AD434" s="26"/>
      <c r="AE434" s="62"/>
    </row>
    <row r="435" spans="1:31" ht="13.5" customHeight="1" x14ac:dyDescent="0.35">
      <c r="A435" s="49"/>
      <c r="B435" s="49"/>
      <c r="C435" s="39"/>
      <c r="D435" s="1"/>
      <c r="E435" s="153"/>
      <c r="F435" s="10"/>
      <c r="G435" s="21"/>
      <c r="H435" s="21"/>
      <c r="I435" s="21"/>
      <c r="J435" s="21"/>
      <c r="K435" s="21"/>
      <c r="L435" s="21"/>
      <c r="M435" s="21"/>
      <c r="N435" s="22"/>
      <c r="O435" s="21"/>
      <c r="P435" s="22"/>
      <c r="Q435" s="21"/>
      <c r="R435" s="21"/>
      <c r="S435" s="21"/>
      <c r="T435" s="21"/>
      <c r="U435" s="21"/>
      <c r="V435" s="22"/>
      <c r="W435" s="21"/>
      <c r="X435" s="22"/>
      <c r="Y435" s="21"/>
      <c r="Z435" s="21"/>
      <c r="AA435" s="21"/>
      <c r="AB435" s="21"/>
      <c r="AC435" s="26"/>
      <c r="AD435" s="26"/>
      <c r="AE435" s="62"/>
    </row>
    <row r="436" spans="1:31" x14ac:dyDescent="0.3">
      <c r="A436" s="6"/>
      <c r="B436" s="6"/>
      <c r="C436" s="39"/>
      <c r="D436" s="6"/>
      <c r="E436" s="153"/>
      <c r="F436" s="1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21"/>
      <c r="R436" s="21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x14ac:dyDescent="0.3">
      <c r="A437" s="6"/>
      <c r="B437" s="6"/>
      <c r="C437" s="39"/>
      <c r="D437" s="6"/>
      <c r="E437" s="153"/>
      <c r="F437" s="1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21"/>
      <c r="R437" s="21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.5" customHeight="1" x14ac:dyDescent="0.35">
      <c r="A438" s="49"/>
      <c r="B438" s="49"/>
      <c r="C438" s="14"/>
      <c r="D438" s="1"/>
      <c r="E438" s="153"/>
      <c r="F438" s="10"/>
      <c r="G438" s="21"/>
      <c r="H438" s="21"/>
      <c r="I438" s="21"/>
      <c r="J438" s="21"/>
      <c r="K438" s="21"/>
      <c r="L438" s="21"/>
      <c r="M438" s="21"/>
      <c r="N438" s="22"/>
      <c r="O438" s="21"/>
      <c r="P438" s="22"/>
      <c r="Q438" s="21"/>
      <c r="R438" s="21"/>
      <c r="S438" s="21"/>
      <c r="T438" s="21"/>
      <c r="U438" s="21"/>
      <c r="V438" s="22"/>
      <c r="W438" s="21"/>
      <c r="X438" s="22"/>
      <c r="Y438" s="21"/>
      <c r="Z438" s="21"/>
      <c r="AA438" s="21"/>
      <c r="AB438" s="21"/>
      <c r="AC438" s="26"/>
      <c r="AD438" s="26"/>
      <c r="AE438" s="62"/>
    </row>
    <row r="439" spans="1:31" ht="13.5" customHeight="1" x14ac:dyDescent="0.35">
      <c r="A439" s="49"/>
      <c r="B439" s="49"/>
      <c r="C439" s="39"/>
      <c r="D439" s="1"/>
      <c r="E439" s="153"/>
      <c r="F439" s="10"/>
      <c r="G439" s="21"/>
      <c r="H439" s="21"/>
      <c r="I439" s="21"/>
      <c r="J439" s="21"/>
      <c r="K439" s="21"/>
      <c r="L439" s="21"/>
      <c r="M439" s="21"/>
      <c r="N439" s="22"/>
      <c r="O439" s="21"/>
      <c r="P439" s="22"/>
      <c r="Q439" s="21"/>
      <c r="R439" s="21"/>
      <c r="S439" s="21"/>
      <c r="T439" s="21"/>
      <c r="U439" s="21"/>
      <c r="V439" s="22"/>
      <c r="W439" s="21"/>
      <c r="X439" s="22"/>
      <c r="Y439" s="21"/>
      <c r="Z439" s="21"/>
      <c r="AA439" s="21"/>
      <c r="AB439" s="21"/>
      <c r="AC439" s="26"/>
      <c r="AD439" s="26"/>
      <c r="AE439" s="62"/>
    </row>
    <row r="440" spans="1:31" ht="13.5" customHeight="1" x14ac:dyDescent="0.35">
      <c r="A440" s="49"/>
      <c r="B440" s="49"/>
      <c r="C440" s="39"/>
      <c r="D440" s="1"/>
      <c r="E440" s="153"/>
      <c r="F440" s="10"/>
      <c r="G440" s="21"/>
      <c r="H440" s="21"/>
      <c r="I440" s="21"/>
      <c r="J440" s="21"/>
      <c r="K440" s="21"/>
      <c r="L440" s="21"/>
      <c r="M440" s="21"/>
      <c r="N440" s="22"/>
      <c r="O440" s="21"/>
      <c r="P440" s="22"/>
      <c r="Q440" s="21"/>
      <c r="R440" s="21"/>
      <c r="S440" s="21"/>
      <c r="T440" s="21"/>
      <c r="U440" s="21"/>
      <c r="V440" s="22"/>
      <c r="W440" s="21"/>
      <c r="X440" s="22"/>
      <c r="Y440" s="21"/>
      <c r="Z440" s="21"/>
      <c r="AA440" s="21"/>
      <c r="AB440" s="21"/>
      <c r="AC440" s="26"/>
      <c r="AD440" s="26"/>
      <c r="AE440" s="62"/>
    </row>
    <row r="441" spans="1:31" ht="13.5" customHeight="1" x14ac:dyDescent="0.35">
      <c r="A441" s="49"/>
      <c r="B441" s="49"/>
      <c r="C441" s="39"/>
      <c r="D441" s="1"/>
      <c r="E441" s="153"/>
      <c r="F441" s="10"/>
      <c r="G441" s="21"/>
      <c r="H441" s="21"/>
      <c r="I441" s="21"/>
      <c r="J441" s="21"/>
      <c r="K441" s="21"/>
      <c r="L441" s="21"/>
      <c r="M441" s="21"/>
      <c r="N441" s="22"/>
      <c r="O441" s="21"/>
      <c r="P441" s="22"/>
      <c r="Q441" s="21"/>
      <c r="R441" s="21"/>
      <c r="S441" s="21"/>
      <c r="T441" s="21"/>
      <c r="U441" s="21"/>
      <c r="V441" s="22"/>
      <c r="W441" s="21"/>
      <c r="X441" s="22"/>
      <c r="Y441" s="21"/>
      <c r="Z441" s="21"/>
      <c r="AA441" s="21"/>
      <c r="AB441" s="21"/>
      <c r="AC441" s="26"/>
      <c r="AD441" s="26"/>
      <c r="AE441" s="62"/>
    </row>
    <row r="442" spans="1:31" x14ac:dyDescent="0.3">
      <c r="A442" s="63"/>
      <c r="B442" s="63"/>
      <c r="C442" s="39"/>
      <c r="D442" s="6"/>
      <c r="E442" s="153"/>
      <c r="F442" s="10"/>
      <c r="G442" s="64"/>
      <c r="H442" s="3"/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x14ac:dyDescent="0.3">
      <c r="A443" s="6"/>
      <c r="B443" s="6"/>
      <c r="C443" s="39"/>
      <c r="D443" s="6"/>
      <c r="E443" s="153"/>
      <c r="F443" s="1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21"/>
      <c r="R443" s="21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3.5" customHeight="1" x14ac:dyDescent="0.35">
      <c r="A444" s="49"/>
      <c r="B444" s="49"/>
      <c r="C444" s="14"/>
      <c r="D444" s="1"/>
      <c r="E444" s="153"/>
      <c r="F444" s="10"/>
      <c r="G444" s="21"/>
      <c r="H444" s="21"/>
      <c r="I444" s="21"/>
      <c r="J444" s="21"/>
      <c r="K444" s="21"/>
      <c r="L444" s="21"/>
      <c r="M444" s="21"/>
      <c r="N444" s="22"/>
      <c r="O444" s="21"/>
      <c r="P444" s="22"/>
      <c r="Q444" s="21"/>
      <c r="R444" s="21"/>
      <c r="S444" s="21"/>
      <c r="T444" s="21"/>
      <c r="U444" s="21"/>
      <c r="V444" s="22"/>
      <c r="W444" s="21"/>
      <c r="X444" s="22"/>
      <c r="Y444" s="21"/>
      <c r="Z444" s="21"/>
      <c r="AA444" s="21"/>
      <c r="AB444" s="21"/>
      <c r="AC444" s="26"/>
      <c r="AD444" s="26"/>
      <c r="AE444" s="62"/>
    </row>
    <row r="445" spans="1:31" x14ac:dyDescent="0.3">
      <c r="A445" s="6"/>
      <c r="B445" s="6"/>
      <c r="C445" s="39"/>
      <c r="D445" s="6"/>
      <c r="E445" s="153"/>
      <c r="F445" s="10"/>
      <c r="G445" s="2"/>
      <c r="H445" s="3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x14ac:dyDescent="0.3">
      <c r="A446" s="6"/>
      <c r="B446" s="6"/>
      <c r="C446" s="39"/>
      <c r="D446" s="6"/>
      <c r="E446" s="153"/>
      <c r="F446" s="10"/>
      <c r="G446" s="2"/>
      <c r="H446" s="3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3">
      <c r="A447" s="6"/>
      <c r="B447" s="6"/>
      <c r="C447" s="39"/>
      <c r="D447" s="6"/>
      <c r="E447" s="153"/>
      <c r="F447" s="1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3">
      <c r="A448" s="6"/>
      <c r="B448" s="6"/>
      <c r="C448" s="39"/>
      <c r="D448" s="6"/>
      <c r="E448" s="153"/>
      <c r="F448" s="1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21"/>
      <c r="R448" s="21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x14ac:dyDescent="0.3">
      <c r="A449" s="6"/>
      <c r="B449" s="6"/>
      <c r="C449" s="39"/>
      <c r="D449" s="6"/>
      <c r="E449" s="153"/>
      <c r="F449" s="1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21"/>
      <c r="R449" s="21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3">
      <c r="A450" s="6"/>
      <c r="B450" s="6"/>
      <c r="C450" s="39"/>
      <c r="D450" s="6"/>
      <c r="E450" s="153"/>
      <c r="F450" s="1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21"/>
      <c r="R450" s="21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3">
      <c r="A451" s="63"/>
      <c r="B451" s="63"/>
      <c r="C451" s="39"/>
      <c r="D451" s="6"/>
      <c r="E451" s="153"/>
      <c r="F451" s="10"/>
      <c r="G451" s="64"/>
      <c r="H451" s="3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x14ac:dyDescent="0.3">
      <c r="A452" s="6"/>
      <c r="B452" s="6"/>
      <c r="C452" s="39"/>
      <c r="D452" s="6"/>
      <c r="E452" s="153"/>
      <c r="F452" s="1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21"/>
      <c r="R452" s="21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3">
      <c r="A453" s="6"/>
      <c r="B453" s="6"/>
      <c r="C453" s="39"/>
      <c r="D453" s="6"/>
      <c r="E453" s="153"/>
      <c r="F453" s="10"/>
      <c r="G453" s="2"/>
      <c r="H453" s="3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3">
      <c r="A454" s="6"/>
      <c r="B454" s="6"/>
      <c r="C454" s="39"/>
      <c r="D454" s="6"/>
      <c r="E454" s="153"/>
      <c r="F454" s="1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21"/>
      <c r="R454" s="21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x14ac:dyDescent="0.3">
      <c r="A455" s="6"/>
      <c r="B455" s="6"/>
      <c r="C455" s="39"/>
      <c r="D455" s="6"/>
      <c r="E455" s="153"/>
      <c r="F455" s="1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21"/>
      <c r="R455" s="21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3">
      <c r="A456" s="63"/>
      <c r="B456" s="63"/>
      <c r="C456" s="39"/>
      <c r="D456" s="6"/>
      <c r="E456" s="153"/>
      <c r="F456" s="10"/>
      <c r="G456" s="64"/>
      <c r="H456" s="3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3.5" customHeight="1" x14ac:dyDescent="0.35">
      <c r="A457" s="49"/>
      <c r="B457" s="49"/>
      <c r="C457" s="14"/>
      <c r="D457" s="1"/>
      <c r="E457" s="153"/>
      <c r="F457" s="10"/>
      <c r="G457" s="21"/>
      <c r="H457" s="21"/>
      <c r="I457" s="21"/>
      <c r="J457" s="21"/>
      <c r="K457" s="21"/>
      <c r="L457" s="21"/>
      <c r="M457" s="21"/>
      <c r="N457" s="22"/>
      <c r="O457" s="21"/>
      <c r="P457" s="22"/>
      <c r="Q457" s="21"/>
      <c r="R457" s="21"/>
      <c r="S457" s="21"/>
      <c r="T457" s="21"/>
      <c r="U457" s="21"/>
      <c r="V457" s="22"/>
      <c r="W457" s="21"/>
      <c r="X457" s="22"/>
      <c r="Y457" s="21"/>
      <c r="Z457" s="21"/>
      <c r="AA457" s="21"/>
      <c r="AB457" s="21"/>
      <c r="AC457" s="26"/>
      <c r="AD457" s="26"/>
      <c r="AE457" s="62"/>
    </row>
    <row r="458" spans="1:31" x14ac:dyDescent="0.3">
      <c r="A458" s="6"/>
      <c r="B458" s="6"/>
      <c r="C458" s="39"/>
      <c r="D458" s="6"/>
      <c r="E458" s="153"/>
      <c r="F458" s="10"/>
      <c r="G458" s="2"/>
      <c r="H458" s="3"/>
      <c r="I458" s="2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.5" customHeight="1" x14ac:dyDescent="0.35">
      <c r="A459" s="49"/>
      <c r="B459" s="49"/>
      <c r="C459" s="39"/>
      <c r="D459" s="1"/>
      <c r="E459" s="153"/>
      <c r="F459" s="10"/>
      <c r="G459" s="21"/>
      <c r="H459" s="21"/>
      <c r="I459" s="21"/>
      <c r="J459" s="21"/>
      <c r="K459" s="21"/>
      <c r="L459" s="21"/>
      <c r="M459" s="21"/>
      <c r="N459" s="22"/>
      <c r="O459" s="21"/>
      <c r="P459" s="22"/>
      <c r="Q459" s="21"/>
      <c r="R459" s="21"/>
      <c r="S459" s="21"/>
      <c r="T459" s="21"/>
      <c r="U459" s="21"/>
      <c r="V459" s="22"/>
      <c r="W459" s="21"/>
      <c r="X459" s="22"/>
      <c r="Y459" s="21"/>
      <c r="Z459" s="21"/>
      <c r="AA459" s="21"/>
      <c r="AB459" s="21"/>
      <c r="AC459" s="26"/>
      <c r="AD459" s="26"/>
      <c r="AE459" s="62"/>
    </row>
    <row r="460" spans="1:31" x14ac:dyDescent="0.3">
      <c r="A460" s="6"/>
      <c r="B460" s="6"/>
      <c r="C460" s="39"/>
      <c r="D460" s="6"/>
      <c r="E460" s="153"/>
      <c r="F460" s="10"/>
      <c r="G460" s="2"/>
      <c r="H460" s="3"/>
      <c r="I460" s="2"/>
      <c r="J460" s="2"/>
      <c r="K460" s="3"/>
      <c r="L460" s="3"/>
      <c r="M460" s="3"/>
      <c r="N460" s="3"/>
      <c r="O460" s="3"/>
      <c r="P460" s="3"/>
      <c r="Q460" s="21"/>
      <c r="R460" s="21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3.5" customHeight="1" x14ac:dyDescent="0.3">
      <c r="A461" s="6"/>
      <c r="B461" s="6"/>
      <c r="C461" s="39"/>
      <c r="D461" s="6"/>
      <c r="E461" s="153"/>
      <c r="F461" s="1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21"/>
      <c r="R461" s="21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x14ac:dyDescent="0.3">
      <c r="A462" s="63"/>
      <c r="B462" s="63"/>
      <c r="C462" s="39"/>
      <c r="D462" s="6"/>
      <c r="E462" s="153"/>
      <c r="F462" s="10"/>
      <c r="G462" s="64"/>
      <c r="H462" s="3"/>
      <c r="I462" s="2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3.5" customHeight="1" x14ac:dyDescent="0.35">
      <c r="A463" s="49"/>
      <c r="B463" s="49"/>
      <c r="C463" s="14"/>
      <c r="D463" s="1"/>
      <c r="E463" s="153"/>
      <c r="F463" s="10"/>
      <c r="G463" s="21"/>
      <c r="H463" s="21"/>
      <c r="I463" s="21"/>
      <c r="J463" s="21"/>
      <c r="K463" s="21"/>
      <c r="L463" s="21"/>
      <c r="M463" s="21"/>
      <c r="N463" s="22"/>
      <c r="O463" s="21"/>
      <c r="P463" s="22"/>
      <c r="Q463" s="21"/>
      <c r="R463" s="21"/>
      <c r="S463" s="21"/>
      <c r="T463" s="21"/>
      <c r="U463" s="21"/>
      <c r="V463" s="22"/>
      <c r="W463" s="21"/>
      <c r="X463" s="22"/>
      <c r="Y463" s="21"/>
      <c r="Z463" s="21"/>
      <c r="AA463" s="21"/>
      <c r="AB463" s="21"/>
      <c r="AC463" s="26"/>
      <c r="AD463" s="26"/>
      <c r="AE463" s="62"/>
    </row>
    <row r="464" spans="1:31" x14ac:dyDescent="0.3">
      <c r="A464" s="6"/>
      <c r="B464" s="6"/>
      <c r="C464" s="39"/>
      <c r="D464" s="6"/>
      <c r="E464" s="153"/>
      <c r="F464" s="1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21"/>
      <c r="R464" s="21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.5" customHeight="1" x14ac:dyDescent="0.35">
      <c r="A465" s="49"/>
      <c r="B465" s="49"/>
      <c r="C465" s="14"/>
      <c r="D465" s="1"/>
      <c r="E465" s="153"/>
      <c r="F465" s="10"/>
      <c r="G465" s="21"/>
      <c r="H465" s="21"/>
      <c r="I465" s="21"/>
      <c r="J465" s="21"/>
      <c r="K465" s="21"/>
      <c r="L465" s="21"/>
      <c r="M465" s="21"/>
      <c r="N465" s="22"/>
      <c r="O465" s="21"/>
      <c r="P465" s="22"/>
      <c r="Q465" s="21"/>
      <c r="R465" s="21"/>
      <c r="S465" s="21"/>
      <c r="T465" s="21"/>
      <c r="U465" s="21"/>
      <c r="V465" s="22"/>
      <c r="W465" s="21"/>
      <c r="X465" s="22"/>
      <c r="Y465" s="21"/>
      <c r="Z465" s="21"/>
      <c r="AA465" s="21"/>
      <c r="AB465" s="21"/>
      <c r="AC465" s="26"/>
      <c r="AD465" s="26"/>
      <c r="AE465" s="62"/>
    </row>
    <row r="466" spans="1:31" x14ac:dyDescent="0.3">
      <c r="A466" s="6"/>
      <c r="B466" s="6"/>
      <c r="C466" s="39"/>
      <c r="D466" s="6"/>
      <c r="E466" s="153"/>
      <c r="F466" s="1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21"/>
      <c r="R466" s="21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3">
      <c r="A467" s="6"/>
      <c r="B467" s="6"/>
      <c r="C467" s="39"/>
      <c r="D467" s="6"/>
      <c r="E467" s="153"/>
      <c r="F467" s="1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21"/>
      <c r="R467" s="21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x14ac:dyDescent="0.3">
      <c r="A468" s="63"/>
      <c r="B468" s="63"/>
      <c r="C468" s="39"/>
      <c r="D468" s="6"/>
      <c r="E468" s="153"/>
      <c r="F468" s="10"/>
      <c r="G468" s="64"/>
      <c r="H468" s="3"/>
      <c r="I468" s="2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3.5" customHeight="1" x14ac:dyDescent="0.35">
      <c r="A469" s="49"/>
      <c r="B469" s="49"/>
      <c r="C469" s="14"/>
      <c r="D469" s="1"/>
      <c r="E469" s="153"/>
      <c r="F469" s="10"/>
      <c r="G469" s="21"/>
      <c r="H469" s="21"/>
      <c r="I469" s="21"/>
      <c r="J469" s="21"/>
      <c r="K469" s="21"/>
      <c r="L469" s="21"/>
      <c r="M469" s="21"/>
      <c r="N469" s="22"/>
      <c r="O469" s="21"/>
      <c r="P469" s="22"/>
      <c r="Q469" s="21"/>
      <c r="R469" s="21"/>
      <c r="S469" s="21"/>
      <c r="T469" s="21"/>
      <c r="U469" s="21"/>
      <c r="V469" s="22"/>
      <c r="W469" s="21"/>
      <c r="X469" s="22"/>
      <c r="Y469" s="21"/>
      <c r="Z469" s="21"/>
      <c r="AA469" s="21"/>
      <c r="AB469" s="21"/>
      <c r="AC469" s="26"/>
      <c r="AD469" s="26"/>
      <c r="AE469" s="62"/>
    </row>
    <row r="470" spans="1:31" ht="13.5" customHeight="1" x14ac:dyDescent="0.35">
      <c r="A470" s="49"/>
      <c r="B470" s="49"/>
      <c r="C470" s="14"/>
      <c r="D470" s="1"/>
      <c r="E470" s="153"/>
      <c r="F470" s="10"/>
      <c r="G470" s="21"/>
      <c r="H470" s="21"/>
      <c r="I470" s="21"/>
      <c r="J470" s="21"/>
      <c r="K470" s="21"/>
      <c r="L470" s="21"/>
      <c r="M470" s="21"/>
      <c r="N470" s="22"/>
      <c r="O470" s="21"/>
      <c r="P470" s="22"/>
      <c r="Q470" s="21"/>
      <c r="R470" s="21"/>
      <c r="S470" s="21"/>
      <c r="T470" s="21"/>
      <c r="U470" s="21"/>
      <c r="V470" s="22"/>
      <c r="W470" s="21"/>
      <c r="X470" s="22"/>
      <c r="Y470" s="21"/>
      <c r="Z470" s="21"/>
      <c r="AA470" s="21"/>
      <c r="AB470" s="21"/>
      <c r="AC470" s="26"/>
      <c r="AD470" s="26"/>
      <c r="AE470" s="62"/>
    </row>
    <row r="471" spans="1:31" x14ac:dyDescent="0.3">
      <c r="A471" s="6"/>
      <c r="B471" s="6"/>
      <c r="C471" s="39"/>
      <c r="D471" s="6"/>
      <c r="E471" s="153"/>
      <c r="F471" s="1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21"/>
      <c r="R471" s="21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x14ac:dyDescent="0.3">
      <c r="A472" s="6"/>
      <c r="B472" s="6"/>
      <c r="C472" s="39"/>
      <c r="D472" s="6"/>
      <c r="E472" s="153"/>
      <c r="F472" s="10"/>
      <c r="G472" s="2"/>
      <c r="H472" s="3"/>
      <c r="I472" s="2"/>
      <c r="J472" s="2"/>
      <c r="K472" s="3"/>
      <c r="L472" s="3"/>
      <c r="M472" s="3"/>
      <c r="N472" s="3"/>
      <c r="O472" s="3"/>
      <c r="P472" s="3"/>
      <c r="Q472" s="21"/>
      <c r="R472" s="21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x14ac:dyDescent="0.3">
      <c r="A473" s="63"/>
      <c r="B473" s="63"/>
      <c r="C473" s="39"/>
      <c r="D473" s="6"/>
      <c r="E473" s="153"/>
      <c r="F473" s="10"/>
      <c r="G473" s="64"/>
      <c r="H473" s="3"/>
      <c r="I473" s="2"/>
      <c r="J473" s="2"/>
      <c r="K473" s="3"/>
      <c r="L473" s="3"/>
      <c r="M473" s="3"/>
      <c r="N473" s="3"/>
      <c r="O473" s="3"/>
      <c r="P473" s="3"/>
      <c r="Q473" s="21"/>
      <c r="R473" s="21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3">
      <c r="A474" s="63"/>
      <c r="B474" s="63"/>
      <c r="C474" s="39"/>
      <c r="D474" s="6"/>
      <c r="E474" s="153"/>
      <c r="F474" s="10"/>
      <c r="G474" s="64"/>
      <c r="H474" s="3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x14ac:dyDescent="0.3">
      <c r="A475" s="63"/>
      <c r="B475" s="63"/>
      <c r="C475" s="39"/>
      <c r="D475" s="6"/>
      <c r="E475" s="153"/>
      <c r="F475" s="10"/>
      <c r="G475" s="64"/>
      <c r="H475" s="3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3">
      <c r="A476" s="63"/>
      <c r="B476" s="63"/>
      <c r="C476" s="39"/>
      <c r="D476" s="6"/>
      <c r="E476" s="153"/>
      <c r="F476" s="10"/>
      <c r="G476" s="64"/>
      <c r="H476" s="3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x14ac:dyDescent="0.3">
      <c r="A477" s="6"/>
      <c r="B477" s="6"/>
      <c r="C477" s="39"/>
      <c r="D477" s="6"/>
      <c r="E477" s="153"/>
      <c r="F477" s="10"/>
      <c r="G477" s="2"/>
      <c r="H477" s="3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3.5" customHeight="1" x14ac:dyDescent="0.35">
      <c r="A478" s="49"/>
      <c r="B478" s="49"/>
      <c r="C478" s="39"/>
      <c r="D478" s="1"/>
      <c r="E478" s="153"/>
      <c r="F478" s="10"/>
      <c r="G478" s="21"/>
      <c r="H478" s="21"/>
      <c r="I478" s="21"/>
      <c r="J478" s="21"/>
      <c r="K478" s="21"/>
      <c r="L478" s="21"/>
      <c r="M478" s="21"/>
      <c r="N478" s="22"/>
      <c r="O478" s="21"/>
      <c r="P478" s="22"/>
      <c r="Q478" s="21"/>
      <c r="R478" s="21"/>
      <c r="S478" s="21"/>
      <c r="T478" s="21"/>
      <c r="U478" s="21"/>
      <c r="V478" s="22"/>
      <c r="W478" s="21"/>
      <c r="X478" s="22"/>
      <c r="Y478" s="21"/>
      <c r="Z478" s="21"/>
      <c r="AA478" s="21"/>
      <c r="AB478" s="21"/>
      <c r="AC478" s="26"/>
      <c r="AD478" s="26"/>
      <c r="AE478" s="62"/>
    </row>
    <row r="479" spans="1:31" x14ac:dyDescent="0.3">
      <c r="A479" s="6"/>
      <c r="B479" s="6"/>
      <c r="C479" s="39"/>
      <c r="D479" s="6"/>
      <c r="E479" s="153"/>
      <c r="F479" s="1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21"/>
      <c r="R479" s="21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3">
      <c r="A480" s="6"/>
      <c r="B480" s="6"/>
      <c r="C480" s="39"/>
      <c r="D480" s="6"/>
      <c r="E480" s="153"/>
      <c r="F480" s="1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21"/>
      <c r="R480" s="21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x14ac:dyDescent="0.3">
      <c r="A481" s="6"/>
      <c r="B481" s="6"/>
      <c r="C481" s="39"/>
      <c r="D481" s="6"/>
      <c r="E481" s="153"/>
      <c r="F481" s="1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21"/>
      <c r="R481" s="21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3.5" customHeight="1" x14ac:dyDescent="0.35">
      <c r="A482" s="49"/>
      <c r="B482" s="49"/>
      <c r="C482" s="14"/>
      <c r="D482" s="1"/>
      <c r="E482" s="153"/>
      <c r="F482" s="10"/>
      <c r="G482" s="21"/>
      <c r="H482" s="21"/>
      <c r="I482" s="21"/>
      <c r="J482" s="21"/>
      <c r="K482" s="21"/>
      <c r="L482" s="21"/>
      <c r="M482" s="21"/>
      <c r="N482" s="22"/>
      <c r="O482" s="21"/>
      <c r="P482" s="22"/>
      <c r="Q482" s="21"/>
      <c r="R482" s="21"/>
      <c r="S482" s="21"/>
      <c r="T482" s="21"/>
      <c r="U482" s="21"/>
      <c r="V482" s="22"/>
      <c r="W482" s="21"/>
      <c r="X482" s="22"/>
      <c r="Y482" s="21"/>
      <c r="Z482" s="21"/>
      <c r="AA482" s="21"/>
      <c r="AB482" s="21"/>
      <c r="AC482" s="26"/>
      <c r="AD482" s="26"/>
      <c r="AE482" s="62"/>
    </row>
    <row r="483" spans="1:31" x14ac:dyDescent="0.3">
      <c r="A483" s="6"/>
      <c r="B483" s="6"/>
      <c r="C483" s="39"/>
      <c r="D483" s="6"/>
      <c r="E483" s="153"/>
      <c r="F483" s="1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3">
      <c r="A484" s="6"/>
      <c r="B484" s="6"/>
      <c r="C484" s="39"/>
      <c r="D484" s="6"/>
      <c r="E484" s="153"/>
      <c r="F484" s="1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21"/>
      <c r="R484" s="21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x14ac:dyDescent="0.3">
      <c r="A485" s="6"/>
      <c r="B485" s="6"/>
      <c r="C485" s="39"/>
      <c r="D485" s="6"/>
      <c r="E485" s="153"/>
      <c r="F485" s="1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21"/>
      <c r="R485" s="21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3.5" customHeight="1" x14ac:dyDescent="0.35">
      <c r="A486" s="49"/>
      <c r="B486" s="49"/>
      <c r="C486" s="14"/>
      <c r="D486" s="1"/>
      <c r="E486" s="153"/>
      <c r="F486" s="10"/>
      <c r="G486" s="21"/>
      <c r="H486" s="21"/>
      <c r="I486" s="21"/>
      <c r="J486" s="21"/>
      <c r="K486" s="21"/>
      <c r="L486" s="21"/>
      <c r="M486" s="21"/>
      <c r="N486" s="22"/>
      <c r="O486" s="21"/>
      <c r="P486" s="22"/>
      <c r="Q486" s="21"/>
      <c r="R486" s="21"/>
      <c r="S486" s="21"/>
      <c r="T486" s="21"/>
      <c r="U486" s="21"/>
      <c r="V486" s="22"/>
      <c r="W486" s="21"/>
      <c r="X486" s="22"/>
      <c r="Y486" s="21"/>
      <c r="Z486" s="21"/>
      <c r="AA486" s="21"/>
      <c r="AB486" s="21"/>
      <c r="AC486" s="26"/>
      <c r="AD486" s="26"/>
      <c r="AE486" s="62"/>
    </row>
    <row r="487" spans="1:31" x14ac:dyDescent="0.3">
      <c r="A487" s="6"/>
      <c r="B487" s="6"/>
      <c r="C487" s="39"/>
      <c r="D487" s="6"/>
      <c r="E487" s="153"/>
      <c r="F487" s="10"/>
      <c r="G487" s="2"/>
      <c r="H487" s="3"/>
      <c r="I487" s="2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3.5" customHeight="1" x14ac:dyDescent="0.35">
      <c r="A488" s="49"/>
      <c r="B488" s="49"/>
      <c r="C488" s="14"/>
      <c r="D488" s="1"/>
      <c r="E488" s="153"/>
      <c r="F488" s="10"/>
      <c r="G488" s="21"/>
      <c r="H488" s="21"/>
      <c r="I488" s="21"/>
      <c r="J488" s="21"/>
      <c r="K488" s="21"/>
      <c r="L488" s="21"/>
      <c r="M488" s="21"/>
      <c r="N488" s="22"/>
      <c r="O488" s="21"/>
      <c r="P488" s="22"/>
      <c r="Q488" s="21"/>
      <c r="R488" s="21"/>
      <c r="S488" s="21"/>
      <c r="T488" s="21"/>
      <c r="U488" s="21"/>
      <c r="V488" s="22"/>
      <c r="W488" s="21"/>
      <c r="X488" s="22"/>
      <c r="Y488" s="21"/>
      <c r="Z488" s="21"/>
      <c r="AA488" s="21"/>
      <c r="AB488" s="21"/>
      <c r="AC488" s="26"/>
      <c r="AD488" s="26"/>
      <c r="AE488" s="62"/>
    </row>
    <row r="489" spans="1:31" x14ac:dyDescent="0.3">
      <c r="A489" s="63"/>
      <c r="B489" s="63"/>
      <c r="C489" s="39"/>
      <c r="D489" s="6"/>
      <c r="E489" s="153"/>
      <c r="F489" s="10"/>
      <c r="G489" s="64"/>
      <c r="H489" s="3"/>
      <c r="I489" s="2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3">
      <c r="A490" s="6"/>
      <c r="B490" s="6"/>
      <c r="C490" s="39"/>
      <c r="D490" s="6"/>
      <c r="E490" s="153"/>
      <c r="F490" s="1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21"/>
      <c r="R490" s="21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x14ac:dyDescent="0.3">
      <c r="A491" s="6"/>
      <c r="B491" s="6"/>
      <c r="C491" s="39"/>
      <c r="D491" s="6"/>
      <c r="E491" s="153"/>
      <c r="F491" s="10"/>
      <c r="G491" s="2"/>
      <c r="H491" s="3"/>
      <c r="I491" s="2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x14ac:dyDescent="0.3">
      <c r="A492" s="6"/>
      <c r="B492" s="6"/>
      <c r="C492" s="39"/>
      <c r="D492" s="6"/>
      <c r="E492" s="153"/>
      <c r="F492" s="1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21"/>
      <c r="R492" s="21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.5" customHeight="1" x14ac:dyDescent="0.35">
      <c r="A493" s="49"/>
      <c r="B493" s="49"/>
      <c r="C493" s="39"/>
      <c r="D493" s="1"/>
      <c r="E493" s="153"/>
      <c r="F493" s="10"/>
      <c r="G493" s="21"/>
      <c r="H493" s="21"/>
      <c r="I493" s="21"/>
      <c r="J493" s="21"/>
      <c r="K493" s="21"/>
      <c r="L493" s="21"/>
      <c r="M493" s="21"/>
      <c r="N493" s="22"/>
      <c r="O493" s="21"/>
      <c r="P493" s="22"/>
      <c r="Q493" s="21"/>
      <c r="R493" s="21"/>
      <c r="S493" s="21"/>
      <c r="T493" s="21"/>
      <c r="U493" s="21"/>
      <c r="V493" s="22"/>
      <c r="W493" s="21"/>
      <c r="X493" s="22"/>
      <c r="Y493" s="21"/>
      <c r="Z493" s="21"/>
      <c r="AA493" s="21"/>
      <c r="AB493" s="21"/>
      <c r="AC493" s="26"/>
      <c r="AD493" s="26"/>
      <c r="AE493" s="62"/>
    </row>
    <row r="494" spans="1:31" x14ac:dyDescent="0.3">
      <c r="A494" s="6"/>
      <c r="B494" s="6"/>
      <c r="C494" s="39"/>
      <c r="D494" s="6"/>
      <c r="E494" s="153"/>
      <c r="F494" s="1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21"/>
      <c r="R494" s="21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.5" customHeight="1" x14ac:dyDescent="0.3">
      <c r="A495" s="63"/>
      <c r="B495" s="63"/>
      <c r="C495" s="39"/>
      <c r="D495" s="6"/>
      <c r="E495" s="153"/>
      <c r="F495" s="1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21"/>
      <c r="R495" s="21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3">
      <c r="A496" s="6"/>
      <c r="B496" s="6"/>
      <c r="C496" s="39"/>
      <c r="D496" s="6"/>
      <c r="E496" s="153"/>
      <c r="F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21"/>
      <c r="R496" s="21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3.5" customHeight="1" x14ac:dyDescent="0.35">
      <c r="A497" s="49"/>
      <c r="B497" s="49"/>
      <c r="C497" s="14"/>
      <c r="D497" s="1"/>
      <c r="E497" s="153"/>
      <c r="F497" s="10"/>
      <c r="G497" s="21"/>
      <c r="H497" s="21"/>
      <c r="I497" s="21"/>
      <c r="J497" s="21"/>
      <c r="K497" s="21"/>
      <c r="L497" s="21"/>
      <c r="M497" s="21"/>
      <c r="N497" s="22"/>
      <c r="O497" s="21"/>
      <c r="P497" s="22"/>
      <c r="Q497" s="21"/>
      <c r="R497" s="21"/>
      <c r="S497" s="21"/>
      <c r="T497" s="21"/>
      <c r="U497" s="21"/>
      <c r="V497" s="22"/>
      <c r="W497" s="21"/>
      <c r="X497" s="22"/>
      <c r="Y497" s="21"/>
      <c r="Z497" s="21"/>
      <c r="AA497" s="21"/>
      <c r="AB497" s="21"/>
      <c r="AC497" s="26"/>
      <c r="AD497" s="26"/>
      <c r="AE497" s="62"/>
    </row>
    <row r="498" spans="1:31" ht="15" x14ac:dyDescent="0.35">
      <c r="A498" s="6"/>
      <c r="B498" s="6"/>
      <c r="C498" s="39"/>
      <c r="D498" s="6"/>
      <c r="E498" s="153"/>
      <c r="F498" s="1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21"/>
      <c r="R498" s="21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65"/>
    </row>
    <row r="499" spans="1:31" x14ac:dyDescent="0.3">
      <c r="A499" s="6"/>
      <c r="B499" s="6"/>
      <c r="C499" s="39"/>
      <c r="D499" s="6"/>
      <c r="E499" s="153"/>
      <c r="F499" s="1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21"/>
      <c r="R499" s="21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3.5" customHeight="1" x14ac:dyDescent="0.35">
      <c r="A500" s="49"/>
      <c r="B500" s="49"/>
      <c r="C500" s="14"/>
      <c r="D500" s="1"/>
      <c r="E500" s="153"/>
      <c r="F500" s="10"/>
      <c r="G500" s="21"/>
      <c r="H500" s="21"/>
      <c r="I500" s="21"/>
      <c r="J500" s="21"/>
      <c r="K500" s="21"/>
      <c r="L500" s="21"/>
      <c r="M500" s="21"/>
      <c r="N500" s="22"/>
      <c r="O500" s="21"/>
      <c r="P500" s="22"/>
      <c r="Q500" s="21"/>
      <c r="R500" s="21"/>
      <c r="S500" s="21"/>
      <c r="T500" s="21"/>
      <c r="U500" s="21"/>
      <c r="V500" s="22"/>
      <c r="W500" s="21"/>
      <c r="X500" s="22"/>
      <c r="Y500" s="21"/>
      <c r="Z500" s="21"/>
      <c r="AA500" s="21"/>
      <c r="AB500" s="21"/>
      <c r="AC500" s="26"/>
      <c r="AD500" s="26"/>
      <c r="AE500" s="62"/>
    </row>
    <row r="501" spans="1:31" x14ac:dyDescent="0.3">
      <c r="A501" s="6"/>
      <c r="B501" s="6"/>
      <c r="C501" s="39"/>
      <c r="D501" s="6"/>
      <c r="E501" s="153"/>
      <c r="F501" s="1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21"/>
      <c r="R501" s="21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3">
      <c r="A502" s="6"/>
      <c r="B502" s="6"/>
      <c r="C502" s="39"/>
      <c r="D502" s="6"/>
      <c r="E502" s="153"/>
      <c r="F502" s="10"/>
      <c r="G502" s="2"/>
      <c r="H502" s="3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3">
      <c r="A503" s="6"/>
      <c r="B503" s="6"/>
      <c r="C503" s="39"/>
      <c r="D503" s="6"/>
      <c r="E503" s="153"/>
      <c r="F503" s="1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x14ac:dyDescent="0.3">
      <c r="A504" s="63"/>
      <c r="B504" s="63"/>
      <c r="C504" s="39"/>
      <c r="D504" s="6"/>
      <c r="E504" s="153"/>
      <c r="F504" s="10"/>
      <c r="G504" s="64"/>
      <c r="H504" s="3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3">
      <c r="A505" s="6"/>
      <c r="B505" s="6"/>
      <c r="C505" s="39"/>
      <c r="D505" s="6"/>
      <c r="E505" s="153"/>
      <c r="F505" s="1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21"/>
      <c r="R505" s="21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3">
      <c r="A506" s="6"/>
      <c r="B506" s="6"/>
      <c r="C506" s="39"/>
      <c r="D506" s="6"/>
      <c r="E506" s="153"/>
      <c r="F506" s="1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21"/>
      <c r="R506" s="21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x14ac:dyDescent="0.3">
      <c r="A507" s="6"/>
      <c r="B507" s="6"/>
      <c r="C507" s="39"/>
      <c r="D507" s="6"/>
      <c r="E507" s="153"/>
      <c r="F507" s="10"/>
      <c r="G507" s="2"/>
      <c r="H507" s="3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3">
      <c r="A508" s="6"/>
      <c r="B508" s="6"/>
      <c r="C508" s="39"/>
      <c r="D508" s="6"/>
      <c r="E508" s="153"/>
      <c r="F508" s="1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21"/>
      <c r="R508" s="21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x14ac:dyDescent="0.3">
      <c r="A509" s="6"/>
      <c r="B509" s="6"/>
      <c r="C509" s="39"/>
      <c r="D509" s="6"/>
      <c r="E509" s="153"/>
      <c r="F509" s="1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3">
      <c r="A510" s="63"/>
      <c r="B510" s="63"/>
      <c r="C510" s="39"/>
      <c r="D510" s="6"/>
      <c r="E510" s="153"/>
      <c r="F510" s="10"/>
      <c r="G510" s="64"/>
      <c r="H510" s="3"/>
      <c r="I510" s="2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x14ac:dyDescent="0.3">
      <c r="A511" s="6"/>
      <c r="B511" s="6"/>
      <c r="C511" s="39"/>
      <c r="D511" s="6"/>
      <c r="E511" s="153"/>
      <c r="F511" s="10"/>
      <c r="G511" s="2"/>
      <c r="H511" s="3"/>
      <c r="I511" s="2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3">
      <c r="A512" s="63"/>
      <c r="B512" s="63"/>
      <c r="C512" s="39"/>
      <c r="D512" s="6"/>
      <c r="E512" s="153"/>
      <c r="F512" s="10"/>
      <c r="G512" s="64"/>
      <c r="H512" s="3"/>
      <c r="I512" s="2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3">
      <c r="A513" s="6"/>
      <c r="B513" s="6"/>
      <c r="C513" s="39"/>
      <c r="D513" s="6"/>
      <c r="E513" s="153"/>
      <c r="F513" s="10"/>
      <c r="G513" s="2"/>
      <c r="H513" s="3"/>
      <c r="I513" s="2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x14ac:dyDescent="0.3">
      <c r="A514" s="6"/>
      <c r="B514" s="6"/>
      <c r="C514" s="39"/>
      <c r="D514" s="6"/>
      <c r="E514" s="153"/>
      <c r="F514" s="1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21"/>
      <c r="R514" s="21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3">
      <c r="A515" s="6"/>
      <c r="B515" s="6"/>
      <c r="C515" s="39"/>
      <c r="D515" s="6"/>
      <c r="E515" s="153"/>
      <c r="F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21"/>
      <c r="R515" s="21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x14ac:dyDescent="0.3">
      <c r="A516" s="6"/>
      <c r="B516" s="6"/>
      <c r="C516" s="39"/>
      <c r="D516" s="6"/>
      <c r="E516" s="153"/>
      <c r="F516" s="1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21"/>
      <c r="R516" s="21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3">
      <c r="A517" s="6"/>
      <c r="B517" s="6"/>
      <c r="C517" s="39"/>
      <c r="D517" s="6"/>
      <c r="E517" s="153"/>
      <c r="F517" s="1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21"/>
      <c r="R517" s="21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x14ac:dyDescent="0.3">
      <c r="A518" s="6"/>
      <c r="B518" s="6"/>
      <c r="C518" s="39"/>
      <c r="D518" s="6"/>
      <c r="E518" s="153"/>
      <c r="F518" s="1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21"/>
      <c r="R518" s="21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x14ac:dyDescent="0.3">
      <c r="A519" s="6"/>
      <c r="B519" s="6"/>
      <c r="C519" s="39"/>
      <c r="D519" s="6"/>
      <c r="E519" s="153"/>
      <c r="F519" s="1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21"/>
      <c r="R519" s="21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3.5" customHeight="1" x14ac:dyDescent="0.35">
      <c r="A520" s="49"/>
      <c r="B520" s="49"/>
      <c r="C520" s="39"/>
      <c r="D520" s="1"/>
      <c r="E520" s="153"/>
      <c r="F520" s="10"/>
      <c r="G520" s="21"/>
      <c r="H520" s="21"/>
      <c r="I520" s="21"/>
      <c r="J520" s="21"/>
      <c r="K520" s="21"/>
      <c r="L520" s="21"/>
      <c r="M520" s="21"/>
      <c r="N520" s="22"/>
      <c r="O520" s="21"/>
      <c r="P520" s="22"/>
      <c r="Q520" s="21"/>
      <c r="R520" s="21"/>
      <c r="S520" s="21"/>
      <c r="T520" s="21"/>
      <c r="U520" s="21"/>
      <c r="V520" s="22"/>
      <c r="W520" s="21"/>
      <c r="X520" s="22"/>
      <c r="Y520" s="21"/>
      <c r="Z520" s="21"/>
      <c r="AA520" s="21"/>
      <c r="AB520" s="21"/>
      <c r="AC520" s="26"/>
      <c r="AD520" s="26"/>
      <c r="AE520" s="62"/>
    </row>
    <row r="521" spans="1:31" x14ac:dyDescent="0.3">
      <c r="A521" s="63"/>
      <c r="B521" s="63"/>
      <c r="C521" s="39"/>
      <c r="D521" s="6"/>
      <c r="E521" s="153"/>
      <c r="F521" s="10"/>
      <c r="G521" s="64"/>
      <c r="H521" s="3"/>
      <c r="I521" s="2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x14ac:dyDescent="0.3">
      <c r="A522" s="6"/>
      <c r="B522" s="6"/>
      <c r="C522" s="39"/>
      <c r="D522" s="6"/>
      <c r="E522" s="153"/>
      <c r="F522" s="1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21"/>
      <c r="R522" s="21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3">
      <c r="A523" s="63"/>
      <c r="B523" s="63"/>
      <c r="C523" s="39"/>
      <c r="D523" s="6"/>
      <c r="E523" s="153"/>
      <c r="F523" s="10"/>
      <c r="G523" s="64"/>
      <c r="H523" s="3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3">
      <c r="A524" s="63"/>
      <c r="B524" s="63"/>
      <c r="C524" s="39"/>
      <c r="D524" s="6"/>
      <c r="E524" s="153"/>
      <c r="F524" s="10"/>
      <c r="G524" s="64"/>
      <c r="H524" s="3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x14ac:dyDescent="0.3">
      <c r="A525" s="6"/>
      <c r="B525" s="6"/>
      <c r="C525" s="39"/>
      <c r="D525" s="6"/>
      <c r="E525" s="153"/>
      <c r="F525" s="1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21"/>
      <c r="R525" s="21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3">
      <c r="A526" s="63"/>
      <c r="B526" s="63"/>
      <c r="C526" s="39"/>
      <c r="D526" s="6"/>
      <c r="E526" s="153"/>
      <c r="F526" s="10"/>
      <c r="G526" s="64"/>
      <c r="H526" s="3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x14ac:dyDescent="0.3">
      <c r="A527" s="6"/>
      <c r="B527" s="6"/>
      <c r="C527" s="39"/>
      <c r="D527" s="6"/>
      <c r="E527" s="153"/>
      <c r="F527" s="1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3">
      <c r="A528" s="6"/>
      <c r="B528" s="6"/>
      <c r="C528" s="39"/>
      <c r="D528" s="6"/>
      <c r="E528" s="153"/>
      <c r="F528" s="10"/>
      <c r="G528" s="2"/>
      <c r="H528" s="3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3.5" customHeight="1" x14ac:dyDescent="0.35">
      <c r="A529" s="49"/>
      <c r="B529" s="49"/>
      <c r="C529" s="39"/>
      <c r="D529" s="1"/>
      <c r="E529" s="153"/>
      <c r="F529" s="10"/>
      <c r="G529" s="21"/>
      <c r="H529" s="21"/>
      <c r="I529" s="21"/>
      <c r="J529" s="21"/>
      <c r="K529" s="21"/>
      <c r="L529" s="21"/>
      <c r="M529" s="21"/>
      <c r="N529" s="22"/>
      <c r="O529" s="21"/>
      <c r="P529" s="22"/>
      <c r="Q529" s="21"/>
      <c r="R529" s="21"/>
      <c r="S529" s="21"/>
      <c r="T529" s="21"/>
      <c r="U529" s="21"/>
      <c r="V529" s="22"/>
      <c r="W529" s="21"/>
      <c r="X529" s="22"/>
      <c r="Y529" s="21"/>
      <c r="Z529" s="21"/>
      <c r="AA529" s="21"/>
      <c r="AB529" s="21"/>
      <c r="AC529" s="26"/>
      <c r="AD529" s="26"/>
      <c r="AE529" s="62"/>
    </row>
    <row r="530" spans="1:31" x14ac:dyDescent="0.3">
      <c r="A530" s="6"/>
      <c r="B530" s="6"/>
      <c r="C530" s="39"/>
      <c r="D530" s="6"/>
      <c r="E530" s="153"/>
      <c r="F530" s="1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21"/>
      <c r="R530" s="21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3.5" customHeight="1" x14ac:dyDescent="0.35">
      <c r="A531" s="49"/>
      <c r="B531" s="49"/>
      <c r="C531" s="39"/>
      <c r="D531" s="1"/>
      <c r="E531" s="153"/>
      <c r="F531" s="10"/>
      <c r="G531" s="21"/>
      <c r="H531" s="21"/>
      <c r="I531" s="21"/>
      <c r="J531" s="21"/>
      <c r="K531" s="21"/>
      <c r="L531" s="21"/>
      <c r="M531" s="21"/>
      <c r="N531" s="22"/>
      <c r="O531" s="21"/>
      <c r="P531" s="22"/>
      <c r="Q531" s="21"/>
      <c r="R531" s="21"/>
      <c r="S531" s="21"/>
      <c r="T531" s="21"/>
      <c r="U531" s="21"/>
      <c r="V531" s="22"/>
      <c r="W531" s="21"/>
      <c r="X531" s="22"/>
      <c r="Y531" s="21"/>
      <c r="Z531" s="21"/>
      <c r="AA531" s="21"/>
      <c r="AB531" s="21"/>
      <c r="AC531" s="26"/>
      <c r="AD531" s="26"/>
      <c r="AE531" s="62"/>
    </row>
    <row r="532" spans="1:31" x14ac:dyDescent="0.3">
      <c r="A532" s="63"/>
      <c r="B532" s="63"/>
      <c r="C532" s="39"/>
      <c r="D532" s="6"/>
      <c r="E532" s="153"/>
      <c r="F532" s="10"/>
      <c r="G532" s="64"/>
      <c r="H532" s="3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3.5" customHeight="1" x14ac:dyDescent="0.35">
      <c r="A533" s="49"/>
      <c r="B533" s="49"/>
      <c r="C533" s="39"/>
      <c r="D533" s="1"/>
      <c r="E533" s="153"/>
      <c r="F533" s="10"/>
      <c r="G533" s="21"/>
      <c r="H533" s="21"/>
      <c r="I533" s="21"/>
      <c r="J533" s="21"/>
      <c r="K533" s="21"/>
      <c r="L533" s="21"/>
      <c r="M533" s="21"/>
      <c r="N533" s="22"/>
      <c r="O533" s="21"/>
      <c r="P533" s="22"/>
      <c r="Q533" s="21"/>
      <c r="R533" s="21"/>
      <c r="S533" s="21"/>
      <c r="T533" s="21"/>
      <c r="U533" s="21"/>
      <c r="V533" s="22"/>
      <c r="W533" s="21"/>
      <c r="X533" s="22"/>
      <c r="Y533" s="21"/>
      <c r="Z533" s="21"/>
      <c r="AA533" s="21"/>
      <c r="AB533" s="21"/>
      <c r="AC533" s="26"/>
      <c r="AD533" s="26"/>
      <c r="AE533" s="62"/>
    </row>
    <row r="534" spans="1:31" x14ac:dyDescent="0.3">
      <c r="A534" s="6"/>
      <c r="B534" s="6"/>
      <c r="C534" s="39"/>
      <c r="D534" s="6"/>
      <c r="E534" s="153"/>
      <c r="F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21"/>
      <c r="R534" s="21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x14ac:dyDescent="0.3">
      <c r="A535" s="6"/>
      <c r="B535" s="6"/>
      <c r="C535" s="39"/>
      <c r="D535" s="6"/>
      <c r="E535" s="153"/>
      <c r="F535" s="1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3">
      <c r="A536" s="6"/>
      <c r="B536" s="6"/>
      <c r="C536" s="39"/>
      <c r="D536" s="6"/>
      <c r="E536" s="153"/>
      <c r="F536" s="1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21"/>
      <c r="R536" s="21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3">
      <c r="A537" s="63"/>
      <c r="B537" s="63"/>
      <c r="C537" s="39"/>
      <c r="D537" s="6"/>
      <c r="E537" s="153"/>
      <c r="F537" s="10"/>
      <c r="G537" s="64"/>
      <c r="H537" s="3"/>
      <c r="I537" s="2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x14ac:dyDescent="0.3">
      <c r="A538" s="6"/>
      <c r="B538" s="6"/>
      <c r="C538" s="39"/>
      <c r="D538" s="6"/>
      <c r="E538" s="153"/>
      <c r="F538" s="1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21"/>
      <c r="R538" s="21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3.5" customHeight="1" x14ac:dyDescent="0.35">
      <c r="A539" s="49"/>
      <c r="B539" s="49"/>
      <c r="C539" s="14"/>
      <c r="D539" s="1"/>
      <c r="E539" s="153"/>
      <c r="F539" s="10"/>
      <c r="G539" s="21"/>
      <c r="H539" s="21"/>
      <c r="I539" s="21"/>
      <c r="J539" s="21"/>
      <c r="K539" s="21"/>
      <c r="L539" s="21"/>
      <c r="M539" s="21"/>
      <c r="N539" s="22"/>
      <c r="O539" s="21"/>
      <c r="P539" s="22"/>
      <c r="Q539" s="21"/>
      <c r="R539" s="21"/>
      <c r="S539" s="21"/>
      <c r="T539" s="21"/>
      <c r="U539" s="21"/>
      <c r="V539" s="22"/>
      <c r="W539" s="21"/>
      <c r="X539" s="22"/>
      <c r="Y539" s="21"/>
      <c r="Z539" s="21"/>
      <c r="AA539" s="21"/>
      <c r="AB539" s="21"/>
      <c r="AC539" s="26"/>
      <c r="AD539" s="26"/>
      <c r="AE539" s="62"/>
    </row>
    <row r="540" spans="1:31" x14ac:dyDescent="0.3">
      <c r="A540" s="6"/>
      <c r="B540" s="6"/>
      <c r="C540" s="39"/>
      <c r="D540" s="6"/>
      <c r="E540" s="153"/>
      <c r="F540" s="10"/>
      <c r="G540" s="2"/>
      <c r="H540" s="3"/>
      <c r="I540" s="2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x14ac:dyDescent="0.3">
      <c r="A541" s="63"/>
      <c r="B541" s="63"/>
      <c r="C541" s="39"/>
      <c r="D541" s="6"/>
      <c r="E541" s="153"/>
      <c r="F541" s="10"/>
      <c r="G541" s="64"/>
      <c r="H541" s="3"/>
      <c r="I541" s="2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3">
      <c r="A542" s="6"/>
      <c r="B542" s="6"/>
      <c r="C542" s="39"/>
      <c r="D542" s="6"/>
      <c r="E542" s="153"/>
      <c r="F542" s="1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3">
      <c r="A543" s="63"/>
      <c r="B543" s="63"/>
      <c r="C543" s="39"/>
      <c r="D543" s="6"/>
      <c r="E543" s="153"/>
      <c r="F543" s="10"/>
      <c r="G543" s="64"/>
      <c r="H543" s="3"/>
      <c r="I543" s="2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x14ac:dyDescent="0.3">
      <c r="A544" s="63"/>
      <c r="B544" s="63"/>
      <c r="C544" s="39"/>
      <c r="D544" s="6"/>
      <c r="E544" s="153"/>
      <c r="F544" s="10"/>
      <c r="G544" s="64"/>
      <c r="H544" s="3"/>
      <c r="I544" s="2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3">
      <c r="A545" s="63"/>
      <c r="B545" s="63"/>
      <c r="C545" s="39"/>
      <c r="D545" s="6"/>
      <c r="E545" s="153"/>
      <c r="F545" s="10"/>
      <c r="G545" s="64"/>
      <c r="H545" s="3"/>
      <c r="I545" s="2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3.5" customHeight="1" x14ac:dyDescent="0.35">
      <c r="A546" s="49"/>
      <c r="B546" s="49"/>
      <c r="C546" s="14"/>
      <c r="D546" s="1"/>
      <c r="E546" s="153"/>
      <c r="F546" s="10"/>
      <c r="G546" s="21"/>
      <c r="H546" s="21"/>
      <c r="I546" s="21"/>
      <c r="J546" s="21"/>
      <c r="K546" s="21"/>
      <c r="L546" s="21"/>
      <c r="M546" s="21"/>
      <c r="N546" s="22"/>
      <c r="O546" s="21"/>
      <c r="P546" s="22"/>
      <c r="Q546" s="21"/>
      <c r="R546" s="21"/>
      <c r="S546" s="21"/>
      <c r="T546" s="21"/>
      <c r="U546" s="21"/>
      <c r="V546" s="22"/>
      <c r="W546" s="21"/>
      <c r="X546" s="22"/>
      <c r="Y546" s="21"/>
      <c r="Z546" s="21"/>
      <c r="AA546" s="21"/>
      <c r="AB546" s="21"/>
      <c r="AC546" s="26"/>
      <c r="AD546" s="26"/>
      <c r="AE546" s="62"/>
    </row>
    <row r="547" spans="1:31" x14ac:dyDescent="0.3">
      <c r="A547" s="6"/>
      <c r="B547" s="6"/>
      <c r="C547" s="39"/>
      <c r="D547" s="6"/>
      <c r="E547" s="153"/>
      <c r="F547" s="10"/>
      <c r="G547" s="2"/>
      <c r="H547" s="3"/>
      <c r="I547" s="2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3">
      <c r="A548" s="6"/>
      <c r="B548" s="6"/>
      <c r="C548" s="39"/>
      <c r="D548" s="6"/>
      <c r="E548" s="153"/>
      <c r="F548" s="1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21"/>
      <c r="R548" s="21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3.5" customHeight="1" x14ac:dyDescent="0.35">
      <c r="A549" s="49"/>
      <c r="B549" s="49"/>
      <c r="C549" s="39"/>
      <c r="D549" s="1"/>
      <c r="E549" s="153"/>
      <c r="F549" s="10"/>
      <c r="G549" s="21"/>
      <c r="H549" s="21"/>
      <c r="I549" s="21"/>
      <c r="J549" s="21"/>
      <c r="K549" s="21"/>
      <c r="L549" s="21"/>
      <c r="M549" s="21"/>
      <c r="N549" s="22"/>
      <c r="O549" s="21"/>
      <c r="P549" s="22"/>
      <c r="Q549" s="21"/>
      <c r="R549" s="21"/>
      <c r="S549" s="21"/>
      <c r="T549" s="21"/>
      <c r="U549" s="21"/>
      <c r="V549" s="22"/>
      <c r="W549" s="21"/>
      <c r="X549" s="22"/>
      <c r="Y549" s="21"/>
      <c r="Z549" s="21"/>
      <c r="AA549" s="21"/>
      <c r="AB549" s="21"/>
      <c r="AC549" s="26"/>
      <c r="AD549" s="26"/>
      <c r="AE549" s="62"/>
    </row>
    <row r="550" spans="1:31" x14ac:dyDescent="0.3">
      <c r="A550" s="6"/>
      <c r="B550" s="6"/>
      <c r="C550" s="39"/>
      <c r="D550" s="6"/>
      <c r="E550" s="153"/>
      <c r="F550" s="1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21"/>
      <c r="R550" s="21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3">
      <c r="A551" s="63"/>
      <c r="B551" s="63"/>
      <c r="C551" s="39"/>
      <c r="D551" s="6"/>
      <c r="E551" s="153"/>
      <c r="F551" s="10"/>
      <c r="G551" s="64"/>
      <c r="H551" s="3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x14ac:dyDescent="0.3">
      <c r="A552" s="63"/>
      <c r="B552" s="63"/>
      <c r="C552" s="39"/>
      <c r="D552" s="6"/>
      <c r="E552" s="153"/>
      <c r="F552" s="10"/>
      <c r="G552" s="64"/>
      <c r="H552" s="3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3">
      <c r="A553" s="6"/>
      <c r="B553" s="6"/>
      <c r="C553" s="39"/>
      <c r="D553" s="6"/>
      <c r="E553" s="153"/>
      <c r="F553" s="1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21"/>
      <c r="R553" s="21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3.5" customHeight="1" x14ac:dyDescent="0.35">
      <c r="A554" s="49"/>
      <c r="B554" s="49"/>
      <c r="C554" s="14"/>
      <c r="D554" s="1"/>
      <c r="E554" s="153"/>
      <c r="F554" s="10"/>
      <c r="G554" s="21"/>
      <c r="H554" s="21"/>
      <c r="I554" s="21"/>
      <c r="J554" s="21"/>
      <c r="K554" s="21"/>
      <c r="L554" s="21"/>
      <c r="M554" s="21"/>
      <c r="N554" s="22"/>
      <c r="O554" s="21"/>
      <c r="P554" s="22"/>
      <c r="Q554" s="21"/>
      <c r="R554" s="21"/>
      <c r="S554" s="21"/>
      <c r="T554" s="21"/>
      <c r="U554" s="21"/>
      <c r="V554" s="22"/>
      <c r="W554" s="21"/>
      <c r="X554" s="22"/>
      <c r="Y554" s="21"/>
      <c r="Z554" s="21"/>
      <c r="AA554" s="21"/>
      <c r="AB554" s="21"/>
      <c r="AC554" s="26"/>
      <c r="AD554" s="26"/>
      <c r="AE554" s="62"/>
    </row>
    <row r="555" spans="1:31" x14ac:dyDescent="0.3">
      <c r="A555" s="63"/>
      <c r="B555" s="63"/>
      <c r="C555" s="39"/>
      <c r="D555" s="6"/>
      <c r="E555" s="153"/>
      <c r="F555" s="10"/>
      <c r="G555" s="64"/>
      <c r="H555" s="3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3.5" customHeight="1" x14ac:dyDescent="0.35">
      <c r="A556" s="49"/>
      <c r="B556" s="49"/>
      <c r="C556" s="14"/>
      <c r="D556" s="1"/>
      <c r="E556" s="153"/>
      <c r="F556" s="10"/>
      <c r="G556" s="21"/>
      <c r="H556" s="21"/>
      <c r="I556" s="21"/>
      <c r="J556" s="21"/>
      <c r="K556" s="21"/>
      <c r="L556" s="21"/>
      <c r="M556" s="21"/>
      <c r="N556" s="22"/>
      <c r="O556" s="21"/>
      <c r="P556" s="22"/>
      <c r="Q556" s="21"/>
      <c r="R556" s="21"/>
      <c r="S556" s="21"/>
      <c r="T556" s="21"/>
      <c r="U556" s="21"/>
      <c r="V556" s="22"/>
      <c r="W556" s="21"/>
      <c r="X556" s="22"/>
      <c r="Y556" s="21"/>
      <c r="Z556" s="21"/>
      <c r="AA556" s="21"/>
      <c r="AB556" s="21"/>
      <c r="AC556" s="26"/>
      <c r="AD556" s="26"/>
      <c r="AE556" s="62"/>
    </row>
    <row r="557" spans="1:31" x14ac:dyDescent="0.3">
      <c r="A557" s="63"/>
      <c r="B557" s="63"/>
      <c r="C557" s="39"/>
      <c r="D557" s="6"/>
      <c r="E557" s="153"/>
      <c r="F557" s="10"/>
      <c r="G557" s="64"/>
      <c r="H557" s="3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x14ac:dyDescent="0.3">
      <c r="A558" s="63"/>
      <c r="B558" s="63"/>
      <c r="C558" s="39"/>
      <c r="D558" s="6"/>
      <c r="E558" s="153"/>
      <c r="F558" s="10"/>
      <c r="G558" s="64"/>
      <c r="H558" s="3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x14ac:dyDescent="0.3">
      <c r="A559" s="6"/>
      <c r="B559" s="6"/>
      <c r="C559" s="39"/>
      <c r="D559" s="6"/>
      <c r="E559" s="153"/>
      <c r="F559" s="10"/>
      <c r="G559" s="2"/>
      <c r="H559" s="3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3.5" customHeight="1" x14ac:dyDescent="0.35">
      <c r="A560" s="49"/>
      <c r="B560" s="49"/>
      <c r="C560" s="39"/>
      <c r="D560" s="1"/>
      <c r="E560" s="153"/>
      <c r="F560" s="10"/>
      <c r="G560" s="21"/>
      <c r="H560" s="21"/>
      <c r="I560" s="21"/>
      <c r="J560" s="21"/>
      <c r="K560" s="21"/>
      <c r="L560" s="21"/>
      <c r="M560" s="21"/>
      <c r="N560" s="22"/>
      <c r="O560" s="21"/>
      <c r="P560" s="22"/>
      <c r="Q560" s="21"/>
      <c r="R560" s="21"/>
      <c r="S560" s="21"/>
      <c r="T560" s="21"/>
      <c r="U560" s="21"/>
      <c r="V560" s="22"/>
      <c r="W560" s="21"/>
      <c r="X560" s="22"/>
      <c r="Y560" s="21"/>
      <c r="Z560" s="21"/>
      <c r="AA560" s="21"/>
      <c r="AB560" s="21"/>
      <c r="AC560" s="26"/>
      <c r="AD560" s="26"/>
      <c r="AE560" s="62"/>
    </row>
    <row r="561" spans="1:31" x14ac:dyDescent="0.3">
      <c r="A561" s="6"/>
      <c r="B561" s="6"/>
      <c r="C561" s="39"/>
      <c r="D561" s="6"/>
      <c r="E561" s="153"/>
      <c r="F561" s="10"/>
      <c r="G561" s="2"/>
      <c r="H561" s="3"/>
      <c r="I561" s="2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x14ac:dyDescent="0.3">
      <c r="A562" s="6"/>
      <c r="B562" s="6"/>
      <c r="C562" s="39"/>
      <c r="D562" s="6"/>
      <c r="E562" s="153"/>
      <c r="F562" s="1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21"/>
      <c r="R562" s="21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x14ac:dyDescent="0.3">
      <c r="A563" s="6"/>
      <c r="B563" s="6"/>
      <c r="C563" s="39"/>
      <c r="D563" s="6"/>
      <c r="E563" s="153"/>
      <c r="F563" s="1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21"/>
      <c r="R563" s="21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x14ac:dyDescent="0.3">
      <c r="A564" s="6"/>
      <c r="B564" s="6"/>
      <c r="C564" s="39"/>
      <c r="D564" s="6"/>
      <c r="E564" s="153"/>
      <c r="F564" s="1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21"/>
      <c r="R564" s="21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x14ac:dyDescent="0.3">
      <c r="A565" s="63"/>
      <c r="B565" s="63"/>
      <c r="C565" s="39"/>
      <c r="D565" s="6"/>
      <c r="E565" s="153"/>
      <c r="F565" s="10"/>
      <c r="G565" s="64"/>
      <c r="H565" s="3"/>
      <c r="I565" s="2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3.5" customHeight="1" x14ac:dyDescent="0.35">
      <c r="A566" s="49"/>
      <c r="B566" s="49"/>
      <c r="C566" s="39"/>
      <c r="D566" s="1"/>
      <c r="E566" s="153"/>
      <c r="F566" s="10"/>
      <c r="G566" s="21"/>
      <c r="H566" s="21"/>
      <c r="I566" s="21"/>
      <c r="J566" s="21"/>
      <c r="K566" s="21"/>
      <c r="L566" s="21"/>
      <c r="M566" s="21"/>
      <c r="N566" s="22"/>
      <c r="O566" s="21"/>
      <c r="P566" s="22"/>
      <c r="Q566" s="21"/>
      <c r="R566" s="21"/>
      <c r="S566" s="21"/>
      <c r="T566" s="21"/>
      <c r="U566" s="21"/>
      <c r="V566" s="22"/>
      <c r="W566" s="21"/>
      <c r="X566" s="22"/>
      <c r="Y566" s="21"/>
      <c r="Z566" s="21"/>
      <c r="AA566" s="21"/>
      <c r="AB566" s="21"/>
      <c r="AC566" s="26"/>
      <c r="AD566" s="26"/>
      <c r="AE566" s="62"/>
    </row>
    <row r="567" spans="1:31" x14ac:dyDescent="0.3">
      <c r="A567" s="6"/>
      <c r="B567" s="6"/>
      <c r="C567" s="39"/>
      <c r="D567" s="6"/>
      <c r="E567" s="153"/>
      <c r="F567" s="1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21"/>
      <c r="R567" s="21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3.5" customHeight="1" x14ac:dyDescent="0.35">
      <c r="A568" s="49"/>
      <c r="B568" s="49"/>
      <c r="C568" s="14"/>
      <c r="D568" s="1"/>
      <c r="E568" s="153"/>
      <c r="F568" s="10"/>
      <c r="G568" s="21"/>
      <c r="H568" s="21"/>
      <c r="I568" s="21"/>
      <c r="J568" s="21"/>
      <c r="K568" s="21"/>
      <c r="L568" s="21"/>
      <c r="M568" s="21"/>
      <c r="N568" s="22"/>
      <c r="O568" s="21"/>
      <c r="P568" s="22"/>
      <c r="Q568" s="21"/>
      <c r="R568" s="21"/>
      <c r="S568" s="21"/>
      <c r="T568" s="21"/>
      <c r="U568" s="21"/>
      <c r="V568" s="22"/>
      <c r="W568" s="21"/>
      <c r="X568" s="22"/>
      <c r="Y568" s="21"/>
      <c r="Z568" s="21"/>
      <c r="AA568" s="21"/>
      <c r="AB568" s="21"/>
      <c r="AC568" s="26"/>
      <c r="AD568" s="26"/>
      <c r="AE568" s="62"/>
    </row>
    <row r="569" spans="1:31" x14ac:dyDescent="0.3">
      <c r="A569" s="6"/>
      <c r="B569" s="6"/>
      <c r="C569" s="39"/>
      <c r="D569" s="6"/>
      <c r="E569" s="153"/>
      <c r="F569" s="1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21"/>
      <c r="R569" s="21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3.5" customHeight="1" x14ac:dyDescent="0.35">
      <c r="A570" s="49"/>
      <c r="B570" s="49"/>
      <c r="C570" s="14"/>
      <c r="D570" s="1"/>
      <c r="E570" s="153"/>
      <c r="F570" s="10"/>
      <c r="G570" s="21"/>
      <c r="H570" s="21"/>
      <c r="I570" s="21"/>
      <c r="J570" s="21"/>
      <c r="K570" s="21"/>
      <c r="L570" s="21"/>
      <c r="M570" s="21"/>
      <c r="N570" s="22"/>
      <c r="O570" s="21"/>
      <c r="P570" s="22"/>
      <c r="Q570" s="21"/>
      <c r="R570" s="21"/>
      <c r="S570" s="21"/>
      <c r="T570" s="21"/>
      <c r="U570" s="21"/>
      <c r="V570" s="22"/>
      <c r="W570" s="21"/>
      <c r="X570" s="22"/>
      <c r="Y570" s="21"/>
      <c r="Z570" s="21"/>
      <c r="AA570" s="21"/>
      <c r="AB570" s="21"/>
      <c r="AC570" s="26"/>
      <c r="AD570" s="26"/>
      <c r="AE570" s="62"/>
    </row>
    <row r="571" spans="1:31" x14ac:dyDescent="0.3">
      <c r="A571" s="6"/>
      <c r="B571" s="6"/>
      <c r="C571" s="39"/>
      <c r="D571" s="6"/>
      <c r="E571" s="153"/>
      <c r="F571" s="10"/>
      <c r="G571" s="2"/>
      <c r="H571" s="3"/>
      <c r="I571" s="2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x14ac:dyDescent="0.3">
      <c r="A572" s="6"/>
      <c r="B572" s="6"/>
      <c r="C572" s="39"/>
      <c r="D572" s="6"/>
      <c r="E572" s="153"/>
      <c r="F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21"/>
      <c r="R572" s="21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x14ac:dyDescent="0.3">
      <c r="A573" s="6"/>
      <c r="B573" s="6"/>
      <c r="C573" s="39"/>
      <c r="D573" s="6"/>
      <c r="E573" s="153"/>
      <c r="F573" s="1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21"/>
      <c r="R573" s="21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x14ac:dyDescent="0.3">
      <c r="A574" s="63"/>
      <c r="B574" s="63"/>
      <c r="C574" s="39"/>
      <c r="D574" s="6"/>
      <c r="E574" s="153"/>
      <c r="F574" s="10"/>
      <c r="G574" s="64"/>
      <c r="H574" s="3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3.5" customHeight="1" x14ac:dyDescent="0.35">
      <c r="A575" s="49"/>
      <c r="B575" s="49"/>
      <c r="C575" s="14"/>
      <c r="D575" s="1"/>
      <c r="E575" s="153"/>
      <c r="F575" s="10"/>
      <c r="G575" s="21"/>
      <c r="H575" s="21"/>
      <c r="I575" s="21"/>
      <c r="J575" s="21"/>
      <c r="K575" s="21"/>
      <c r="L575" s="21"/>
      <c r="M575" s="21"/>
      <c r="N575" s="22"/>
      <c r="O575" s="21"/>
      <c r="P575" s="22"/>
      <c r="Q575" s="21"/>
      <c r="R575" s="21"/>
      <c r="S575" s="21"/>
      <c r="T575" s="21"/>
      <c r="U575" s="21"/>
      <c r="V575" s="22"/>
      <c r="W575" s="21"/>
      <c r="X575" s="22"/>
      <c r="Y575" s="21"/>
      <c r="Z575" s="21"/>
      <c r="AA575" s="21"/>
      <c r="AB575" s="21"/>
      <c r="AC575" s="26"/>
      <c r="AD575" s="26"/>
      <c r="AE575" s="62"/>
    </row>
    <row r="576" spans="1:31" x14ac:dyDescent="0.3">
      <c r="A576" s="6"/>
      <c r="B576" s="6"/>
      <c r="C576" s="39"/>
      <c r="D576" s="6"/>
      <c r="E576" s="153"/>
      <c r="F576" s="1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21"/>
      <c r="R576" s="21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3.5" customHeight="1" x14ac:dyDescent="0.35">
      <c r="A577" s="49"/>
      <c r="B577" s="49"/>
      <c r="C577" s="39"/>
      <c r="D577" s="1"/>
      <c r="E577" s="153"/>
      <c r="F577" s="10"/>
      <c r="G577" s="21"/>
      <c r="H577" s="21"/>
      <c r="I577" s="21"/>
      <c r="J577" s="21"/>
      <c r="K577" s="21"/>
      <c r="L577" s="21"/>
      <c r="M577" s="21"/>
      <c r="N577" s="22"/>
      <c r="O577" s="21"/>
      <c r="P577" s="22"/>
      <c r="Q577" s="21"/>
      <c r="R577" s="21"/>
      <c r="S577" s="21"/>
      <c r="T577" s="21"/>
      <c r="U577" s="21"/>
      <c r="V577" s="22"/>
      <c r="W577" s="21"/>
      <c r="X577" s="22"/>
      <c r="Y577" s="21"/>
      <c r="Z577" s="21"/>
      <c r="AA577" s="21"/>
      <c r="AB577" s="21"/>
      <c r="AC577" s="26"/>
      <c r="AD577" s="26"/>
      <c r="AE577" s="62"/>
    </row>
    <row r="578" spans="1:31" x14ac:dyDescent="0.3">
      <c r="A578" s="63"/>
      <c r="B578" s="63"/>
      <c r="C578" s="39"/>
      <c r="D578" s="6"/>
      <c r="E578" s="153"/>
      <c r="F578" s="10"/>
      <c r="G578" s="64"/>
      <c r="H578" s="3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3.5" customHeight="1" x14ac:dyDescent="0.35">
      <c r="A579" s="49"/>
      <c r="B579" s="49"/>
      <c r="C579" s="14"/>
      <c r="D579" s="1"/>
      <c r="E579" s="153"/>
      <c r="F579" s="10"/>
      <c r="G579" s="21"/>
      <c r="H579" s="21"/>
      <c r="I579" s="21"/>
      <c r="J579" s="21"/>
      <c r="K579" s="21"/>
      <c r="L579" s="21"/>
      <c r="M579" s="21"/>
      <c r="N579" s="22"/>
      <c r="O579" s="21"/>
      <c r="P579" s="22"/>
      <c r="Q579" s="21"/>
      <c r="R579" s="21"/>
      <c r="S579" s="21"/>
      <c r="T579" s="21"/>
      <c r="U579" s="21"/>
      <c r="V579" s="22"/>
      <c r="W579" s="21"/>
      <c r="X579" s="22"/>
      <c r="Y579" s="21"/>
      <c r="Z579" s="21"/>
      <c r="AA579" s="21"/>
      <c r="AB579" s="21"/>
      <c r="AC579" s="26"/>
      <c r="AD579" s="26"/>
      <c r="AE579" s="62"/>
    </row>
    <row r="580" spans="1:31" x14ac:dyDescent="0.3">
      <c r="A580" s="6"/>
      <c r="B580" s="6"/>
      <c r="C580" s="39"/>
      <c r="D580" s="6"/>
      <c r="E580" s="153"/>
      <c r="F580" s="10"/>
      <c r="G580" s="2"/>
      <c r="H580" s="3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x14ac:dyDescent="0.3">
      <c r="A581" s="6"/>
      <c r="B581" s="6"/>
      <c r="C581" s="39"/>
      <c r="D581" s="6"/>
      <c r="E581" s="153"/>
      <c r="F581" s="1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21"/>
      <c r="R581" s="21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3.5" customHeight="1" x14ac:dyDescent="0.35">
      <c r="A582" s="49"/>
      <c r="B582" s="49"/>
      <c r="C582" s="14"/>
      <c r="D582" s="1"/>
      <c r="E582" s="153"/>
      <c r="F582" s="10"/>
      <c r="G582" s="21"/>
      <c r="H582" s="21"/>
      <c r="I582" s="21"/>
      <c r="J582" s="21"/>
      <c r="K582" s="21"/>
      <c r="L582" s="21"/>
      <c r="M582" s="21"/>
      <c r="N582" s="22"/>
      <c r="O582" s="21"/>
      <c r="P582" s="22"/>
      <c r="Q582" s="21"/>
      <c r="R582" s="21"/>
      <c r="S582" s="21"/>
      <c r="T582" s="21"/>
      <c r="U582" s="21"/>
      <c r="V582" s="22"/>
      <c r="W582" s="21"/>
      <c r="X582" s="22"/>
      <c r="Y582" s="21"/>
      <c r="Z582" s="21"/>
      <c r="AA582" s="21"/>
      <c r="AB582" s="21"/>
      <c r="AC582" s="26"/>
      <c r="AD582" s="26"/>
      <c r="AE582" s="62"/>
    </row>
    <row r="583" spans="1:31" x14ac:dyDescent="0.3">
      <c r="A583" s="6"/>
      <c r="B583" s="6"/>
      <c r="C583" s="39"/>
      <c r="D583" s="6"/>
      <c r="E583" s="153"/>
      <c r="F583" s="1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21"/>
      <c r="R583" s="21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x14ac:dyDescent="0.3">
      <c r="A584" s="6"/>
      <c r="B584" s="6"/>
      <c r="C584" s="39"/>
      <c r="D584" s="6"/>
      <c r="E584" s="153"/>
      <c r="F584" s="10"/>
      <c r="G584" s="2"/>
      <c r="H584" s="3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x14ac:dyDescent="0.3">
      <c r="A585" s="6"/>
      <c r="B585" s="6"/>
      <c r="C585" s="39"/>
      <c r="D585" s="6"/>
      <c r="E585" s="153"/>
      <c r="F585" s="1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21"/>
      <c r="R585" s="21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x14ac:dyDescent="0.3">
      <c r="A586" s="6"/>
      <c r="B586" s="6"/>
      <c r="C586" s="39"/>
      <c r="D586" s="6"/>
      <c r="E586" s="153"/>
      <c r="F586" s="10"/>
      <c r="G586" s="2"/>
      <c r="H586" s="3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x14ac:dyDescent="0.3">
      <c r="A587" s="6"/>
      <c r="B587" s="6"/>
      <c r="C587" s="39"/>
      <c r="D587" s="6"/>
      <c r="E587" s="153"/>
      <c r="F587" s="1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21"/>
      <c r="R587" s="21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x14ac:dyDescent="0.3">
      <c r="A588" s="63"/>
      <c r="B588" s="63"/>
      <c r="C588" s="39"/>
      <c r="D588" s="6"/>
      <c r="E588" s="153"/>
      <c r="F588" s="10"/>
      <c r="G588" s="64"/>
      <c r="H588" s="3"/>
      <c r="I588" s="2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x14ac:dyDescent="0.3">
      <c r="A589" s="6"/>
      <c r="B589" s="6"/>
      <c r="C589" s="39"/>
      <c r="D589" s="6"/>
      <c r="E589" s="153"/>
      <c r="F589" s="10"/>
      <c r="G589" s="2"/>
      <c r="H589" s="3"/>
      <c r="I589" s="2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x14ac:dyDescent="0.3">
      <c r="A590" s="6"/>
      <c r="B590" s="6"/>
      <c r="C590" s="39"/>
      <c r="D590" s="6"/>
      <c r="E590" s="153"/>
      <c r="F590" s="1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21"/>
      <c r="R590" s="21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x14ac:dyDescent="0.3">
      <c r="A591" s="63"/>
      <c r="B591" s="63"/>
      <c r="C591" s="39"/>
      <c r="D591" s="6"/>
      <c r="E591" s="153"/>
      <c r="F591" s="10"/>
      <c r="G591" s="64"/>
      <c r="H591" s="3"/>
      <c r="I591" s="2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x14ac:dyDescent="0.3">
      <c r="A592" s="6"/>
      <c r="B592" s="6"/>
      <c r="C592" s="39"/>
      <c r="D592" s="6"/>
      <c r="E592" s="153"/>
      <c r="F592" s="1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21"/>
      <c r="R592" s="21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3.5" customHeight="1" x14ac:dyDescent="0.35">
      <c r="A593" s="49"/>
      <c r="B593" s="49"/>
      <c r="C593" s="14"/>
      <c r="D593" s="1"/>
      <c r="E593" s="153"/>
      <c r="F593" s="10"/>
      <c r="G593" s="21"/>
      <c r="H593" s="21"/>
      <c r="I593" s="21"/>
      <c r="J593" s="21"/>
      <c r="K593" s="21"/>
      <c r="L593" s="21"/>
      <c r="M593" s="21"/>
      <c r="N593" s="22"/>
      <c r="O593" s="21"/>
      <c r="P593" s="22"/>
      <c r="Q593" s="21"/>
      <c r="R593" s="21"/>
      <c r="S593" s="21"/>
      <c r="T593" s="21"/>
      <c r="U593" s="21"/>
      <c r="V593" s="22"/>
      <c r="W593" s="21"/>
      <c r="X593" s="22"/>
      <c r="Y593" s="21"/>
      <c r="Z593" s="21"/>
      <c r="AA593" s="21"/>
      <c r="AB593" s="21"/>
      <c r="AC593" s="26"/>
      <c r="AD593" s="26"/>
      <c r="AE593" s="62"/>
    </row>
    <row r="594" spans="1:31" ht="13.5" customHeight="1" x14ac:dyDescent="0.35">
      <c r="A594" s="49"/>
      <c r="B594" s="49"/>
      <c r="C594" s="14"/>
      <c r="D594" s="1"/>
      <c r="E594" s="153"/>
      <c r="F594" s="10"/>
      <c r="G594" s="21"/>
      <c r="H594" s="21"/>
      <c r="I594" s="21"/>
      <c r="J594" s="21"/>
      <c r="K594" s="21"/>
      <c r="L594" s="21"/>
      <c r="M594" s="21"/>
      <c r="N594" s="22"/>
      <c r="O594" s="21"/>
      <c r="P594" s="22"/>
      <c r="Q594" s="21"/>
      <c r="R594" s="21"/>
      <c r="S594" s="21"/>
      <c r="T594" s="21"/>
      <c r="U594" s="21"/>
      <c r="V594" s="22"/>
      <c r="W594" s="21"/>
      <c r="X594" s="22"/>
      <c r="Y594" s="21"/>
      <c r="Z594" s="21"/>
      <c r="AA594" s="21"/>
      <c r="AB594" s="21"/>
      <c r="AC594" s="26"/>
      <c r="AD594" s="26"/>
      <c r="AE594" s="62"/>
    </row>
    <row r="595" spans="1:31" x14ac:dyDescent="0.3">
      <c r="A595" s="6"/>
      <c r="B595" s="6"/>
      <c r="C595" s="39"/>
      <c r="D595" s="6"/>
      <c r="E595" s="153"/>
      <c r="F595" s="1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21"/>
      <c r="R595" s="21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x14ac:dyDescent="0.3">
      <c r="A596" s="6"/>
      <c r="B596" s="6"/>
      <c r="C596" s="39"/>
      <c r="D596" s="6"/>
      <c r="E596" s="153"/>
      <c r="F596" s="1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21"/>
      <c r="R596" s="21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3.5" customHeight="1" x14ac:dyDescent="0.35">
      <c r="A597" s="49"/>
      <c r="B597" s="49"/>
      <c r="C597" s="39"/>
      <c r="D597" s="1"/>
      <c r="E597" s="153"/>
      <c r="F597" s="10"/>
      <c r="G597" s="21"/>
      <c r="H597" s="21"/>
      <c r="I597" s="21"/>
      <c r="J597" s="21"/>
      <c r="K597" s="21"/>
      <c r="L597" s="21"/>
      <c r="M597" s="21"/>
      <c r="N597" s="22"/>
      <c r="O597" s="21"/>
      <c r="P597" s="22"/>
      <c r="Q597" s="21"/>
      <c r="R597" s="21"/>
      <c r="S597" s="21"/>
      <c r="T597" s="21"/>
      <c r="U597" s="21"/>
      <c r="V597" s="22"/>
      <c r="W597" s="21"/>
      <c r="X597" s="22"/>
      <c r="Y597" s="21"/>
      <c r="Z597" s="21"/>
      <c r="AA597" s="21"/>
      <c r="AB597" s="21"/>
      <c r="AC597" s="26"/>
      <c r="AD597" s="26"/>
      <c r="AE597" s="62"/>
    </row>
    <row r="598" spans="1:31" ht="13.5" customHeight="1" x14ac:dyDescent="0.35">
      <c r="A598" s="49"/>
      <c r="B598" s="49"/>
      <c r="C598" s="14"/>
      <c r="D598" s="1"/>
      <c r="E598" s="153"/>
      <c r="F598" s="10"/>
      <c r="G598" s="21"/>
      <c r="H598" s="21"/>
      <c r="I598" s="21"/>
      <c r="J598" s="21"/>
      <c r="K598" s="21"/>
      <c r="L598" s="21"/>
      <c r="M598" s="21"/>
      <c r="N598" s="22"/>
      <c r="O598" s="21"/>
      <c r="P598" s="22"/>
      <c r="Q598" s="21"/>
      <c r="R598" s="21"/>
      <c r="S598" s="21"/>
      <c r="T598" s="21"/>
      <c r="U598" s="21"/>
      <c r="V598" s="22"/>
      <c r="W598" s="21"/>
      <c r="X598" s="22"/>
      <c r="Y598" s="21"/>
      <c r="Z598" s="21"/>
      <c r="AA598" s="21"/>
      <c r="AB598" s="21"/>
      <c r="AC598" s="26"/>
      <c r="AD598" s="26"/>
      <c r="AE598" s="62"/>
    </row>
    <row r="599" spans="1:31" x14ac:dyDescent="0.3">
      <c r="A599" s="6"/>
      <c r="B599" s="6"/>
      <c r="C599" s="39"/>
      <c r="D599" s="6"/>
      <c r="E599" s="153"/>
      <c r="F599" s="1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21"/>
      <c r="R599" s="21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3.5" customHeight="1" x14ac:dyDescent="0.35">
      <c r="A600" s="49"/>
      <c r="B600" s="49"/>
      <c r="C600" s="14"/>
      <c r="D600" s="1"/>
      <c r="E600" s="153"/>
      <c r="F600" s="10"/>
      <c r="G600" s="21"/>
      <c r="H600" s="21"/>
      <c r="I600" s="21"/>
      <c r="J600" s="21"/>
      <c r="K600" s="21"/>
      <c r="L600" s="21"/>
      <c r="M600" s="21"/>
      <c r="N600" s="22"/>
      <c r="O600" s="21"/>
      <c r="P600" s="22"/>
      <c r="Q600" s="21"/>
      <c r="R600" s="21"/>
      <c r="S600" s="21"/>
      <c r="T600" s="21"/>
      <c r="U600" s="21"/>
      <c r="V600" s="22"/>
      <c r="W600" s="21"/>
      <c r="X600" s="22"/>
      <c r="Y600" s="21"/>
      <c r="Z600" s="21"/>
      <c r="AA600" s="21"/>
      <c r="AB600" s="21"/>
      <c r="AC600" s="26"/>
      <c r="AD600" s="26"/>
      <c r="AE600" s="62"/>
    </row>
    <row r="601" spans="1:31" x14ac:dyDescent="0.3">
      <c r="A601" s="6"/>
      <c r="B601" s="6"/>
      <c r="C601" s="39"/>
      <c r="D601" s="6"/>
      <c r="E601" s="153"/>
      <c r="F601" s="1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21"/>
      <c r="R601" s="21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x14ac:dyDescent="0.3">
      <c r="A602" s="63"/>
      <c r="B602" s="63"/>
      <c r="C602" s="39"/>
      <c r="D602" s="6"/>
      <c r="E602" s="153"/>
      <c r="F602" s="10"/>
      <c r="G602" s="64"/>
      <c r="H602" s="3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x14ac:dyDescent="0.3">
      <c r="A603" s="6"/>
      <c r="B603" s="6"/>
      <c r="C603" s="39"/>
      <c r="D603" s="6"/>
      <c r="E603" s="153"/>
      <c r="F603" s="10"/>
      <c r="G603" s="2"/>
      <c r="H603" s="3"/>
      <c r="I603" s="2"/>
      <c r="J603" s="2"/>
      <c r="K603" s="3"/>
      <c r="L603" s="3"/>
      <c r="M603" s="3"/>
      <c r="N603" s="3"/>
      <c r="O603" s="3"/>
      <c r="P603" s="3"/>
      <c r="Q603" s="21"/>
      <c r="R603" s="21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3.5" customHeight="1" x14ac:dyDescent="0.35">
      <c r="A604" s="49"/>
      <c r="B604" s="49"/>
      <c r="C604" s="14"/>
      <c r="D604" s="1"/>
      <c r="E604" s="153"/>
      <c r="F604" s="10"/>
      <c r="G604" s="21"/>
      <c r="H604" s="21"/>
      <c r="I604" s="21"/>
      <c r="J604" s="21"/>
      <c r="K604" s="21"/>
      <c r="L604" s="21"/>
      <c r="M604" s="21"/>
      <c r="N604" s="22"/>
      <c r="O604" s="21"/>
      <c r="P604" s="22"/>
      <c r="Q604" s="21"/>
      <c r="R604" s="21"/>
      <c r="S604" s="21"/>
      <c r="T604" s="21"/>
      <c r="U604" s="21"/>
      <c r="V604" s="22"/>
      <c r="W604" s="21"/>
      <c r="X604" s="22"/>
      <c r="Y604" s="21"/>
      <c r="Z604" s="21"/>
      <c r="AA604" s="21"/>
      <c r="AB604" s="21"/>
      <c r="AC604" s="26"/>
      <c r="AD604" s="26"/>
      <c r="AE604" s="62"/>
    </row>
    <row r="605" spans="1:31" x14ac:dyDescent="0.3">
      <c r="A605" s="6"/>
      <c r="B605" s="6"/>
      <c r="C605" s="39"/>
      <c r="D605" s="6"/>
      <c r="E605" s="153"/>
      <c r="F605" s="1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21"/>
      <c r="R605" s="21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3.5" customHeight="1" x14ac:dyDescent="0.35">
      <c r="A606" s="49"/>
      <c r="B606" s="49"/>
      <c r="C606" s="39"/>
      <c r="D606" s="1"/>
      <c r="E606" s="153"/>
      <c r="F606" s="10"/>
      <c r="G606" s="21"/>
      <c r="H606" s="21"/>
      <c r="I606" s="21"/>
      <c r="J606" s="21"/>
      <c r="K606" s="21"/>
      <c r="L606" s="21"/>
      <c r="M606" s="21"/>
      <c r="N606" s="22"/>
      <c r="O606" s="21"/>
      <c r="P606" s="22"/>
      <c r="Q606" s="21"/>
      <c r="R606" s="21"/>
      <c r="S606" s="21"/>
      <c r="T606" s="21"/>
      <c r="U606" s="21"/>
      <c r="V606" s="22"/>
      <c r="W606" s="21"/>
      <c r="X606" s="22"/>
      <c r="Y606" s="21"/>
      <c r="Z606" s="21"/>
      <c r="AA606" s="21"/>
      <c r="AB606" s="21"/>
      <c r="AC606" s="26"/>
      <c r="AD606" s="26"/>
      <c r="AE606" s="62"/>
    </row>
    <row r="607" spans="1:31" ht="13.5" customHeight="1" x14ac:dyDescent="0.35">
      <c r="A607" s="49"/>
      <c r="B607" s="49"/>
      <c r="C607" s="14"/>
      <c r="D607" s="1"/>
      <c r="E607" s="153"/>
      <c r="F607" s="10"/>
      <c r="G607" s="21"/>
      <c r="H607" s="21"/>
      <c r="I607" s="21"/>
      <c r="J607" s="21"/>
      <c r="K607" s="21"/>
      <c r="L607" s="21"/>
      <c r="M607" s="21"/>
      <c r="N607" s="22"/>
      <c r="O607" s="21"/>
      <c r="P607" s="22"/>
      <c r="Q607" s="21"/>
      <c r="R607" s="21"/>
      <c r="S607" s="21"/>
      <c r="T607" s="21"/>
      <c r="U607" s="21"/>
      <c r="V607" s="22"/>
      <c r="W607" s="21"/>
      <c r="X607" s="22"/>
      <c r="Y607" s="21"/>
      <c r="Z607" s="21"/>
      <c r="AA607" s="21"/>
      <c r="AB607" s="21"/>
      <c r="AC607" s="26"/>
      <c r="AD607" s="26"/>
      <c r="AE607" s="62"/>
    </row>
    <row r="608" spans="1:31" ht="13.5" customHeight="1" x14ac:dyDescent="0.35">
      <c r="A608" s="49"/>
      <c r="B608" s="49"/>
      <c r="C608" s="14"/>
      <c r="D608" s="1"/>
      <c r="E608" s="153"/>
      <c r="F608" s="10"/>
      <c r="G608" s="21"/>
      <c r="H608" s="21"/>
      <c r="I608" s="21"/>
      <c r="J608" s="21"/>
      <c r="K608" s="21"/>
      <c r="L608" s="21"/>
      <c r="M608" s="21"/>
      <c r="N608" s="22"/>
      <c r="O608" s="21"/>
      <c r="P608" s="22"/>
      <c r="Q608" s="21"/>
      <c r="R608" s="21"/>
      <c r="S608" s="21"/>
      <c r="T608" s="21"/>
      <c r="U608" s="21"/>
      <c r="V608" s="22"/>
      <c r="W608" s="21"/>
      <c r="X608" s="22"/>
      <c r="Y608" s="21"/>
      <c r="Z608" s="21"/>
      <c r="AA608" s="21"/>
      <c r="AB608" s="21"/>
      <c r="AC608" s="26"/>
      <c r="AD608" s="26"/>
      <c r="AE608" s="62"/>
    </row>
    <row r="609" spans="1:31" ht="13.5" customHeight="1" x14ac:dyDescent="0.35">
      <c r="A609" s="49"/>
      <c r="B609" s="49"/>
      <c r="C609" s="14"/>
      <c r="D609" s="1"/>
      <c r="E609" s="153"/>
      <c r="F609" s="10"/>
      <c r="G609" s="21"/>
      <c r="H609" s="21"/>
      <c r="I609" s="21"/>
      <c r="J609" s="21"/>
      <c r="K609" s="21"/>
      <c r="L609" s="21"/>
      <c r="M609" s="21"/>
      <c r="N609" s="22"/>
      <c r="O609" s="21"/>
      <c r="P609" s="22"/>
      <c r="Q609" s="21"/>
      <c r="R609" s="21"/>
      <c r="S609" s="21"/>
      <c r="T609" s="21"/>
      <c r="U609" s="21"/>
      <c r="V609" s="22"/>
      <c r="W609" s="21"/>
      <c r="X609" s="22"/>
      <c r="Y609" s="21"/>
      <c r="Z609" s="21"/>
      <c r="AA609" s="21"/>
      <c r="AB609" s="21"/>
      <c r="AC609" s="26"/>
      <c r="AD609" s="26"/>
      <c r="AE609" s="62"/>
    </row>
    <row r="610" spans="1:31" x14ac:dyDescent="0.3">
      <c r="A610" s="6"/>
      <c r="B610" s="6"/>
      <c r="C610" s="39"/>
      <c r="D610" s="6"/>
      <c r="E610" s="153"/>
      <c r="F610" s="1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21"/>
      <c r="R610" s="21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x14ac:dyDescent="0.3">
      <c r="A611" s="6"/>
      <c r="B611" s="6"/>
      <c r="C611" s="39"/>
      <c r="D611" s="6"/>
      <c r="E611" s="153"/>
      <c r="F611" s="1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21"/>
      <c r="R611" s="21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3.5" customHeight="1" x14ac:dyDescent="0.35">
      <c r="A612" s="49"/>
      <c r="B612" s="49"/>
      <c r="C612" s="14"/>
      <c r="D612" s="1"/>
      <c r="E612" s="153"/>
      <c r="F612" s="10"/>
      <c r="G612" s="21"/>
      <c r="H612" s="21"/>
      <c r="I612" s="21"/>
      <c r="J612" s="21"/>
      <c r="K612" s="21"/>
      <c r="L612" s="21"/>
      <c r="M612" s="21"/>
      <c r="N612" s="22"/>
      <c r="O612" s="21"/>
      <c r="P612" s="22"/>
      <c r="Q612" s="21"/>
      <c r="R612" s="21"/>
      <c r="S612" s="21"/>
      <c r="T612" s="21"/>
      <c r="U612" s="21"/>
      <c r="V612" s="22"/>
      <c r="W612" s="21"/>
      <c r="X612" s="22"/>
      <c r="Y612" s="21"/>
      <c r="Z612" s="21"/>
      <c r="AA612" s="21"/>
      <c r="AB612" s="21"/>
      <c r="AC612" s="26"/>
      <c r="AD612" s="26"/>
      <c r="AE612" s="62"/>
    </row>
    <row r="613" spans="1:31" ht="13.5" customHeight="1" x14ac:dyDescent="0.35">
      <c r="A613" s="49"/>
      <c r="B613" s="49"/>
      <c r="C613" s="14"/>
      <c r="D613" s="1"/>
      <c r="E613" s="153"/>
      <c r="F613" s="10"/>
      <c r="G613" s="21"/>
      <c r="H613" s="21"/>
      <c r="I613" s="21"/>
      <c r="J613" s="21"/>
      <c r="K613" s="21"/>
      <c r="L613" s="21"/>
      <c r="M613" s="21"/>
      <c r="N613" s="22"/>
      <c r="O613" s="21"/>
      <c r="P613" s="22"/>
      <c r="Q613" s="21"/>
      <c r="R613" s="21"/>
      <c r="S613" s="21"/>
      <c r="T613" s="21"/>
      <c r="U613" s="21"/>
      <c r="V613" s="22"/>
      <c r="W613" s="21"/>
      <c r="X613" s="22"/>
      <c r="Y613" s="21"/>
      <c r="Z613" s="21"/>
      <c r="AA613" s="21"/>
      <c r="AB613" s="21"/>
      <c r="AC613" s="26"/>
      <c r="AD613" s="26"/>
      <c r="AE613" s="62"/>
    </row>
    <row r="614" spans="1:31" x14ac:dyDescent="0.3">
      <c r="A614" s="6"/>
      <c r="B614" s="6"/>
      <c r="C614" s="39"/>
      <c r="D614" s="6"/>
      <c r="E614" s="153"/>
      <c r="F614" s="10"/>
      <c r="G614" s="2"/>
      <c r="H614" s="3"/>
      <c r="I614" s="2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x14ac:dyDescent="0.3">
      <c r="A615" s="6"/>
      <c r="B615" s="6"/>
      <c r="C615" s="39"/>
      <c r="D615" s="6"/>
      <c r="E615" s="153"/>
      <c r="F615" s="1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21"/>
      <c r="R615" s="21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3.5" customHeight="1" x14ac:dyDescent="0.35">
      <c r="A616" s="49"/>
      <c r="B616" s="49"/>
      <c r="C616" s="14"/>
      <c r="D616" s="1"/>
      <c r="E616" s="153"/>
      <c r="F616" s="10"/>
      <c r="G616" s="21"/>
      <c r="H616" s="21"/>
      <c r="I616" s="21"/>
      <c r="J616" s="21"/>
      <c r="K616" s="21"/>
      <c r="L616" s="21"/>
      <c r="M616" s="21"/>
      <c r="N616" s="22"/>
      <c r="O616" s="21"/>
      <c r="P616" s="22"/>
      <c r="Q616" s="21"/>
      <c r="R616" s="21"/>
      <c r="S616" s="21"/>
      <c r="T616" s="21"/>
      <c r="U616" s="21"/>
      <c r="V616" s="22"/>
      <c r="W616" s="21"/>
      <c r="X616" s="22"/>
      <c r="Y616" s="21"/>
      <c r="Z616" s="21"/>
      <c r="AA616" s="21"/>
      <c r="AB616" s="21"/>
      <c r="AC616" s="26"/>
      <c r="AD616" s="26"/>
      <c r="AE616" s="62"/>
    </row>
    <row r="617" spans="1:31" x14ac:dyDescent="0.3">
      <c r="A617" s="6"/>
      <c r="B617" s="6"/>
      <c r="C617" s="39"/>
      <c r="D617" s="6"/>
      <c r="E617" s="153"/>
      <c r="F617" s="1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21"/>
      <c r="R617" s="21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3.5" customHeight="1" x14ac:dyDescent="0.35">
      <c r="A618" s="49"/>
      <c r="B618" s="49"/>
      <c r="C618" s="14"/>
      <c r="D618" s="1"/>
      <c r="E618" s="153"/>
      <c r="F618" s="10"/>
      <c r="G618" s="21"/>
      <c r="H618" s="21"/>
      <c r="I618" s="21"/>
      <c r="J618" s="21"/>
      <c r="K618" s="21"/>
      <c r="L618" s="21"/>
      <c r="M618" s="21"/>
      <c r="N618" s="22"/>
      <c r="O618" s="21"/>
      <c r="P618" s="22"/>
      <c r="Q618" s="21"/>
      <c r="R618" s="21"/>
      <c r="S618" s="21"/>
      <c r="T618" s="21"/>
      <c r="U618" s="21"/>
      <c r="V618" s="22"/>
      <c r="W618" s="21"/>
      <c r="X618" s="22"/>
      <c r="Y618" s="21"/>
      <c r="Z618" s="21"/>
      <c r="AA618" s="21"/>
      <c r="AB618" s="21"/>
      <c r="AC618" s="26"/>
      <c r="AD618" s="26"/>
      <c r="AE618" s="62"/>
    </row>
    <row r="619" spans="1:31" ht="13.5" customHeight="1" x14ac:dyDescent="0.35">
      <c r="A619" s="49"/>
      <c r="B619" s="49"/>
      <c r="C619" s="14"/>
      <c r="D619" s="1"/>
      <c r="E619" s="153"/>
      <c r="F619" s="10"/>
      <c r="G619" s="21"/>
      <c r="H619" s="21"/>
      <c r="I619" s="21"/>
      <c r="J619" s="21"/>
      <c r="K619" s="21"/>
      <c r="L619" s="21"/>
      <c r="M619" s="21"/>
      <c r="N619" s="22"/>
      <c r="O619" s="21"/>
      <c r="P619" s="22"/>
      <c r="Q619" s="21"/>
      <c r="R619" s="21"/>
      <c r="S619" s="21"/>
      <c r="T619" s="21"/>
      <c r="U619" s="21"/>
      <c r="V619" s="22"/>
      <c r="W619" s="21"/>
      <c r="X619" s="22"/>
      <c r="Y619" s="21"/>
      <c r="Z619" s="21"/>
      <c r="AA619" s="21"/>
      <c r="AB619" s="21"/>
      <c r="AC619" s="26"/>
      <c r="AD619" s="26"/>
      <c r="AE619" s="62"/>
    </row>
    <row r="620" spans="1:31" x14ac:dyDescent="0.3">
      <c r="A620" s="63"/>
      <c r="B620" s="63"/>
      <c r="C620" s="39"/>
      <c r="D620" s="6"/>
      <c r="E620" s="153"/>
      <c r="F620" s="10"/>
      <c r="G620" s="64"/>
      <c r="H620" s="3"/>
      <c r="I620" s="2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3.5" customHeight="1" x14ac:dyDescent="0.35">
      <c r="A621" s="49"/>
      <c r="B621" s="49"/>
      <c r="C621" s="14"/>
      <c r="D621" s="1"/>
      <c r="E621" s="153"/>
      <c r="F621" s="10"/>
      <c r="G621" s="21"/>
      <c r="H621" s="21"/>
      <c r="I621" s="21"/>
      <c r="J621" s="21"/>
      <c r="K621" s="21"/>
      <c r="L621" s="21"/>
      <c r="M621" s="21"/>
      <c r="N621" s="22"/>
      <c r="O621" s="21"/>
      <c r="P621" s="22"/>
      <c r="Q621" s="21"/>
      <c r="R621" s="21"/>
      <c r="S621" s="21"/>
      <c r="T621" s="21"/>
      <c r="U621" s="21"/>
      <c r="V621" s="22"/>
      <c r="W621" s="21"/>
      <c r="X621" s="22"/>
      <c r="Y621" s="21"/>
      <c r="Z621" s="21"/>
      <c r="AA621" s="21"/>
      <c r="AB621" s="21"/>
      <c r="AC621" s="26"/>
      <c r="AD621" s="26"/>
      <c r="AE621" s="62"/>
    </row>
    <row r="622" spans="1:31" x14ac:dyDescent="0.3">
      <c r="A622" s="6"/>
      <c r="B622" s="6"/>
      <c r="C622" s="39"/>
      <c r="D622" s="6"/>
      <c r="E622" s="153"/>
      <c r="F622" s="10"/>
      <c r="G622" s="2"/>
      <c r="H622" s="3"/>
      <c r="I622" s="2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3.5" customHeight="1" x14ac:dyDescent="0.35">
      <c r="A623" s="49"/>
      <c r="B623" s="49"/>
      <c r="C623" s="14"/>
      <c r="D623" s="1"/>
      <c r="E623" s="153"/>
      <c r="F623" s="10"/>
      <c r="G623" s="21"/>
      <c r="H623" s="21"/>
      <c r="I623" s="21"/>
      <c r="J623" s="21"/>
      <c r="K623" s="21"/>
      <c r="L623" s="21"/>
      <c r="M623" s="21"/>
      <c r="N623" s="22"/>
      <c r="O623" s="21"/>
      <c r="P623" s="22"/>
      <c r="Q623" s="21"/>
      <c r="R623" s="21"/>
      <c r="S623" s="21"/>
      <c r="T623" s="21"/>
      <c r="U623" s="21"/>
      <c r="V623" s="22"/>
      <c r="W623" s="21"/>
      <c r="X623" s="22"/>
      <c r="Y623" s="21"/>
      <c r="Z623" s="21"/>
      <c r="AA623" s="21"/>
      <c r="AB623" s="21"/>
      <c r="AC623" s="26"/>
      <c r="AD623" s="26"/>
      <c r="AE623" s="62"/>
    </row>
    <row r="624" spans="1:31" x14ac:dyDescent="0.3">
      <c r="A624" s="6"/>
      <c r="B624" s="6"/>
      <c r="C624" s="39"/>
      <c r="D624" s="6"/>
      <c r="E624" s="153"/>
      <c r="F624" s="1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21"/>
      <c r="R624" s="21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3.5" customHeight="1" x14ac:dyDescent="0.35">
      <c r="A625" s="49"/>
      <c r="B625" s="49"/>
      <c r="C625" s="39"/>
      <c r="D625" s="1"/>
      <c r="E625" s="153"/>
      <c r="F625" s="10"/>
      <c r="G625" s="21"/>
      <c r="H625" s="21"/>
      <c r="I625" s="21"/>
      <c r="J625" s="21"/>
      <c r="K625" s="21"/>
      <c r="L625" s="21"/>
      <c r="M625" s="21"/>
      <c r="N625" s="22"/>
      <c r="O625" s="21"/>
      <c r="P625" s="22"/>
      <c r="Q625" s="21"/>
      <c r="R625" s="21"/>
      <c r="S625" s="21"/>
      <c r="T625" s="21"/>
      <c r="U625" s="21"/>
      <c r="V625" s="22"/>
      <c r="W625" s="21"/>
      <c r="X625" s="22"/>
      <c r="Y625" s="21"/>
      <c r="Z625" s="21"/>
      <c r="AA625" s="21"/>
      <c r="AB625" s="21"/>
      <c r="AC625" s="26"/>
      <c r="AD625" s="26"/>
      <c r="AE625" s="62"/>
    </row>
    <row r="626" spans="1:31" x14ac:dyDescent="0.3">
      <c r="A626" s="6"/>
      <c r="B626" s="6"/>
      <c r="C626" s="39"/>
      <c r="D626" s="6"/>
      <c r="E626" s="153"/>
      <c r="F626" s="1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21"/>
      <c r="R626" s="21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x14ac:dyDescent="0.3">
      <c r="A627" s="6"/>
      <c r="B627" s="6"/>
      <c r="C627" s="39"/>
      <c r="D627" s="6"/>
      <c r="E627" s="153"/>
      <c r="F627" s="1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21"/>
      <c r="R627" s="21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x14ac:dyDescent="0.3">
      <c r="A628" s="63"/>
      <c r="B628" s="63"/>
      <c r="C628" s="39"/>
      <c r="D628" s="6"/>
      <c r="E628" s="153"/>
      <c r="F628" s="10"/>
      <c r="G628" s="64"/>
      <c r="H628" s="3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x14ac:dyDescent="0.3">
      <c r="A629" s="6"/>
      <c r="B629" s="6"/>
      <c r="C629" s="39"/>
      <c r="D629" s="6"/>
      <c r="E629" s="153"/>
      <c r="F629" s="1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21"/>
      <c r="R629" s="21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3.5" customHeight="1" x14ac:dyDescent="0.35">
      <c r="A630" s="49"/>
      <c r="B630" s="49"/>
      <c r="C630" s="14"/>
      <c r="D630" s="1"/>
      <c r="E630" s="153"/>
      <c r="F630" s="10"/>
      <c r="G630" s="21"/>
      <c r="H630" s="21"/>
      <c r="I630" s="21"/>
      <c r="J630" s="21"/>
      <c r="K630" s="21"/>
      <c r="L630" s="21"/>
      <c r="M630" s="21"/>
      <c r="N630" s="22"/>
      <c r="O630" s="21"/>
      <c r="P630" s="22"/>
      <c r="Q630" s="21"/>
      <c r="R630" s="21"/>
      <c r="S630" s="21"/>
      <c r="T630" s="21"/>
      <c r="U630" s="21"/>
      <c r="V630" s="22"/>
      <c r="W630" s="21"/>
      <c r="X630" s="22"/>
      <c r="Y630" s="21"/>
      <c r="Z630" s="21"/>
      <c r="AA630" s="21"/>
      <c r="AB630" s="21"/>
      <c r="AC630" s="26"/>
      <c r="AD630" s="26"/>
      <c r="AE630" s="62"/>
    </row>
    <row r="631" spans="1:31" x14ac:dyDescent="0.3">
      <c r="A631" s="6"/>
      <c r="B631" s="6"/>
      <c r="C631" s="39"/>
      <c r="D631" s="6"/>
      <c r="E631" s="153"/>
      <c r="F631" s="1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x14ac:dyDescent="0.3">
      <c r="A632" s="6"/>
      <c r="B632" s="6"/>
      <c r="C632" s="39"/>
      <c r="D632" s="6"/>
      <c r="E632" s="153"/>
      <c r="F632" s="1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x14ac:dyDescent="0.3">
      <c r="A633" s="63"/>
      <c r="B633" s="63"/>
      <c r="C633" s="39"/>
      <c r="D633" s="6"/>
      <c r="E633" s="153"/>
      <c r="F633" s="10"/>
      <c r="G633" s="64"/>
      <c r="H633" s="3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x14ac:dyDescent="0.3">
      <c r="A634" s="6"/>
      <c r="B634" s="6"/>
      <c r="C634" s="39"/>
      <c r="D634" s="6"/>
      <c r="E634" s="153"/>
      <c r="F634" s="1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21"/>
      <c r="R634" s="21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x14ac:dyDescent="0.3">
      <c r="A635" s="6"/>
      <c r="B635" s="6"/>
      <c r="C635" s="39"/>
      <c r="D635" s="6"/>
      <c r="E635" s="153"/>
      <c r="F635" s="1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x14ac:dyDescent="0.3">
      <c r="A636" s="6"/>
      <c r="B636" s="6"/>
      <c r="C636" s="39"/>
      <c r="D636" s="6"/>
      <c r="E636" s="153"/>
      <c r="F636" s="1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21"/>
      <c r="R636" s="21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3.5" customHeight="1" x14ac:dyDescent="0.35">
      <c r="A637" s="49"/>
      <c r="B637" s="49"/>
      <c r="C637" s="39"/>
      <c r="D637" s="1"/>
      <c r="E637" s="153"/>
      <c r="F637" s="10"/>
      <c r="G637" s="21"/>
      <c r="H637" s="21"/>
      <c r="I637" s="21"/>
      <c r="J637" s="21"/>
      <c r="K637" s="21"/>
      <c r="L637" s="21"/>
      <c r="M637" s="21"/>
      <c r="N637" s="22"/>
      <c r="O637" s="21"/>
      <c r="P637" s="22"/>
      <c r="Q637" s="21"/>
      <c r="R637" s="21"/>
      <c r="S637" s="21"/>
      <c r="T637" s="21"/>
      <c r="U637" s="21"/>
      <c r="V637" s="22"/>
      <c r="W637" s="21"/>
      <c r="X637" s="22"/>
      <c r="Y637" s="21"/>
      <c r="Z637" s="21"/>
      <c r="AA637" s="21"/>
      <c r="AB637" s="21"/>
      <c r="AC637" s="26"/>
      <c r="AD637" s="26"/>
      <c r="AE637" s="62"/>
    </row>
    <row r="638" spans="1:31" x14ac:dyDescent="0.3">
      <c r="A638" s="63"/>
      <c r="B638" s="63"/>
      <c r="C638" s="39"/>
      <c r="D638" s="6"/>
      <c r="E638" s="153"/>
      <c r="F638" s="10"/>
      <c r="G638" s="64"/>
      <c r="H638" s="3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3.5" customHeight="1" x14ac:dyDescent="0.35">
      <c r="A639" s="49"/>
      <c r="B639" s="49"/>
      <c r="C639" s="14"/>
      <c r="D639" s="1"/>
      <c r="E639" s="153"/>
      <c r="F639" s="10"/>
      <c r="G639" s="21"/>
      <c r="H639" s="21"/>
      <c r="I639" s="21"/>
      <c r="J639" s="21"/>
      <c r="K639" s="21"/>
      <c r="L639" s="21"/>
      <c r="M639" s="21"/>
      <c r="N639" s="22"/>
      <c r="O639" s="21"/>
      <c r="P639" s="22"/>
      <c r="Q639" s="21"/>
      <c r="R639" s="21"/>
      <c r="S639" s="21"/>
      <c r="T639" s="21"/>
      <c r="U639" s="21"/>
      <c r="V639" s="22"/>
      <c r="W639" s="21"/>
      <c r="X639" s="22"/>
      <c r="Y639" s="21"/>
      <c r="Z639" s="21"/>
      <c r="AA639" s="21"/>
      <c r="AB639" s="21"/>
      <c r="AC639" s="26"/>
      <c r="AD639" s="26"/>
      <c r="AE639" s="62"/>
    </row>
    <row r="640" spans="1:31" x14ac:dyDescent="0.3">
      <c r="A640" s="63"/>
      <c r="B640" s="63"/>
      <c r="C640" s="39"/>
      <c r="D640" s="6"/>
      <c r="E640" s="153"/>
      <c r="F640" s="10"/>
      <c r="G640" s="64"/>
      <c r="H640" s="3"/>
      <c r="I640" s="2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x14ac:dyDescent="0.3">
      <c r="A641" s="63"/>
      <c r="B641" s="63"/>
      <c r="C641" s="39"/>
      <c r="D641" s="6"/>
      <c r="E641" s="153"/>
      <c r="F641" s="10"/>
      <c r="G641" s="64"/>
      <c r="H641" s="3"/>
      <c r="I641" s="2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3.5" customHeight="1" x14ac:dyDescent="0.35">
      <c r="A642" s="49"/>
      <c r="B642" s="49"/>
      <c r="C642" s="14"/>
      <c r="D642" s="1"/>
      <c r="E642" s="153"/>
      <c r="F642" s="10"/>
      <c r="G642" s="21"/>
      <c r="H642" s="21"/>
      <c r="I642" s="21"/>
      <c r="J642" s="21"/>
      <c r="K642" s="21"/>
      <c r="L642" s="21"/>
      <c r="M642" s="21"/>
      <c r="N642" s="22"/>
      <c r="O642" s="21"/>
      <c r="P642" s="22"/>
      <c r="Q642" s="21"/>
      <c r="R642" s="21"/>
      <c r="S642" s="21"/>
      <c r="T642" s="21"/>
      <c r="U642" s="21"/>
      <c r="V642" s="22"/>
      <c r="W642" s="21"/>
      <c r="X642" s="22"/>
      <c r="Y642" s="21"/>
      <c r="Z642" s="21"/>
      <c r="AA642" s="21"/>
      <c r="AB642" s="21"/>
      <c r="AC642" s="26"/>
      <c r="AD642" s="26"/>
      <c r="AE642" s="62"/>
    </row>
    <row r="643" spans="1:31" ht="13.5" customHeight="1" x14ac:dyDescent="0.35">
      <c r="A643" s="49"/>
      <c r="B643" s="49"/>
      <c r="C643" s="14"/>
      <c r="D643" s="1"/>
      <c r="E643" s="153"/>
      <c r="F643" s="10"/>
      <c r="G643" s="21"/>
      <c r="H643" s="21"/>
      <c r="I643" s="21"/>
      <c r="J643" s="21"/>
      <c r="K643" s="21"/>
      <c r="L643" s="21"/>
      <c r="M643" s="21"/>
      <c r="N643" s="22"/>
      <c r="O643" s="21"/>
      <c r="P643" s="22"/>
      <c r="Q643" s="21"/>
      <c r="R643" s="21"/>
      <c r="S643" s="21"/>
      <c r="T643" s="21"/>
      <c r="U643" s="21"/>
      <c r="V643" s="22"/>
      <c r="W643" s="21"/>
      <c r="X643" s="22"/>
      <c r="Y643" s="21"/>
      <c r="Z643" s="21"/>
      <c r="AA643" s="21"/>
      <c r="AB643" s="21"/>
      <c r="AC643" s="26"/>
      <c r="AD643" s="26"/>
      <c r="AE643" s="62"/>
    </row>
    <row r="644" spans="1:31" x14ac:dyDescent="0.3">
      <c r="A644" s="6"/>
      <c r="B644" s="6"/>
      <c r="C644" s="39"/>
      <c r="D644" s="6"/>
      <c r="E644" s="153"/>
      <c r="F644" s="1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21"/>
      <c r="R644" s="21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x14ac:dyDescent="0.3">
      <c r="A645" s="63"/>
      <c r="B645" s="63"/>
      <c r="C645" s="39"/>
      <c r="D645" s="6"/>
      <c r="E645" s="153"/>
      <c r="F645" s="10"/>
      <c r="G645" s="64"/>
      <c r="H645" s="3"/>
      <c r="I645" s="2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3.5" customHeight="1" x14ac:dyDescent="0.35">
      <c r="A646" s="49"/>
      <c r="B646" s="49"/>
      <c r="C646" s="39"/>
      <c r="D646" s="1"/>
      <c r="E646" s="153"/>
      <c r="F646" s="10"/>
      <c r="G646" s="21"/>
      <c r="H646" s="21"/>
      <c r="I646" s="21"/>
      <c r="J646" s="21"/>
      <c r="K646" s="21"/>
      <c r="L646" s="21"/>
      <c r="M646" s="21"/>
      <c r="N646" s="22"/>
      <c r="O646" s="21"/>
      <c r="P646" s="22"/>
      <c r="Q646" s="21"/>
      <c r="R646" s="21"/>
      <c r="S646" s="21"/>
      <c r="T646" s="21"/>
      <c r="U646" s="21"/>
      <c r="V646" s="22"/>
      <c r="W646" s="21"/>
      <c r="X646" s="22"/>
      <c r="Y646" s="21"/>
      <c r="Z646" s="21"/>
      <c r="AA646" s="21"/>
      <c r="AB646" s="21"/>
      <c r="AC646" s="26"/>
      <c r="AD646" s="26"/>
      <c r="AE646" s="62"/>
    </row>
    <row r="647" spans="1:31" x14ac:dyDescent="0.3">
      <c r="A647" s="6"/>
      <c r="B647" s="6"/>
      <c r="C647" s="39"/>
      <c r="D647" s="6"/>
      <c r="E647" s="153"/>
      <c r="F647" s="1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21"/>
      <c r="R647" s="21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x14ac:dyDescent="0.3">
      <c r="A648" s="6"/>
      <c r="B648" s="6"/>
      <c r="C648" s="39"/>
      <c r="D648" s="6"/>
      <c r="E648" s="153"/>
      <c r="F648" s="1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21"/>
      <c r="R648" s="21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x14ac:dyDescent="0.3">
      <c r="A649" s="6"/>
      <c r="B649" s="6"/>
      <c r="C649" s="39"/>
      <c r="D649" s="6"/>
      <c r="E649" s="153"/>
      <c r="F649" s="1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21"/>
      <c r="R649" s="21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x14ac:dyDescent="0.3">
      <c r="A650" s="63"/>
      <c r="B650" s="63"/>
      <c r="C650" s="39"/>
      <c r="D650" s="6"/>
      <c r="E650" s="153"/>
      <c r="F650" s="10"/>
      <c r="G650" s="64"/>
      <c r="H650" s="3"/>
      <c r="I650" s="2"/>
      <c r="J650" s="2"/>
      <c r="K650" s="3"/>
      <c r="L650" s="3"/>
      <c r="M650" s="3"/>
      <c r="N650" s="3"/>
      <c r="O650" s="3"/>
      <c r="P650" s="3"/>
      <c r="Q650" s="21"/>
      <c r="R650" s="21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3.5" customHeight="1" x14ac:dyDescent="0.35">
      <c r="A651" s="49"/>
      <c r="B651" s="49"/>
      <c r="C651" s="39"/>
      <c r="D651" s="1"/>
      <c r="E651" s="153"/>
      <c r="F651" s="10"/>
      <c r="G651" s="21"/>
      <c r="H651" s="21"/>
      <c r="I651" s="21"/>
      <c r="J651" s="21"/>
      <c r="K651" s="21"/>
      <c r="L651" s="21"/>
      <c r="M651" s="21"/>
      <c r="N651" s="22"/>
      <c r="O651" s="21"/>
      <c r="P651" s="22"/>
      <c r="Q651" s="21"/>
      <c r="R651" s="21"/>
      <c r="S651" s="21"/>
      <c r="T651" s="21"/>
      <c r="U651" s="21"/>
      <c r="V651" s="22"/>
      <c r="W651" s="21"/>
      <c r="X651" s="22"/>
      <c r="Y651" s="21"/>
      <c r="Z651" s="21"/>
      <c r="AA651" s="21"/>
      <c r="AB651" s="21"/>
      <c r="AC651" s="26"/>
      <c r="AD651" s="26"/>
      <c r="AE651" s="62"/>
    </row>
    <row r="652" spans="1:31" x14ac:dyDescent="0.3">
      <c r="A652" s="6"/>
      <c r="B652" s="6"/>
      <c r="C652" s="39"/>
      <c r="D652" s="6"/>
      <c r="E652" s="153"/>
      <c r="F652" s="1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21"/>
      <c r="R652" s="21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x14ac:dyDescent="0.3">
      <c r="A653" s="63"/>
      <c r="B653" s="63"/>
      <c r="C653" s="39"/>
      <c r="D653" s="6"/>
      <c r="E653" s="153"/>
      <c r="F653" s="10"/>
      <c r="G653" s="64"/>
      <c r="H653" s="3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3.5" customHeight="1" x14ac:dyDescent="0.35">
      <c r="A654" s="49"/>
      <c r="B654" s="49"/>
      <c r="C654" s="14"/>
      <c r="D654" s="1"/>
      <c r="E654" s="153"/>
      <c r="F654" s="10"/>
      <c r="G654" s="21"/>
      <c r="H654" s="21"/>
      <c r="I654" s="21"/>
      <c r="J654" s="21"/>
      <c r="K654" s="21"/>
      <c r="L654" s="21"/>
      <c r="M654" s="21"/>
      <c r="N654" s="22"/>
      <c r="O654" s="21"/>
      <c r="P654" s="22"/>
      <c r="Q654" s="21"/>
      <c r="R654" s="21"/>
      <c r="S654" s="21"/>
      <c r="T654" s="21"/>
      <c r="U654" s="21"/>
      <c r="V654" s="22"/>
      <c r="W654" s="21"/>
      <c r="X654" s="22"/>
      <c r="Y654" s="21"/>
      <c r="Z654" s="21"/>
      <c r="AA654" s="21"/>
      <c r="AB654" s="21"/>
      <c r="AC654" s="26"/>
      <c r="AD654" s="26"/>
      <c r="AE654" s="62"/>
    </row>
    <row r="655" spans="1:31" ht="13.5" customHeight="1" x14ac:dyDescent="0.35">
      <c r="A655" s="49"/>
      <c r="B655" s="49"/>
      <c r="C655" s="39"/>
      <c r="D655" s="1"/>
      <c r="E655" s="153"/>
      <c r="F655" s="10"/>
      <c r="G655" s="21"/>
      <c r="H655" s="21"/>
      <c r="I655" s="21"/>
      <c r="J655" s="21"/>
      <c r="K655" s="21"/>
      <c r="L655" s="21"/>
      <c r="M655" s="21"/>
      <c r="N655" s="22"/>
      <c r="O655" s="21"/>
      <c r="P655" s="22"/>
      <c r="Q655" s="21"/>
      <c r="R655" s="21"/>
      <c r="S655" s="21"/>
      <c r="T655" s="21"/>
      <c r="U655" s="21"/>
      <c r="V655" s="22"/>
      <c r="W655" s="21"/>
      <c r="X655" s="22"/>
      <c r="Y655" s="21"/>
      <c r="Z655" s="21"/>
      <c r="AA655" s="21"/>
      <c r="AB655" s="21"/>
      <c r="AC655" s="26"/>
      <c r="AD655" s="26"/>
      <c r="AE655" s="62"/>
    </row>
    <row r="656" spans="1:31" ht="13.5" customHeight="1" x14ac:dyDescent="0.35">
      <c r="A656" s="49"/>
      <c r="B656" s="49"/>
      <c r="C656" s="14"/>
      <c r="D656" s="1"/>
      <c r="E656" s="153"/>
      <c r="F656" s="10"/>
      <c r="G656" s="21"/>
      <c r="H656" s="21"/>
      <c r="I656" s="21"/>
      <c r="J656" s="21"/>
      <c r="K656" s="21"/>
      <c r="L656" s="21"/>
      <c r="M656" s="21"/>
      <c r="N656" s="22"/>
      <c r="O656" s="21"/>
      <c r="P656" s="22"/>
      <c r="Q656" s="21"/>
      <c r="R656" s="21"/>
      <c r="S656" s="21"/>
      <c r="T656" s="21"/>
      <c r="U656" s="21"/>
      <c r="V656" s="22"/>
      <c r="W656" s="21"/>
      <c r="X656" s="22"/>
      <c r="Y656" s="21"/>
      <c r="Z656" s="21"/>
      <c r="AA656" s="21"/>
      <c r="AB656" s="21"/>
      <c r="AC656" s="26"/>
      <c r="AD656" s="26"/>
      <c r="AE656" s="62"/>
    </row>
    <row r="657" spans="1:31" ht="13.5" customHeight="1" x14ac:dyDescent="0.35">
      <c r="A657" s="49"/>
      <c r="B657" s="49"/>
      <c r="C657" s="14"/>
      <c r="D657" s="1"/>
      <c r="E657" s="153"/>
      <c r="F657" s="10"/>
      <c r="G657" s="21"/>
      <c r="H657" s="21"/>
      <c r="I657" s="21"/>
      <c r="J657" s="21"/>
      <c r="K657" s="21"/>
      <c r="L657" s="21"/>
      <c r="M657" s="21"/>
      <c r="N657" s="22"/>
      <c r="O657" s="21"/>
      <c r="P657" s="22"/>
      <c r="Q657" s="21"/>
      <c r="R657" s="21"/>
      <c r="S657" s="21"/>
      <c r="T657" s="21"/>
      <c r="U657" s="21"/>
      <c r="V657" s="22"/>
      <c r="W657" s="21"/>
      <c r="X657" s="22"/>
      <c r="Y657" s="21"/>
      <c r="Z657" s="21"/>
      <c r="AA657" s="21"/>
      <c r="AB657" s="21"/>
      <c r="AC657" s="26"/>
      <c r="AD657" s="26"/>
      <c r="AE657" s="62"/>
    </row>
    <row r="658" spans="1:31" x14ac:dyDescent="0.3">
      <c r="A658" s="6"/>
      <c r="B658" s="6"/>
      <c r="C658" s="39"/>
      <c r="D658" s="6"/>
      <c r="E658" s="153"/>
      <c r="F658" s="1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21"/>
      <c r="R658" s="21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3.5" customHeight="1" x14ac:dyDescent="0.35">
      <c r="A659" s="49"/>
      <c r="B659" s="49"/>
      <c r="C659" s="39"/>
      <c r="D659" s="1"/>
      <c r="E659" s="153"/>
      <c r="F659" s="10"/>
      <c r="G659" s="21"/>
      <c r="H659" s="21"/>
      <c r="I659" s="21"/>
      <c r="J659" s="21"/>
      <c r="K659" s="21"/>
      <c r="L659" s="21"/>
      <c r="M659" s="21"/>
      <c r="N659" s="22"/>
      <c r="O659" s="21"/>
      <c r="P659" s="22"/>
      <c r="Q659" s="21"/>
      <c r="R659" s="21"/>
      <c r="S659" s="21"/>
      <c r="T659" s="21"/>
      <c r="U659" s="21"/>
      <c r="V659" s="22"/>
      <c r="W659" s="21"/>
      <c r="X659" s="22"/>
      <c r="Y659" s="21"/>
      <c r="Z659" s="21"/>
      <c r="AA659" s="21"/>
      <c r="AB659" s="21"/>
      <c r="AC659" s="26"/>
      <c r="AD659" s="26"/>
      <c r="AE659" s="62"/>
    </row>
    <row r="660" spans="1:31" x14ac:dyDescent="0.3">
      <c r="A660" s="6"/>
      <c r="B660" s="6"/>
      <c r="C660" s="39"/>
      <c r="D660" s="6"/>
      <c r="E660" s="153"/>
      <c r="F660" s="1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3">
      <c r="A661" s="6"/>
      <c r="B661" s="6"/>
      <c r="C661" s="39"/>
      <c r="D661" s="6"/>
      <c r="E661" s="153"/>
      <c r="F661" s="10"/>
      <c r="G661" s="2"/>
      <c r="H661" s="3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3">
      <c r="A662" s="6"/>
      <c r="B662" s="6"/>
      <c r="C662" s="39"/>
      <c r="D662" s="6"/>
      <c r="E662" s="153"/>
      <c r="F662" s="10"/>
      <c r="G662" s="2"/>
      <c r="H662" s="3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3.5" customHeight="1" x14ac:dyDescent="0.35">
      <c r="A663" s="49"/>
      <c r="B663" s="49"/>
      <c r="C663" s="14"/>
      <c r="D663" s="1"/>
      <c r="E663" s="153"/>
      <c r="F663" s="10"/>
      <c r="G663" s="21"/>
      <c r="H663" s="21"/>
      <c r="I663" s="21"/>
      <c r="J663" s="21"/>
      <c r="K663" s="21"/>
      <c r="L663" s="21"/>
      <c r="M663" s="21"/>
      <c r="N663" s="22"/>
      <c r="O663" s="21"/>
      <c r="P663" s="22"/>
      <c r="Q663" s="21"/>
      <c r="R663" s="21"/>
      <c r="S663" s="21"/>
      <c r="T663" s="21"/>
      <c r="U663" s="21"/>
      <c r="V663" s="22"/>
      <c r="W663" s="21"/>
      <c r="X663" s="22"/>
      <c r="Y663" s="21"/>
      <c r="Z663" s="21"/>
      <c r="AA663" s="21"/>
      <c r="AB663" s="21"/>
      <c r="AC663" s="26"/>
      <c r="AD663" s="26"/>
      <c r="AE663" s="62"/>
    </row>
    <row r="664" spans="1:31" ht="13.5" customHeight="1" x14ac:dyDescent="0.35">
      <c r="A664" s="49"/>
      <c r="B664" s="49"/>
      <c r="C664" s="14"/>
      <c r="D664" s="1"/>
      <c r="E664" s="153"/>
      <c r="F664" s="10"/>
      <c r="G664" s="21"/>
      <c r="H664" s="21"/>
      <c r="I664" s="21"/>
      <c r="J664" s="21"/>
      <c r="K664" s="21"/>
      <c r="L664" s="21"/>
      <c r="M664" s="21"/>
      <c r="N664" s="22"/>
      <c r="O664" s="21"/>
      <c r="P664" s="22"/>
      <c r="Q664" s="21"/>
      <c r="R664" s="21"/>
      <c r="S664" s="21"/>
      <c r="T664" s="21"/>
      <c r="U664" s="21"/>
      <c r="V664" s="22"/>
      <c r="W664" s="21"/>
      <c r="X664" s="22"/>
      <c r="Y664" s="21"/>
      <c r="Z664" s="21"/>
      <c r="AA664" s="21"/>
      <c r="AB664" s="21"/>
      <c r="AC664" s="26"/>
      <c r="AD664" s="26"/>
      <c r="AE664" s="62"/>
    </row>
    <row r="665" spans="1:31" x14ac:dyDescent="0.3">
      <c r="A665" s="6"/>
      <c r="B665" s="6"/>
      <c r="C665" s="39"/>
      <c r="D665" s="6"/>
      <c r="E665" s="153"/>
      <c r="F665" s="10"/>
      <c r="G665" s="2"/>
      <c r="H665" s="2"/>
      <c r="I665" s="2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3">
      <c r="A666" s="63"/>
      <c r="B666" s="63"/>
      <c r="C666" s="39"/>
      <c r="D666" s="6"/>
      <c r="E666" s="153"/>
      <c r="F666" s="10"/>
      <c r="G666" s="64"/>
      <c r="H666" s="3"/>
      <c r="I666" s="2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3.5" customHeight="1" x14ac:dyDescent="0.35">
      <c r="A667" s="49"/>
      <c r="B667" s="49"/>
      <c r="C667" s="14"/>
      <c r="D667" s="1"/>
      <c r="E667" s="153"/>
      <c r="F667" s="10"/>
      <c r="G667" s="21"/>
      <c r="H667" s="21"/>
      <c r="I667" s="21"/>
      <c r="J667" s="21"/>
      <c r="K667" s="21"/>
      <c r="L667" s="21"/>
      <c r="M667" s="21"/>
      <c r="N667" s="22"/>
      <c r="O667" s="21"/>
      <c r="P667" s="22"/>
      <c r="Q667" s="21"/>
      <c r="R667" s="21"/>
      <c r="S667" s="21"/>
      <c r="T667" s="21"/>
      <c r="U667" s="21"/>
      <c r="V667" s="22"/>
      <c r="W667" s="21"/>
      <c r="X667" s="22"/>
      <c r="Y667" s="21"/>
      <c r="Z667" s="21"/>
      <c r="AA667" s="21"/>
      <c r="AB667" s="21"/>
      <c r="AC667" s="26"/>
      <c r="AD667" s="26"/>
      <c r="AE667" s="62"/>
    </row>
    <row r="668" spans="1:31" x14ac:dyDescent="0.3">
      <c r="A668" s="63"/>
      <c r="B668" s="63"/>
      <c r="C668" s="39"/>
      <c r="D668" s="6"/>
      <c r="E668" s="153"/>
      <c r="F668" s="10"/>
      <c r="G668" s="64"/>
      <c r="H668" s="3"/>
      <c r="I668" s="2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3.5" customHeight="1" x14ac:dyDescent="0.35">
      <c r="A669" s="49"/>
      <c r="B669" s="49"/>
      <c r="C669" s="14"/>
      <c r="D669" s="1"/>
      <c r="E669" s="153"/>
      <c r="F669" s="10"/>
      <c r="G669" s="21"/>
      <c r="H669" s="21"/>
      <c r="I669" s="21"/>
      <c r="J669" s="21"/>
      <c r="K669" s="21"/>
      <c r="L669" s="21"/>
      <c r="M669" s="21"/>
      <c r="N669" s="22"/>
      <c r="O669" s="21"/>
      <c r="P669" s="22"/>
      <c r="Q669" s="21"/>
      <c r="R669" s="21"/>
      <c r="S669" s="21"/>
      <c r="T669" s="21"/>
      <c r="U669" s="21"/>
      <c r="V669" s="22"/>
      <c r="W669" s="21"/>
      <c r="X669" s="22"/>
      <c r="Y669" s="21"/>
      <c r="Z669" s="21"/>
      <c r="AA669" s="21"/>
      <c r="AB669" s="21"/>
      <c r="AC669" s="26"/>
      <c r="AD669" s="26"/>
      <c r="AE669" s="62"/>
    </row>
    <row r="670" spans="1:31" x14ac:dyDescent="0.3">
      <c r="A670" s="63"/>
      <c r="B670" s="63"/>
      <c r="C670" s="39"/>
      <c r="D670" s="6"/>
      <c r="E670" s="153"/>
      <c r="F670" s="10"/>
      <c r="G670" s="64"/>
      <c r="H670" s="3"/>
      <c r="I670" s="2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x14ac:dyDescent="0.3">
      <c r="A671" s="6"/>
      <c r="B671" s="6"/>
      <c r="C671" s="39"/>
      <c r="D671" s="6"/>
      <c r="E671" s="153"/>
      <c r="F671" s="1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21"/>
      <c r="R671" s="21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x14ac:dyDescent="0.3">
      <c r="A672" s="6"/>
      <c r="B672" s="6"/>
      <c r="C672" s="39"/>
      <c r="D672" s="6"/>
      <c r="E672" s="153"/>
      <c r="F672" s="1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21"/>
      <c r="R672" s="21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.5" customHeight="1" x14ac:dyDescent="0.35">
      <c r="A673" s="49"/>
      <c r="B673" s="49"/>
      <c r="C673" s="14"/>
      <c r="D673" s="1"/>
      <c r="E673" s="153"/>
      <c r="F673" s="10"/>
      <c r="G673" s="21"/>
      <c r="H673" s="21"/>
      <c r="I673" s="21"/>
      <c r="J673" s="21"/>
      <c r="K673" s="21"/>
      <c r="L673" s="21"/>
      <c r="M673" s="21"/>
      <c r="N673" s="22"/>
      <c r="O673" s="21"/>
      <c r="P673" s="22"/>
      <c r="Q673" s="21"/>
      <c r="R673" s="21"/>
      <c r="S673" s="21"/>
      <c r="T673" s="21"/>
      <c r="U673" s="21"/>
      <c r="V673" s="22"/>
      <c r="W673" s="21"/>
      <c r="X673" s="22"/>
      <c r="Y673" s="21"/>
      <c r="Z673" s="21"/>
      <c r="AA673" s="21"/>
      <c r="AB673" s="21"/>
      <c r="AC673" s="26"/>
      <c r="AD673" s="26"/>
      <c r="AE673" s="62"/>
    </row>
    <row r="674" spans="1:31" x14ac:dyDescent="0.3">
      <c r="A674" s="63"/>
      <c r="B674" s="63"/>
      <c r="C674" s="39"/>
      <c r="D674" s="6"/>
      <c r="E674" s="153"/>
      <c r="F674" s="10"/>
      <c r="G674" s="64"/>
      <c r="H674" s="3"/>
      <c r="I674" s="2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.5" customHeight="1" x14ac:dyDescent="0.35">
      <c r="A675" s="49"/>
      <c r="B675" s="49"/>
      <c r="C675" s="39"/>
      <c r="D675" s="1"/>
      <c r="E675" s="153"/>
      <c r="F675" s="10"/>
      <c r="G675" s="21"/>
      <c r="H675" s="21"/>
      <c r="I675" s="21"/>
      <c r="J675" s="21"/>
      <c r="K675" s="21"/>
      <c r="L675" s="21"/>
      <c r="M675" s="21"/>
      <c r="N675" s="22"/>
      <c r="O675" s="21"/>
      <c r="P675" s="22"/>
      <c r="Q675" s="21"/>
      <c r="R675" s="21"/>
      <c r="S675" s="21"/>
      <c r="T675" s="21"/>
      <c r="U675" s="21"/>
      <c r="V675" s="22"/>
      <c r="W675" s="21"/>
      <c r="X675" s="22"/>
      <c r="Y675" s="21"/>
      <c r="Z675" s="21"/>
      <c r="AA675" s="21"/>
      <c r="AB675" s="21"/>
      <c r="AC675" s="26"/>
      <c r="AD675" s="26"/>
      <c r="AE675" s="62"/>
    </row>
    <row r="676" spans="1:31" x14ac:dyDescent="0.3">
      <c r="A676" s="63"/>
      <c r="B676" s="63"/>
      <c r="C676" s="39"/>
      <c r="D676" s="6"/>
      <c r="E676" s="153"/>
      <c r="F676" s="10"/>
      <c r="G676" s="64"/>
      <c r="H676" s="3"/>
      <c r="I676" s="2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.5" customHeight="1" x14ac:dyDescent="0.35">
      <c r="A677" s="49"/>
      <c r="B677" s="49"/>
      <c r="C677" s="39"/>
      <c r="D677" s="1"/>
      <c r="E677" s="153"/>
      <c r="F677" s="10"/>
      <c r="G677" s="21"/>
      <c r="H677" s="21"/>
      <c r="I677" s="21"/>
      <c r="J677" s="21"/>
      <c r="K677" s="21"/>
      <c r="L677" s="21"/>
      <c r="M677" s="21"/>
      <c r="N677" s="22"/>
      <c r="O677" s="21"/>
      <c r="P677" s="22"/>
      <c r="Q677" s="21"/>
      <c r="R677" s="21"/>
      <c r="S677" s="21"/>
      <c r="T677" s="21"/>
      <c r="U677" s="21"/>
      <c r="V677" s="22"/>
      <c r="W677" s="21"/>
      <c r="X677" s="22"/>
      <c r="Y677" s="21"/>
      <c r="Z677" s="21"/>
      <c r="AA677" s="21"/>
      <c r="AB677" s="21"/>
      <c r="AC677" s="26"/>
      <c r="AD677" s="26"/>
      <c r="AE677" s="62"/>
    </row>
    <row r="678" spans="1:31" ht="13.5" customHeight="1" x14ac:dyDescent="0.35">
      <c r="A678" s="49"/>
      <c r="B678" s="49"/>
      <c r="C678" s="14"/>
      <c r="D678" s="1"/>
      <c r="E678" s="153"/>
      <c r="F678" s="10"/>
      <c r="G678" s="21"/>
      <c r="H678" s="21"/>
      <c r="I678" s="21"/>
      <c r="J678" s="21"/>
      <c r="K678" s="21"/>
      <c r="L678" s="21"/>
      <c r="M678" s="21"/>
      <c r="N678" s="22"/>
      <c r="O678" s="21"/>
      <c r="P678" s="22"/>
      <c r="Q678" s="21"/>
      <c r="R678" s="21"/>
      <c r="S678" s="21"/>
      <c r="T678" s="21"/>
      <c r="U678" s="21"/>
      <c r="V678" s="22"/>
      <c r="W678" s="21"/>
      <c r="X678" s="22"/>
      <c r="Y678" s="21"/>
      <c r="Z678" s="21"/>
      <c r="AA678" s="21"/>
      <c r="AB678" s="21"/>
      <c r="AC678" s="26"/>
      <c r="AD678" s="26"/>
      <c r="AE678" s="62"/>
    </row>
    <row r="679" spans="1:31" x14ac:dyDescent="0.3">
      <c r="A679" s="63"/>
      <c r="B679" s="63"/>
      <c r="C679" s="39"/>
      <c r="D679" s="6"/>
      <c r="E679" s="153"/>
      <c r="F679" s="10"/>
      <c r="G679" s="64"/>
      <c r="H679" s="3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x14ac:dyDescent="0.3">
      <c r="A680" s="6"/>
      <c r="B680" s="6"/>
      <c r="C680" s="39"/>
      <c r="D680" s="6"/>
      <c r="E680" s="153"/>
      <c r="F680" s="10"/>
      <c r="G680" s="2"/>
      <c r="H680" s="3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x14ac:dyDescent="0.3">
      <c r="A681" s="6"/>
      <c r="B681" s="6"/>
      <c r="C681" s="39"/>
      <c r="D681" s="6"/>
      <c r="E681" s="153"/>
      <c r="F681" s="1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3.5" customHeight="1" x14ac:dyDescent="0.35">
      <c r="A682" s="49"/>
      <c r="B682" s="49"/>
      <c r="C682" s="14"/>
      <c r="D682" s="1"/>
      <c r="E682" s="153"/>
      <c r="F682" s="10"/>
      <c r="G682" s="21"/>
      <c r="H682" s="21"/>
      <c r="I682" s="21"/>
      <c r="J682" s="21"/>
      <c r="K682" s="21"/>
      <c r="L682" s="21"/>
      <c r="M682" s="21"/>
      <c r="N682" s="22"/>
      <c r="O682" s="21"/>
      <c r="P682" s="22"/>
      <c r="Q682" s="21"/>
      <c r="R682" s="21"/>
      <c r="S682" s="21"/>
      <c r="T682" s="21"/>
      <c r="U682" s="21"/>
      <c r="V682" s="22"/>
      <c r="W682" s="21"/>
      <c r="X682" s="22"/>
      <c r="Y682" s="21"/>
      <c r="Z682" s="21"/>
      <c r="AA682" s="21"/>
      <c r="AB682" s="21"/>
      <c r="AC682" s="26"/>
      <c r="AD682" s="26"/>
      <c r="AE682" s="62"/>
    </row>
    <row r="683" spans="1:31" x14ac:dyDescent="0.3">
      <c r="A683" s="63"/>
      <c r="B683" s="63"/>
      <c r="C683" s="39"/>
      <c r="D683" s="6"/>
      <c r="E683" s="153"/>
      <c r="F683" s="10"/>
      <c r="G683" s="64"/>
      <c r="H683" s="3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3.5" customHeight="1" x14ac:dyDescent="0.35">
      <c r="A684" s="49"/>
      <c r="B684" s="49"/>
      <c r="C684" s="39"/>
      <c r="D684" s="1"/>
      <c r="E684" s="153"/>
      <c r="F684" s="10"/>
      <c r="G684" s="21"/>
      <c r="H684" s="21"/>
      <c r="I684" s="21"/>
      <c r="J684" s="21"/>
      <c r="K684" s="21"/>
      <c r="L684" s="21"/>
      <c r="M684" s="21"/>
      <c r="N684" s="22"/>
      <c r="O684" s="21"/>
      <c r="P684" s="22"/>
      <c r="Q684" s="21"/>
      <c r="R684" s="21"/>
      <c r="S684" s="21"/>
      <c r="T684" s="21"/>
      <c r="U684" s="21"/>
      <c r="V684" s="22"/>
      <c r="W684" s="21"/>
      <c r="X684" s="22"/>
      <c r="Y684" s="21"/>
      <c r="Z684" s="21"/>
      <c r="AA684" s="21"/>
      <c r="AB684" s="21"/>
      <c r="AC684" s="26"/>
      <c r="AD684" s="26"/>
      <c r="AE684" s="62"/>
    </row>
    <row r="685" spans="1:31" x14ac:dyDescent="0.3">
      <c r="A685" s="63"/>
      <c r="B685" s="63"/>
      <c r="C685" s="39"/>
      <c r="D685" s="6"/>
      <c r="E685" s="153"/>
      <c r="F685" s="10"/>
      <c r="G685" s="64"/>
      <c r="H685" s="3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x14ac:dyDescent="0.3">
      <c r="A686" s="6"/>
      <c r="B686" s="6"/>
      <c r="C686" s="39"/>
      <c r="D686" s="6"/>
      <c r="E686" s="153"/>
      <c r="F686" s="10"/>
      <c r="G686" s="2"/>
      <c r="H686" s="3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x14ac:dyDescent="0.3">
      <c r="A687" s="6"/>
      <c r="B687" s="6"/>
      <c r="C687" s="39"/>
      <c r="D687" s="6"/>
      <c r="E687" s="153"/>
      <c r="F687" s="1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21"/>
      <c r="R687" s="21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x14ac:dyDescent="0.3">
      <c r="A688" s="6"/>
      <c r="B688" s="6"/>
      <c r="C688" s="39"/>
      <c r="D688" s="6"/>
      <c r="E688" s="153"/>
      <c r="F688" s="1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21"/>
      <c r="R688" s="21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x14ac:dyDescent="0.3">
      <c r="A689" s="6"/>
      <c r="B689" s="6"/>
      <c r="C689" s="39"/>
      <c r="D689" s="6"/>
      <c r="E689" s="153"/>
      <c r="F689" s="1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21"/>
      <c r="R689" s="21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3.5" customHeight="1" x14ac:dyDescent="0.35">
      <c r="A690" s="49"/>
      <c r="B690" s="49"/>
      <c r="C690" s="14"/>
      <c r="D690" s="1"/>
      <c r="E690" s="153"/>
      <c r="F690" s="10"/>
      <c r="G690" s="21"/>
      <c r="H690" s="21"/>
      <c r="I690" s="21"/>
      <c r="J690" s="21"/>
      <c r="K690" s="21"/>
      <c r="L690" s="21"/>
      <c r="M690" s="21"/>
      <c r="N690" s="22"/>
      <c r="O690" s="21"/>
      <c r="P690" s="22"/>
      <c r="Q690" s="21"/>
      <c r="R690" s="21"/>
      <c r="S690" s="21"/>
      <c r="T690" s="21"/>
      <c r="U690" s="21"/>
      <c r="V690" s="22"/>
      <c r="W690" s="21"/>
      <c r="X690" s="22"/>
      <c r="Y690" s="21"/>
      <c r="Z690" s="21"/>
      <c r="AA690" s="21"/>
      <c r="AB690" s="21"/>
      <c r="AC690" s="26"/>
      <c r="AD690" s="26"/>
      <c r="AE690" s="62"/>
    </row>
    <row r="691" spans="1:31" x14ac:dyDescent="0.3">
      <c r="A691" s="6"/>
      <c r="B691" s="6"/>
      <c r="C691" s="39"/>
      <c r="D691" s="6"/>
      <c r="E691" s="153"/>
      <c r="F691" s="1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21"/>
      <c r="R691" s="21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3.5" customHeight="1" x14ac:dyDescent="0.35">
      <c r="A692" s="49"/>
      <c r="B692" s="49"/>
      <c r="C692" s="14"/>
      <c r="D692" s="1"/>
      <c r="E692" s="153"/>
      <c r="F692" s="10"/>
      <c r="G692" s="21"/>
      <c r="H692" s="21"/>
      <c r="I692" s="21"/>
      <c r="J692" s="21"/>
      <c r="K692" s="21"/>
      <c r="L692" s="21"/>
      <c r="M692" s="21"/>
      <c r="N692" s="22"/>
      <c r="O692" s="21"/>
      <c r="P692" s="22"/>
      <c r="Q692" s="21"/>
      <c r="R692" s="21"/>
      <c r="S692" s="21"/>
      <c r="T692" s="21"/>
      <c r="U692" s="21"/>
      <c r="V692" s="22"/>
      <c r="W692" s="21"/>
      <c r="X692" s="22"/>
      <c r="Y692" s="21"/>
      <c r="Z692" s="21"/>
      <c r="AA692" s="21"/>
      <c r="AB692" s="21"/>
      <c r="AC692" s="26"/>
      <c r="AD692" s="26"/>
      <c r="AE692" s="62"/>
    </row>
    <row r="693" spans="1:31" ht="13.5" customHeight="1" x14ac:dyDescent="0.35">
      <c r="A693" s="49"/>
      <c r="B693" s="49"/>
      <c r="C693" s="39"/>
      <c r="D693" s="1"/>
      <c r="E693" s="153"/>
      <c r="F693" s="10"/>
      <c r="G693" s="21"/>
      <c r="H693" s="21"/>
      <c r="I693" s="21"/>
      <c r="J693" s="21"/>
      <c r="K693" s="21"/>
      <c r="L693" s="21"/>
      <c r="M693" s="21"/>
      <c r="N693" s="22"/>
      <c r="O693" s="21"/>
      <c r="P693" s="22"/>
      <c r="Q693" s="21"/>
      <c r="R693" s="21"/>
      <c r="S693" s="21"/>
      <c r="T693" s="21"/>
      <c r="U693" s="21"/>
      <c r="V693" s="22"/>
      <c r="W693" s="21"/>
      <c r="X693" s="22"/>
      <c r="Y693" s="21"/>
      <c r="Z693" s="21"/>
      <c r="AA693" s="21"/>
      <c r="AB693" s="21"/>
      <c r="AC693" s="26"/>
      <c r="AD693" s="26"/>
      <c r="AE693" s="62"/>
    </row>
    <row r="694" spans="1:31" x14ac:dyDescent="0.3">
      <c r="A694" s="6"/>
      <c r="B694" s="6"/>
      <c r="C694" s="39"/>
      <c r="D694" s="6"/>
      <c r="E694" s="153"/>
      <c r="F694" s="1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21"/>
      <c r="R694" s="21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3.5" customHeight="1" x14ac:dyDescent="0.35">
      <c r="A695" s="49"/>
      <c r="B695" s="49"/>
      <c r="C695" s="39"/>
      <c r="D695" s="1"/>
      <c r="E695" s="153"/>
      <c r="F695" s="10"/>
      <c r="G695" s="21"/>
      <c r="H695" s="21"/>
      <c r="I695" s="21"/>
      <c r="J695" s="21"/>
      <c r="K695" s="21"/>
      <c r="L695" s="21"/>
      <c r="M695" s="21"/>
      <c r="N695" s="22"/>
      <c r="O695" s="21"/>
      <c r="P695" s="22"/>
      <c r="Q695" s="21"/>
      <c r="R695" s="21"/>
      <c r="S695" s="21"/>
      <c r="T695" s="21"/>
      <c r="U695" s="21"/>
      <c r="V695" s="22"/>
      <c r="W695" s="21"/>
      <c r="X695" s="22"/>
      <c r="Y695" s="21"/>
      <c r="Z695" s="21"/>
      <c r="AA695" s="21"/>
      <c r="AB695" s="21"/>
      <c r="AC695" s="26"/>
      <c r="AD695" s="26"/>
      <c r="AE695" s="62"/>
    </row>
    <row r="696" spans="1:31" x14ac:dyDescent="0.3">
      <c r="A696" s="6"/>
      <c r="B696" s="6"/>
      <c r="C696" s="39"/>
      <c r="D696" s="6"/>
      <c r="E696" s="153"/>
      <c r="F696" s="1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21"/>
      <c r="R696" s="21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3.5" customHeight="1" x14ac:dyDescent="0.35">
      <c r="A697" s="49"/>
      <c r="B697" s="49"/>
      <c r="C697" s="14"/>
      <c r="D697" s="1"/>
      <c r="E697" s="153"/>
      <c r="F697" s="10"/>
      <c r="G697" s="21"/>
      <c r="H697" s="21"/>
      <c r="I697" s="21"/>
      <c r="J697" s="21"/>
      <c r="K697" s="21"/>
      <c r="L697" s="21"/>
      <c r="M697" s="21"/>
      <c r="N697" s="22"/>
      <c r="O697" s="21"/>
      <c r="P697" s="22"/>
      <c r="Q697" s="21"/>
      <c r="R697" s="21"/>
      <c r="S697" s="21"/>
      <c r="T697" s="21"/>
      <c r="U697" s="21"/>
      <c r="V697" s="22"/>
      <c r="W697" s="21"/>
      <c r="X697" s="22"/>
      <c r="Y697" s="21"/>
      <c r="Z697" s="21"/>
      <c r="AA697" s="21"/>
      <c r="AB697" s="21"/>
      <c r="AC697" s="26"/>
      <c r="AD697" s="26"/>
      <c r="AE697" s="62"/>
    </row>
    <row r="698" spans="1:31" x14ac:dyDescent="0.3">
      <c r="A698" s="6"/>
      <c r="B698" s="6"/>
      <c r="C698" s="39"/>
      <c r="D698" s="6"/>
      <c r="E698" s="153"/>
      <c r="F698" s="1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21"/>
      <c r="R698" s="21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x14ac:dyDescent="0.3">
      <c r="A699" s="63"/>
      <c r="B699" s="63"/>
      <c r="C699" s="39"/>
      <c r="D699" s="6"/>
      <c r="E699" s="153"/>
      <c r="F699" s="10"/>
      <c r="G699" s="64"/>
      <c r="H699" s="3"/>
      <c r="I699" s="2"/>
      <c r="J699" s="2"/>
      <c r="K699" s="3"/>
      <c r="L699" s="3"/>
      <c r="M699" s="3"/>
      <c r="N699" s="3"/>
      <c r="O699" s="3"/>
      <c r="P699" s="3"/>
      <c r="Q699" s="21"/>
      <c r="R699" s="21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3.5" customHeight="1" x14ac:dyDescent="0.35">
      <c r="A700" s="49"/>
      <c r="B700" s="49"/>
      <c r="C700" s="14"/>
      <c r="D700" s="1"/>
      <c r="E700" s="153"/>
      <c r="F700" s="10"/>
      <c r="G700" s="21"/>
      <c r="H700" s="21"/>
      <c r="I700" s="21"/>
      <c r="J700" s="21"/>
      <c r="K700" s="21"/>
      <c r="L700" s="21"/>
      <c r="M700" s="21"/>
      <c r="N700" s="22"/>
      <c r="O700" s="21"/>
      <c r="P700" s="22"/>
      <c r="Q700" s="21"/>
      <c r="R700" s="21"/>
      <c r="S700" s="21"/>
      <c r="T700" s="21"/>
      <c r="U700" s="21"/>
      <c r="V700" s="22"/>
      <c r="W700" s="21"/>
      <c r="X700" s="22"/>
      <c r="Y700" s="21"/>
      <c r="Z700" s="21"/>
      <c r="AA700" s="21"/>
      <c r="AB700" s="21"/>
      <c r="AC700" s="26"/>
      <c r="AD700" s="26"/>
      <c r="AE700" s="62"/>
    </row>
    <row r="701" spans="1:31" x14ac:dyDescent="0.3">
      <c r="A701" s="6"/>
      <c r="B701" s="6"/>
      <c r="C701" s="39"/>
      <c r="D701" s="6"/>
      <c r="E701" s="153"/>
      <c r="F701" s="1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21"/>
      <c r="R701" s="21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x14ac:dyDescent="0.3">
      <c r="A702" s="6"/>
      <c r="B702" s="6"/>
      <c r="C702" s="39"/>
      <c r="D702" s="6"/>
      <c r="E702" s="153"/>
      <c r="F702" s="1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21"/>
      <c r="R702" s="21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x14ac:dyDescent="0.3">
      <c r="A703" s="63"/>
      <c r="B703" s="63"/>
      <c r="C703" s="39"/>
      <c r="D703" s="6"/>
      <c r="E703" s="153"/>
      <c r="F703" s="10"/>
      <c r="G703" s="64"/>
      <c r="H703" s="3"/>
      <c r="I703" s="2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x14ac:dyDescent="0.3">
      <c r="A704" s="63"/>
      <c r="B704" s="63"/>
      <c r="C704" s="39"/>
      <c r="D704" s="6"/>
      <c r="E704" s="153"/>
      <c r="F704" s="10"/>
      <c r="G704" s="64"/>
      <c r="H704" s="3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3.5" customHeight="1" x14ac:dyDescent="0.35">
      <c r="A705" s="49"/>
      <c r="B705" s="49"/>
      <c r="C705" s="39"/>
      <c r="D705" s="1"/>
      <c r="E705" s="153"/>
      <c r="F705" s="10"/>
      <c r="G705" s="21"/>
      <c r="H705" s="21"/>
      <c r="I705" s="21"/>
      <c r="J705" s="21"/>
      <c r="K705" s="21"/>
      <c r="L705" s="21"/>
      <c r="M705" s="21"/>
      <c r="N705" s="22"/>
      <c r="O705" s="21"/>
      <c r="P705" s="22"/>
      <c r="Q705" s="21"/>
      <c r="R705" s="21"/>
      <c r="S705" s="21"/>
      <c r="T705" s="21"/>
      <c r="U705" s="21"/>
      <c r="V705" s="22"/>
      <c r="W705" s="21"/>
      <c r="X705" s="22"/>
      <c r="Y705" s="21"/>
      <c r="Z705" s="21"/>
      <c r="AA705" s="21"/>
      <c r="AB705" s="21"/>
      <c r="AC705" s="26"/>
      <c r="AD705" s="26"/>
      <c r="AE705" s="62"/>
    </row>
    <row r="706" spans="1:31" s="14" customFormat="1" x14ac:dyDescent="0.3">
      <c r="A706" s="6"/>
      <c r="B706" s="6"/>
      <c r="C706" s="39"/>
      <c r="D706" s="6"/>
      <c r="E706" s="153"/>
      <c r="F706" s="1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x14ac:dyDescent="0.3">
      <c r="A707" s="63"/>
      <c r="B707" s="63"/>
      <c r="C707" s="39"/>
      <c r="D707" s="6"/>
      <c r="E707" s="153"/>
      <c r="F707" s="10"/>
      <c r="G707" s="64"/>
      <c r="H707" s="3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x14ac:dyDescent="0.3">
      <c r="A708" s="63"/>
      <c r="B708" s="63"/>
      <c r="C708" s="39"/>
      <c r="D708" s="6"/>
      <c r="E708" s="153"/>
      <c r="F708" s="10"/>
      <c r="G708" s="64"/>
      <c r="H708" s="3"/>
      <c r="I708" s="2"/>
      <c r="J708" s="2"/>
      <c r="K708" s="3"/>
      <c r="L708" s="3"/>
      <c r="M708" s="3"/>
      <c r="N708" s="3"/>
      <c r="O708" s="3"/>
      <c r="P708" s="3"/>
      <c r="Q708" s="21"/>
      <c r="R708" s="21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3.5" customHeight="1" x14ac:dyDescent="0.35">
      <c r="A709" s="49"/>
      <c r="B709" s="49"/>
      <c r="C709" s="14"/>
      <c r="D709" s="1"/>
      <c r="E709" s="153"/>
      <c r="F709" s="10"/>
      <c r="G709" s="21"/>
      <c r="H709" s="21"/>
      <c r="I709" s="21"/>
      <c r="J709" s="21"/>
      <c r="K709" s="21"/>
      <c r="L709" s="21"/>
      <c r="M709" s="21"/>
      <c r="N709" s="22"/>
      <c r="O709" s="21"/>
      <c r="P709" s="22"/>
      <c r="Q709" s="21"/>
      <c r="R709" s="21"/>
      <c r="S709" s="21"/>
      <c r="T709" s="21"/>
      <c r="U709" s="21"/>
      <c r="V709" s="22"/>
      <c r="W709" s="21"/>
      <c r="X709" s="22"/>
      <c r="Y709" s="21"/>
      <c r="Z709" s="21"/>
      <c r="AA709" s="21"/>
      <c r="AB709" s="21"/>
      <c r="AC709" s="26"/>
      <c r="AD709" s="26"/>
      <c r="AE709" s="62"/>
    </row>
    <row r="710" spans="1:31" x14ac:dyDescent="0.3">
      <c r="A710" s="63"/>
      <c r="B710" s="63"/>
      <c r="C710" s="39"/>
      <c r="D710" s="6"/>
      <c r="E710" s="153"/>
      <c r="F710" s="10"/>
      <c r="G710" s="64"/>
      <c r="H710" s="3"/>
      <c r="I710" s="2"/>
      <c r="J710" s="2"/>
      <c r="K710" s="3"/>
      <c r="L710" s="3"/>
      <c r="M710" s="3"/>
      <c r="N710" s="3"/>
      <c r="O710" s="3"/>
      <c r="P710" s="3"/>
      <c r="Q710" s="21"/>
      <c r="R710" s="21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x14ac:dyDescent="0.3">
      <c r="A711" s="6"/>
      <c r="B711" s="6"/>
      <c r="C711" s="39"/>
      <c r="D711" s="6"/>
      <c r="E711" s="153"/>
      <c r="F711" s="1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21"/>
      <c r="R711" s="21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3.5" customHeight="1" x14ac:dyDescent="0.35">
      <c r="A712" s="49"/>
      <c r="B712" s="49"/>
      <c r="C712" s="14"/>
      <c r="D712" s="1"/>
      <c r="E712" s="153"/>
      <c r="F712" s="10"/>
      <c r="G712" s="21"/>
      <c r="H712" s="21"/>
      <c r="I712" s="21"/>
      <c r="J712" s="21"/>
      <c r="K712" s="21"/>
      <c r="L712" s="21"/>
      <c r="M712" s="21"/>
      <c r="N712" s="22"/>
      <c r="O712" s="21"/>
      <c r="P712" s="22"/>
      <c r="Q712" s="21"/>
      <c r="R712" s="21"/>
      <c r="S712" s="21"/>
      <c r="T712" s="21"/>
      <c r="U712" s="21"/>
      <c r="V712" s="22"/>
      <c r="W712" s="21"/>
      <c r="X712" s="22"/>
      <c r="Y712" s="21"/>
      <c r="Z712" s="21"/>
      <c r="AA712" s="21"/>
      <c r="AB712" s="21"/>
      <c r="AC712" s="26"/>
      <c r="AD712" s="26"/>
      <c r="AE712" s="62"/>
    </row>
    <row r="713" spans="1:31" x14ac:dyDescent="0.3">
      <c r="A713" s="6"/>
      <c r="B713" s="6"/>
      <c r="C713" s="39"/>
      <c r="D713" s="6"/>
      <c r="E713" s="153"/>
      <c r="F713" s="10"/>
      <c r="G713" s="2"/>
      <c r="H713" s="3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.5" customHeight="1" x14ac:dyDescent="0.35">
      <c r="A714" s="49"/>
      <c r="B714" s="49"/>
      <c r="C714" s="14"/>
      <c r="D714" s="1"/>
      <c r="E714" s="153"/>
      <c r="F714" s="10"/>
      <c r="G714" s="21"/>
      <c r="H714" s="21"/>
      <c r="I714" s="21"/>
      <c r="J714" s="21"/>
      <c r="K714" s="21"/>
      <c r="L714" s="21"/>
      <c r="M714" s="21"/>
      <c r="N714" s="22"/>
      <c r="O714" s="21"/>
      <c r="P714" s="22"/>
      <c r="Q714" s="21"/>
      <c r="R714" s="21"/>
      <c r="S714" s="21"/>
      <c r="T714" s="21"/>
      <c r="U714" s="21"/>
      <c r="V714" s="22"/>
      <c r="W714" s="21"/>
      <c r="X714" s="22"/>
      <c r="Y714" s="21"/>
      <c r="Z714" s="21"/>
      <c r="AA714" s="21"/>
      <c r="AB714" s="21"/>
      <c r="AC714" s="26"/>
      <c r="AD714" s="26"/>
      <c r="AE714" s="62"/>
    </row>
    <row r="715" spans="1:31" x14ac:dyDescent="0.3">
      <c r="A715" s="6"/>
      <c r="B715" s="6"/>
      <c r="C715" s="39"/>
      <c r="D715" s="6"/>
      <c r="E715" s="153"/>
      <c r="F715" s="1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21"/>
      <c r="R715" s="21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x14ac:dyDescent="0.3">
      <c r="A716" s="6"/>
      <c r="B716" s="6"/>
      <c r="C716" s="39"/>
      <c r="D716" s="6"/>
      <c r="E716" s="153"/>
      <c r="F716" s="10"/>
      <c r="G716" s="2"/>
      <c r="H716" s="3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x14ac:dyDescent="0.3">
      <c r="A717" s="6"/>
      <c r="B717" s="6"/>
      <c r="C717" s="39"/>
      <c r="D717" s="6"/>
      <c r="E717" s="153"/>
      <c r="F717" s="1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21"/>
      <c r="R717" s="21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x14ac:dyDescent="0.3">
      <c r="A718" s="6"/>
      <c r="B718" s="6"/>
      <c r="C718" s="39"/>
      <c r="D718" s="6"/>
      <c r="E718" s="153"/>
      <c r="F718" s="1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21"/>
      <c r="R718" s="21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x14ac:dyDescent="0.3">
      <c r="A719" s="6"/>
      <c r="B719" s="6"/>
      <c r="C719" s="39"/>
      <c r="D719" s="6"/>
      <c r="E719" s="153"/>
      <c r="F719" s="10"/>
      <c r="G719" s="2"/>
      <c r="H719" s="3"/>
      <c r="I719" s="2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x14ac:dyDescent="0.3">
      <c r="A720" s="6"/>
      <c r="B720" s="6"/>
      <c r="C720" s="39"/>
      <c r="D720" s="6"/>
      <c r="E720" s="153"/>
      <c r="F720" s="1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21"/>
      <c r="R720" s="21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x14ac:dyDescent="0.3">
      <c r="A721" s="63"/>
      <c r="B721" s="63"/>
      <c r="C721" s="39"/>
      <c r="D721" s="6"/>
      <c r="E721" s="153"/>
      <c r="F721" s="10"/>
      <c r="G721" s="64"/>
      <c r="H721" s="3"/>
      <c r="I721" s="2"/>
      <c r="J721" s="2"/>
      <c r="K721" s="3"/>
      <c r="L721" s="3"/>
      <c r="M721" s="3"/>
      <c r="N721" s="3"/>
      <c r="O721" s="3"/>
      <c r="P721" s="3"/>
      <c r="Q721" s="21"/>
      <c r="R721" s="21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3">
      <c r="A722" s="63"/>
      <c r="B722" s="63"/>
      <c r="C722" s="39"/>
      <c r="D722" s="6"/>
      <c r="E722" s="153"/>
      <c r="F722" s="10"/>
      <c r="G722" s="64"/>
      <c r="H722" s="3"/>
      <c r="I722" s="2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3">
      <c r="A723" s="6"/>
      <c r="B723" s="6"/>
      <c r="C723" s="39"/>
      <c r="D723" s="6"/>
      <c r="E723" s="153"/>
      <c r="F723" s="1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21"/>
      <c r="R723" s="21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3">
      <c r="A724" s="6"/>
      <c r="B724" s="6"/>
      <c r="C724" s="39"/>
      <c r="D724" s="6"/>
      <c r="E724" s="153"/>
      <c r="F724" s="1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21"/>
      <c r="R724" s="21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x14ac:dyDescent="0.3">
      <c r="A725" s="6"/>
      <c r="B725" s="6"/>
      <c r="C725" s="39"/>
      <c r="D725" s="6"/>
      <c r="E725" s="153"/>
      <c r="F725" s="1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21"/>
      <c r="R725" s="21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x14ac:dyDescent="0.3">
      <c r="A726" s="63"/>
      <c r="B726" s="63"/>
      <c r="C726" s="39"/>
      <c r="D726" s="6"/>
      <c r="E726" s="153"/>
      <c r="F726" s="10"/>
      <c r="G726" s="64"/>
      <c r="H726" s="3"/>
      <c r="I726" s="2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3.5" customHeight="1" x14ac:dyDescent="0.35">
      <c r="A727" s="49"/>
      <c r="B727" s="49"/>
      <c r="C727" s="14"/>
      <c r="D727" s="1"/>
      <c r="E727" s="153"/>
      <c r="F727" s="10"/>
      <c r="G727" s="21"/>
      <c r="H727" s="21"/>
      <c r="I727" s="21"/>
      <c r="J727" s="21"/>
      <c r="K727" s="21"/>
      <c r="L727" s="21"/>
      <c r="M727" s="21"/>
      <c r="N727" s="22"/>
      <c r="O727" s="21"/>
      <c r="P727" s="22"/>
      <c r="Q727" s="21"/>
      <c r="R727" s="21"/>
      <c r="S727" s="21"/>
      <c r="T727" s="21"/>
      <c r="U727" s="21"/>
      <c r="V727" s="22"/>
      <c r="W727" s="21"/>
      <c r="X727" s="22"/>
      <c r="Y727" s="21"/>
      <c r="Z727" s="21"/>
      <c r="AA727" s="21"/>
      <c r="AB727" s="21"/>
      <c r="AC727" s="26"/>
      <c r="AD727" s="26"/>
      <c r="AE727" s="62"/>
    </row>
    <row r="728" spans="1:31" x14ac:dyDescent="0.3">
      <c r="A728" s="6"/>
      <c r="B728" s="6"/>
      <c r="C728" s="39"/>
      <c r="D728" s="6"/>
      <c r="E728" s="153"/>
      <c r="F728" s="1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21"/>
      <c r="R728" s="21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x14ac:dyDescent="0.3">
      <c r="A729" s="6"/>
      <c r="B729" s="6"/>
      <c r="C729" s="39"/>
      <c r="D729" s="6"/>
      <c r="E729" s="153"/>
      <c r="F729" s="1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21"/>
      <c r="R729" s="21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3.5" customHeight="1" x14ac:dyDescent="0.35">
      <c r="A730" s="52"/>
      <c r="B730" s="52"/>
      <c r="C730" s="39"/>
      <c r="D730" s="1"/>
      <c r="E730" s="153"/>
      <c r="F730" s="10"/>
      <c r="G730" s="21"/>
      <c r="H730" s="21"/>
      <c r="I730" s="21"/>
      <c r="J730" s="21"/>
      <c r="K730" s="21"/>
      <c r="L730" s="21"/>
      <c r="M730" s="21"/>
      <c r="N730" s="22"/>
      <c r="O730" s="21"/>
      <c r="P730" s="22"/>
      <c r="Q730" s="21"/>
      <c r="R730" s="21"/>
      <c r="S730" s="21"/>
      <c r="T730" s="21"/>
      <c r="U730" s="21"/>
      <c r="V730" s="22"/>
      <c r="W730" s="21"/>
      <c r="X730" s="22"/>
      <c r="Y730" s="21"/>
      <c r="Z730" s="21"/>
      <c r="AA730" s="21"/>
      <c r="AB730" s="21"/>
      <c r="AC730" s="26"/>
      <c r="AD730" s="26"/>
      <c r="AE730" s="62"/>
    </row>
    <row r="731" spans="1:31" ht="13.5" customHeight="1" x14ac:dyDescent="0.35">
      <c r="A731" s="49"/>
      <c r="B731" s="49"/>
      <c r="C731" s="14"/>
      <c r="D731" s="1"/>
      <c r="E731" s="153"/>
      <c r="F731" s="10"/>
      <c r="G731" s="21"/>
      <c r="H731" s="21"/>
      <c r="I731" s="21"/>
      <c r="J731" s="21"/>
      <c r="K731" s="21"/>
      <c r="L731" s="21"/>
      <c r="M731" s="21"/>
      <c r="N731" s="22"/>
      <c r="O731" s="21"/>
      <c r="P731" s="22"/>
      <c r="Q731" s="21"/>
      <c r="R731" s="21"/>
      <c r="S731" s="21"/>
      <c r="T731" s="21"/>
      <c r="U731" s="21"/>
      <c r="V731" s="22"/>
      <c r="W731" s="21"/>
      <c r="X731" s="22"/>
      <c r="Y731" s="21"/>
      <c r="Z731" s="21"/>
      <c r="AA731" s="21"/>
      <c r="AB731" s="21"/>
      <c r="AC731" s="26"/>
      <c r="AD731" s="26"/>
      <c r="AE731" s="62"/>
    </row>
    <row r="732" spans="1:31" x14ac:dyDescent="0.3">
      <c r="A732" s="6"/>
      <c r="B732" s="6"/>
      <c r="C732" s="39"/>
      <c r="D732" s="6"/>
      <c r="E732" s="153"/>
      <c r="F732" s="1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21"/>
      <c r="R732" s="21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x14ac:dyDescent="0.3">
      <c r="A733" s="6"/>
      <c r="B733" s="6"/>
      <c r="C733" s="39"/>
      <c r="D733" s="6"/>
      <c r="E733" s="153"/>
      <c r="F733" s="1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21"/>
      <c r="R733" s="21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x14ac:dyDescent="0.3">
      <c r="A734" s="6"/>
      <c r="B734" s="6"/>
      <c r="C734" s="39"/>
      <c r="D734" s="6"/>
      <c r="E734" s="153"/>
      <c r="F734" s="1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21"/>
      <c r="R734" s="21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x14ac:dyDescent="0.3">
      <c r="A735" s="63"/>
      <c r="B735" s="63"/>
      <c r="C735" s="39"/>
      <c r="D735" s="6"/>
      <c r="E735" s="153"/>
      <c r="F735" s="10"/>
      <c r="G735" s="64"/>
      <c r="H735" s="3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x14ac:dyDescent="0.3">
      <c r="A736" s="63"/>
      <c r="B736" s="63"/>
      <c r="C736" s="39"/>
      <c r="D736" s="6"/>
      <c r="E736" s="153"/>
      <c r="F736" s="10"/>
      <c r="G736" s="64"/>
      <c r="H736" s="3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x14ac:dyDescent="0.3">
      <c r="A737" s="6"/>
      <c r="B737" s="6"/>
      <c r="C737" s="39"/>
      <c r="D737" s="6"/>
      <c r="E737" s="153"/>
      <c r="F737" s="1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21"/>
      <c r="R737" s="21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x14ac:dyDescent="0.3">
      <c r="A738" s="6"/>
      <c r="B738" s="6"/>
      <c r="C738" s="39"/>
      <c r="D738" s="6"/>
      <c r="E738" s="153"/>
      <c r="F738" s="1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21"/>
      <c r="R738" s="21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x14ac:dyDescent="0.3">
      <c r="A739" s="63"/>
      <c r="B739" s="63"/>
      <c r="C739" s="39"/>
      <c r="D739" s="6"/>
      <c r="E739" s="153"/>
      <c r="F739" s="10"/>
      <c r="G739" s="64"/>
      <c r="H739" s="3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x14ac:dyDescent="0.3">
      <c r="A740" s="6"/>
      <c r="B740" s="6"/>
      <c r="C740" s="39"/>
      <c r="D740" s="6"/>
      <c r="E740" s="153"/>
      <c r="F740" s="10"/>
      <c r="G740" s="2"/>
      <c r="H740" s="3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x14ac:dyDescent="0.3">
      <c r="A741" s="6"/>
      <c r="B741" s="6"/>
      <c r="C741" s="39"/>
      <c r="D741" s="6"/>
      <c r="E741" s="153"/>
      <c r="F741" s="1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21"/>
      <c r="R741" s="21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3.5" customHeight="1" x14ac:dyDescent="0.35">
      <c r="A742" s="49"/>
      <c r="B742" s="49"/>
      <c r="C742" s="14"/>
      <c r="D742" s="1"/>
      <c r="E742" s="153"/>
      <c r="F742" s="10"/>
      <c r="G742" s="21"/>
      <c r="H742" s="21"/>
      <c r="I742" s="21"/>
      <c r="J742" s="21"/>
      <c r="K742" s="21"/>
      <c r="L742" s="21"/>
      <c r="M742" s="21"/>
      <c r="N742" s="22"/>
      <c r="O742" s="21"/>
      <c r="P742" s="22"/>
      <c r="Q742" s="21"/>
      <c r="R742" s="21"/>
      <c r="S742" s="21"/>
      <c r="T742" s="21"/>
      <c r="U742" s="21"/>
      <c r="V742" s="22"/>
      <c r="W742" s="21"/>
      <c r="X742" s="22"/>
      <c r="Y742" s="21"/>
      <c r="Z742" s="21"/>
      <c r="AA742" s="21"/>
      <c r="AB742" s="21"/>
      <c r="AC742" s="26"/>
      <c r="AD742" s="26"/>
      <c r="AE742" s="62"/>
    </row>
    <row r="743" spans="1:31" x14ac:dyDescent="0.3">
      <c r="A743" s="6"/>
      <c r="B743" s="6"/>
      <c r="C743" s="39"/>
      <c r="D743" s="6"/>
      <c r="E743" s="153"/>
      <c r="F743" s="1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21"/>
      <c r="R743" s="21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x14ac:dyDescent="0.3">
      <c r="A744" s="6"/>
      <c r="B744" s="6"/>
      <c r="C744" s="39"/>
      <c r="D744" s="6"/>
      <c r="E744" s="153"/>
      <c r="F744" s="10"/>
      <c r="G744" s="2"/>
      <c r="H744" s="3"/>
      <c r="I744" s="2"/>
      <c r="J744" s="2"/>
      <c r="K744" s="3"/>
      <c r="L744" s="3"/>
      <c r="M744" s="3"/>
      <c r="N744" s="3"/>
      <c r="O744" s="3"/>
      <c r="P744" s="3"/>
      <c r="Q744" s="21"/>
      <c r="R744" s="21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x14ac:dyDescent="0.3">
      <c r="A745" s="6"/>
      <c r="B745" s="6"/>
      <c r="C745" s="39"/>
      <c r="D745" s="6"/>
      <c r="E745" s="153"/>
      <c r="F745" s="1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21"/>
      <c r="R745" s="21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3.5" customHeight="1" x14ac:dyDescent="0.35">
      <c r="A746" s="49"/>
      <c r="B746" s="49"/>
      <c r="C746" s="14"/>
      <c r="D746" s="1"/>
      <c r="E746" s="153"/>
      <c r="F746" s="10"/>
      <c r="G746" s="21"/>
      <c r="H746" s="21"/>
      <c r="I746" s="21"/>
      <c r="J746" s="21"/>
      <c r="K746" s="21"/>
      <c r="L746" s="21"/>
      <c r="M746" s="21"/>
      <c r="N746" s="22"/>
      <c r="O746" s="21"/>
      <c r="P746" s="22"/>
      <c r="Q746" s="21"/>
      <c r="R746" s="21"/>
      <c r="S746" s="21"/>
      <c r="T746" s="21"/>
      <c r="U746" s="21"/>
      <c r="V746" s="22"/>
      <c r="W746" s="21"/>
      <c r="X746" s="22"/>
      <c r="Y746" s="21"/>
      <c r="Z746" s="21"/>
      <c r="AA746" s="21"/>
      <c r="AB746" s="21"/>
      <c r="AC746" s="26"/>
      <c r="AD746" s="26"/>
      <c r="AE746" s="62"/>
    </row>
    <row r="747" spans="1:31" ht="13.5" customHeight="1" x14ac:dyDescent="0.35">
      <c r="A747" s="49"/>
      <c r="B747" s="49"/>
      <c r="C747" s="14"/>
      <c r="D747" s="1"/>
      <c r="E747" s="153"/>
      <c r="F747" s="10"/>
      <c r="G747" s="21"/>
      <c r="H747" s="21"/>
      <c r="I747" s="21"/>
      <c r="J747" s="21"/>
      <c r="K747" s="21"/>
      <c r="L747" s="21"/>
      <c r="M747" s="21"/>
      <c r="N747" s="22"/>
      <c r="O747" s="21"/>
      <c r="P747" s="22"/>
      <c r="Q747" s="21"/>
      <c r="R747" s="21"/>
      <c r="S747" s="21"/>
      <c r="T747" s="21"/>
      <c r="U747" s="21"/>
      <c r="V747" s="22"/>
      <c r="W747" s="21"/>
      <c r="X747" s="22"/>
      <c r="Y747" s="21"/>
      <c r="Z747" s="21"/>
      <c r="AA747" s="21"/>
      <c r="AB747" s="21"/>
      <c r="AC747" s="26"/>
      <c r="AD747" s="26"/>
      <c r="AE747" s="62"/>
    </row>
    <row r="748" spans="1:31" x14ac:dyDescent="0.3">
      <c r="A748" s="63"/>
      <c r="B748" s="63"/>
      <c r="C748" s="39"/>
      <c r="D748" s="6"/>
      <c r="E748" s="153"/>
      <c r="F748" s="10"/>
      <c r="G748" s="64"/>
      <c r="H748" s="3"/>
      <c r="I748" s="2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3">
      <c r="A749" s="6"/>
      <c r="B749" s="6"/>
      <c r="C749" s="39"/>
      <c r="D749" s="6"/>
      <c r="E749" s="153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21"/>
      <c r="R749" s="21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x14ac:dyDescent="0.3">
      <c r="A750" s="63"/>
      <c r="B750" s="63"/>
      <c r="C750" s="39"/>
      <c r="D750" s="6"/>
      <c r="E750" s="153"/>
      <c r="F750" s="10"/>
      <c r="G750" s="64"/>
      <c r="H750" s="3"/>
      <c r="I750" s="2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3.5" customHeight="1" x14ac:dyDescent="0.35">
      <c r="A751" s="49"/>
      <c r="B751" s="49"/>
      <c r="C751" s="14"/>
      <c r="D751" s="1"/>
      <c r="E751" s="153"/>
      <c r="F751" s="10"/>
      <c r="G751" s="21"/>
      <c r="H751" s="21"/>
      <c r="I751" s="21"/>
      <c r="J751" s="21"/>
      <c r="K751" s="21"/>
      <c r="L751" s="21"/>
      <c r="M751" s="21"/>
      <c r="N751" s="22"/>
      <c r="O751" s="21"/>
      <c r="P751" s="22"/>
      <c r="Q751" s="21"/>
      <c r="R751" s="21"/>
      <c r="S751" s="21"/>
      <c r="T751" s="21"/>
      <c r="U751" s="21"/>
      <c r="V751" s="22"/>
      <c r="W751" s="21"/>
      <c r="X751" s="22"/>
      <c r="Y751" s="21"/>
      <c r="Z751" s="21"/>
      <c r="AA751" s="21"/>
      <c r="AB751" s="21"/>
      <c r="AC751" s="26"/>
      <c r="AD751" s="26"/>
      <c r="AE751" s="62"/>
    </row>
    <row r="752" spans="1:31" ht="13.5" customHeight="1" x14ac:dyDescent="0.35">
      <c r="A752" s="49"/>
      <c r="B752" s="49"/>
      <c r="C752" s="14"/>
      <c r="D752" s="1"/>
      <c r="E752" s="153"/>
      <c r="F752" s="10"/>
      <c r="G752" s="21"/>
      <c r="H752" s="21"/>
      <c r="I752" s="21"/>
      <c r="J752" s="21"/>
      <c r="K752" s="21"/>
      <c r="L752" s="21"/>
      <c r="M752" s="21"/>
      <c r="N752" s="22"/>
      <c r="O752" s="21"/>
      <c r="P752" s="22"/>
      <c r="Q752" s="21"/>
      <c r="R752" s="21"/>
      <c r="S752" s="21"/>
      <c r="T752" s="21"/>
      <c r="U752" s="21"/>
      <c r="V752" s="22"/>
      <c r="W752" s="21"/>
      <c r="X752" s="22"/>
      <c r="Y752" s="21"/>
      <c r="Z752" s="21"/>
      <c r="AA752" s="21"/>
      <c r="AB752" s="21"/>
      <c r="AC752" s="26"/>
      <c r="AD752" s="26"/>
      <c r="AE752" s="62"/>
    </row>
    <row r="753" spans="1:31" x14ac:dyDescent="0.3">
      <c r="A753" s="6"/>
      <c r="B753" s="6"/>
      <c r="C753" s="39"/>
      <c r="D753" s="6"/>
      <c r="E753" s="153"/>
      <c r="F753" s="10"/>
      <c r="G753" s="2"/>
      <c r="H753" s="3"/>
      <c r="I753" s="2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3.5" customHeight="1" x14ac:dyDescent="0.35">
      <c r="A754" s="49"/>
      <c r="B754" s="49"/>
      <c r="C754" s="14"/>
      <c r="D754" s="1"/>
      <c r="E754" s="153"/>
      <c r="F754" s="10"/>
      <c r="G754" s="21"/>
      <c r="H754" s="21"/>
      <c r="I754" s="21"/>
      <c r="J754" s="21"/>
      <c r="K754" s="21"/>
      <c r="L754" s="21"/>
      <c r="M754" s="21"/>
      <c r="N754" s="22"/>
      <c r="O754" s="21"/>
      <c r="P754" s="22"/>
      <c r="Q754" s="21"/>
      <c r="R754" s="21"/>
      <c r="S754" s="21"/>
      <c r="T754" s="21"/>
      <c r="U754" s="21"/>
      <c r="V754" s="22"/>
      <c r="W754" s="21"/>
      <c r="X754" s="22"/>
      <c r="Y754" s="21"/>
      <c r="Z754" s="21"/>
      <c r="AA754" s="21"/>
      <c r="AB754" s="21"/>
      <c r="AC754" s="26"/>
      <c r="AD754" s="26"/>
      <c r="AE754" s="62"/>
    </row>
    <row r="755" spans="1:31" ht="13.5" customHeight="1" x14ac:dyDescent="0.35">
      <c r="A755" s="49"/>
      <c r="B755" s="49"/>
      <c r="C755" s="14"/>
      <c r="D755" s="1"/>
      <c r="E755" s="153"/>
      <c r="F755" s="10"/>
      <c r="G755" s="21"/>
      <c r="H755" s="21"/>
      <c r="I755" s="21"/>
      <c r="J755" s="21"/>
      <c r="K755" s="21"/>
      <c r="L755" s="21"/>
      <c r="M755" s="21"/>
      <c r="N755" s="22"/>
      <c r="O755" s="21"/>
      <c r="P755" s="22"/>
      <c r="Q755" s="21"/>
      <c r="R755" s="21"/>
      <c r="S755" s="21"/>
      <c r="T755" s="21"/>
      <c r="U755" s="21"/>
      <c r="V755" s="22"/>
      <c r="W755" s="21"/>
      <c r="X755" s="22"/>
      <c r="Y755" s="21"/>
      <c r="Z755" s="21"/>
      <c r="AA755" s="21"/>
      <c r="AB755" s="21"/>
      <c r="AC755" s="26"/>
      <c r="AD755" s="26"/>
      <c r="AE755" s="62"/>
    </row>
    <row r="756" spans="1:31" x14ac:dyDescent="0.3">
      <c r="A756" s="63"/>
      <c r="B756" s="63"/>
      <c r="C756" s="39"/>
      <c r="D756" s="6"/>
      <c r="E756" s="153"/>
      <c r="F756" s="10"/>
      <c r="G756" s="64"/>
      <c r="H756" s="3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x14ac:dyDescent="0.3">
      <c r="A757" s="63"/>
      <c r="B757" s="63"/>
      <c r="C757" s="39"/>
      <c r="D757" s="6"/>
      <c r="E757" s="153"/>
      <c r="F757" s="10"/>
      <c r="G757" s="64"/>
      <c r="H757" s="3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x14ac:dyDescent="0.3">
      <c r="A758" s="6"/>
      <c r="B758" s="6"/>
      <c r="C758" s="39"/>
      <c r="D758" s="6"/>
      <c r="E758" s="153"/>
      <c r="F758" s="1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21"/>
      <c r="R758" s="21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3.5" customHeight="1" x14ac:dyDescent="0.35">
      <c r="A759" s="49"/>
      <c r="B759" s="49"/>
      <c r="C759" s="14"/>
      <c r="D759" s="1"/>
      <c r="E759" s="153"/>
      <c r="F759" s="10"/>
      <c r="G759" s="21"/>
      <c r="H759" s="21"/>
      <c r="I759" s="21"/>
      <c r="J759" s="21"/>
      <c r="K759" s="21"/>
      <c r="L759" s="21"/>
      <c r="M759" s="21"/>
      <c r="N759" s="22"/>
      <c r="O759" s="21"/>
      <c r="P759" s="22"/>
      <c r="Q759" s="21"/>
      <c r="R759" s="21"/>
      <c r="S759" s="21"/>
      <c r="T759" s="21"/>
      <c r="U759" s="21"/>
      <c r="V759" s="22"/>
      <c r="W759" s="21"/>
      <c r="X759" s="22"/>
      <c r="Y759" s="21"/>
      <c r="Z759" s="21"/>
      <c r="AA759" s="21"/>
      <c r="AB759" s="21"/>
      <c r="AC759" s="26"/>
      <c r="AD759" s="26"/>
      <c r="AE759" s="62"/>
    </row>
    <row r="760" spans="1:31" x14ac:dyDescent="0.3">
      <c r="A760" s="63"/>
      <c r="B760" s="63"/>
      <c r="C760" s="39"/>
      <c r="D760" s="6"/>
      <c r="E760" s="153"/>
      <c r="F760" s="10"/>
      <c r="G760" s="64"/>
      <c r="H760" s="3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x14ac:dyDescent="0.3">
      <c r="A761" s="63"/>
      <c r="B761" s="63"/>
      <c r="C761" s="39"/>
      <c r="D761" s="6"/>
      <c r="E761" s="153"/>
      <c r="F761" s="10"/>
      <c r="G761" s="64"/>
      <c r="H761" s="3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3.5" customHeight="1" x14ac:dyDescent="0.35">
      <c r="A762" s="49"/>
      <c r="B762" s="49"/>
      <c r="C762" s="14"/>
      <c r="D762" s="1"/>
      <c r="E762" s="153"/>
      <c r="F762" s="10"/>
      <c r="G762" s="21"/>
      <c r="H762" s="21"/>
      <c r="I762" s="21"/>
      <c r="J762" s="21"/>
      <c r="K762" s="21"/>
      <c r="L762" s="21"/>
      <c r="M762" s="21"/>
      <c r="N762" s="22"/>
      <c r="O762" s="21"/>
      <c r="P762" s="22"/>
      <c r="Q762" s="21"/>
      <c r="R762" s="21"/>
      <c r="S762" s="21"/>
      <c r="T762" s="21"/>
      <c r="U762" s="21"/>
      <c r="V762" s="22"/>
      <c r="W762" s="21"/>
      <c r="X762" s="22"/>
      <c r="Y762" s="21"/>
      <c r="Z762" s="21"/>
      <c r="AA762" s="21"/>
      <c r="AB762" s="21"/>
      <c r="AC762" s="26"/>
      <c r="AD762" s="26"/>
      <c r="AE762" s="62"/>
    </row>
    <row r="763" spans="1:31" x14ac:dyDescent="0.3">
      <c r="A763" s="63"/>
      <c r="B763" s="63"/>
      <c r="C763" s="39"/>
      <c r="D763" s="6"/>
      <c r="E763" s="153"/>
      <c r="F763" s="10"/>
      <c r="G763" s="64"/>
      <c r="H763" s="3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x14ac:dyDescent="0.3">
      <c r="A764" s="63"/>
      <c r="B764" s="63"/>
      <c r="C764" s="39"/>
      <c r="D764" s="6"/>
      <c r="E764" s="153"/>
      <c r="F764" s="10"/>
      <c r="G764" s="64"/>
      <c r="H764" s="3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.5" customHeight="1" x14ac:dyDescent="0.35">
      <c r="A765" s="49"/>
      <c r="B765" s="49"/>
      <c r="C765" s="14"/>
      <c r="D765" s="1"/>
      <c r="E765" s="153"/>
      <c r="F765" s="10"/>
      <c r="G765" s="21"/>
      <c r="H765" s="21"/>
      <c r="I765" s="21"/>
      <c r="J765" s="21"/>
      <c r="K765" s="21"/>
      <c r="L765" s="21"/>
      <c r="M765" s="21"/>
      <c r="N765" s="22"/>
      <c r="O765" s="21"/>
      <c r="P765" s="22"/>
      <c r="Q765" s="21"/>
      <c r="R765" s="21"/>
      <c r="S765" s="21"/>
      <c r="T765" s="21"/>
      <c r="U765" s="21"/>
      <c r="V765" s="22"/>
      <c r="W765" s="21"/>
      <c r="X765" s="22"/>
      <c r="Y765" s="21"/>
      <c r="Z765" s="21"/>
      <c r="AA765" s="21"/>
      <c r="AB765" s="21"/>
      <c r="AC765" s="26"/>
      <c r="AD765" s="26"/>
      <c r="AE765" s="62"/>
    </row>
    <row r="766" spans="1:31" ht="13.5" customHeight="1" x14ac:dyDescent="0.35">
      <c r="A766" s="49"/>
      <c r="B766" s="49"/>
      <c r="C766" s="14"/>
      <c r="D766" s="1"/>
      <c r="E766" s="153"/>
      <c r="F766" s="10"/>
      <c r="G766" s="21"/>
      <c r="H766" s="21"/>
      <c r="I766" s="21"/>
      <c r="J766" s="21"/>
      <c r="K766" s="21"/>
      <c r="L766" s="21"/>
      <c r="M766" s="21"/>
      <c r="N766" s="22"/>
      <c r="O766" s="21"/>
      <c r="P766" s="22"/>
      <c r="Q766" s="21"/>
      <c r="R766" s="21"/>
      <c r="S766" s="21"/>
      <c r="T766" s="21"/>
      <c r="U766" s="21"/>
      <c r="V766" s="22"/>
      <c r="W766" s="21"/>
      <c r="X766" s="22"/>
      <c r="Y766" s="21"/>
      <c r="Z766" s="21"/>
      <c r="AA766" s="21"/>
      <c r="AB766" s="21"/>
      <c r="AC766" s="26"/>
      <c r="AD766" s="26"/>
      <c r="AE766" s="62"/>
    </row>
    <row r="767" spans="1:31" ht="13.5" customHeight="1" x14ac:dyDescent="0.35">
      <c r="A767" s="49"/>
      <c r="B767" s="49"/>
      <c r="C767" s="14"/>
      <c r="D767" s="1"/>
      <c r="E767" s="153"/>
      <c r="F767" s="10"/>
      <c r="G767" s="21"/>
      <c r="H767" s="21"/>
      <c r="I767" s="21"/>
      <c r="J767" s="21"/>
      <c r="K767" s="21"/>
      <c r="L767" s="21"/>
      <c r="M767" s="21"/>
      <c r="N767" s="22"/>
      <c r="O767" s="21"/>
      <c r="P767" s="22"/>
      <c r="Q767" s="21"/>
      <c r="R767" s="21"/>
      <c r="S767" s="21"/>
      <c r="T767" s="21"/>
      <c r="U767" s="21"/>
      <c r="V767" s="22"/>
      <c r="W767" s="21"/>
      <c r="X767" s="22"/>
      <c r="Y767" s="21"/>
      <c r="Z767" s="21"/>
      <c r="AA767" s="21"/>
      <c r="AB767" s="21"/>
      <c r="AC767" s="26"/>
      <c r="AD767" s="26"/>
      <c r="AE767" s="62"/>
    </row>
    <row r="768" spans="1:31" x14ac:dyDescent="0.3">
      <c r="A768" s="63"/>
      <c r="B768" s="63"/>
      <c r="C768" s="39"/>
      <c r="D768" s="6"/>
      <c r="E768" s="153"/>
      <c r="F768" s="10"/>
      <c r="G768" s="64"/>
      <c r="H768" s="3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x14ac:dyDescent="0.3">
      <c r="A769" s="6"/>
      <c r="B769" s="6"/>
      <c r="C769" s="39"/>
      <c r="D769" s="6"/>
      <c r="E769" s="153"/>
      <c r="F769" s="10"/>
      <c r="G769" s="2"/>
      <c r="H769" s="3"/>
      <c r="I769" s="2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3.5" customHeight="1" x14ac:dyDescent="0.35">
      <c r="A770" s="49"/>
      <c r="B770" s="49"/>
      <c r="C770" s="39"/>
      <c r="D770" s="1"/>
      <c r="E770" s="153"/>
      <c r="F770" s="10"/>
      <c r="G770" s="21"/>
      <c r="H770" s="21"/>
      <c r="I770" s="21"/>
      <c r="J770" s="21"/>
      <c r="K770" s="21"/>
      <c r="L770" s="21"/>
      <c r="M770" s="21"/>
      <c r="N770" s="22"/>
      <c r="O770" s="21"/>
      <c r="P770" s="22"/>
      <c r="Q770" s="21"/>
      <c r="R770" s="21"/>
      <c r="S770" s="21"/>
      <c r="T770" s="21"/>
      <c r="U770" s="21"/>
      <c r="V770" s="22"/>
      <c r="W770" s="21"/>
      <c r="X770" s="22"/>
      <c r="Y770" s="21"/>
      <c r="Z770" s="21"/>
      <c r="AA770" s="21"/>
      <c r="AB770" s="21"/>
      <c r="AC770" s="26"/>
      <c r="AD770" s="26"/>
      <c r="AE770" s="62"/>
    </row>
    <row r="771" spans="1:31" x14ac:dyDescent="0.3">
      <c r="A771" s="6"/>
      <c r="B771" s="6"/>
      <c r="C771" s="39"/>
      <c r="D771" s="6"/>
      <c r="E771" s="153"/>
      <c r="F771" s="1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21"/>
      <c r="R771" s="21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x14ac:dyDescent="0.3">
      <c r="A772" s="6"/>
      <c r="B772" s="6"/>
      <c r="C772" s="39"/>
      <c r="D772" s="6"/>
      <c r="E772" s="153"/>
      <c r="F772" s="1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21"/>
      <c r="R772" s="21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x14ac:dyDescent="0.3">
      <c r="A773" s="6"/>
      <c r="B773" s="6"/>
      <c r="C773" s="39"/>
      <c r="D773" s="6"/>
      <c r="E773" s="153"/>
      <c r="F773" s="1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21"/>
      <c r="R773" s="21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x14ac:dyDescent="0.3">
      <c r="A774" s="6"/>
      <c r="B774" s="6"/>
      <c r="C774" s="39"/>
      <c r="D774" s="6"/>
      <c r="E774" s="153"/>
      <c r="F774" s="1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21"/>
      <c r="R774" s="21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x14ac:dyDescent="0.3">
      <c r="A775" s="6"/>
      <c r="B775" s="6"/>
      <c r="C775" s="39"/>
      <c r="D775" s="6"/>
      <c r="E775" s="153"/>
      <c r="F775" s="1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21"/>
      <c r="R775" s="21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x14ac:dyDescent="0.3">
      <c r="A776" s="63"/>
      <c r="B776" s="63"/>
      <c r="C776" s="39"/>
      <c r="D776" s="6"/>
      <c r="E776" s="153"/>
      <c r="F776" s="10"/>
      <c r="G776" s="64"/>
      <c r="H776" s="3"/>
      <c r="I776" s="2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3.5" customHeight="1" x14ac:dyDescent="0.35">
      <c r="A777" s="49"/>
      <c r="B777" s="49"/>
      <c r="C777" s="14"/>
      <c r="D777" s="1"/>
      <c r="E777" s="153"/>
      <c r="F777" s="10"/>
      <c r="G777" s="21"/>
      <c r="H777" s="21"/>
      <c r="I777" s="21"/>
      <c r="J777" s="21"/>
      <c r="K777" s="21"/>
      <c r="L777" s="21"/>
      <c r="M777" s="21"/>
      <c r="N777" s="22"/>
      <c r="O777" s="21"/>
      <c r="P777" s="22"/>
      <c r="Q777" s="21"/>
      <c r="R777" s="21"/>
      <c r="S777" s="21"/>
      <c r="T777" s="21"/>
      <c r="U777" s="21"/>
      <c r="V777" s="22"/>
      <c r="W777" s="21"/>
      <c r="X777" s="22"/>
      <c r="Y777" s="21"/>
      <c r="Z777" s="21"/>
      <c r="AA777" s="21"/>
      <c r="AB777" s="21"/>
      <c r="AC777" s="26"/>
      <c r="AD777" s="26"/>
      <c r="AE777" s="62"/>
    </row>
    <row r="778" spans="1:31" ht="15" x14ac:dyDescent="0.35">
      <c r="A778" s="6"/>
      <c r="B778" s="6"/>
      <c r="C778" s="39"/>
      <c r="D778" s="6"/>
      <c r="E778" s="153"/>
      <c r="F778" s="1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21"/>
      <c r="R778" s="21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65"/>
    </row>
    <row r="779" spans="1:31" x14ac:dyDescent="0.3">
      <c r="A779" s="6"/>
      <c r="B779" s="6"/>
      <c r="C779" s="39"/>
      <c r="D779" s="6"/>
      <c r="E779" s="153"/>
      <c r="F779" s="1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21"/>
      <c r="R779" s="21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" x14ac:dyDescent="0.35">
      <c r="A780" s="63"/>
      <c r="B780" s="63"/>
      <c r="C780" s="39"/>
      <c r="D780" s="6"/>
      <c r="E780" s="153"/>
      <c r="F780" s="10"/>
      <c r="G780" s="64"/>
      <c r="H780" s="3"/>
      <c r="I780" s="2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65"/>
    </row>
    <row r="781" spans="1:31" x14ac:dyDescent="0.3">
      <c r="A781" s="6"/>
      <c r="B781" s="6"/>
      <c r="C781" s="39"/>
      <c r="D781" s="6"/>
      <c r="E781" s="153"/>
      <c r="F781" s="1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21"/>
      <c r="R781" s="21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x14ac:dyDescent="0.3">
      <c r="A782" s="6"/>
      <c r="B782" s="6"/>
      <c r="C782" s="39"/>
      <c r="D782" s="6"/>
      <c r="E782" s="153"/>
      <c r="F782" s="1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21"/>
      <c r="R782" s="21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3.5" customHeight="1" x14ac:dyDescent="0.35">
      <c r="A783" s="49"/>
      <c r="B783" s="49"/>
      <c r="C783" s="14"/>
      <c r="D783" s="1"/>
      <c r="E783" s="153"/>
      <c r="F783" s="10"/>
      <c r="G783" s="21"/>
      <c r="H783" s="21"/>
      <c r="I783" s="21"/>
      <c r="J783" s="21"/>
      <c r="K783" s="21"/>
      <c r="L783" s="21"/>
      <c r="M783" s="21"/>
      <c r="N783" s="22"/>
      <c r="O783" s="21"/>
      <c r="P783" s="22"/>
      <c r="Q783" s="21"/>
      <c r="R783" s="21"/>
      <c r="S783" s="21"/>
      <c r="T783" s="21"/>
      <c r="U783" s="21"/>
      <c r="V783" s="22"/>
      <c r="W783" s="21"/>
      <c r="X783" s="22"/>
      <c r="Y783" s="21"/>
      <c r="Z783" s="21"/>
      <c r="AA783" s="21"/>
      <c r="AB783" s="21"/>
      <c r="AC783" s="26"/>
      <c r="AD783" s="26"/>
      <c r="AE783" s="62"/>
    </row>
    <row r="784" spans="1:31" x14ac:dyDescent="0.3">
      <c r="A784" s="6"/>
      <c r="B784" s="6"/>
      <c r="C784" s="39"/>
      <c r="D784" s="6"/>
      <c r="E784" s="153"/>
      <c r="F784" s="1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21"/>
      <c r="R784" s="21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3">
      <c r="A785" s="63"/>
      <c r="B785" s="63"/>
      <c r="C785" s="39"/>
      <c r="D785" s="6"/>
      <c r="E785" s="153"/>
      <c r="F785" s="10"/>
      <c r="G785" s="64"/>
      <c r="H785" s="3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x14ac:dyDescent="0.3">
      <c r="A786" s="63"/>
      <c r="B786" s="63"/>
      <c r="C786" s="39"/>
      <c r="D786" s="6"/>
      <c r="E786" s="153"/>
      <c r="F786" s="10"/>
      <c r="G786" s="64"/>
      <c r="H786" s="3"/>
      <c r="I786" s="2"/>
      <c r="J786" s="2"/>
      <c r="K786" s="3"/>
      <c r="L786" s="3"/>
      <c r="M786" s="3"/>
      <c r="N786" s="3"/>
      <c r="O786" s="3"/>
      <c r="P786" s="3"/>
      <c r="Q786" s="21"/>
      <c r="R786" s="21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3.5" customHeight="1" x14ac:dyDescent="0.35">
      <c r="A787" s="49"/>
      <c r="B787" s="49"/>
      <c r="C787" s="14"/>
      <c r="D787" s="1"/>
      <c r="E787" s="153"/>
      <c r="F787" s="10"/>
      <c r="G787" s="21"/>
      <c r="H787" s="21"/>
      <c r="I787" s="21"/>
      <c r="J787" s="21"/>
      <c r="K787" s="21"/>
      <c r="L787" s="21"/>
      <c r="M787" s="21"/>
      <c r="N787" s="22"/>
      <c r="O787" s="21"/>
      <c r="P787" s="22"/>
      <c r="Q787" s="21"/>
      <c r="R787" s="21"/>
      <c r="S787" s="21"/>
      <c r="T787" s="21"/>
      <c r="U787" s="21"/>
      <c r="V787" s="22"/>
      <c r="W787" s="21"/>
      <c r="X787" s="22"/>
      <c r="Y787" s="21"/>
      <c r="Z787" s="21"/>
      <c r="AA787" s="21"/>
      <c r="AB787" s="21"/>
      <c r="AC787" s="26"/>
      <c r="AD787" s="26"/>
      <c r="AE787" s="62"/>
    </row>
    <row r="788" spans="1:31" ht="13.5" customHeight="1" x14ac:dyDescent="0.35">
      <c r="A788" s="49"/>
      <c r="B788" s="49"/>
      <c r="C788" s="14"/>
      <c r="D788" s="1"/>
      <c r="E788" s="153"/>
      <c r="F788" s="10"/>
      <c r="G788" s="21"/>
      <c r="H788" s="21"/>
      <c r="I788" s="21"/>
      <c r="J788" s="21"/>
      <c r="K788" s="21"/>
      <c r="L788" s="21"/>
      <c r="M788" s="21"/>
      <c r="N788" s="22"/>
      <c r="O788" s="21"/>
      <c r="P788" s="22"/>
      <c r="Q788" s="21"/>
      <c r="R788" s="21"/>
      <c r="S788" s="21"/>
      <c r="T788" s="21"/>
      <c r="U788" s="21"/>
      <c r="V788" s="22"/>
      <c r="W788" s="21"/>
      <c r="X788" s="22"/>
      <c r="Y788" s="21"/>
      <c r="Z788" s="21"/>
      <c r="AA788" s="21"/>
      <c r="AB788" s="21"/>
      <c r="AC788" s="26"/>
      <c r="AD788" s="26"/>
      <c r="AE788" s="62"/>
    </row>
    <row r="789" spans="1:31" x14ac:dyDescent="0.3">
      <c r="A789" s="6"/>
      <c r="B789" s="6"/>
      <c r="C789" s="39"/>
      <c r="D789" s="6"/>
      <c r="E789" s="153"/>
      <c r="F789" s="1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21"/>
      <c r="R789" s="21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3">
      <c r="A790" s="6"/>
      <c r="B790" s="6"/>
      <c r="C790" s="39"/>
      <c r="D790" s="6"/>
      <c r="E790" s="153"/>
      <c r="F790" s="1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21"/>
      <c r="R790" s="21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x14ac:dyDescent="0.3">
      <c r="A791" s="63"/>
      <c r="B791" s="63"/>
      <c r="C791" s="39"/>
      <c r="D791" s="6"/>
      <c r="E791" s="153"/>
      <c r="F791" s="10"/>
      <c r="G791" s="64"/>
      <c r="H791" s="3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x14ac:dyDescent="0.3">
      <c r="A792" s="6"/>
      <c r="B792" s="6"/>
      <c r="C792" s="39"/>
      <c r="D792" s="6"/>
      <c r="E792" s="153"/>
      <c r="F792" s="10"/>
      <c r="G792" s="2"/>
      <c r="H792" s="3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.5" customHeight="1" x14ac:dyDescent="0.35">
      <c r="A793" s="49"/>
      <c r="B793" s="49"/>
      <c r="C793" s="14"/>
      <c r="D793" s="1"/>
      <c r="E793" s="153"/>
      <c r="F793" s="10"/>
      <c r="G793" s="21"/>
      <c r="H793" s="21"/>
      <c r="I793" s="21"/>
      <c r="J793" s="21"/>
      <c r="K793" s="21"/>
      <c r="L793" s="21"/>
      <c r="M793" s="21"/>
      <c r="N793" s="22"/>
      <c r="O793" s="21"/>
      <c r="P793" s="22"/>
      <c r="Q793" s="21"/>
      <c r="R793" s="21"/>
      <c r="S793" s="21"/>
      <c r="T793" s="21"/>
      <c r="U793" s="21"/>
      <c r="V793" s="22"/>
      <c r="W793" s="21"/>
      <c r="X793" s="22"/>
      <c r="Y793" s="21"/>
      <c r="Z793" s="21"/>
      <c r="AA793" s="21"/>
      <c r="AB793" s="21"/>
      <c r="AC793" s="26"/>
      <c r="AD793" s="26"/>
      <c r="AE793" s="62"/>
    </row>
    <row r="794" spans="1:31" x14ac:dyDescent="0.3">
      <c r="A794" s="6"/>
      <c r="B794" s="6"/>
      <c r="C794" s="39"/>
      <c r="D794" s="6"/>
      <c r="E794" s="153"/>
      <c r="F794" s="1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21"/>
      <c r="R794" s="21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3">
      <c r="A795" s="6"/>
      <c r="B795" s="6"/>
      <c r="C795" s="39"/>
      <c r="D795" s="6"/>
      <c r="E795" s="153"/>
      <c r="F795" s="1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21"/>
      <c r="R795" s="21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x14ac:dyDescent="0.3">
      <c r="A796" s="6"/>
      <c r="B796" s="6"/>
      <c r="C796" s="39"/>
      <c r="D796" s="6"/>
      <c r="E796" s="153"/>
      <c r="F796" s="10"/>
      <c r="G796" s="2"/>
      <c r="H796" s="3"/>
      <c r="I796" s="2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.5" customHeight="1" x14ac:dyDescent="0.35">
      <c r="A797" s="49"/>
      <c r="B797" s="49"/>
      <c r="C797" s="39"/>
      <c r="D797" s="1"/>
      <c r="E797" s="153"/>
      <c r="F797" s="10"/>
      <c r="G797" s="21"/>
      <c r="H797" s="21"/>
      <c r="I797" s="21"/>
      <c r="J797" s="21"/>
      <c r="K797" s="21"/>
      <c r="L797" s="21"/>
      <c r="M797" s="21"/>
      <c r="N797" s="22"/>
      <c r="O797" s="21"/>
      <c r="P797" s="22"/>
      <c r="Q797" s="21"/>
      <c r="R797" s="21"/>
      <c r="S797" s="21"/>
      <c r="T797" s="21"/>
      <c r="U797" s="21"/>
      <c r="V797" s="22"/>
      <c r="W797" s="21"/>
      <c r="X797" s="22"/>
      <c r="Y797" s="21"/>
      <c r="Z797" s="21"/>
      <c r="AA797" s="21"/>
      <c r="AB797" s="21"/>
      <c r="AC797" s="26"/>
      <c r="AD797" s="26"/>
      <c r="AE797" s="62"/>
    </row>
    <row r="798" spans="1:31" ht="13.5" customHeight="1" x14ac:dyDescent="0.35">
      <c r="A798" s="49"/>
      <c r="B798" s="49"/>
      <c r="C798" s="14"/>
      <c r="D798" s="1"/>
      <c r="E798" s="153"/>
      <c r="F798" s="10"/>
      <c r="G798" s="21"/>
      <c r="H798" s="21"/>
      <c r="I798" s="21"/>
      <c r="J798" s="21"/>
      <c r="K798" s="21"/>
      <c r="L798" s="21"/>
      <c r="M798" s="21"/>
      <c r="N798" s="22"/>
      <c r="O798" s="21"/>
      <c r="P798" s="22"/>
      <c r="Q798" s="21"/>
      <c r="R798" s="21"/>
      <c r="S798" s="21"/>
      <c r="T798" s="21"/>
      <c r="U798" s="21"/>
      <c r="V798" s="22"/>
      <c r="W798" s="21"/>
      <c r="X798" s="22"/>
      <c r="Y798" s="21"/>
      <c r="Z798" s="21"/>
      <c r="AA798" s="21"/>
      <c r="AB798" s="21"/>
      <c r="AC798" s="26"/>
      <c r="AD798" s="26"/>
      <c r="AE798" s="62"/>
    </row>
    <row r="799" spans="1:31" ht="13.5" customHeight="1" x14ac:dyDescent="0.35">
      <c r="A799" s="49"/>
      <c r="B799" s="49"/>
      <c r="C799" s="14"/>
      <c r="D799" s="1"/>
      <c r="E799" s="153"/>
      <c r="F799" s="10"/>
      <c r="G799" s="21"/>
      <c r="H799" s="21"/>
      <c r="I799" s="21"/>
      <c r="J799" s="21"/>
      <c r="K799" s="21"/>
      <c r="L799" s="21"/>
      <c r="M799" s="21"/>
      <c r="N799" s="22"/>
      <c r="O799" s="21"/>
      <c r="P799" s="22"/>
      <c r="Q799" s="21"/>
      <c r="R799" s="21"/>
      <c r="S799" s="21"/>
      <c r="T799" s="21"/>
      <c r="U799" s="21"/>
      <c r="V799" s="22"/>
      <c r="W799" s="21"/>
      <c r="X799" s="22"/>
      <c r="Y799" s="21"/>
      <c r="Z799" s="21"/>
      <c r="AA799" s="21"/>
      <c r="AB799" s="21"/>
      <c r="AC799" s="26"/>
      <c r="AD799" s="26"/>
      <c r="AE799" s="62"/>
    </row>
    <row r="800" spans="1:31" ht="13.5" customHeight="1" x14ac:dyDescent="0.35">
      <c r="A800" s="49"/>
      <c r="B800" s="49"/>
      <c r="C800" s="14"/>
      <c r="D800" s="1"/>
      <c r="E800" s="153"/>
      <c r="F800" s="10"/>
      <c r="G800" s="21"/>
      <c r="H800" s="21"/>
      <c r="I800" s="21"/>
      <c r="J800" s="21"/>
      <c r="K800" s="21"/>
      <c r="L800" s="21"/>
      <c r="M800" s="21"/>
      <c r="N800" s="22"/>
      <c r="O800" s="21"/>
      <c r="P800" s="22"/>
      <c r="Q800" s="21"/>
      <c r="R800" s="21"/>
      <c r="S800" s="21"/>
      <c r="T800" s="21"/>
      <c r="U800" s="21"/>
      <c r="V800" s="22"/>
      <c r="W800" s="21"/>
      <c r="X800" s="22"/>
      <c r="Y800" s="21"/>
      <c r="Z800" s="21"/>
      <c r="AA800" s="21"/>
      <c r="AB800" s="21"/>
      <c r="AC800" s="26"/>
      <c r="AD800" s="26"/>
      <c r="AE800" s="62"/>
    </row>
    <row r="801" spans="1:31" x14ac:dyDescent="0.3">
      <c r="A801" s="63"/>
      <c r="B801" s="63"/>
      <c r="C801" s="39"/>
      <c r="D801" s="6"/>
      <c r="E801" s="153"/>
      <c r="F801" s="10"/>
      <c r="G801" s="64"/>
      <c r="H801" s="3"/>
      <c r="I801" s="2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x14ac:dyDescent="0.3">
      <c r="A802" s="6"/>
      <c r="B802" s="6"/>
      <c r="C802" s="39"/>
      <c r="D802" s="6"/>
      <c r="E802" s="153"/>
      <c r="F802" s="1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21"/>
      <c r="R802" s="21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x14ac:dyDescent="0.3">
      <c r="A803" s="6"/>
      <c r="B803" s="6"/>
      <c r="C803" s="39"/>
      <c r="D803" s="6"/>
      <c r="E803" s="153"/>
      <c r="F803" s="1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21"/>
      <c r="R803" s="21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.5" customHeight="1" x14ac:dyDescent="0.35">
      <c r="A804" s="49"/>
      <c r="B804" s="49"/>
      <c r="C804" s="14"/>
      <c r="D804" s="1"/>
      <c r="E804" s="153"/>
      <c r="F804" s="10"/>
      <c r="G804" s="21"/>
      <c r="H804" s="21"/>
      <c r="I804" s="21"/>
      <c r="J804" s="21"/>
      <c r="K804" s="21"/>
      <c r="L804" s="21"/>
      <c r="M804" s="21"/>
      <c r="N804" s="22"/>
      <c r="O804" s="21"/>
      <c r="P804" s="22"/>
      <c r="Q804" s="21"/>
      <c r="R804" s="21"/>
      <c r="S804" s="21"/>
      <c r="T804" s="21"/>
      <c r="U804" s="21"/>
      <c r="V804" s="22"/>
      <c r="W804" s="21"/>
      <c r="X804" s="22"/>
      <c r="Y804" s="21"/>
      <c r="Z804" s="21"/>
      <c r="AA804" s="21"/>
      <c r="AB804" s="21"/>
      <c r="AC804" s="26"/>
      <c r="AD804" s="26"/>
      <c r="AE804" s="62"/>
    </row>
    <row r="805" spans="1:31" x14ac:dyDescent="0.3">
      <c r="A805" s="6"/>
      <c r="B805" s="6"/>
      <c r="C805" s="39"/>
      <c r="D805" s="6"/>
      <c r="E805" s="153"/>
      <c r="F805" s="1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21"/>
      <c r="R805" s="21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.5" customHeight="1" x14ac:dyDescent="0.35">
      <c r="A806" s="49"/>
      <c r="B806" s="49"/>
      <c r="C806" s="14"/>
      <c r="D806" s="1"/>
      <c r="E806" s="153"/>
      <c r="F806" s="10"/>
      <c r="G806" s="21"/>
      <c r="H806" s="21"/>
      <c r="I806" s="21"/>
      <c r="J806" s="21"/>
      <c r="K806" s="21"/>
      <c r="L806" s="21"/>
      <c r="M806" s="21"/>
      <c r="N806" s="22"/>
      <c r="O806" s="21"/>
      <c r="P806" s="22"/>
      <c r="Q806" s="21"/>
      <c r="R806" s="21"/>
      <c r="S806" s="21"/>
      <c r="T806" s="21"/>
      <c r="U806" s="21"/>
      <c r="V806" s="22"/>
      <c r="W806" s="21"/>
      <c r="X806" s="22"/>
      <c r="Y806" s="21"/>
      <c r="Z806" s="21"/>
      <c r="AA806" s="21"/>
      <c r="AB806" s="21"/>
      <c r="AC806" s="26"/>
      <c r="AD806" s="26"/>
      <c r="AE806" s="62"/>
    </row>
    <row r="807" spans="1:31" x14ac:dyDescent="0.3">
      <c r="A807" s="63"/>
      <c r="B807" s="63"/>
      <c r="C807" s="39"/>
      <c r="D807" s="6"/>
      <c r="E807" s="153"/>
      <c r="F807" s="10"/>
      <c r="G807" s="64"/>
      <c r="H807" s="3"/>
      <c r="I807" s="2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x14ac:dyDescent="0.3">
      <c r="A808" s="6"/>
      <c r="B808" s="6"/>
      <c r="C808" s="39"/>
      <c r="D808" s="6"/>
      <c r="E808" s="153"/>
      <c r="F808" s="1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21"/>
      <c r="R808" s="21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x14ac:dyDescent="0.3">
      <c r="A809" s="6"/>
      <c r="B809" s="6"/>
      <c r="C809" s="39"/>
      <c r="D809" s="6"/>
      <c r="E809" s="153"/>
      <c r="F809" s="1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21"/>
      <c r="R809" s="21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3">
      <c r="A810" s="6"/>
      <c r="B810" s="6"/>
      <c r="C810" s="39"/>
      <c r="D810" s="6"/>
      <c r="E810" s="153"/>
      <c r="F810" s="1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21"/>
      <c r="R810" s="21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.5" customHeight="1" x14ac:dyDescent="0.35">
      <c r="A811" s="49"/>
      <c r="B811" s="49"/>
      <c r="C811" s="14"/>
      <c r="D811" s="1"/>
      <c r="E811" s="153"/>
      <c r="F811" s="10"/>
      <c r="G811" s="21"/>
      <c r="H811" s="21"/>
      <c r="I811" s="21"/>
      <c r="J811" s="21"/>
      <c r="K811" s="21"/>
      <c r="L811" s="21"/>
      <c r="M811" s="21"/>
      <c r="N811" s="22"/>
      <c r="O811" s="21"/>
      <c r="P811" s="22"/>
      <c r="Q811" s="21"/>
      <c r="R811" s="21"/>
      <c r="S811" s="21"/>
      <c r="T811" s="21"/>
      <c r="U811" s="21"/>
      <c r="V811" s="22"/>
      <c r="W811" s="21"/>
      <c r="X811" s="22"/>
      <c r="Y811" s="21"/>
      <c r="Z811" s="21"/>
      <c r="AA811" s="21"/>
      <c r="AB811" s="21"/>
      <c r="AC811" s="26"/>
      <c r="AD811" s="26"/>
      <c r="AE811" s="62"/>
    </row>
    <row r="812" spans="1:31" x14ac:dyDescent="0.3">
      <c r="A812" s="6"/>
      <c r="B812" s="6"/>
      <c r="C812" s="39"/>
      <c r="D812" s="6"/>
      <c r="E812" s="153"/>
      <c r="F812" s="1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21"/>
      <c r="R812" s="21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x14ac:dyDescent="0.3">
      <c r="A813" s="6"/>
      <c r="B813" s="6"/>
      <c r="C813" s="39"/>
      <c r="D813" s="6"/>
      <c r="E813" s="153"/>
      <c r="F813" s="1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21"/>
      <c r="R813" s="21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x14ac:dyDescent="0.3">
      <c r="A814" s="6"/>
      <c r="B814" s="6"/>
      <c r="C814" s="39"/>
      <c r="D814" s="6"/>
      <c r="E814" s="153"/>
      <c r="F814" s="10"/>
      <c r="G814" s="2"/>
      <c r="H814" s="3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.5" customHeight="1" x14ac:dyDescent="0.35">
      <c r="A815" s="49"/>
      <c r="B815" s="49"/>
      <c r="C815" s="39"/>
      <c r="D815" s="1"/>
      <c r="E815" s="153"/>
      <c r="F815" s="10"/>
      <c r="G815" s="21"/>
      <c r="H815" s="21"/>
      <c r="I815" s="21"/>
      <c r="J815" s="21"/>
      <c r="K815" s="21"/>
      <c r="L815" s="21"/>
      <c r="M815" s="21"/>
      <c r="N815" s="22"/>
      <c r="O815" s="21"/>
      <c r="P815" s="22"/>
      <c r="Q815" s="21"/>
      <c r="R815" s="21"/>
      <c r="S815" s="21"/>
      <c r="T815" s="21"/>
      <c r="U815" s="21"/>
      <c r="V815" s="22"/>
      <c r="W815" s="21"/>
      <c r="X815" s="22"/>
      <c r="Y815" s="21"/>
      <c r="Z815" s="21"/>
      <c r="AA815" s="21"/>
      <c r="AB815" s="21"/>
      <c r="AC815" s="26"/>
      <c r="AD815" s="26"/>
      <c r="AE815" s="62"/>
    </row>
    <row r="816" spans="1:31" x14ac:dyDescent="0.3">
      <c r="A816" s="6"/>
      <c r="B816" s="6"/>
      <c r="C816" s="39"/>
      <c r="D816" s="6"/>
      <c r="E816" s="153"/>
      <c r="F816" s="1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21"/>
      <c r="R816" s="21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3">
      <c r="A817" s="63"/>
      <c r="B817" s="63"/>
      <c r="C817" s="39"/>
      <c r="D817" s="6"/>
      <c r="E817" s="153"/>
      <c r="F817" s="10"/>
      <c r="G817" s="64"/>
      <c r="H817" s="3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.5" customHeight="1" x14ac:dyDescent="0.35">
      <c r="A818" s="49"/>
      <c r="B818" s="49"/>
      <c r="C818" s="14"/>
      <c r="D818" s="1"/>
      <c r="E818" s="153"/>
      <c r="F818" s="10"/>
      <c r="G818" s="21"/>
      <c r="H818" s="21"/>
      <c r="I818" s="21"/>
      <c r="J818" s="21"/>
      <c r="K818" s="21"/>
      <c r="L818" s="21"/>
      <c r="M818" s="21"/>
      <c r="N818" s="22"/>
      <c r="O818" s="21"/>
      <c r="P818" s="22"/>
      <c r="Q818" s="21"/>
      <c r="R818" s="21"/>
      <c r="S818" s="21"/>
      <c r="T818" s="21"/>
      <c r="U818" s="21"/>
      <c r="V818" s="22"/>
      <c r="W818" s="21"/>
      <c r="X818" s="22"/>
      <c r="Y818" s="21"/>
      <c r="Z818" s="21"/>
      <c r="AA818" s="21"/>
      <c r="AB818" s="21"/>
      <c r="AC818" s="26"/>
      <c r="AD818" s="26"/>
      <c r="AE818" s="62"/>
    </row>
    <row r="819" spans="1:31" ht="13.5" customHeight="1" x14ac:dyDescent="0.35">
      <c r="A819" s="49"/>
      <c r="B819" s="49"/>
      <c r="C819" s="14"/>
      <c r="D819" s="1"/>
      <c r="E819" s="153"/>
      <c r="F819" s="10"/>
      <c r="G819" s="21"/>
      <c r="H819" s="21"/>
      <c r="I819" s="21"/>
      <c r="J819" s="21"/>
      <c r="K819" s="21"/>
      <c r="L819" s="21"/>
      <c r="M819" s="21"/>
      <c r="N819" s="22"/>
      <c r="O819" s="21"/>
      <c r="P819" s="22"/>
      <c r="Q819" s="21"/>
      <c r="R819" s="21"/>
      <c r="S819" s="21"/>
      <c r="T819" s="21"/>
      <c r="U819" s="21"/>
      <c r="V819" s="22"/>
      <c r="W819" s="21"/>
      <c r="X819" s="22"/>
      <c r="Y819" s="21"/>
      <c r="Z819" s="21"/>
      <c r="AA819" s="21"/>
      <c r="AB819" s="21"/>
      <c r="AC819" s="26"/>
      <c r="AD819" s="26"/>
      <c r="AE819" s="62"/>
    </row>
    <row r="820" spans="1:31" ht="13.5" customHeight="1" x14ac:dyDescent="0.35">
      <c r="A820" s="49"/>
      <c r="B820" s="49"/>
      <c r="C820" s="14"/>
      <c r="D820" s="1"/>
      <c r="E820" s="153"/>
      <c r="F820" s="10"/>
      <c r="G820" s="21"/>
      <c r="H820" s="21"/>
      <c r="I820" s="21"/>
      <c r="J820" s="21"/>
      <c r="K820" s="21"/>
      <c r="L820" s="21"/>
      <c r="M820" s="21"/>
      <c r="N820" s="22"/>
      <c r="O820" s="21"/>
      <c r="P820" s="22"/>
      <c r="Q820" s="21"/>
      <c r="R820" s="21"/>
      <c r="S820" s="21"/>
      <c r="T820" s="21"/>
      <c r="U820" s="21"/>
      <c r="V820" s="22"/>
      <c r="W820" s="21"/>
      <c r="X820" s="22"/>
      <c r="Y820" s="21"/>
      <c r="Z820" s="21"/>
      <c r="AA820" s="21"/>
      <c r="AB820" s="21"/>
      <c r="AC820" s="26"/>
      <c r="AD820" s="26"/>
      <c r="AE820" s="62"/>
    </row>
    <row r="821" spans="1:31" x14ac:dyDescent="0.3">
      <c r="A821" s="6"/>
      <c r="B821" s="6"/>
      <c r="C821" s="39"/>
      <c r="D821" s="6"/>
      <c r="E821" s="153"/>
      <c r="F821" s="1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21"/>
      <c r="R821" s="21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.5" customHeight="1" x14ac:dyDescent="0.35">
      <c r="A822" s="49"/>
      <c r="B822" s="49"/>
      <c r="C822" s="14"/>
      <c r="D822" s="1"/>
      <c r="E822" s="153"/>
      <c r="F822" s="10"/>
      <c r="G822" s="21"/>
      <c r="H822" s="21"/>
      <c r="I822" s="21"/>
      <c r="J822" s="21"/>
      <c r="K822" s="21"/>
      <c r="L822" s="21"/>
      <c r="M822" s="21"/>
      <c r="N822" s="22"/>
      <c r="O822" s="21"/>
      <c r="P822" s="22"/>
      <c r="Q822" s="21"/>
      <c r="R822" s="21"/>
      <c r="S822" s="21"/>
      <c r="T822" s="21"/>
      <c r="U822" s="21"/>
      <c r="V822" s="22"/>
      <c r="W822" s="21"/>
      <c r="X822" s="22"/>
      <c r="Y822" s="21"/>
      <c r="Z822" s="21"/>
      <c r="AA822" s="21"/>
      <c r="AB822" s="21"/>
      <c r="AC822" s="26"/>
      <c r="AD822" s="26"/>
      <c r="AE822" s="62"/>
    </row>
    <row r="823" spans="1:31" ht="13.5" customHeight="1" x14ac:dyDescent="0.35">
      <c r="A823" s="49"/>
      <c r="B823" s="49"/>
      <c r="C823" s="39"/>
      <c r="D823" s="1"/>
      <c r="E823" s="153"/>
      <c r="F823" s="10"/>
      <c r="G823" s="21"/>
      <c r="H823" s="21"/>
      <c r="I823" s="21"/>
      <c r="J823" s="21"/>
      <c r="K823" s="21"/>
      <c r="L823" s="21"/>
      <c r="M823" s="21"/>
      <c r="N823" s="22"/>
      <c r="O823" s="21"/>
      <c r="P823" s="22"/>
      <c r="Q823" s="21"/>
      <c r="R823" s="21"/>
      <c r="S823" s="21"/>
      <c r="T823" s="21"/>
      <c r="U823" s="21"/>
      <c r="V823" s="22"/>
      <c r="W823" s="21"/>
      <c r="X823" s="22"/>
      <c r="Y823" s="21"/>
      <c r="Z823" s="21"/>
      <c r="AA823" s="21"/>
      <c r="AB823" s="21"/>
      <c r="AC823" s="26"/>
      <c r="AD823" s="26"/>
      <c r="AE823" s="62"/>
    </row>
    <row r="824" spans="1:31" x14ac:dyDescent="0.3">
      <c r="A824" s="6"/>
      <c r="B824" s="6"/>
      <c r="C824" s="39"/>
      <c r="D824" s="6"/>
      <c r="E824" s="153"/>
      <c r="F824" s="1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21"/>
      <c r="R824" s="21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.5" customHeight="1" x14ac:dyDescent="0.35">
      <c r="A825" s="49"/>
      <c r="B825" s="49"/>
      <c r="C825" s="14"/>
      <c r="D825" s="1"/>
      <c r="E825" s="153"/>
      <c r="F825" s="10"/>
      <c r="G825" s="21"/>
      <c r="H825" s="21"/>
      <c r="I825" s="21"/>
      <c r="J825" s="21"/>
      <c r="K825" s="21"/>
      <c r="L825" s="21"/>
      <c r="M825" s="21"/>
      <c r="N825" s="22"/>
      <c r="O825" s="21"/>
      <c r="P825" s="22"/>
      <c r="Q825" s="21"/>
      <c r="R825" s="21"/>
      <c r="S825" s="21"/>
      <c r="T825" s="21"/>
      <c r="U825" s="21"/>
      <c r="V825" s="22"/>
      <c r="W825" s="21"/>
      <c r="X825" s="22"/>
      <c r="Y825" s="21"/>
      <c r="Z825" s="21"/>
      <c r="AA825" s="21"/>
      <c r="AB825" s="21"/>
      <c r="AC825" s="26"/>
      <c r="AD825" s="26"/>
      <c r="AE825" s="62"/>
    </row>
    <row r="826" spans="1:31" ht="13.5" customHeight="1" x14ac:dyDescent="0.35">
      <c r="A826" s="49"/>
      <c r="B826" s="49"/>
      <c r="C826" s="14"/>
      <c r="D826" s="1"/>
      <c r="E826" s="153"/>
      <c r="F826" s="10"/>
      <c r="G826" s="21"/>
      <c r="H826" s="21"/>
      <c r="I826" s="21"/>
      <c r="J826" s="21"/>
      <c r="K826" s="21"/>
      <c r="L826" s="21"/>
      <c r="M826" s="21"/>
      <c r="N826" s="22"/>
      <c r="O826" s="21"/>
      <c r="P826" s="22"/>
      <c r="Q826" s="21"/>
      <c r="R826" s="21"/>
      <c r="S826" s="21"/>
      <c r="T826" s="21"/>
      <c r="U826" s="21"/>
      <c r="V826" s="22"/>
      <c r="W826" s="21"/>
      <c r="X826" s="22"/>
      <c r="Y826" s="21"/>
      <c r="Z826" s="21"/>
      <c r="AA826" s="21"/>
      <c r="AB826" s="21"/>
      <c r="AC826" s="26"/>
      <c r="AD826" s="26"/>
      <c r="AE826" s="62"/>
    </row>
    <row r="827" spans="1:31" x14ac:dyDescent="0.3">
      <c r="A827" s="63"/>
      <c r="B827" s="63"/>
      <c r="C827" s="39"/>
      <c r="D827" s="6"/>
      <c r="E827" s="153"/>
      <c r="F827" s="10"/>
      <c r="G827" s="64"/>
      <c r="H827" s="3"/>
      <c r="I827" s="2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.5" customHeight="1" x14ac:dyDescent="0.35">
      <c r="A828" s="49"/>
      <c r="B828" s="49"/>
      <c r="C828" s="39"/>
      <c r="D828" s="1"/>
      <c r="E828" s="153"/>
      <c r="F828" s="10"/>
      <c r="G828" s="21"/>
      <c r="H828" s="21"/>
      <c r="I828" s="21"/>
      <c r="J828" s="21"/>
      <c r="K828" s="21"/>
      <c r="L828" s="21"/>
      <c r="M828" s="21"/>
      <c r="N828" s="22"/>
      <c r="O828" s="21"/>
      <c r="P828" s="22"/>
      <c r="Q828" s="21"/>
      <c r="R828" s="21"/>
      <c r="S828" s="21"/>
      <c r="T828" s="21"/>
      <c r="U828" s="21"/>
      <c r="V828" s="22"/>
      <c r="W828" s="21"/>
      <c r="X828" s="22"/>
      <c r="Y828" s="21"/>
      <c r="Z828" s="21"/>
      <c r="AA828" s="21"/>
      <c r="AB828" s="21"/>
      <c r="AC828" s="26"/>
      <c r="AD828" s="26"/>
      <c r="AE828" s="62"/>
    </row>
    <row r="829" spans="1:31" ht="13.5" customHeight="1" x14ac:dyDescent="0.35">
      <c r="A829" s="49"/>
      <c r="B829" s="49"/>
      <c r="C829" s="14"/>
      <c r="D829" s="1"/>
      <c r="E829" s="153"/>
      <c r="F829" s="10"/>
      <c r="G829" s="21"/>
      <c r="H829" s="21"/>
      <c r="I829" s="21"/>
      <c r="J829" s="21"/>
      <c r="K829" s="21"/>
      <c r="L829" s="21"/>
      <c r="M829" s="21"/>
      <c r="N829" s="22"/>
      <c r="O829" s="21"/>
      <c r="P829" s="22"/>
      <c r="Q829" s="21"/>
      <c r="R829" s="21"/>
      <c r="S829" s="21"/>
      <c r="T829" s="21"/>
      <c r="U829" s="21"/>
      <c r="V829" s="22"/>
      <c r="W829" s="21"/>
      <c r="X829" s="22"/>
      <c r="Y829" s="21"/>
      <c r="Z829" s="21"/>
      <c r="AA829" s="21"/>
      <c r="AB829" s="21"/>
      <c r="AC829" s="26"/>
      <c r="AD829" s="26"/>
      <c r="AE829" s="62"/>
    </row>
    <row r="830" spans="1:31" x14ac:dyDescent="0.3">
      <c r="A830" s="6"/>
      <c r="B830" s="6"/>
      <c r="C830" s="39"/>
      <c r="D830" s="6"/>
      <c r="E830" s="153"/>
      <c r="F830" s="10"/>
      <c r="G830" s="2"/>
      <c r="H830" s="3"/>
      <c r="I830" s="2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12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x14ac:dyDescent="0.3">
      <c r="A831" s="6"/>
      <c r="B831" s="6"/>
      <c r="C831" s="39"/>
      <c r="D831" s="6"/>
      <c r="E831" s="153"/>
      <c r="F831" s="10"/>
      <c r="G831" s="2"/>
      <c r="H831" s="3"/>
      <c r="I831" s="2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x14ac:dyDescent="0.3">
      <c r="A832" s="6"/>
      <c r="B832" s="6"/>
      <c r="C832" s="39"/>
      <c r="D832" s="6"/>
      <c r="E832" s="153"/>
      <c r="F832" s="1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21"/>
      <c r="R832" s="21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x14ac:dyDescent="0.3">
      <c r="A833" s="63"/>
      <c r="B833" s="63"/>
      <c r="C833" s="39"/>
      <c r="D833" s="6"/>
      <c r="E833" s="153"/>
      <c r="F833" s="10"/>
      <c r="G833" s="64"/>
      <c r="H833" s="3"/>
      <c r="I833" s="2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.5" customHeight="1" x14ac:dyDescent="0.35">
      <c r="A834" s="49"/>
      <c r="B834" s="49"/>
      <c r="C834" s="14"/>
      <c r="D834" s="1"/>
      <c r="E834" s="153"/>
      <c r="F834" s="10"/>
      <c r="G834" s="21"/>
      <c r="H834" s="21"/>
      <c r="I834" s="21"/>
      <c r="J834" s="21"/>
      <c r="K834" s="21"/>
      <c r="L834" s="21"/>
      <c r="M834" s="21"/>
      <c r="N834" s="22"/>
      <c r="O834" s="21"/>
      <c r="P834" s="22"/>
      <c r="Q834" s="21"/>
      <c r="R834" s="21"/>
      <c r="S834" s="21"/>
      <c r="T834" s="21"/>
      <c r="U834" s="21"/>
      <c r="V834" s="22"/>
      <c r="W834" s="21"/>
      <c r="X834" s="22"/>
      <c r="Y834" s="21"/>
      <c r="Z834" s="21"/>
      <c r="AA834" s="21"/>
      <c r="AB834" s="21"/>
      <c r="AC834" s="26"/>
      <c r="AD834" s="26"/>
      <c r="AE834" s="62"/>
    </row>
    <row r="835" spans="1:31" ht="13.5" customHeight="1" x14ac:dyDescent="0.35">
      <c r="A835" s="49"/>
      <c r="B835" s="49"/>
      <c r="C835" s="14"/>
      <c r="D835" s="1"/>
      <c r="E835" s="153"/>
      <c r="F835" s="10"/>
      <c r="G835" s="21"/>
      <c r="H835" s="21"/>
      <c r="I835" s="21"/>
      <c r="J835" s="21"/>
      <c r="K835" s="21"/>
      <c r="L835" s="21"/>
      <c r="M835" s="21"/>
      <c r="N835" s="22"/>
      <c r="O835" s="21"/>
      <c r="P835" s="22"/>
      <c r="Q835" s="21"/>
      <c r="R835" s="21"/>
      <c r="S835" s="21"/>
      <c r="T835" s="21"/>
      <c r="U835" s="21"/>
      <c r="V835" s="22"/>
      <c r="W835" s="21"/>
      <c r="X835" s="22"/>
      <c r="Y835" s="21"/>
      <c r="Z835" s="21"/>
      <c r="AA835" s="21"/>
      <c r="AB835" s="21"/>
      <c r="AC835" s="26"/>
      <c r="AD835" s="26"/>
      <c r="AE835" s="62"/>
    </row>
    <row r="836" spans="1:31" x14ac:dyDescent="0.3">
      <c r="A836" s="63"/>
      <c r="B836" s="63"/>
      <c r="C836" s="39"/>
      <c r="D836" s="6"/>
      <c r="E836" s="153"/>
      <c r="F836" s="10"/>
      <c r="G836" s="64"/>
      <c r="H836" s="3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3.5" customHeight="1" x14ac:dyDescent="0.35">
      <c r="A837" s="49"/>
      <c r="B837" s="49"/>
      <c r="C837" s="39"/>
      <c r="D837" s="1"/>
      <c r="E837" s="153"/>
      <c r="F837" s="10"/>
      <c r="G837" s="21"/>
      <c r="H837" s="21"/>
      <c r="I837" s="21"/>
      <c r="J837" s="21"/>
      <c r="K837" s="21"/>
      <c r="L837" s="21"/>
      <c r="M837" s="21"/>
      <c r="N837" s="22"/>
      <c r="O837" s="21"/>
      <c r="P837" s="22"/>
      <c r="Q837" s="21"/>
      <c r="R837" s="21"/>
      <c r="S837" s="21"/>
      <c r="T837" s="21"/>
      <c r="U837" s="21"/>
      <c r="V837" s="22"/>
      <c r="W837" s="21"/>
      <c r="X837" s="22"/>
      <c r="Y837" s="21"/>
      <c r="Z837" s="21"/>
      <c r="AA837" s="21"/>
      <c r="AB837" s="21"/>
      <c r="AC837" s="26"/>
      <c r="AD837" s="26"/>
      <c r="AE837" s="62"/>
    </row>
    <row r="838" spans="1:31" ht="13.5" customHeight="1" x14ac:dyDescent="0.35">
      <c r="A838" s="49"/>
      <c r="B838" s="49"/>
      <c r="C838" s="14"/>
      <c r="D838" s="1"/>
      <c r="E838" s="153"/>
      <c r="F838" s="10"/>
      <c r="G838" s="21"/>
      <c r="H838" s="21"/>
      <c r="I838" s="21"/>
      <c r="J838" s="21"/>
      <c r="K838" s="21"/>
      <c r="L838" s="21"/>
      <c r="M838" s="21"/>
      <c r="N838" s="22"/>
      <c r="O838" s="21"/>
      <c r="P838" s="22"/>
      <c r="Q838" s="21"/>
      <c r="R838" s="21"/>
      <c r="S838" s="21"/>
      <c r="T838" s="21"/>
      <c r="U838" s="21"/>
      <c r="V838" s="22"/>
      <c r="W838" s="21"/>
      <c r="X838" s="22"/>
      <c r="Y838" s="21"/>
      <c r="Z838" s="21"/>
      <c r="AA838" s="21"/>
      <c r="AB838" s="21"/>
      <c r="AC838" s="26"/>
      <c r="AD838" s="26"/>
      <c r="AE838" s="62"/>
    </row>
    <row r="839" spans="1:31" x14ac:dyDescent="0.3">
      <c r="A839" s="6"/>
      <c r="B839" s="6"/>
      <c r="C839" s="39"/>
      <c r="D839" s="6"/>
      <c r="E839" s="153"/>
      <c r="F839" s="1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21"/>
      <c r="R839" s="21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.5" customHeight="1" x14ac:dyDescent="0.35">
      <c r="A840" s="49"/>
      <c r="B840" s="49"/>
      <c r="C840" s="14"/>
      <c r="D840" s="1"/>
      <c r="E840" s="153"/>
      <c r="F840" s="10"/>
      <c r="G840" s="21"/>
      <c r="H840" s="21"/>
      <c r="I840" s="21"/>
      <c r="J840" s="21"/>
      <c r="K840" s="21"/>
      <c r="L840" s="21"/>
      <c r="M840" s="21"/>
      <c r="N840" s="22"/>
      <c r="O840" s="21"/>
      <c r="P840" s="22"/>
      <c r="Q840" s="21"/>
      <c r="R840" s="21"/>
      <c r="S840" s="21"/>
      <c r="T840" s="21"/>
      <c r="U840" s="21"/>
      <c r="V840" s="22"/>
      <c r="W840" s="21"/>
      <c r="X840" s="22"/>
      <c r="Y840" s="21"/>
      <c r="Z840" s="21"/>
      <c r="AA840" s="21"/>
      <c r="AB840" s="21"/>
      <c r="AC840" s="26"/>
      <c r="AD840" s="26"/>
      <c r="AE840" s="62"/>
    </row>
    <row r="841" spans="1:31" ht="13.5" customHeight="1" x14ac:dyDescent="0.35">
      <c r="A841" s="49"/>
      <c r="B841" s="49"/>
      <c r="C841" s="39"/>
      <c r="D841" s="1"/>
      <c r="E841" s="153"/>
      <c r="F841" s="10"/>
      <c r="G841" s="21"/>
      <c r="H841" s="21"/>
      <c r="I841" s="21"/>
      <c r="J841" s="21"/>
      <c r="K841" s="21"/>
      <c r="L841" s="21"/>
      <c r="M841" s="21"/>
      <c r="N841" s="22"/>
      <c r="O841" s="21"/>
      <c r="P841" s="22"/>
      <c r="Q841" s="21"/>
      <c r="R841" s="21"/>
      <c r="S841" s="21"/>
      <c r="T841" s="21"/>
      <c r="U841" s="21"/>
      <c r="V841" s="22"/>
      <c r="W841" s="21"/>
      <c r="X841" s="22"/>
      <c r="Y841" s="21"/>
      <c r="Z841" s="21"/>
      <c r="AA841" s="21"/>
      <c r="AB841" s="21"/>
      <c r="AC841" s="26"/>
      <c r="AD841" s="26"/>
      <c r="AE841" s="65"/>
    </row>
    <row r="842" spans="1:31" x14ac:dyDescent="0.3">
      <c r="A842" s="6"/>
      <c r="B842" s="6"/>
      <c r="C842" s="39"/>
      <c r="D842" s="6"/>
      <c r="E842" s="153"/>
      <c r="F842" s="10"/>
      <c r="G842" s="2"/>
      <c r="H842" s="3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.5" customHeight="1" x14ac:dyDescent="0.35">
      <c r="A843" s="49"/>
      <c r="B843" s="49"/>
      <c r="C843" s="14"/>
      <c r="D843" s="1"/>
      <c r="E843" s="153"/>
      <c r="F843" s="10"/>
      <c r="G843" s="21"/>
      <c r="H843" s="21"/>
      <c r="I843" s="21"/>
      <c r="J843" s="21"/>
      <c r="K843" s="21"/>
      <c r="L843" s="21"/>
      <c r="M843" s="21"/>
      <c r="N843" s="22"/>
      <c r="O843" s="21"/>
      <c r="P843" s="22"/>
      <c r="Q843" s="21"/>
      <c r="R843" s="21"/>
      <c r="S843" s="21"/>
      <c r="T843" s="21"/>
      <c r="U843" s="21"/>
      <c r="V843" s="22"/>
      <c r="W843" s="21"/>
      <c r="X843" s="22"/>
      <c r="Y843" s="21"/>
      <c r="Z843" s="21"/>
      <c r="AA843" s="21"/>
      <c r="AB843" s="21"/>
      <c r="AC843" s="26"/>
      <c r="AD843" s="26"/>
      <c r="AE843" s="62"/>
    </row>
    <row r="844" spans="1:31" x14ac:dyDescent="0.3">
      <c r="A844" s="6"/>
      <c r="B844" s="6"/>
      <c r="C844" s="39"/>
      <c r="D844" s="6"/>
      <c r="E844" s="153"/>
      <c r="F844" s="1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21"/>
      <c r="R844" s="21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x14ac:dyDescent="0.3">
      <c r="A845" s="63"/>
      <c r="B845" s="63"/>
      <c r="C845" s="39"/>
      <c r="D845" s="6"/>
      <c r="E845" s="153"/>
      <c r="F845" s="10"/>
      <c r="G845" s="64"/>
      <c r="H845" s="3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x14ac:dyDescent="0.3">
      <c r="A846" s="6"/>
      <c r="B846" s="6"/>
      <c r="C846" s="39"/>
      <c r="D846" s="6"/>
      <c r="E846" s="153"/>
      <c r="F846" s="1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21"/>
      <c r="R846" s="21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3.5" customHeight="1" x14ac:dyDescent="0.35">
      <c r="A847" s="49"/>
      <c r="B847" s="49"/>
      <c r="C847" s="14"/>
      <c r="D847" s="1"/>
      <c r="E847" s="153"/>
      <c r="F847" s="10"/>
      <c r="G847" s="21"/>
      <c r="H847" s="21"/>
      <c r="I847" s="21"/>
      <c r="J847" s="21"/>
      <c r="K847" s="21"/>
      <c r="L847" s="21"/>
      <c r="M847" s="21"/>
      <c r="N847" s="22"/>
      <c r="O847" s="21"/>
      <c r="P847" s="22"/>
      <c r="Q847" s="21"/>
      <c r="R847" s="21"/>
      <c r="S847" s="21"/>
      <c r="T847" s="21"/>
      <c r="U847" s="21"/>
      <c r="V847" s="22"/>
      <c r="W847" s="21"/>
      <c r="X847" s="22"/>
      <c r="Y847" s="21"/>
      <c r="Z847" s="21"/>
      <c r="AA847" s="21"/>
      <c r="AB847" s="21"/>
      <c r="AC847" s="26"/>
      <c r="AD847" s="26"/>
      <c r="AE847" s="62"/>
    </row>
    <row r="848" spans="1:31" x14ac:dyDescent="0.3">
      <c r="A848" s="63"/>
      <c r="B848" s="63"/>
      <c r="C848" s="39"/>
      <c r="D848" s="6"/>
      <c r="E848" s="153"/>
      <c r="F848" s="10"/>
      <c r="G848" s="64"/>
      <c r="H848" s="3"/>
      <c r="I848" s="2"/>
      <c r="J848" s="2"/>
      <c r="K848" s="3"/>
      <c r="L848" s="3"/>
      <c r="M848" s="3"/>
      <c r="N848" s="3"/>
      <c r="O848" s="3"/>
      <c r="P848" s="3"/>
      <c r="Q848" s="21"/>
      <c r="R848" s="21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x14ac:dyDescent="0.3">
      <c r="A849" s="63"/>
      <c r="B849" s="63"/>
      <c r="C849" s="39"/>
      <c r="D849" s="6"/>
      <c r="E849" s="153"/>
      <c r="F849" s="10"/>
      <c r="G849" s="64"/>
      <c r="H849" s="3"/>
      <c r="I849" s="2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x14ac:dyDescent="0.3">
      <c r="A850" s="63"/>
      <c r="B850" s="63"/>
      <c r="C850" s="39"/>
      <c r="D850" s="6"/>
      <c r="E850" s="153"/>
      <c r="F850" s="10"/>
      <c r="G850" s="64"/>
      <c r="H850" s="3"/>
      <c r="I850" s="2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x14ac:dyDescent="0.3">
      <c r="A851" s="6"/>
      <c r="B851" s="6"/>
      <c r="C851" s="39"/>
      <c r="D851" s="6"/>
      <c r="E851" s="153"/>
      <c r="F851" s="10"/>
      <c r="G851" s="2"/>
      <c r="H851" s="3"/>
      <c r="I851" s="2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3.5" customHeight="1" x14ac:dyDescent="0.35">
      <c r="A852" s="49"/>
      <c r="B852" s="49"/>
      <c r="C852" s="39"/>
      <c r="D852" s="1"/>
      <c r="E852" s="153"/>
      <c r="F852" s="10"/>
      <c r="G852" s="21"/>
      <c r="H852" s="21"/>
      <c r="I852" s="21"/>
      <c r="J852" s="21"/>
      <c r="K852" s="21"/>
      <c r="L852" s="21"/>
      <c r="M852" s="21"/>
      <c r="N852" s="22"/>
      <c r="O852" s="21"/>
      <c r="P852" s="22"/>
      <c r="Q852" s="21"/>
      <c r="R852" s="21"/>
      <c r="S852" s="21"/>
      <c r="T852" s="21"/>
      <c r="U852" s="21"/>
      <c r="V852" s="22"/>
      <c r="W852" s="21"/>
      <c r="X852" s="22"/>
      <c r="Y852" s="21"/>
      <c r="Z852" s="21"/>
      <c r="AA852" s="21"/>
      <c r="AB852" s="21"/>
      <c r="AC852" s="26"/>
      <c r="AD852" s="26"/>
      <c r="AE852" s="62"/>
    </row>
    <row r="853" spans="1:31" x14ac:dyDescent="0.3">
      <c r="A853" s="6"/>
      <c r="B853" s="6"/>
      <c r="C853" s="39"/>
      <c r="D853" s="6"/>
      <c r="E853" s="153"/>
      <c r="F853" s="1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21"/>
      <c r="R853" s="21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3.5" customHeight="1" x14ac:dyDescent="0.35">
      <c r="A854" s="49"/>
      <c r="B854" s="49"/>
      <c r="C854" s="14"/>
      <c r="D854" s="1"/>
      <c r="E854" s="153"/>
      <c r="F854" s="10"/>
      <c r="G854" s="21"/>
      <c r="H854" s="21"/>
      <c r="I854" s="21"/>
      <c r="J854" s="21"/>
      <c r="K854" s="21"/>
      <c r="L854" s="21"/>
      <c r="M854" s="21"/>
      <c r="N854" s="22"/>
      <c r="O854" s="21"/>
      <c r="P854" s="22"/>
      <c r="Q854" s="21"/>
      <c r="R854" s="21"/>
      <c r="S854" s="21"/>
      <c r="T854" s="21"/>
      <c r="U854" s="21"/>
      <c r="V854" s="22"/>
      <c r="W854" s="21"/>
      <c r="X854" s="22"/>
      <c r="Y854" s="21"/>
      <c r="Z854" s="21"/>
      <c r="AA854" s="21"/>
      <c r="AB854" s="21"/>
      <c r="AC854" s="26"/>
      <c r="AD854" s="26"/>
      <c r="AE854" s="62"/>
    </row>
    <row r="855" spans="1:31" x14ac:dyDescent="0.3">
      <c r="A855" s="63"/>
      <c r="B855" s="63"/>
      <c r="C855" s="39"/>
      <c r="D855" s="6"/>
      <c r="E855" s="153"/>
      <c r="F855" s="10"/>
      <c r="G855" s="64"/>
      <c r="H855" s="3"/>
      <c r="I855" s="2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x14ac:dyDescent="0.3">
      <c r="A856" s="63"/>
      <c r="B856" s="63"/>
      <c r="C856" s="39"/>
      <c r="D856" s="6"/>
      <c r="E856" s="153"/>
      <c r="F856" s="1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21"/>
      <c r="R856" s="21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x14ac:dyDescent="0.3">
      <c r="A857" s="6"/>
      <c r="B857" s="6"/>
      <c r="C857" s="39"/>
      <c r="D857" s="6"/>
      <c r="E857" s="153"/>
      <c r="F857" s="1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21"/>
      <c r="R857" s="21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x14ac:dyDescent="0.3">
      <c r="A858" s="63"/>
      <c r="B858" s="63"/>
      <c r="C858" s="39"/>
      <c r="D858" s="6"/>
      <c r="E858" s="153"/>
      <c r="F858" s="10"/>
      <c r="G858" s="64"/>
      <c r="H858" s="3"/>
      <c r="I858" s="2"/>
      <c r="J858" s="2"/>
      <c r="K858" s="3"/>
      <c r="L858" s="3"/>
      <c r="M858" s="3"/>
      <c r="N858" s="3"/>
      <c r="O858" s="3"/>
      <c r="P858" s="3"/>
      <c r="Q858" s="21"/>
      <c r="R858" s="21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x14ac:dyDescent="0.3">
      <c r="A859" s="63"/>
      <c r="B859" s="63"/>
      <c r="C859" s="39"/>
      <c r="D859" s="6"/>
      <c r="E859" s="153"/>
      <c r="F859" s="10"/>
      <c r="G859" s="64"/>
      <c r="H859" s="3"/>
      <c r="I859" s="2"/>
      <c r="J859" s="2"/>
      <c r="K859" s="3"/>
      <c r="L859" s="3"/>
      <c r="M859" s="3"/>
      <c r="N859" s="3"/>
      <c r="O859" s="3"/>
      <c r="P859" s="3"/>
      <c r="Q859" s="21"/>
      <c r="R859" s="21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x14ac:dyDescent="0.3">
      <c r="A860" s="63"/>
      <c r="B860" s="63"/>
      <c r="C860" s="39"/>
      <c r="D860" s="6"/>
      <c r="E860" s="153"/>
      <c r="F860" s="10"/>
      <c r="G860" s="64"/>
      <c r="H860" s="3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x14ac:dyDescent="0.3">
      <c r="A861" s="6"/>
      <c r="B861" s="6"/>
      <c r="C861" s="39"/>
      <c r="D861" s="6"/>
      <c r="E861" s="153"/>
      <c r="F861" s="1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21"/>
      <c r="R861" s="21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3.5" customHeight="1" x14ac:dyDescent="0.35">
      <c r="A862" s="49"/>
      <c r="B862" s="49"/>
      <c r="C862" s="14"/>
      <c r="D862" s="1"/>
      <c r="E862" s="153"/>
      <c r="F862" s="10"/>
      <c r="G862" s="21"/>
      <c r="H862" s="21"/>
      <c r="I862" s="21"/>
      <c r="J862" s="21"/>
      <c r="K862" s="21"/>
      <c r="L862" s="21"/>
      <c r="M862" s="21"/>
      <c r="N862" s="22"/>
      <c r="O862" s="21"/>
      <c r="P862" s="22"/>
      <c r="Q862" s="21"/>
      <c r="R862" s="21"/>
      <c r="S862" s="21"/>
      <c r="T862" s="21"/>
      <c r="U862" s="21"/>
      <c r="V862" s="22"/>
      <c r="W862" s="21"/>
      <c r="X862" s="22"/>
      <c r="Y862" s="21"/>
      <c r="Z862" s="21"/>
      <c r="AA862" s="21"/>
      <c r="AB862" s="21"/>
      <c r="AC862" s="26"/>
      <c r="AD862" s="26"/>
      <c r="AE862" s="62"/>
    </row>
    <row r="863" spans="1:31" ht="13.5" customHeight="1" x14ac:dyDescent="0.3">
      <c r="A863" s="49"/>
      <c r="B863" s="49"/>
      <c r="C863" s="14"/>
      <c r="D863" s="6"/>
      <c r="E863" s="153"/>
      <c r="F863" s="10"/>
      <c r="G863" s="21"/>
      <c r="H863" s="21"/>
      <c r="I863" s="21"/>
      <c r="J863" s="21"/>
      <c r="K863" s="21"/>
      <c r="L863" s="21"/>
      <c r="M863" s="21"/>
      <c r="N863" s="22"/>
      <c r="O863" s="21"/>
      <c r="P863" s="22"/>
      <c r="Q863" s="21"/>
      <c r="R863" s="21"/>
      <c r="S863" s="21"/>
      <c r="T863" s="21"/>
      <c r="U863" s="21"/>
      <c r="V863" s="22"/>
      <c r="W863" s="21"/>
      <c r="X863" s="22"/>
      <c r="Y863" s="21"/>
      <c r="Z863" s="21"/>
      <c r="AA863" s="21"/>
      <c r="AB863" s="21"/>
      <c r="AC863" s="26"/>
      <c r="AD863" s="26"/>
      <c r="AE863" s="62"/>
    </row>
    <row r="864" spans="1:31" ht="13.5" customHeight="1" x14ac:dyDescent="0.35">
      <c r="A864" s="49"/>
      <c r="B864" s="49"/>
      <c r="C864" s="14"/>
      <c r="D864" s="1"/>
      <c r="E864" s="153"/>
      <c r="F864" s="10"/>
      <c r="G864" s="21"/>
      <c r="H864" s="21"/>
      <c r="I864" s="21"/>
      <c r="J864" s="21"/>
      <c r="K864" s="21"/>
      <c r="L864" s="21"/>
      <c r="M864" s="21"/>
      <c r="N864" s="22"/>
      <c r="O864" s="21"/>
      <c r="P864" s="22"/>
      <c r="Q864" s="21"/>
      <c r="R864" s="21"/>
      <c r="S864" s="21"/>
      <c r="T864" s="21"/>
      <c r="U864" s="21"/>
      <c r="V864" s="22"/>
      <c r="W864" s="21"/>
      <c r="X864" s="22"/>
      <c r="Y864" s="21"/>
      <c r="Z864" s="21"/>
      <c r="AA864" s="21"/>
      <c r="AB864" s="21"/>
      <c r="AC864" s="26"/>
      <c r="AD864" s="26"/>
      <c r="AE864" s="62"/>
    </row>
    <row r="865" spans="1:31" x14ac:dyDescent="0.3">
      <c r="A865" s="6"/>
      <c r="B865" s="6"/>
      <c r="C865" s="39"/>
      <c r="D865" s="6"/>
      <c r="E865" s="153"/>
      <c r="F865" s="1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21"/>
      <c r="R865" s="21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x14ac:dyDescent="0.3">
      <c r="A866" s="63"/>
      <c r="B866" s="63"/>
      <c r="C866" s="39"/>
      <c r="D866" s="6"/>
      <c r="E866" s="153"/>
      <c r="F866" s="10"/>
      <c r="G866" s="64"/>
      <c r="H866" s="3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x14ac:dyDescent="0.3">
      <c r="A867" s="6"/>
      <c r="B867" s="6"/>
      <c r="C867" s="39"/>
      <c r="D867" s="6"/>
      <c r="E867" s="153"/>
      <c r="F867" s="1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x14ac:dyDescent="0.3">
      <c r="A868" s="6"/>
      <c r="B868" s="6"/>
      <c r="C868" s="39"/>
      <c r="D868" s="6"/>
      <c r="E868" s="153"/>
      <c r="F868" s="1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21"/>
      <c r="R868" s="21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3.5" customHeight="1" x14ac:dyDescent="0.35">
      <c r="A869" s="49"/>
      <c r="B869" s="49"/>
      <c r="C869" s="14"/>
      <c r="D869" s="1"/>
      <c r="E869" s="153"/>
      <c r="F869" s="10"/>
      <c r="G869" s="21"/>
      <c r="H869" s="21"/>
      <c r="I869" s="21"/>
      <c r="J869" s="21"/>
      <c r="K869" s="21"/>
      <c r="L869" s="21"/>
      <c r="M869" s="21"/>
      <c r="N869" s="22"/>
      <c r="O869" s="21"/>
      <c r="P869" s="22"/>
      <c r="Q869" s="21"/>
      <c r="R869" s="21"/>
      <c r="S869" s="21"/>
      <c r="T869" s="21"/>
      <c r="U869" s="21"/>
      <c r="V869" s="22"/>
      <c r="W869" s="21"/>
      <c r="X869" s="22"/>
      <c r="Y869" s="21"/>
      <c r="Z869" s="21"/>
      <c r="AA869" s="21"/>
      <c r="AB869" s="21"/>
      <c r="AC869" s="26"/>
      <c r="AD869" s="26"/>
      <c r="AE869" s="62"/>
    </row>
    <row r="870" spans="1:31" x14ac:dyDescent="0.3">
      <c r="A870" s="6"/>
      <c r="B870" s="6"/>
      <c r="C870" s="39"/>
      <c r="D870" s="6"/>
      <c r="E870" s="153"/>
      <c r="F870" s="10"/>
      <c r="G870" s="2"/>
      <c r="H870" s="3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.5" customHeight="1" x14ac:dyDescent="0.35">
      <c r="A871" s="49"/>
      <c r="B871" s="49"/>
      <c r="C871" s="14"/>
      <c r="D871" s="1"/>
      <c r="E871" s="153"/>
      <c r="F871" s="10"/>
      <c r="G871" s="21"/>
      <c r="H871" s="21"/>
      <c r="I871" s="21"/>
      <c r="J871" s="21"/>
      <c r="K871" s="21"/>
      <c r="L871" s="21"/>
      <c r="M871" s="21"/>
      <c r="N871" s="22"/>
      <c r="O871" s="21"/>
      <c r="P871" s="22"/>
      <c r="Q871" s="21"/>
      <c r="R871" s="21"/>
      <c r="S871" s="21"/>
      <c r="T871" s="21"/>
      <c r="U871" s="21"/>
      <c r="V871" s="22"/>
      <c r="W871" s="21"/>
      <c r="X871" s="22"/>
      <c r="Y871" s="21"/>
      <c r="Z871" s="21"/>
      <c r="AA871" s="21"/>
      <c r="AB871" s="21"/>
      <c r="AC871" s="26"/>
      <c r="AD871" s="26"/>
      <c r="AE871" s="62"/>
    </row>
    <row r="872" spans="1:31" x14ac:dyDescent="0.3">
      <c r="A872" s="6"/>
      <c r="B872" s="6"/>
      <c r="C872" s="39"/>
      <c r="D872" s="6"/>
      <c r="E872" s="153"/>
      <c r="F872" s="1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21"/>
      <c r="R872" s="21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.5" customHeight="1" x14ac:dyDescent="0.35">
      <c r="A873" s="49"/>
      <c r="B873" s="49"/>
      <c r="C873" s="14"/>
      <c r="D873" s="1"/>
      <c r="E873" s="153"/>
      <c r="F873" s="10"/>
      <c r="G873" s="21"/>
      <c r="H873" s="21"/>
      <c r="I873" s="21"/>
      <c r="J873" s="21"/>
      <c r="K873" s="21"/>
      <c r="L873" s="21"/>
      <c r="M873" s="21"/>
      <c r="N873" s="22"/>
      <c r="O873" s="21"/>
      <c r="P873" s="22"/>
      <c r="Q873" s="21"/>
      <c r="R873" s="21"/>
      <c r="S873" s="21"/>
      <c r="T873" s="21"/>
      <c r="U873" s="21"/>
      <c r="V873" s="22"/>
      <c r="W873" s="21"/>
      <c r="X873" s="22"/>
      <c r="Y873" s="21"/>
      <c r="Z873" s="21"/>
      <c r="AA873" s="21"/>
      <c r="AB873" s="21"/>
      <c r="AC873" s="26"/>
      <c r="AD873" s="26"/>
      <c r="AE873" s="62"/>
    </row>
    <row r="874" spans="1:31" x14ac:dyDescent="0.3">
      <c r="A874" s="6"/>
      <c r="B874" s="6"/>
      <c r="C874" s="39"/>
      <c r="D874" s="6"/>
      <c r="E874" s="153"/>
      <c r="F874" s="1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21"/>
      <c r="R874" s="21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.5" customHeight="1" x14ac:dyDescent="0.35">
      <c r="A875" s="49"/>
      <c r="B875" s="49"/>
      <c r="C875" s="39"/>
      <c r="D875" s="1"/>
      <c r="E875" s="153"/>
      <c r="F875" s="10"/>
      <c r="G875" s="21"/>
      <c r="H875" s="21"/>
      <c r="I875" s="21"/>
      <c r="J875" s="21"/>
      <c r="K875" s="21"/>
      <c r="L875" s="21"/>
      <c r="M875" s="21"/>
      <c r="N875" s="22"/>
      <c r="O875" s="21"/>
      <c r="P875" s="22"/>
      <c r="Q875" s="21"/>
      <c r="R875" s="21"/>
      <c r="S875" s="21"/>
      <c r="T875" s="21"/>
      <c r="U875" s="21"/>
      <c r="V875" s="22"/>
      <c r="W875" s="21"/>
      <c r="X875" s="22"/>
      <c r="Y875" s="21"/>
      <c r="Z875" s="21"/>
      <c r="AA875" s="21"/>
      <c r="AB875" s="21"/>
      <c r="AC875" s="26"/>
      <c r="AD875" s="26"/>
      <c r="AE875" s="62"/>
    </row>
    <row r="876" spans="1:31" x14ac:dyDescent="0.3">
      <c r="A876" s="6"/>
      <c r="B876" s="6"/>
      <c r="C876" s="39"/>
      <c r="D876" s="6"/>
      <c r="E876" s="153"/>
      <c r="F876" s="1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21"/>
      <c r="R876" s="21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x14ac:dyDescent="0.3">
      <c r="A877" s="6"/>
      <c r="B877" s="6"/>
      <c r="C877" s="39"/>
      <c r="D877" s="6"/>
      <c r="E877" s="153"/>
      <c r="F877" s="10"/>
      <c r="G877" s="2"/>
      <c r="H877" s="3"/>
      <c r="I877" s="2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x14ac:dyDescent="0.3">
      <c r="A878" s="6"/>
      <c r="B878" s="6"/>
      <c r="C878" s="39"/>
      <c r="D878" s="6"/>
      <c r="E878" s="153"/>
      <c r="F878" s="1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21"/>
      <c r="R878" s="21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.5" customHeight="1" x14ac:dyDescent="0.35">
      <c r="A879" s="49"/>
      <c r="B879" s="49"/>
      <c r="C879" s="14"/>
      <c r="D879" s="1"/>
      <c r="E879" s="153"/>
      <c r="F879" s="10"/>
      <c r="G879" s="21"/>
      <c r="H879" s="21"/>
      <c r="I879" s="21"/>
      <c r="J879" s="21"/>
      <c r="K879" s="21"/>
      <c r="L879" s="21"/>
      <c r="M879" s="21"/>
      <c r="N879" s="22"/>
      <c r="O879" s="21"/>
      <c r="P879" s="22"/>
      <c r="Q879" s="21"/>
      <c r="R879" s="21"/>
      <c r="S879" s="21"/>
      <c r="T879" s="21"/>
      <c r="U879" s="21"/>
      <c r="V879" s="22"/>
      <c r="W879" s="21"/>
      <c r="X879" s="22"/>
      <c r="Y879" s="21"/>
      <c r="Z879" s="21"/>
      <c r="AA879" s="21"/>
      <c r="AB879" s="21"/>
      <c r="AC879" s="26"/>
      <c r="AD879" s="26"/>
      <c r="AE879" s="62"/>
    </row>
    <row r="880" spans="1:31" x14ac:dyDescent="0.3">
      <c r="A880" s="6"/>
      <c r="B880" s="6"/>
      <c r="C880" s="39"/>
      <c r="D880" s="6"/>
      <c r="E880" s="153"/>
      <c r="F880" s="10"/>
      <c r="G880" s="2"/>
      <c r="H880" s="3"/>
      <c r="I880" s="2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12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x14ac:dyDescent="0.3">
      <c r="A881" s="6"/>
      <c r="B881" s="6"/>
      <c r="C881" s="39"/>
      <c r="D881" s="6"/>
      <c r="E881" s="153"/>
      <c r="F881" s="1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21"/>
      <c r="R881" s="21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x14ac:dyDescent="0.3">
      <c r="A882" s="6"/>
      <c r="B882" s="6"/>
      <c r="C882" s="39"/>
      <c r="D882" s="6"/>
      <c r="E882" s="153"/>
      <c r="F882" s="1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21"/>
      <c r="R882" s="21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x14ac:dyDescent="0.3">
      <c r="A883" s="6"/>
      <c r="B883" s="6"/>
      <c r="C883" s="39"/>
      <c r="D883" s="6"/>
      <c r="E883" s="153"/>
      <c r="F883" s="1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21"/>
      <c r="R883" s="21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x14ac:dyDescent="0.3">
      <c r="A884" s="63"/>
      <c r="B884" s="63"/>
      <c r="C884" s="39"/>
      <c r="D884" s="6"/>
      <c r="E884" s="153"/>
      <c r="F884" s="10"/>
      <c r="G884" s="64"/>
      <c r="H884" s="3"/>
      <c r="I884" s="2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x14ac:dyDescent="0.3">
      <c r="A885" s="6"/>
      <c r="B885" s="6"/>
      <c r="C885" s="39"/>
      <c r="D885" s="6"/>
      <c r="E885" s="153"/>
      <c r="F885" s="1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21"/>
      <c r="R885" s="21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x14ac:dyDescent="0.3">
      <c r="A886" s="6"/>
      <c r="B886" s="6"/>
      <c r="C886" s="39"/>
      <c r="D886" s="6"/>
      <c r="E886" s="153"/>
      <c r="F886" s="10"/>
      <c r="G886" s="2"/>
      <c r="H886" s="3"/>
      <c r="I886" s="2"/>
      <c r="J886" s="2"/>
      <c r="K886" s="3"/>
      <c r="L886" s="3"/>
      <c r="M886" s="3"/>
      <c r="N886" s="3"/>
      <c r="O886" s="3"/>
      <c r="P886" s="3"/>
      <c r="Q886" s="21"/>
      <c r="R886" s="21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x14ac:dyDescent="0.3">
      <c r="A887" s="6"/>
      <c r="B887" s="6"/>
      <c r="C887" s="39"/>
      <c r="D887" s="6"/>
      <c r="E887" s="153"/>
      <c r="F887" s="1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21"/>
      <c r="R887" s="21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.5" customHeight="1" x14ac:dyDescent="0.35">
      <c r="A888" s="49"/>
      <c r="B888" s="49"/>
      <c r="C888" s="14"/>
      <c r="D888" s="1"/>
      <c r="E888" s="153"/>
      <c r="F888" s="10"/>
      <c r="G888" s="21"/>
      <c r="H888" s="21"/>
      <c r="I888" s="21"/>
      <c r="J888" s="21"/>
      <c r="K888" s="21"/>
      <c r="L888" s="21"/>
      <c r="M888" s="21"/>
      <c r="N888" s="22"/>
      <c r="O888" s="21"/>
      <c r="P888" s="22"/>
      <c r="Q888" s="21"/>
      <c r="R888" s="21"/>
      <c r="S888" s="21"/>
      <c r="T888" s="21"/>
      <c r="U888" s="21"/>
      <c r="V888" s="22"/>
      <c r="W888" s="21"/>
      <c r="X888" s="22"/>
      <c r="Y888" s="21"/>
      <c r="Z888" s="21"/>
      <c r="AA888" s="21"/>
      <c r="AB888" s="21"/>
      <c r="AC888" s="26"/>
      <c r="AD888" s="26"/>
      <c r="AE888" s="62"/>
    </row>
    <row r="889" spans="1:31" x14ac:dyDescent="0.3">
      <c r="A889" s="63"/>
      <c r="B889" s="63"/>
      <c r="C889" s="39"/>
      <c r="D889" s="6"/>
      <c r="E889" s="153"/>
      <c r="F889" s="10"/>
      <c r="G889" s="64"/>
      <c r="H889" s="3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x14ac:dyDescent="0.3">
      <c r="A890" s="63"/>
      <c r="B890" s="63"/>
      <c r="C890" s="39"/>
      <c r="D890" s="6"/>
      <c r="E890" s="153"/>
      <c r="F890" s="10"/>
      <c r="G890" s="64"/>
      <c r="H890" s="3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x14ac:dyDescent="0.3">
      <c r="A891" s="6"/>
      <c r="B891" s="6"/>
      <c r="C891" s="39"/>
      <c r="D891" s="6"/>
      <c r="E891" s="153"/>
      <c r="F891" s="10"/>
      <c r="G891" s="2"/>
      <c r="H891" s="3"/>
      <c r="I891" s="2"/>
      <c r="J891" s="2"/>
      <c r="K891" s="3"/>
      <c r="L891" s="3"/>
      <c r="M891" s="3"/>
      <c r="N891" s="3"/>
      <c r="O891" s="3"/>
      <c r="P891" s="3"/>
      <c r="Q891" s="21"/>
      <c r="R891" s="21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x14ac:dyDescent="0.3">
      <c r="A892" s="63"/>
      <c r="B892" s="63"/>
      <c r="C892" s="39"/>
      <c r="D892" s="6"/>
      <c r="E892" s="153"/>
      <c r="F892" s="10"/>
      <c r="G892" s="64"/>
      <c r="H892" s="3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.5" customHeight="1" x14ac:dyDescent="0.35">
      <c r="A893" s="49"/>
      <c r="B893" s="49"/>
      <c r="C893" s="39"/>
      <c r="D893" s="1"/>
      <c r="E893" s="153"/>
      <c r="F893" s="10"/>
      <c r="G893" s="21"/>
      <c r="H893" s="21"/>
      <c r="I893" s="21"/>
      <c r="J893" s="21"/>
      <c r="K893" s="21"/>
      <c r="L893" s="21"/>
      <c r="M893" s="21"/>
      <c r="N893" s="22"/>
      <c r="O893" s="21"/>
      <c r="P893" s="22"/>
      <c r="Q893" s="21"/>
      <c r="R893" s="21"/>
      <c r="S893" s="21"/>
      <c r="T893" s="21"/>
      <c r="U893" s="21"/>
      <c r="V893" s="22"/>
      <c r="W893" s="21"/>
      <c r="X893" s="22"/>
      <c r="Y893" s="21"/>
      <c r="Z893" s="21"/>
      <c r="AA893" s="21"/>
      <c r="AB893" s="21"/>
      <c r="AC893" s="26"/>
      <c r="AD893" s="26"/>
      <c r="AE893" s="62"/>
    </row>
    <row r="894" spans="1:31" x14ac:dyDescent="0.3">
      <c r="A894" s="6"/>
      <c r="B894" s="6"/>
      <c r="C894" s="39"/>
      <c r="D894" s="6"/>
      <c r="E894" s="153"/>
      <c r="F894" s="1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21"/>
      <c r="R894" s="21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x14ac:dyDescent="0.3">
      <c r="A895" s="63"/>
      <c r="B895" s="63"/>
      <c r="C895" s="39"/>
      <c r="D895" s="6"/>
      <c r="E895" s="153"/>
      <c r="F895" s="10"/>
      <c r="G895" s="64"/>
      <c r="H895" s="3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x14ac:dyDescent="0.3">
      <c r="A896" s="6"/>
      <c r="B896" s="6"/>
      <c r="C896" s="39"/>
      <c r="D896" s="6"/>
      <c r="E896" s="153"/>
      <c r="F896" s="1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21"/>
      <c r="R896" s="21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x14ac:dyDescent="0.3">
      <c r="A897" s="6"/>
      <c r="B897" s="6"/>
      <c r="C897" s="39"/>
      <c r="D897" s="6"/>
      <c r="E897" s="153"/>
      <c r="F897" s="1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21"/>
      <c r="R897" s="21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x14ac:dyDescent="0.3">
      <c r="A898" s="6"/>
      <c r="B898" s="6"/>
      <c r="C898" s="39"/>
      <c r="D898" s="6"/>
      <c r="E898" s="153"/>
      <c r="F898" s="10"/>
      <c r="G898" s="2"/>
      <c r="H898" s="3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x14ac:dyDescent="0.3">
      <c r="A899" s="6"/>
      <c r="B899" s="6"/>
      <c r="C899" s="39"/>
      <c r="D899" s="6"/>
      <c r="E899" s="153"/>
      <c r="F899" s="1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21"/>
      <c r="R899" s="21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.5" customHeight="1" x14ac:dyDescent="0.35">
      <c r="A900" s="49"/>
      <c r="B900" s="49"/>
      <c r="C900" s="14"/>
      <c r="D900" s="1"/>
      <c r="E900" s="153"/>
      <c r="F900" s="10"/>
      <c r="G900" s="21"/>
      <c r="H900" s="21"/>
      <c r="I900" s="21"/>
      <c r="J900" s="21"/>
      <c r="K900" s="21"/>
      <c r="L900" s="21"/>
      <c r="M900" s="21"/>
      <c r="N900" s="22"/>
      <c r="O900" s="21"/>
      <c r="P900" s="22"/>
      <c r="Q900" s="21"/>
      <c r="R900" s="21"/>
      <c r="S900" s="21"/>
      <c r="T900" s="21"/>
      <c r="U900" s="21"/>
      <c r="V900" s="22"/>
      <c r="W900" s="21"/>
      <c r="X900" s="22"/>
      <c r="Y900" s="21"/>
      <c r="Z900" s="21"/>
      <c r="AA900" s="21"/>
      <c r="AB900" s="21"/>
      <c r="AC900" s="26"/>
      <c r="AD900" s="26"/>
      <c r="AE900" s="62"/>
    </row>
    <row r="901" spans="1:31" x14ac:dyDescent="0.3">
      <c r="A901" s="63"/>
      <c r="B901" s="63"/>
      <c r="C901" s="39"/>
      <c r="D901" s="6"/>
      <c r="E901" s="153"/>
      <c r="F901" s="10"/>
      <c r="G901" s="64"/>
      <c r="H901" s="3"/>
      <c r="I901" s="2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.5" customHeight="1" x14ac:dyDescent="0.35">
      <c r="A902" s="49"/>
      <c r="B902" s="49"/>
      <c r="C902" s="14"/>
      <c r="D902" s="1"/>
      <c r="E902" s="153"/>
      <c r="F902" s="10"/>
      <c r="G902" s="21"/>
      <c r="H902" s="21"/>
      <c r="I902" s="21"/>
      <c r="J902" s="21"/>
      <c r="K902" s="21"/>
      <c r="L902" s="21"/>
      <c r="M902" s="21"/>
      <c r="N902" s="22"/>
      <c r="O902" s="21"/>
      <c r="P902" s="22"/>
      <c r="Q902" s="21"/>
      <c r="R902" s="21"/>
      <c r="S902" s="21"/>
      <c r="T902" s="21"/>
      <c r="U902" s="21"/>
      <c r="V902" s="22"/>
      <c r="W902" s="21"/>
      <c r="X902" s="22"/>
      <c r="Y902" s="21"/>
      <c r="Z902" s="21"/>
      <c r="AA902" s="21"/>
      <c r="AB902" s="21"/>
      <c r="AC902" s="26"/>
      <c r="AD902" s="26"/>
      <c r="AE902" s="62"/>
    </row>
    <row r="903" spans="1:31" ht="13.5" customHeight="1" x14ac:dyDescent="0.35">
      <c r="A903" s="49"/>
      <c r="B903" s="49"/>
      <c r="C903" s="14"/>
      <c r="D903" s="1"/>
      <c r="E903" s="153"/>
      <c r="F903" s="10"/>
      <c r="G903" s="21"/>
      <c r="H903" s="21"/>
      <c r="I903" s="21"/>
      <c r="J903" s="21"/>
      <c r="K903" s="21"/>
      <c r="L903" s="21"/>
      <c r="M903" s="21"/>
      <c r="N903" s="22"/>
      <c r="O903" s="21"/>
      <c r="P903" s="22"/>
      <c r="Q903" s="21"/>
      <c r="R903" s="21"/>
      <c r="S903" s="21"/>
      <c r="T903" s="21"/>
      <c r="U903" s="21"/>
      <c r="V903" s="22"/>
      <c r="W903" s="21"/>
      <c r="X903" s="22"/>
      <c r="Y903" s="21"/>
      <c r="Z903" s="21"/>
      <c r="AA903" s="21"/>
      <c r="AB903" s="21"/>
      <c r="AC903" s="26"/>
      <c r="AD903" s="26"/>
      <c r="AE903" s="62"/>
    </row>
    <row r="904" spans="1:31" ht="13.5" customHeight="1" x14ac:dyDescent="0.35">
      <c r="A904" s="49"/>
      <c r="B904" s="49"/>
      <c r="C904" s="39"/>
      <c r="D904" s="1"/>
      <c r="E904" s="153"/>
      <c r="F904" s="10"/>
      <c r="G904" s="21"/>
      <c r="H904" s="21"/>
      <c r="I904" s="21"/>
      <c r="J904" s="21"/>
      <c r="K904" s="21"/>
      <c r="L904" s="21"/>
      <c r="M904" s="21"/>
      <c r="N904" s="22"/>
      <c r="O904" s="21"/>
      <c r="P904" s="22"/>
      <c r="Q904" s="21"/>
      <c r="R904" s="21"/>
      <c r="S904" s="21"/>
      <c r="T904" s="21"/>
      <c r="U904" s="21"/>
      <c r="V904" s="22"/>
      <c r="W904" s="21"/>
      <c r="X904" s="22"/>
      <c r="Y904" s="21"/>
      <c r="Z904" s="21"/>
      <c r="AA904" s="21"/>
      <c r="AB904" s="21"/>
      <c r="AC904" s="26"/>
      <c r="AD904" s="26"/>
      <c r="AE904" s="62"/>
    </row>
    <row r="905" spans="1:31" x14ac:dyDescent="0.3">
      <c r="A905" s="6"/>
      <c r="B905" s="6"/>
      <c r="C905" s="39"/>
      <c r="D905" s="6"/>
      <c r="E905" s="153"/>
      <c r="F905" s="1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21"/>
      <c r="R905" s="21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x14ac:dyDescent="0.3">
      <c r="A906" s="63"/>
      <c r="B906" s="63"/>
      <c r="C906" s="39"/>
      <c r="D906" s="6"/>
      <c r="E906" s="153"/>
      <c r="F906" s="10"/>
      <c r="G906" s="64"/>
      <c r="H906" s="3"/>
      <c r="I906" s="2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x14ac:dyDescent="0.3">
      <c r="A907" s="63"/>
      <c r="B907" s="63"/>
      <c r="C907" s="39"/>
      <c r="D907" s="6"/>
      <c r="E907" s="153"/>
      <c r="F907" s="10"/>
      <c r="G907" s="64"/>
      <c r="H907" s="3"/>
      <c r="I907" s="2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x14ac:dyDescent="0.3">
      <c r="A908" s="63"/>
      <c r="B908" s="63"/>
      <c r="C908" s="39"/>
      <c r="D908" s="6"/>
      <c r="E908" s="153"/>
      <c r="F908" s="10"/>
      <c r="G908" s="64"/>
      <c r="H908" s="3"/>
      <c r="I908" s="2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x14ac:dyDescent="0.3">
      <c r="A909" s="63"/>
      <c r="B909" s="63"/>
      <c r="C909" s="39"/>
      <c r="D909" s="6"/>
      <c r="E909" s="153"/>
      <c r="F909" s="10"/>
      <c r="G909" s="64"/>
      <c r="H909" s="3"/>
      <c r="I909" s="2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x14ac:dyDescent="0.3">
      <c r="A910" s="6"/>
      <c r="B910" s="6"/>
      <c r="C910" s="39"/>
      <c r="D910" s="6"/>
      <c r="E910" s="153"/>
      <c r="F910" s="1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21"/>
      <c r="R910" s="21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.5" customHeight="1" x14ac:dyDescent="0.35">
      <c r="A911" s="49"/>
      <c r="B911" s="49"/>
      <c r="C911" s="14"/>
      <c r="D911" s="1"/>
      <c r="E911" s="153"/>
      <c r="F911" s="10"/>
      <c r="G911" s="21"/>
      <c r="H911" s="21"/>
      <c r="I911" s="21"/>
      <c r="J911" s="21"/>
      <c r="K911" s="21"/>
      <c r="L911" s="21"/>
      <c r="M911" s="21"/>
      <c r="N911" s="22"/>
      <c r="O911" s="21"/>
      <c r="P911" s="22"/>
      <c r="Q911" s="21"/>
      <c r="R911" s="21"/>
      <c r="S911" s="21"/>
      <c r="T911" s="21"/>
      <c r="U911" s="21"/>
      <c r="V911" s="22"/>
      <c r="W911" s="21"/>
      <c r="X911" s="22"/>
      <c r="Y911" s="21"/>
      <c r="Z911" s="21"/>
      <c r="AA911" s="21"/>
      <c r="AB911" s="21"/>
      <c r="AC911" s="26"/>
      <c r="AD911" s="26"/>
      <c r="AE911" s="62"/>
    </row>
    <row r="912" spans="1:31" ht="13.5" customHeight="1" x14ac:dyDescent="0.35">
      <c r="A912" s="49"/>
      <c r="B912" s="49"/>
      <c r="C912" s="14"/>
      <c r="D912" s="1"/>
      <c r="E912" s="153"/>
      <c r="F912" s="10"/>
      <c r="G912" s="21"/>
      <c r="H912" s="21"/>
      <c r="I912" s="21"/>
      <c r="J912" s="21"/>
      <c r="K912" s="21"/>
      <c r="L912" s="21"/>
      <c r="M912" s="21"/>
      <c r="N912" s="22"/>
      <c r="O912" s="21"/>
      <c r="P912" s="22"/>
      <c r="Q912" s="21"/>
      <c r="R912" s="21"/>
      <c r="S912" s="21"/>
      <c r="T912" s="21"/>
      <c r="U912" s="21"/>
      <c r="V912" s="22"/>
      <c r="W912" s="21"/>
      <c r="X912" s="22"/>
      <c r="Y912" s="21"/>
      <c r="Z912" s="21"/>
      <c r="AA912" s="21"/>
      <c r="AB912" s="21"/>
      <c r="AC912" s="26"/>
      <c r="AD912" s="26"/>
      <c r="AE912" s="62"/>
    </row>
    <row r="913" spans="1:31" ht="13.5" customHeight="1" x14ac:dyDescent="0.35">
      <c r="A913" s="49"/>
      <c r="B913" s="49"/>
      <c r="C913" s="14"/>
      <c r="D913" s="1"/>
      <c r="E913" s="153"/>
      <c r="F913" s="10"/>
      <c r="G913" s="21"/>
      <c r="H913" s="21"/>
      <c r="I913" s="21"/>
      <c r="J913" s="21"/>
      <c r="K913" s="21"/>
      <c r="L913" s="21"/>
      <c r="M913" s="21"/>
      <c r="N913" s="22"/>
      <c r="O913" s="21"/>
      <c r="P913" s="22"/>
      <c r="Q913" s="21"/>
      <c r="R913" s="21"/>
      <c r="S913" s="21"/>
      <c r="T913" s="21"/>
      <c r="U913" s="21"/>
      <c r="V913" s="22"/>
      <c r="W913" s="21"/>
      <c r="X913" s="22"/>
      <c r="Y913" s="21"/>
      <c r="Z913" s="21"/>
      <c r="AA913" s="21"/>
      <c r="AB913" s="21"/>
      <c r="AC913" s="26"/>
      <c r="AD913" s="26"/>
      <c r="AE913" s="62"/>
    </row>
    <row r="914" spans="1:31" ht="13.5" customHeight="1" x14ac:dyDescent="0.35">
      <c r="A914" s="49"/>
      <c r="B914" s="49"/>
      <c r="C914" s="14"/>
      <c r="D914" s="1"/>
      <c r="E914" s="153"/>
      <c r="F914" s="10"/>
      <c r="G914" s="21"/>
      <c r="H914" s="21"/>
      <c r="I914" s="21"/>
      <c r="J914" s="21"/>
      <c r="K914" s="21"/>
      <c r="L914" s="21"/>
      <c r="M914" s="21"/>
      <c r="N914" s="22"/>
      <c r="O914" s="21"/>
      <c r="P914" s="22"/>
      <c r="Q914" s="21"/>
      <c r="R914" s="21"/>
      <c r="S914" s="21"/>
      <c r="T914" s="21"/>
      <c r="U914" s="21"/>
      <c r="V914" s="22"/>
      <c r="W914" s="21"/>
      <c r="X914" s="22"/>
      <c r="Y914" s="21"/>
      <c r="Z914" s="21"/>
      <c r="AA914" s="21"/>
      <c r="AB914" s="21"/>
      <c r="AC914" s="26"/>
      <c r="AD914" s="26"/>
      <c r="AE914" s="62"/>
    </row>
    <row r="915" spans="1:31" x14ac:dyDescent="0.3">
      <c r="A915" s="6"/>
      <c r="B915" s="6"/>
      <c r="C915" s="39"/>
      <c r="D915" s="6"/>
      <c r="E915" s="153"/>
      <c r="F915" s="1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21"/>
      <c r="R915" s="21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x14ac:dyDescent="0.3">
      <c r="A916" s="6"/>
      <c r="B916" s="6"/>
      <c r="C916" s="39"/>
      <c r="D916" s="6"/>
      <c r="E916" s="153"/>
      <c r="F916" s="10"/>
      <c r="G916" s="2"/>
      <c r="H916" s="3"/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x14ac:dyDescent="0.3">
      <c r="A917" s="6"/>
      <c r="B917" s="6"/>
      <c r="C917" s="39"/>
      <c r="D917" s="6"/>
      <c r="E917" s="153"/>
      <c r="F917" s="1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21"/>
      <c r="R917" s="21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.5" customHeight="1" x14ac:dyDescent="0.35">
      <c r="A918" s="49"/>
      <c r="B918" s="49"/>
      <c r="C918" s="14"/>
      <c r="D918" s="1"/>
      <c r="E918" s="153"/>
      <c r="F918" s="10"/>
      <c r="G918" s="21"/>
      <c r="H918" s="21"/>
      <c r="I918" s="21"/>
      <c r="J918" s="21"/>
      <c r="K918" s="21"/>
      <c r="L918" s="21"/>
      <c r="M918" s="21"/>
      <c r="N918" s="22"/>
      <c r="O918" s="21"/>
      <c r="P918" s="22"/>
      <c r="Q918" s="21"/>
      <c r="R918" s="21"/>
      <c r="S918" s="21"/>
      <c r="T918" s="21"/>
      <c r="U918" s="21"/>
      <c r="V918" s="22"/>
      <c r="W918" s="21"/>
      <c r="X918" s="22"/>
      <c r="Y918" s="21"/>
      <c r="Z918" s="21"/>
      <c r="AA918" s="21"/>
      <c r="AB918" s="21"/>
      <c r="AC918" s="26"/>
      <c r="AD918" s="26"/>
      <c r="AE918" s="62"/>
    </row>
    <row r="919" spans="1:31" ht="13.5" customHeight="1" x14ac:dyDescent="0.35">
      <c r="A919" s="49"/>
      <c r="B919" s="49"/>
      <c r="C919" s="14"/>
      <c r="D919" s="1"/>
      <c r="E919" s="153"/>
      <c r="F919" s="10"/>
      <c r="G919" s="21"/>
      <c r="H919" s="21"/>
      <c r="I919" s="21"/>
      <c r="J919" s="21"/>
      <c r="K919" s="21"/>
      <c r="L919" s="21"/>
      <c r="M919" s="21"/>
      <c r="N919" s="22"/>
      <c r="O919" s="21"/>
      <c r="P919" s="22"/>
      <c r="Q919" s="21"/>
      <c r="R919" s="21"/>
      <c r="S919" s="21"/>
      <c r="T919" s="21"/>
      <c r="U919" s="21"/>
      <c r="V919" s="22"/>
      <c r="W919" s="21"/>
      <c r="X919" s="22"/>
      <c r="Y919" s="21"/>
      <c r="Z919" s="21"/>
      <c r="AA919" s="21"/>
      <c r="AB919" s="21"/>
      <c r="AC919" s="26"/>
      <c r="AD919" s="26"/>
      <c r="AE919" s="62"/>
    </row>
    <row r="920" spans="1:31" ht="13.5" customHeight="1" x14ac:dyDescent="0.35">
      <c r="A920" s="49"/>
      <c r="B920" s="49"/>
      <c r="C920" s="14"/>
      <c r="D920" s="1"/>
      <c r="E920" s="153"/>
      <c r="F920" s="10"/>
      <c r="G920" s="21"/>
      <c r="H920" s="21"/>
      <c r="I920" s="21"/>
      <c r="J920" s="21"/>
      <c r="K920" s="21"/>
      <c r="L920" s="21"/>
      <c r="M920" s="21"/>
      <c r="N920" s="22"/>
      <c r="O920" s="21"/>
      <c r="P920" s="22"/>
      <c r="Q920" s="21"/>
      <c r="R920" s="21"/>
      <c r="S920" s="21"/>
      <c r="T920" s="21"/>
      <c r="U920" s="21"/>
      <c r="V920" s="22"/>
      <c r="W920" s="21"/>
      <c r="X920" s="22"/>
      <c r="Y920" s="21"/>
      <c r="Z920" s="21"/>
      <c r="AA920" s="21"/>
      <c r="AB920" s="21"/>
      <c r="AC920" s="26"/>
      <c r="AD920" s="26"/>
      <c r="AE920" s="62"/>
    </row>
    <row r="921" spans="1:31" ht="13.5" customHeight="1" x14ac:dyDescent="0.35">
      <c r="A921" s="49"/>
      <c r="B921" s="49"/>
      <c r="C921" s="14"/>
      <c r="D921" s="1"/>
      <c r="E921" s="153"/>
      <c r="F921" s="10"/>
      <c r="G921" s="21"/>
      <c r="H921" s="21"/>
      <c r="I921" s="21"/>
      <c r="J921" s="21"/>
      <c r="K921" s="21"/>
      <c r="L921" s="21"/>
      <c r="M921" s="21"/>
      <c r="N921" s="22"/>
      <c r="O921" s="21"/>
      <c r="P921" s="22"/>
      <c r="Q921" s="21"/>
      <c r="R921" s="21"/>
      <c r="S921" s="21"/>
      <c r="T921" s="21"/>
      <c r="U921" s="21"/>
      <c r="V921" s="22"/>
      <c r="W921" s="21"/>
      <c r="X921" s="22"/>
      <c r="Y921" s="21"/>
      <c r="Z921" s="21"/>
      <c r="AA921" s="21"/>
      <c r="AB921" s="21"/>
      <c r="AC921" s="26"/>
      <c r="AD921" s="26"/>
      <c r="AE921" s="62"/>
    </row>
    <row r="922" spans="1:31" x14ac:dyDescent="0.3">
      <c r="A922" s="63"/>
      <c r="B922" s="63"/>
      <c r="C922" s="39"/>
      <c r="D922" s="6"/>
      <c r="E922" s="153"/>
      <c r="F922" s="10"/>
      <c r="G922" s="64"/>
      <c r="H922" s="3"/>
      <c r="I922" s="2"/>
      <c r="J922" s="2"/>
      <c r="K922" s="3"/>
      <c r="L922" s="3"/>
      <c r="M922" s="3"/>
      <c r="N922" s="3"/>
      <c r="O922" s="3"/>
      <c r="P922" s="3"/>
      <c r="Q922" s="21"/>
      <c r="R922" s="21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x14ac:dyDescent="0.3">
      <c r="A923" s="63"/>
      <c r="B923" s="63"/>
      <c r="C923" s="39"/>
      <c r="D923" s="6"/>
      <c r="E923" s="153"/>
      <c r="F923" s="10"/>
      <c r="G923" s="64"/>
      <c r="H923" s="3"/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.5" customHeight="1" x14ac:dyDescent="0.35">
      <c r="A924" s="49"/>
      <c r="B924" s="49"/>
      <c r="C924" s="14"/>
      <c r="D924" s="1"/>
      <c r="E924" s="153"/>
      <c r="F924" s="10"/>
      <c r="G924" s="21"/>
      <c r="H924" s="21"/>
      <c r="I924" s="21"/>
      <c r="J924" s="21"/>
      <c r="K924" s="21"/>
      <c r="L924" s="21"/>
      <c r="M924" s="21"/>
      <c r="N924" s="22"/>
      <c r="O924" s="21"/>
      <c r="P924" s="22"/>
      <c r="Q924" s="21"/>
      <c r="R924" s="21"/>
      <c r="S924" s="21"/>
      <c r="T924" s="21"/>
      <c r="U924" s="21"/>
      <c r="V924" s="22"/>
      <c r="W924" s="21"/>
      <c r="X924" s="22"/>
      <c r="Y924" s="21"/>
      <c r="Z924" s="21"/>
      <c r="AA924" s="21"/>
      <c r="AB924" s="21"/>
      <c r="AC924" s="26"/>
      <c r="AD924" s="26"/>
      <c r="AE924" s="62"/>
    </row>
    <row r="925" spans="1:31" x14ac:dyDescent="0.3">
      <c r="A925" s="6"/>
      <c r="B925" s="6"/>
      <c r="C925" s="39"/>
      <c r="D925" s="6"/>
      <c r="E925" s="153"/>
      <c r="F925" s="1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21"/>
      <c r="R925" s="21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x14ac:dyDescent="0.3">
      <c r="A926" s="6"/>
      <c r="B926" s="6"/>
      <c r="C926" s="39"/>
      <c r="D926" s="6"/>
      <c r="E926" s="153"/>
      <c r="F926" s="1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21"/>
      <c r="R926" s="21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x14ac:dyDescent="0.3">
      <c r="A927" s="6"/>
      <c r="B927" s="6"/>
      <c r="C927" s="39"/>
      <c r="D927" s="6"/>
      <c r="E927" s="153"/>
      <c r="F927" s="10"/>
      <c r="G927" s="2"/>
      <c r="H927" s="3"/>
      <c r="I927" s="2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x14ac:dyDescent="0.3">
      <c r="A928" s="6"/>
      <c r="B928" s="6"/>
      <c r="C928" s="39"/>
      <c r="D928" s="6"/>
      <c r="E928" s="153"/>
      <c r="F928" s="1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21"/>
      <c r="R928" s="21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x14ac:dyDescent="0.3">
      <c r="A929" s="6"/>
      <c r="B929" s="6"/>
      <c r="C929" s="39"/>
      <c r="D929" s="6"/>
      <c r="E929" s="153"/>
      <c r="F929" s="10"/>
      <c r="G929" s="2"/>
      <c r="H929" s="3"/>
      <c r="I929" s="2"/>
      <c r="J929" s="2"/>
      <c r="K929" s="3"/>
      <c r="L929" s="3"/>
      <c r="M929" s="3"/>
      <c r="N929" s="3"/>
      <c r="O929" s="3"/>
      <c r="P929" s="3"/>
      <c r="Q929" s="21"/>
      <c r="R929" s="21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3.5" customHeight="1" x14ac:dyDescent="0.35">
      <c r="A930" s="49"/>
      <c r="B930" s="49"/>
      <c r="C930" s="14"/>
      <c r="D930" s="6"/>
      <c r="E930" s="153"/>
      <c r="F930" s="10"/>
      <c r="G930" s="21"/>
      <c r="H930" s="21"/>
      <c r="I930" s="21"/>
      <c r="J930" s="21"/>
      <c r="K930" s="21"/>
      <c r="L930" s="21"/>
      <c r="M930" s="21"/>
      <c r="N930" s="22"/>
      <c r="O930" s="21"/>
      <c r="P930" s="22"/>
      <c r="Q930" s="21"/>
      <c r="R930" s="21"/>
      <c r="S930" s="21"/>
      <c r="T930" s="21"/>
      <c r="U930" s="21"/>
      <c r="V930" s="22"/>
      <c r="W930" s="21"/>
      <c r="X930" s="22"/>
      <c r="Y930" s="21"/>
      <c r="Z930" s="21"/>
      <c r="AA930" s="21"/>
      <c r="AB930" s="21"/>
      <c r="AC930" s="26"/>
      <c r="AD930" s="26"/>
      <c r="AE930" s="65"/>
    </row>
    <row r="931" spans="1:31" x14ac:dyDescent="0.3">
      <c r="A931" s="6"/>
      <c r="B931" s="6"/>
      <c r="C931" s="39"/>
      <c r="D931" s="6"/>
      <c r="E931" s="153"/>
      <c r="F931" s="1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21"/>
      <c r="R931" s="21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x14ac:dyDescent="0.3">
      <c r="A932" s="6"/>
      <c r="B932" s="6"/>
      <c r="C932" s="39"/>
      <c r="D932" s="6"/>
      <c r="E932" s="153"/>
      <c r="F932" s="1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21"/>
      <c r="R932" s="21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.5" customHeight="1" x14ac:dyDescent="0.35">
      <c r="A933" s="49"/>
      <c r="B933" s="49"/>
      <c r="C933" s="39"/>
      <c r="D933" s="1"/>
      <c r="E933" s="153"/>
      <c r="F933" s="10"/>
      <c r="G933" s="21"/>
      <c r="H933" s="21"/>
      <c r="I933" s="21"/>
      <c r="J933" s="21"/>
      <c r="K933" s="21"/>
      <c r="L933" s="21"/>
      <c r="M933" s="21"/>
      <c r="N933" s="22"/>
      <c r="O933" s="21"/>
      <c r="P933" s="22"/>
      <c r="Q933" s="21"/>
      <c r="R933" s="21"/>
      <c r="S933" s="21"/>
      <c r="T933" s="21"/>
      <c r="U933" s="21"/>
      <c r="V933" s="22"/>
      <c r="W933" s="21"/>
      <c r="X933" s="22"/>
      <c r="Y933" s="21"/>
      <c r="Z933" s="21"/>
      <c r="AA933" s="21"/>
      <c r="AB933" s="21"/>
      <c r="AC933" s="26"/>
      <c r="AD933" s="26"/>
      <c r="AE933" s="62"/>
    </row>
    <row r="934" spans="1:31" x14ac:dyDescent="0.3">
      <c r="A934" s="42"/>
      <c r="B934" s="42"/>
      <c r="C934" s="43"/>
      <c r="D934" s="42"/>
      <c r="E934" s="154"/>
      <c r="F934" s="15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21"/>
      <c r="R934" s="21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</row>
    <row r="935" spans="1:31" x14ac:dyDescent="0.3">
      <c r="A935" s="63"/>
      <c r="B935" s="63"/>
      <c r="C935" s="39"/>
      <c r="D935" s="6"/>
      <c r="E935" s="153"/>
      <c r="F935" s="10"/>
      <c r="G935" s="64"/>
      <c r="H935" s="3"/>
      <c r="I935" s="2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x14ac:dyDescent="0.3">
      <c r="A936" s="6"/>
      <c r="B936" s="6"/>
      <c r="C936" s="39"/>
      <c r="D936" s="6"/>
      <c r="E936" s="153"/>
      <c r="F936" s="1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21"/>
      <c r="R936" s="21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3.5" customHeight="1" x14ac:dyDescent="0.35">
      <c r="A937" s="49"/>
      <c r="B937" s="49"/>
      <c r="C937" s="14"/>
      <c r="D937" s="1"/>
      <c r="E937" s="153"/>
      <c r="F937" s="10"/>
      <c r="G937" s="21"/>
      <c r="H937" s="21"/>
      <c r="I937" s="21"/>
      <c r="J937" s="21"/>
      <c r="K937" s="21"/>
      <c r="L937" s="21"/>
      <c r="M937" s="21"/>
      <c r="N937" s="22"/>
      <c r="O937" s="21"/>
      <c r="P937" s="22"/>
      <c r="Q937" s="21"/>
      <c r="R937" s="21"/>
      <c r="S937" s="21"/>
      <c r="T937" s="21"/>
      <c r="U937" s="21"/>
      <c r="V937" s="22"/>
      <c r="W937" s="21"/>
      <c r="X937" s="22"/>
      <c r="Y937" s="21"/>
      <c r="Z937" s="21"/>
      <c r="AA937" s="21"/>
      <c r="AB937" s="21"/>
      <c r="AC937" s="26"/>
      <c r="AD937" s="26"/>
      <c r="AE937" s="62"/>
    </row>
    <row r="938" spans="1:31" x14ac:dyDescent="0.3">
      <c r="A938" s="63"/>
      <c r="B938" s="63"/>
      <c r="C938" s="39"/>
      <c r="D938" s="6"/>
      <c r="E938" s="153"/>
      <c r="F938" s="10"/>
      <c r="G938" s="64"/>
      <c r="H938" s="3"/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x14ac:dyDescent="0.3">
      <c r="A939" s="6"/>
      <c r="B939" s="6"/>
      <c r="C939" s="39"/>
      <c r="D939" s="6"/>
      <c r="E939" s="153"/>
      <c r="F939" s="10"/>
      <c r="G939" s="2"/>
      <c r="H939" s="3"/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3.5" customHeight="1" x14ac:dyDescent="0.35">
      <c r="A940" s="49"/>
      <c r="B940" s="49"/>
      <c r="C940" s="14"/>
      <c r="D940" s="1"/>
      <c r="E940" s="153"/>
      <c r="F940" s="10"/>
      <c r="G940" s="21"/>
      <c r="H940" s="21"/>
      <c r="I940" s="21"/>
      <c r="J940" s="21"/>
      <c r="K940" s="21"/>
      <c r="L940" s="21"/>
      <c r="M940" s="21"/>
      <c r="N940" s="22"/>
      <c r="O940" s="21"/>
      <c r="P940" s="22"/>
      <c r="Q940" s="21"/>
      <c r="R940" s="21"/>
      <c r="S940" s="21"/>
      <c r="T940" s="21"/>
      <c r="U940" s="21"/>
      <c r="V940" s="22"/>
      <c r="W940" s="21"/>
      <c r="X940" s="22"/>
      <c r="Y940" s="21"/>
      <c r="Z940" s="21"/>
      <c r="AA940" s="21"/>
      <c r="AB940" s="21"/>
      <c r="AC940" s="26"/>
      <c r="AD940" s="26"/>
      <c r="AE940" s="62"/>
    </row>
    <row r="941" spans="1:31" ht="13.5" customHeight="1" x14ac:dyDescent="0.35">
      <c r="A941" s="49"/>
      <c r="B941" s="49"/>
      <c r="C941" s="14"/>
      <c r="D941" s="1"/>
      <c r="E941" s="153"/>
      <c r="F941" s="10"/>
      <c r="G941" s="21"/>
      <c r="H941" s="21"/>
      <c r="I941" s="21"/>
      <c r="J941" s="21"/>
      <c r="K941" s="21"/>
      <c r="L941" s="21"/>
      <c r="M941" s="21"/>
      <c r="N941" s="22"/>
      <c r="O941" s="21"/>
      <c r="P941" s="22"/>
      <c r="Q941" s="21"/>
      <c r="R941" s="21"/>
      <c r="S941" s="21"/>
      <c r="T941" s="21"/>
      <c r="U941" s="21"/>
      <c r="V941" s="22"/>
      <c r="W941" s="21"/>
      <c r="X941" s="22"/>
      <c r="Y941" s="21"/>
      <c r="Z941" s="21"/>
      <c r="AA941" s="21"/>
      <c r="AB941" s="21"/>
      <c r="AC941" s="26"/>
      <c r="AD941" s="26"/>
      <c r="AE941" s="62"/>
    </row>
    <row r="942" spans="1:31" x14ac:dyDescent="0.3">
      <c r="A942" s="6"/>
      <c r="B942" s="6"/>
      <c r="C942" s="39"/>
      <c r="D942" s="6"/>
      <c r="E942" s="153"/>
      <c r="F942" s="10"/>
      <c r="G942" s="2"/>
      <c r="H942" s="3"/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3.5" customHeight="1" x14ac:dyDescent="0.35">
      <c r="A943" s="49"/>
      <c r="B943" s="49"/>
      <c r="C943" s="14"/>
      <c r="D943" s="1"/>
      <c r="E943" s="153"/>
      <c r="F943" s="10"/>
      <c r="G943" s="21"/>
      <c r="H943" s="21"/>
      <c r="I943" s="21"/>
      <c r="J943" s="21"/>
      <c r="K943" s="21"/>
      <c r="L943" s="21"/>
      <c r="M943" s="21"/>
      <c r="N943" s="22"/>
      <c r="O943" s="21"/>
      <c r="P943" s="22"/>
      <c r="Q943" s="21"/>
      <c r="R943" s="21"/>
      <c r="S943" s="21"/>
      <c r="T943" s="21"/>
      <c r="U943" s="21"/>
      <c r="V943" s="22"/>
      <c r="W943" s="21"/>
      <c r="X943" s="22"/>
      <c r="Y943" s="21"/>
      <c r="Z943" s="21"/>
      <c r="AA943" s="21"/>
      <c r="AB943" s="21"/>
      <c r="AC943" s="26"/>
      <c r="AD943" s="26"/>
      <c r="AE943" s="62"/>
    </row>
    <row r="944" spans="1:31" x14ac:dyDescent="0.3">
      <c r="A944" s="6"/>
      <c r="B944" s="6"/>
      <c r="C944" s="39"/>
      <c r="D944" s="6"/>
      <c r="E944" s="153"/>
      <c r="F944" s="1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21"/>
      <c r="R944" s="21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x14ac:dyDescent="0.3">
      <c r="A945" s="6"/>
      <c r="B945" s="6"/>
      <c r="C945" s="39"/>
      <c r="D945" s="6"/>
      <c r="E945" s="153"/>
      <c r="F945" s="1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21"/>
      <c r="R945" s="21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3.5" customHeight="1" x14ac:dyDescent="0.35">
      <c r="A946" s="49"/>
      <c r="B946" s="49"/>
      <c r="C946" s="14"/>
      <c r="D946" s="1"/>
      <c r="E946" s="153"/>
      <c r="F946" s="10"/>
      <c r="G946" s="21"/>
      <c r="H946" s="21"/>
      <c r="I946" s="21"/>
      <c r="J946" s="21"/>
      <c r="K946" s="21"/>
      <c r="L946" s="21"/>
      <c r="M946" s="21"/>
      <c r="N946" s="22"/>
      <c r="O946" s="21"/>
      <c r="P946" s="22"/>
      <c r="Q946" s="21"/>
      <c r="R946" s="21"/>
      <c r="S946" s="21"/>
      <c r="T946" s="21"/>
      <c r="U946" s="21"/>
      <c r="V946" s="22"/>
      <c r="W946" s="21"/>
      <c r="X946" s="22"/>
      <c r="Y946" s="21"/>
      <c r="Z946" s="21"/>
      <c r="AA946" s="21"/>
      <c r="AB946" s="21"/>
      <c r="AC946" s="26"/>
      <c r="AD946" s="26"/>
      <c r="AE946" s="62"/>
    </row>
    <row r="947" spans="1:31" x14ac:dyDescent="0.3">
      <c r="A947" s="6"/>
      <c r="B947" s="6"/>
      <c r="C947" s="39"/>
      <c r="D947" s="6"/>
      <c r="E947" s="153"/>
      <c r="F947" s="1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21"/>
      <c r="R947" s="21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x14ac:dyDescent="0.3">
      <c r="A948" s="6"/>
      <c r="B948" s="6"/>
      <c r="C948" s="39"/>
      <c r="D948" s="6"/>
      <c r="E948" s="153"/>
      <c r="F948" s="10"/>
      <c r="G948" s="2"/>
      <c r="H948" s="3"/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x14ac:dyDescent="0.3">
      <c r="A949" s="63"/>
      <c r="B949" s="63"/>
      <c r="C949" s="39"/>
      <c r="D949" s="6"/>
      <c r="E949" s="153"/>
      <c r="F949" s="10"/>
      <c r="G949" s="64"/>
      <c r="H949" s="3"/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3.5" customHeight="1" x14ac:dyDescent="0.35">
      <c r="A950" s="49"/>
      <c r="B950" s="49"/>
      <c r="C950" s="39"/>
      <c r="D950" s="1"/>
      <c r="E950" s="153"/>
      <c r="F950" s="10"/>
      <c r="G950" s="21"/>
      <c r="H950" s="21"/>
      <c r="I950" s="21"/>
      <c r="J950" s="21"/>
      <c r="K950" s="21"/>
      <c r="L950" s="21"/>
      <c r="M950" s="21"/>
      <c r="N950" s="22"/>
      <c r="O950" s="21"/>
      <c r="P950" s="22"/>
      <c r="Q950" s="21"/>
      <c r="R950" s="21"/>
      <c r="S950" s="21"/>
      <c r="T950" s="21"/>
      <c r="U950" s="21"/>
      <c r="V950" s="22"/>
      <c r="W950" s="21"/>
      <c r="X950" s="22"/>
      <c r="Y950" s="21"/>
      <c r="Z950" s="21"/>
      <c r="AA950" s="21"/>
      <c r="AB950" s="21"/>
      <c r="AC950" s="26"/>
      <c r="AD950" s="26"/>
      <c r="AE950" s="62"/>
    </row>
    <row r="951" spans="1:31" x14ac:dyDescent="0.3">
      <c r="A951" s="63"/>
      <c r="B951" s="63"/>
      <c r="C951" s="39"/>
      <c r="D951" s="6"/>
      <c r="E951" s="153"/>
      <c r="F951" s="10"/>
      <c r="G951" s="64"/>
      <c r="H951" s="3"/>
      <c r="I951" s="2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3.5" customHeight="1" x14ac:dyDescent="0.35">
      <c r="A952" s="49"/>
      <c r="B952" s="49"/>
      <c r="C952" s="14"/>
      <c r="D952" s="1"/>
      <c r="E952" s="153"/>
      <c r="F952" s="10"/>
      <c r="G952" s="21"/>
      <c r="H952" s="21"/>
      <c r="I952" s="21"/>
      <c r="J952" s="21"/>
      <c r="K952" s="21"/>
      <c r="L952" s="21"/>
      <c r="M952" s="21"/>
      <c r="N952" s="22"/>
      <c r="O952" s="21"/>
      <c r="P952" s="22"/>
      <c r="Q952" s="21"/>
      <c r="R952" s="21"/>
      <c r="S952" s="21"/>
      <c r="T952" s="21"/>
      <c r="U952" s="21"/>
      <c r="V952" s="22"/>
      <c r="W952" s="21"/>
      <c r="X952" s="22"/>
      <c r="Y952" s="21"/>
      <c r="Z952" s="21"/>
      <c r="AA952" s="21"/>
      <c r="AB952" s="21"/>
      <c r="AC952" s="26"/>
      <c r="AD952" s="26"/>
      <c r="AE952" s="62"/>
    </row>
    <row r="953" spans="1:31" x14ac:dyDescent="0.3">
      <c r="A953" s="6"/>
      <c r="B953" s="6"/>
      <c r="C953" s="39"/>
      <c r="D953" s="6"/>
      <c r="E953" s="153"/>
      <c r="F953" s="1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21"/>
      <c r="R953" s="21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x14ac:dyDescent="0.3">
      <c r="A954" s="6"/>
      <c r="B954" s="6"/>
      <c r="C954" s="39"/>
      <c r="D954" s="6"/>
      <c r="E954" s="153"/>
      <c r="F954" s="1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21"/>
      <c r="R954" s="21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x14ac:dyDescent="0.3">
      <c r="A955" s="63"/>
      <c r="B955" s="63"/>
      <c r="C955" s="39"/>
      <c r="D955" s="6"/>
      <c r="E955" s="153"/>
      <c r="F955" s="10"/>
      <c r="G955" s="64"/>
      <c r="H955" s="3"/>
      <c r="I955" s="2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x14ac:dyDescent="0.3">
      <c r="A956" s="6"/>
      <c r="B956" s="6"/>
      <c r="C956" s="39"/>
      <c r="D956" s="6"/>
      <c r="E956" s="153"/>
      <c r="F956" s="1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21"/>
      <c r="R956" s="21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3.5" customHeight="1" x14ac:dyDescent="0.35">
      <c r="A957" s="49"/>
      <c r="B957" s="49"/>
      <c r="C957" s="14"/>
      <c r="D957" s="1"/>
      <c r="E957" s="153"/>
      <c r="F957" s="10"/>
      <c r="G957" s="21"/>
      <c r="H957" s="21"/>
      <c r="I957" s="21"/>
      <c r="J957" s="21"/>
      <c r="K957" s="21"/>
      <c r="L957" s="21"/>
      <c r="M957" s="21"/>
      <c r="N957" s="22"/>
      <c r="O957" s="21"/>
      <c r="P957" s="22"/>
      <c r="Q957" s="21"/>
      <c r="R957" s="21"/>
      <c r="S957" s="21"/>
      <c r="T957" s="21"/>
      <c r="U957" s="21"/>
      <c r="V957" s="22"/>
      <c r="W957" s="21"/>
      <c r="X957" s="22"/>
      <c r="Y957" s="21"/>
      <c r="Z957" s="21"/>
      <c r="AA957" s="21"/>
      <c r="AB957" s="21"/>
      <c r="AC957" s="26"/>
      <c r="AD957" s="26"/>
      <c r="AE957" s="62"/>
    </row>
    <row r="958" spans="1:31" x14ac:dyDescent="0.3">
      <c r="A958" s="63"/>
      <c r="B958" s="63"/>
      <c r="C958" s="39"/>
      <c r="D958" s="6"/>
      <c r="E958" s="153"/>
      <c r="F958" s="10"/>
      <c r="G958" s="64"/>
      <c r="H958" s="3"/>
      <c r="I958" s="2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3.5" customHeight="1" x14ac:dyDescent="0.35">
      <c r="A959" s="49"/>
      <c r="B959" s="49"/>
      <c r="C959" s="14"/>
      <c r="D959" s="1"/>
      <c r="E959" s="153"/>
      <c r="F959" s="10"/>
      <c r="G959" s="21"/>
      <c r="H959" s="21"/>
      <c r="I959" s="21"/>
      <c r="J959" s="21"/>
      <c r="K959" s="21"/>
      <c r="L959" s="21"/>
      <c r="M959" s="21"/>
      <c r="N959" s="22"/>
      <c r="O959" s="21"/>
      <c r="P959" s="22"/>
      <c r="Q959" s="21"/>
      <c r="R959" s="21"/>
      <c r="S959" s="21"/>
      <c r="T959" s="21"/>
      <c r="U959" s="21"/>
      <c r="V959" s="22"/>
      <c r="W959" s="21"/>
      <c r="X959" s="22"/>
      <c r="Y959" s="21"/>
      <c r="Z959" s="21"/>
      <c r="AA959" s="21"/>
      <c r="AB959" s="21"/>
      <c r="AC959" s="26"/>
      <c r="AD959" s="26"/>
      <c r="AE959" s="62"/>
    </row>
    <row r="960" spans="1:31" x14ac:dyDescent="0.3">
      <c r="A960" s="6"/>
      <c r="B960" s="6"/>
      <c r="C960" s="39"/>
      <c r="D960" s="6"/>
      <c r="E960" s="153"/>
      <c r="F960" s="1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21"/>
      <c r="R960" s="21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3.5" customHeight="1" x14ac:dyDescent="0.35">
      <c r="A961" s="49"/>
      <c r="B961" s="49"/>
      <c r="C961" s="39"/>
      <c r="D961" s="1"/>
      <c r="E961" s="153"/>
      <c r="F961" s="10"/>
      <c r="G961" s="21"/>
      <c r="H961" s="21"/>
      <c r="I961" s="21"/>
      <c r="J961" s="21"/>
      <c r="K961" s="21"/>
      <c r="L961" s="21"/>
      <c r="M961" s="21"/>
      <c r="N961" s="22"/>
      <c r="O961" s="21"/>
      <c r="P961" s="22"/>
      <c r="Q961" s="21"/>
      <c r="R961" s="21"/>
      <c r="S961" s="21"/>
      <c r="T961" s="21"/>
      <c r="U961" s="21"/>
      <c r="V961" s="22"/>
      <c r="W961" s="21"/>
      <c r="X961" s="22"/>
      <c r="Y961" s="21"/>
      <c r="Z961" s="21"/>
      <c r="AA961" s="21"/>
      <c r="AB961" s="21"/>
      <c r="AC961" s="26"/>
      <c r="AD961" s="26"/>
      <c r="AE961" s="62"/>
    </row>
    <row r="962" spans="1:31" x14ac:dyDescent="0.3">
      <c r="A962" s="63"/>
      <c r="B962" s="63"/>
      <c r="C962" s="39"/>
      <c r="D962" s="6"/>
      <c r="E962" s="153"/>
      <c r="F962" s="10"/>
      <c r="G962" s="64"/>
      <c r="H962" s="3"/>
      <c r="I962" s="2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3.5" customHeight="1" x14ac:dyDescent="0.35">
      <c r="A963" s="49"/>
      <c r="B963" s="49"/>
      <c r="C963" s="14"/>
      <c r="D963" s="1"/>
      <c r="E963" s="153"/>
      <c r="F963" s="10"/>
      <c r="G963" s="21"/>
      <c r="H963" s="21"/>
      <c r="I963" s="21"/>
      <c r="J963" s="21"/>
      <c r="K963" s="21"/>
      <c r="L963" s="21"/>
      <c r="M963" s="21"/>
      <c r="N963" s="22"/>
      <c r="O963" s="21"/>
      <c r="P963" s="22"/>
      <c r="Q963" s="21"/>
      <c r="R963" s="21"/>
      <c r="S963" s="21"/>
      <c r="T963" s="21"/>
      <c r="U963" s="21"/>
      <c r="V963" s="22"/>
      <c r="W963" s="21"/>
      <c r="X963" s="22"/>
      <c r="Y963" s="21"/>
      <c r="Z963" s="21"/>
      <c r="AA963" s="21"/>
      <c r="AB963" s="21"/>
      <c r="AC963" s="26"/>
      <c r="AD963" s="26"/>
      <c r="AE963" s="62"/>
    </row>
    <row r="964" spans="1:31" ht="13.5" customHeight="1" x14ac:dyDescent="0.35">
      <c r="A964" s="49"/>
      <c r="B964" s="49"/>
      <c r="C964" s="14"/>
      <c r="D964" s="1"/>
      <c r="E964" s="153"/>
      <c r="F964" s="10"/>
      <c r="G964" s="21"/>
      <c r="H964" s="21"/>
      <c r="I964" s="21"/>
      <c r="J964" s="21"/>
      <c r="K964" s="21"/>
      <c r="L964" s="21"/>
      <c r="M964" s="21"/>
      <c r="N964" s="22"/>
      <c r="O964" s="21"/>
      <c r="P964" s="22"/>
      <c r="Q964" s="21"/>
      <c r="R964" s="21"/>
      <c r="S964" s="21"/>
      <c r="T964" s="21"/>
      <c r="U964" s="21"/>
      <c r="V964" s="22"/>
      <c r="W964" s="21"/>
      <c r="X964" s="22"/>
      <c r="Y964" s="21"/>
      <c r="Z964" s="21"/>
      <c r="AA964" s="21"/>
      <c r="AB964" s="21"/>
      <c r="AC964" s="26"/>
      <c r="AD964" s="26"/>
      <c r="AE964" s="62"/>
    </row>
    <row r="965" spans="1:31" x14ac:dyDescent="0.3">
      <c r="A965" s="6"/>
      <c r="B965" s="6"/>
      <c r="C965" s="39"/>
      <c r="D965" s="6"/>
      <c r="E965" s="153"/>
      <c r="F965" s="10"/>
      <c r="G965" s="2"/>
      <c r="H965" s="3"/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x14ac:dyDescent="0.3">
      <c r="A966" s="6"/>
      <c r="B966" s="6"/>
      <c r="C966" s="39"/>
      <c r="D966" s="6"/>
      <c r="E966" s="153"/>
      <c r="F966" s="1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21"/>
      <c r="R966" s="21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3.5" customHeight="1" x14ac:dyDescent="0.35">
      <c r="A967" s="49"/>
      <c r="B967" s="49"/>
      <c r="C967" s="14"/>
      <c r="D967" s="1"/>
      <c r="E967" s="153"/>
      <c r="F967" s="10"/>
      <c r="G967" s="21"/>
      <c r="H967" s="21"/>
      <c r="I967" s="21"/>
      <c r="J967" s="21"/>
      <c r="K967" s="21"/>
      <c r="L967" s="21"/>
      <c r="M967" s="21"/>
      <c r="N967" s="22"/>
      <c r="O967" s="21"/>
      <c r="P967" s="22"/>
      <c r="Q967" s="21"/>
      <c r="R967" s="21"/>
      <c r="S967" s="21"/>
      <c r="T967" s="21"/>
      <c r="U967" s="21"/>
      <c r="V967" s="22"/>
      <c r="W967" s="21"/>
      <c r="X967" s="22"/>
      <c r="Y967" s="21"/>
      <c r="Z967" s="21"/>
      <c r="AA967" s="21"/>
      <c r="AB967" s="21"/>
      <c r="AC967" s="26"/>
      <c r="AD967" s="26"/>
      <c r="AE967" s="62"/>
    </row>
    <row r="968" spans="1:31" x14ac:dyDescent="0.3">
      <c r="A968" s="6"/>
      <c r="B968" s="6"/>
      <c r="C968" s="39"/>
      <c r="D968" s="6"/>
      <c r="E968" s="153"/>
      <c r="F968" s="1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21"/>
      <c r="R968" s="21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x14ac:dyDescent="0.3">
      <c r="A969" s="63"/>
      <c r="B969" s="63"/>
      <c r="C969" s="39"/>
      <c r="D969" s="6"/>
      <c r="E969" s="153"/>
      <c r="F969" s="10"/>
      <c r="G969" s="64"/>
      <c r="H969" s="3"/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x14ac:dyDescent="0.3">
      <c r="A970" s="63"/>
      <c r="B970" s="63"/>
      <c r="C970" s="39"/>
      <c r="D970" s="6"/>
      <c r="E970" s="153"/>
      <c r="F970" s="10"/>
      <c r="G970" s="64"/>
      <c r="H970" s="3"/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x14ac:dyDescent="0.3">
      <c r="A971" s="6"/>
      <c r="B971" s="6"/>
      <c r="C971" s="39"/>
      <c r="D971" s="6"/>
      <c r="E971" s="153"/>
      <c r="F971" s="1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21"/>
      <c r="R971" s="21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x14ac:dyDescent="0.3">
      <c r="A972" s="6"/>
      <c r="B972" s="6"/>
      <c r="C972" s="39"/>
      <c r="D972" s="6"/>
      <c r="E972" s="153"/>
      <c r="F972" s="1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21"/>
      <c r="R972" s="21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x14ac:dyDescent="0.3">
      <c r="A973" s="6"/>
      <c r="B973" s="6"/>
      <c r="C973" s="39"/>
      <c r="D973" s="6"/>
      <c r="E973" s="153"/>
      <c r="F973" s="10"/>
      <c r="G973" s="2"/>
      <c r="H973" s="3"/>
      <c r="I973" s="2"/>
      <c r="J973" s="2"/>
      <c r="K973" s="3"/>
      <c r="L973" s="3"/>
      <c r="M973" s="3"/>
      <c r="N973" s="3"/>
      <c r="O973" s="3"/>
      <c r="P973" s="3"/>
      <c r="Q973" s="21"/>
      <c r="R973" s="21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3.5" customHeight="1" x14ac:dyDescent="0.35">
      <c r="A974" s="49"/>
      <c r="B974" s="49"/>
      <c r="C974" s="39"/>
      <c r="D974" s="1"/>
      <c r="E974" s="153"/>
      <c r="F974" s="10"/>
      <c r="G974" s="21"/>
      <c r="H974" s="21"/>
      <c r="I974" s="21"/>
      <c r="J974" s="21"/>
      <c r="K974" s="21"/>
      <c r="L974" s="21"/>
      <c r="M974" s="21"/>
      <c r="N974" s="22"/>
      <c r="O974" s="21"/>
      <c r="P974" s="22"/>
      <c r="Q974" s="21"/>
      <c r="R974" s="21"/>
      <c r="S974" s="21"/>
      <c r="T974" s="21"/>
      <c r="U974" s="21"/>
      <c r="V974" s="22"/>
      <c r="W974" s="21"/>
      <c r="X974" s="22"/>
      <c r="Y974" s="21"/>
      <c r="Z974" s="21"/>
      <c r="AA974" s="21"/>
      <c r="AB974" s="21"/>
      <c r="AC974" s="26"/>
      <c r="AD974" s="26"/>
      <c r="AE974" s="62"/>
    </row>
    <row r="975" spans="1:31" x14ac:dyDescent="0.3">
      <c r="A975" s="6"/>
      <c r="B975" s="6"/>
      <c r="C975" s="39"/>
      <c r="D975" s="6"/>
      <c r="E975" s="153"/>
      <c r="F975" s="1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21"/>
      <c r="R975" s="21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3.5" customHeight="1" x14ac:dyDescent="0.35">
      <c r="A976" s="49"/>
      <c r="B976" s="49"/>
      <c r="C976" s="14"/>
      <c r="D976" s="1"/>
      <c r="E976" s="153"/>
      <c r="F976" s="10"/>
      <c r="G976" s="21"/>
      <c r="H976" s="21"/>
      <c r="I976" s="21"/>
      <c r="J976" s="21"/>
      <c r="K976" s="21"/>
      <c r="L976" s="21"/>
      <c r="M976" s="21"/>
      <c r="N976" s="22"/>
      <c r="O976" s="21"/>
      <c r="P976" s="22"/>
      <c r="Q976" s="21"/>
      <c r="R976" s="21"/>
      <c r="S976" s="21"/>
      <c r="T976" s="21"/>
      <c r="U976" s="21"/>
      <c r="V976" s="22"/>
      <c r="W976" s="21"/>
      <c r="X976" s="22"/>
      <c r="Y976" s="21"/>
      <c r="Z976" s="21"/>
      <c r="AA976" s="21"/>
      <c r="AB976" s="21"/>
      <c r="AC976" s="26"/>
      <c r="AD976" s="26"/>
      <c r="AE976" s="62"/>
    </row>
    <row r="977" spans="1:31" x14ac:dyDescent="0.3">
      <c r="A977" s="6"/>
      <c r="B977" s="6"/>
      <c r="C977" s="39"/>
      <c r="D977" s="6"/>
      <c r="E977" s="153"/>
      <c r="F977" s="1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21"/>
      <c r="R977" s="21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x14ac:dyDescent="0.3">
      <c r="A978" s="6"/>
      <c r="B978" s="6"/>
      <c r="C978" s="39"/>
      <c r="D978" s="6"/>
      <c r="E978" s="153"/>
      <c r="F978" s="1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21"/>
      <c r="R978" s="21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3.5" customHeight="1" x14ac:dyDescent="0.35">
      <c r="A979" s="49"/>
      <c r="B979" s="49"/>
      <c r="C979" s="39"/>
      <c r="D979" s="1"/>
      <c r="E979" s="153"/>
      <c r="F979" s="10"/>
      <c r="G979" s="21"/>
      <c r="H979" s="21"/>
      <c r="I979" s="21"/>
      <c r="J979" s="21"/>
      <c r="K979" s="21"/>
      <c r="L979" s="21"/>
      <c r="M979" s="21"/>
      <c r="N979" s="22"/>
      <c r="O979" s="21"/>
      <c r="P979" s="22"/>
      <c r="Q979" s="21"/>
      <c r="R979" s="21"/>
      <c r="S979" s="21"/>
      <c r="T979" s="21"/>
      <c r="U979" s="21"/>
      <c r="V979" s="22"/>
      <c r="W979" s="21"/>
      <c r="X979" s="22"/>
      <c r="Y979" s="21"/>
      <c r="Z979" s="21"/>
      <c r="AA979" s="21"/>
      <c r="AB979" s="21"/>
      <c r="AC979" s="26"/>
      <c r="AD979" s="26"/>
      <c r="AE979" s="62"/>
    </row>
    <row r="980" spans="1:31" ht="13.5" customHeight="1" x14ac:dyDescent="0.35">
      <c r="A980" s="49"/>
      <c r="B980" s="49"/>
      <c r="C980" s="14"/>
      <c r="D980" s="1"/>
      <c r="E980" s="153"/>
      <c r="F980" s="10"/>
      <c r="G980" s="21"/>
      <c r="H980" s="21"/>
      <c r="I980" s="21"/>
      <c r="J980" s="21"/>
      <c r="K980" s="21"/>
      <c r="L980" s="21"/>
      <c r="M980" s="21"/>
      <c r="N980" s="22"/>
      <c r="O980" s="21"/>
      <c r="P980" s="22"/>
      <c r="Q980" s="21"/>
      <c r="R980" s="21"/>
      <c r="S980" s="21"/>
      <c r="T980" s="21"/>
      <c r="U980" s="21"/>
      <c r="V980" s="22"/>
      <c r="W980" s="21"/>
      <c r="X980" s="22"/>
      <c r="Y980" s="21"/>
      <c r="Z980" s="21"/>
      <c r="AA980" s="21"/>
      <c r="AB980" s="21"/>
      <c r="AC980" s="26"/>
      <c r="AD980" s="26"/>
      <c r="AE980" s="62"/>
    </row>
    <row r="981" spans="1:31" x14ac:dyDescent="0.3">
      <c r="A981" s="6"/>
      <c r="B981" s="6"/>
      <c r="C981" s="39"/>
      <c r="D981" s="6"/>
      <c r="E981" s="153"/>
      <c r="F981" s="1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21"/>
      <c r="R981" s="21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3.5" customHeight="1" x14ac:dyDescent="0.35">
      <c r="A982" s="49"/>
      <c r="B982" s="49"/>
      <c r="C982" s="39"/>
      <c r="D982" s="1"/>
      <c r="E982" s="153"/>
      <c r="F982" s="10"/>
      <c r="G982" s="21"/>
      <c r="H982" s="21"/>
      <c r="I982" s="21"/>
      <c r="J982" s="21"/>
      <c r="K982" s="21"/>
      <c r="L982" s="21"/>
      <c r="M982" s="21"/>
      <c r="N982" s="22"/>
      <c r="O982" s="21"/>
      <c r="P982" s="22"/>
      <c r="Q982" s="21"/>
      <c r="R982" s="21"/>
      <c r="S982" s="21"/>
      <c r="T982" s="21"/>
      <c r="U982" s="21"/>
      <c r="V982" s="22"/>
      <c r="W982" s="21"/>
      <c r="X982" s="22"/>
      <c r="Y982" s="21"/>
      <c r="Z982" s="21"/>
      <c r="AA982" s="21"/>
      <c r="AB982" s="21"/>
      <c r="AC982" s="26"/>
      <c r="AD982" s="26"/>
      <c r="AE982" s="62"/>
    </row>
    <row r="983" spans="1:31" ht="13.5" customHeight="1" x14ac:dyDescent="0.35">
      <c r="A983" s="49"/>
      <c r="B983" s="49"/>
      <c r="C983" s="39"/>
      <c r="D983" s="1"/>
      <c r="E983" s="153"/>
      <c r="F983" s="10"/>
      <c r="G983" s="21"/>
      <c r="H983" s="21"/>
      <c r="I983" s="21"/>
      <c r="J983" s="21"/>
      <c r="K983" s="21"/>
      <c r="L983" s="21"/>
      <c r="M983" s="21"/>
      <c r="N983" s="22"/>
      <c r="O983" s="21"/>
      <c r="P983" s="22"/>
      <c r="Q983" s="21"/>
      <c r="R983" s="21"/>
      <c r="S983" s="21"/>
      <c r="T983" s="21"/>
      <c r="U983" s="21"/>
      <c r="V983" s="22"/>
      <c r="W983" s="21"/>
      <c r="X983" s="22"/>
      <c r="Y983" s="21"/>
      <c r="Z983" s="21"/>
      <c r="AA983" s="21"/>
      <c r="AB983" s="21"/>
      <c r="AC983" s="26"/>
      <c r="AD983" s="26"/>
      <c r="AE983" s="62"/>
    </row>
    <row r="984" spans="1:31" x14ac:dyDescent="0.3">
      <c r="A984" s="63"/>
      <c r="B984" s="63"/>
      <c r="C984" s="39"/>
      <c r="D984" s="6"/>
      <c r="E984" s="153"/>
      <c r="F984" s="10"/>
      <c r="G984" s="64"/>
      <c r="H984" s="3"/>
      <c r="I984" s="2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x14ac:dyDescent="0.3">
      <c r="A985" s="63"/>
      <c r="B985" s="63"/>
      <c r="C985" s="39"/>
      <c r="D985" s="6"/>
      <c r="E985" s="153"/>
      <c r="F985" s="10"/>
      <c r="G985" s="64"/>
      <c r="H985" s="3"/>
      <c r="I985" s="2"/>
      <c r="J985" s="2"/>
      <c r="K985" s="3"/>
      <c r="L985" s="3"/>
      <c r="M985" s="3"/>
      <c r="N985" s="3"/>
      <c r="O985" s="3"/>
      <c r="P985" s="3"/>
      <c r="Q985" s="21"/>
      <c r="R985" s="21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x14ac:dyDescent="0.3">
      <c r="A986" s="63"/>
      <c r="B986" s="63"/>
      <c r="C986" s="39"/>
      <c r="D986" s="6"/>
      <c r="E986" s="153"/>
      <c r="F986" s="10"/>
      <c r="G986" s="64"/>
      <c r="H986" s="3"/>
      <c r="I986" s="2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x14ac:dyDescent="0.3">
      <c r="A987" s="63"/>
      <c r="B987" s="63"/>
      <c r="C987" s="39"/>
      <c r="D987" s="6"/>
      <c r="E987" s="153"/>
      <c r="F987" s="10"/>
      <c r="G987" s="64"/>
      <c r="H987" s="3"/>
      <c r="I987" s="2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3.5" customHeight="1" x14ac:dyDescent="0.35">
      <c r="A988" s="49"/>
      <c r="B988" s="49"/>
      <c r="C988" s="14"/>
      <c r="D988" s="1"/>
      <c r="E988" s="153"/>
      <c r="F988" s="10"/>
      <c r="G988" s="21"/>
      <c r="H988" s="21"/>
      <c r="I988" s="21"/>
      <c r="J988" s="21"/>
      <c r="K988" s="21"/>
      <c r="L988" s="21"/>
      <c r="M988" s="21"/>
      <c r="N988" s="22"/>
      <c r="O988" s="21"/>
      <c r="P988" s="22"/>
      <c r="Q988" s="21"/>
      <c r="R988" s="21"/>
      <c r="S988" s="21"/>
      <c r="T988" s="21"/>
      <c r="U988" s="21"/>
      <c r="V988" s="22"/>
      <c r="W988" s="21"/>
      <c r="X988" s="22"/>
      <c r="Y988" s="21"/>
      <c r="Z988" s="21"/>
      <c r="AA988" s="21"/>
      <c r="AB988" s="21"/>
      <c r="AC988" s="26"/>
      <c r="AD988" s="26"/>
      <c r="AE988" s="62"/>
    </row>
    <row r="989" spans="1:31" x14ac:dyDescent="0.3">
      <c r="A989" s="6"/>
      <c r="B989" s="6"/>
      <c r="C989" s="39"/>
      <c r="D989" s="6"/>
      <c r="E989" s="153"/>
      <c r="F989" s="10"/>
      <c r="G989" s="2"/>
      <c r="H989" s="3"/>
      <c r="I989" s="2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x14ac:dyDescent="0.3">
      <c r="A990" s="6"/>
      <c r="B990" s="6"/>
      <c r="C990" s="39"/>
      <c r="D990" s="6"/>
      <c r="E990" s="153"/>
      <c r="F990" s="10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21"/>
      <c r="R990" s="21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x14ac:dyDescent="0.3">
      <c r="A991" s="6"/>
      <c r="B991" s="6"/>
      <c r="C991" s="39"/>
      <c r="D991" s="6"/>
      <c r="E991" s="153"/>
      <c r="F991" s="10"/>
      <c r="G991" s="2"/>
      <c r="H991" s="3"/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3.5" customHeight="1" x14ac:dyDescent="0.35">
      <c r="A992" s="49"/>
      <c r="B992" s="49"/>
      <c r="C992" s="14"/>
      <c r="D992" s="1"/>
      <c r="E992" s="153"/>
      <c r="F992" s="10"/>
      <c r="G992" s="21"/>
      <c r="H992" s="21"/>
      <c r="I992" s="21"/>
      <c r="J992" s="21"/>
      <c r="K992" s="21"/>
      <c r="L992" s="21"/>
      <c r="M992" s="21"/>
      <c r="N992" s="22"/>
      <c r="O992" s="21"/>
      <c r="P992" s="22"/>
      <c r="Q992" s="21"/>
      <c r="R992" s="21"/>
      <c r="S992" s="21"/>
      <c r="T992" s="21"/>
      <c r="U992" s="21"/>
      <c r="V992" s="22"/>
      <c r="W992" s="21"/>
      <c r="X992" s="22"/>
      <c r="Y992" s="21"/>
      <c r="Z992" s="21"/>
      <c r="AA992" s="21"/>
      <c r="AB992" s="21"/>
      <c r="AC992" s="26"/>
      <c r="AD992" s="26"/>
      <c r="AE992" s="62"/>
    </row>
    <row r="993" spans="1:31" ht="13.5" customHeight="1" x14ac:dyDescent="0.35">
      <c r="A993" s="49"/>
      <c r="B993" s="49"/>
      <c r="C993" s="39"/>
      <c r="D993" s="1"/>
      <c r="E993" s="153"/>
      <c r="F993" s="10"/>
      <c r="G993" s="21"/>
      <c r="H993" s="21"/>
      <c r="I993" s="21"/>
      <c r="J993" s="21"/>
      <c r="K993" s="21"/>
      <c r="L993" s="21"/>
      <c r="M993" s="21"/>
      <c r="N993" s="22"/>
      <c r="O993" s="21"/>
      <c r="P993" s="22"/>
      <c r="Q993" s="21"/>
      <c r="R993" s="21"/>
      <c r="S993" s="21"/>
      <c r="T993" s="21"/>
      <c r="U993" s="21"/>
      <c r="V993" s="22"/>
      <c r="W993" s="21"/>
      <c r="X993" s="22"/>
      <c r="Y993" s="21"/>
      <c r="Z993" s="21"/>
      <c r="AA993" s="21"/>
      <c r="AB993" s="21"/>
      <c r="AC993" s="26"/>
      <c r="AD993" s="26"/>
      <c r="AE993" s="62"/>
    </row>
    <row r="994" spans="1:31" x14ac:dyDescent="0.3">
      <c r="A994" s="63"/>
      <c r="B994" s="63"/>
      <c r="C994" s="39"/>
      <c r="D994" s="6"/>
      <c r="E994" s="153"/>
      <c r="F994" s="10"/>
      <c r="G994" s="64"/>
      <c r="H994" s="3"/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x14ac:dyDescent="0.3">
      <c r="A995" s="6"/>
      <c r="B995" s="6"/>
      <c r="C995" s="39"/>
      <c r="D995" s="6"/>
      <c r="E995" s="153"/>
      <c r="F995" s="10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x14ac:dyDescent="0.3">
      <c r="A996" s="6"/>
      <c r="B996" s="6"/>
      <c r="C996" s="39"/>
      <c r="D996" s="6"/>
      <c r="E996" s="153"/>
      <c r="F996" s="10"/>
      <c r="G996" s="2"/>
      <c r="H996" s="3"/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x14ac:dyDescent="0.3">
      <c r="A997" s="6"/>
      <c r="B997" s="6"/>
      <c r="C997" s="39"/>
      <c r="D997" s="6"/>
      <c r="E997" s="153"/>
      <c r="F997" s="10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21"/>
      <c r="R997" s="21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x14ac:dyDescent="0.3">
      <c r="A998" s="6"/>
      <c r="B998" s="6"/>
      <c r="C998" s="39"/>
      <c r="D998" s="6"/>
      <c r="E998" s="153"/>
      <c r="F998" s="10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21"/>
      <c r="R998" s="21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x14ac:dyDescent="0.3">
      <c r="A999" s="63"/>
      <c r="B999" s="63"/>
      <c r="C999" s="39"/>
      <c r="D999" s="6"/>
      <c r="E999" s="153"/>
      <c r="F999" s="10"/>
      <c r="G999" s="64"/>
      <c r="H999" s="3"/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x14ac:dyDescent="0.3">
      <c r="A1000" s="6"/>
      <c r="B1000" s="6"/>
      <c r="C1000" s="39"/>
      <c r="D1000" s="6"/>
      <c r="E1000" s="153"/>
      <c r="F1000" s="10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21"/>
      <c r="R1000" s="21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spans="1:31" x14ac:dyDescent="0.3">
      <c r="A1001" s="6"/>
      <c r="B1001" s="6"/>
      <c r="C1001" s="39"/>
      <c r="D1001" s="6"/>
      <c r="E1001" s="153"/>
      <c r="F1001" s="10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21"/>
      <c r="R1001" s="21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spans="1:31" x14ac:dyDescent="0.3">
      <c r="A1002" s="6"/>
      <c r="B1002" s="6"/>
      <c r="C1002" s="39"/>
      <c r="D1002" s="6"/>
      <c r="E1002" s="153"/>
      <c r="F1002" s="10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21"/>
      <c r="R1002" s="21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spans="1:31" x14ac:dyDescent="0.3">
      <c r="A1003" s="6"/>
      <c r="B1003" s="6"/>
      <c r="C1003" s="39"/>
      <c r="D1003" s="6"/>
      <c r="E1003" s="153"/>
      <c r="F1003" s="10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21"/>
      <c r="R1003" s="21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spans="1:31" x14ac:dyDescent="0.3">
      <c r="A1004" s="63"/>
      <c r="B1004" s="63"/>
      <c r="C1004" s="39"/>
      <c r="D1004" s="6"/>
      <c r="E1004" s="153"/>
      <c r="F1004" s="10"/>
      <c r="G1004" s="64"/>
      <c r="H1004" s="3"/>
      <c r="I1004" s="2"/>
      <c r="J1004" s="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spans="1:31" ht="13.5" customHeight="1" x14ac:dyDescent="0.35">
      <c r="A1005" s="49"/>
      <c r="B1005" s="49"/>
      <c r="C1005" s="14"/>
      <c r="D1005" s="1"/>
      <c r="E1005" s="153"/>
      <c r="F1005" s="10"/>
      <c r="G1005" s="21"/>
      <c r="H1005" s="21"/>
      <c r="I1005" s="21"/>
      <c r="J1005" s="21"/>
      <c r="K1005" s="21"/>
      <c r="L1005" s="21"/>
      <c r="M1005" s="21"/>
      <c r="N1005" s="22"/>
      <c r="O1005" s="21"/>
      <c r="P1005" s="22"/>
      <c r="Q1005" s="21"/>
      <c r="R1005" s="21"/>
      <c r="S1005" s="21"/>
      <c r="T1005" s="21"/>
      <c r="U1005" s="21"/>
      <c r="V1005" s="22"/>
      <c r="W1005" s="21"/>
      <c r="X1005" s="22"/>
      <c r="Y1005" s="21"/>
      <c r="Z1005" s="21"/>
      <c r="AA1005" s="21"/>
      <c r="AB1005" s="21"/>
      <c r="AC1005" s="26"/>
      <c r="AD1005" s="26"/>
      <c r="AE1005" s="62"/>
    </row>
    <row r="1006" spans="1:31" x14ac:dyDescent="0.3">
      <c r="A1006" s="6"/>
      <c r="B1006" s="6"/>
      <c r="C1006" s="39"/>
      <c r="D1006" s="6"/>
      <c r="E1006" s="153"/>
      <c r="F1006" s="10"/>
      <c r="G1006" s="2"/>
      <c r="H1006" s="3"/>
      <c r="I1006" s="2"/>
      <c r="J1006" s="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spans="1:31" x14ac:dyDescent="0.3">
      <c r="A1007" s="6"/>
      <c r="B1007" s="6"/>
      <c r="C1007" s="39"/>
      <c r="D1007" s="6"/>
      <c r="E1007" s="153"/>
      <c r="F1007" s="10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21"/>
      <c r="R1007" s="21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spans="1:31" x14ac:dyDescent="0.3">
      <c r="A1008" s="6"/>
      <c r="B1008" s="6"/>
      <c r="C1008" s="39"/>
      <c r="D1008" s="6"/>
      <c r="E1008" s="153"/>
      <c r="F1008" s="10"/>
      <c r="G1008" s="2"/>
      <c r="H1008" s="3"/>
      <c r="I1008" s="2"/>
      <c r="J1008" s="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spans="1:31" x14ac:dyDescent="0.3">
      <c r="A1009" s="63"/>
      <c r="B1009" s="63"/>
      <c r="C1009" s="39"/>
      <c r="D1009" s="6"/>
      <c r="E1009" s="153"/>
      <c r="F1009" s="10"/>
      <c r="G1009" s="64"/>
      <c r="H1009" s="3"/>
      <c r="I1009" s="2"/>
      <c r="J1009" s="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spans="1:31" ht="13.5" customHeight="1" x14ac:dyDescent="0.35">
      <c r="A1010" s="49"/>
      <c r="B1010" s="49"/>
      <c r="C1010" s="14"/>
      <c r="D1010" s="1"/>
      <c r="E1010" s="153"/>
      <c r="F1010" s="10"/>
      <c r="G1010" s="21"/>
      <c r="H1010" s="21"/>
      <c r="I1010" s="21"/>
      <c r="J1010" s="21"/>
      <c r="K1010" s="21"/>
      <c r="L1010" s="21"/>
      <c r="M1010" s="21"/>
      <c r="N1010" s="22"/>
      <c r="O1010" s="21"/>
      <c r="P1010" s="22"/>
      <c r="Q1010" s="21"/>
      <c r="R1010" s="21"/>
      <c r="S1010" s="21"/>
      <c r="T1010" s="21"/>
      <c r="U1010" s="21"/>
      <c r="V1010" s="22"/>
      <c r="W1010" s="21"/>
      <c r="X1010" s="22"/>
      <c r="Y1010" s="21"/>
      <c r="Z1010" s="21"/>
      <c r="AA1010" s="21"/>
      <c r="AB1010" s="21"/>
      <c r="AC1010" s="26"/>
      <c r="AD1010" s="26"/>
      <c r="AE1010" s="62"/>
    </row>
    <row r="1011" spans="1:31" x14ac:dyDescent="0.3">
      <c r="A1011" s="6"/>
      <c r="B1011" s="6"/>
      <c r="C1011" s="39"/>
      <c r="D1011" s="6"/>
      <c r="E1011" s="153"/>
      <c r="F1011" s="10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spans="1:31" x14ac:dyDescent="0.3">
      <c r="A1012" s="63"/>
      <c r="B1012" s="63"/>
      <c r="C1012" s="39"/>
      <c r="D1012" s="6"/>
      <c r="E1012" s="153"/>
      <c r="F1012" s="10"/>
      <c r="G1012" s="64"/>
      <c r="H1012" s="3"/>
      <c r="I1012" s="2"/>
      <c r="J1012" s="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spans="1:31" x14ac:dyDescent="0.3">
      <c r="A1013" s="6"/>
      <c r="B1013" s="6"/>
      <c r="C1013" s="39"/>
      <c r="D1013" s="6"/>
      <c r="E1013" s="153"/>
      <c r="F1013" s="10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spans="1:31" x14ac:dyDescent="0.3">
      <c r="A1014" s="63"/>
      <c r="B1014" s="63"/>
      <c r="C1014" s="39"/>
      <c r="D1014" s="6"/>
      <c r="E1014" s="153"/>
      <c r="F1014" s="10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21"/>
      <c r="R1014" s="21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spans="1:31" ht="13.5" customHeight="1" x14ac:dyDescent="0.35">
      <c r="A1015" s="49"/>
      <c r="B1015" s="49"/>
      <c r="C1015" s="14"/>
      <c r="D1015" s="1"/>
      <c r="E1015" s="153"/>
      <c r="F1015" s="10"/>
      <c r="G1015" s="21"/>
      <c r="H1015" s="21"/>
      <c r="I1015" s="21"/>
      <c r="J1015" s="21"/>
      <c r="K1015" s="21"/>
      <c r="L1015" s="21"/>
      <c r="M1015" s="21"/>
      <c r="N1015" s="22"/>
      <c r="O1015" s="21"/>
      <c r="P1015" s="22"/>
      <c r="Q1015" s="21"/>
      <c r="R1015" s="21"/>
      <c r="S1015" s="21"/>
      <c r="T1015" s="21"/>
      <c r="U1015" s="21"/>
      <c r="V1015" s="22"/>
      <c r="W1015" s="21"/>
      <c r="X1015" s="22"/>
      <c r="Y1015" s="21"/>
      <c r="Z1015" s="21"/>
      <c r="AA1015" s="21"/>
      <c r="AB1015" s="21"/>
      <c r="AC1015" s="26"/>
      <c r="AD1015" s="26"/>
      <c r="AE1015" s="62"/>
    </row>
    <row r="1016" spans="1:31" ht="13.5" customHeight="1" x14ac:dyDescent="0.35">
      <c r="A1016" s="49"/>
      <c r="B1016" s="49"/>
      <c r="C1016" s="14"/>
      <c r="D1016" s="1"/>
      <c r="E1016" s="153"/>
      <c r="F1016" s="10"/>
      <c r="G1016" s="21"/>
      <c r="H1016" s="21"/>
      <c r="I1016" s="21"/>
      <c r="J1016" s="21"/>
      <c r="K1016" s="21"/>
      <c r="L1016" s="21"/>
      <c r="M1016" s="21"/>
      <c r="N1016" s="22"/>
      <c r="O1016" s="21"/>
      <c r="P1016" s="22"/>
      <c r="Q1016" s="21"/>
      <c r="R1016" s="21"/>
      <c r="S1016" s="21"/>
      <c r="T1016" s="21"/>
      <c r="U1016" s="21"/>
      <c r="V1016" s="22"/>
      <c r="W1016" s="21"/>
      <c r="X1016" s="22"/>
      <c r="Y1016" s="21"/>
      <c r="Z1016" s="21"/>
      <c r="AA1016" s="21"/>
      <c r="AB1016" s="21"/>
      <c r="AC1016" s="26"/>
      <c r="AD1016" s="26"/>
      <c r="AE1016" s="62"/>
    </row>
    <row r="1017" spans="1:31" x14ac:dyDescent="0.3">
      <c r="A1017" s="6"/>
      <c r="B1017" s="6"/>
      <c r="C1017" s="39"/>
      <c r="D1017" s="6"/>
      <c r="E1017" s="153"/>
      <c r="F1017" s="10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21"/>
      <c r="R1017" s="21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spans="1:31" ht="13.5" customHeight="1" x14ac:dyDescent="0.35">
      <c r="A1018" s="49"/>
      <c r="B1018" s="49"/>
      <c r="C1018" s="39"/>
      <c r="D1018" s="1"/>
      <c r="E1018" s="153"/>
      <c r="F1018" s="10"/>
      <c r="G1018" s="21"/>
      <c r="H1018" s="21"/>
      <c r="I1018" s="21"/>
      <c r="J1018" s="21"/>
      <c r="K1018" s="21"/>
      <c r="L1018" s="21"/>
      <c r="M1018" s="21"/>
      <c r="N1018" s="22"/>
      <c r="O1018" s="21"/>
      <c r="P1018" s="22"/>
      <c r="Q1018" s="21"/>
      <c r="R1018" s="21"/>
      <c r="S1018" s="21"/>
      <c r="T1018" s="21"/>
      <c r="U1018" s="21"/>
      <c r="V1018" s="22"/>
      <c r="W1018" s="21"/>
      <c r="X1018" s="22"/>
      <c r="Y1018" s="21"/>
      <c r="Z1018" s="21"/>
      <c r="AA1018" s="21"/>
      <c r="AB1018" s="21"/>
      <c r="AC1018" s="26"/>
      <c r="AD1018" s="26"/>
      <c r="AE1018" s="62"/>
    </row>
    <row r="1019" spans="1:31" x14ac:dyDescent="0.3">
      <c r="A1019" s="63"/>
      <c r="B1019" s="63"/>
      <c r="C1019" s="39"/>
      <c r="D1019" s="6"/>
      <c r="E1019" s="153"/>
      <c r="F1019" s="10"/>
      <c r="G1019" s="64"/>
      <c r="H1019" s="3"/>
      <c r="I1019" s="2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spans="1:31" x14ac:dyDescent="0.3">
      <c r="A1020" s="6"/>
      <c r="B1020" s="6"/>
      <c r="C1020" s="39"/>
      <c r="D1020" s="6"/>
      <c r="E1020" s="153"/>
      <c r="F1020" s="10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21"/>
      <c r="R1020" s="21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spans="1:31" x14ac:dyDescent="0.3">
      <c r="A1021" s="6"/>
      <c r="B1021" s="6"/>
      <c r="C1021" s="39"/>
      <c r="D1021" s="6"/>
      <c r="E1021" s="153"/>
      <c r="F1021" s="10"/>
      <c r="G1021" s="2"/>
      <c r="H1021" s="3"/>
      <c r="I1021" s="2"/>
      <c r="J1021" s="2"/>
      <c r="K1021" s="3"/>
      <c r="L1021" s="3"/>
      <c r="M1021" s="3"/>
      <c r="N1021" s="3"/>
      <c r="O1021" s="3"/>
      <c r="P1021" s="3"/>
      <c r="Q1021" s="21"/>
      <c r="R1021" s="21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spans="1:31" ht="13.5" customHeight="1" x14ac:dyDescent="0.35">
      <c r="A1022" s="49"/>
      <c r="B1022" s="49"/>
      <c r="C1022" s="14"/>
      <c r="D1022" s="1"/>
      <c r="E1022" s="153"/>
      <c r="F1022" s="10"/>
      <c r="G1022" s="21"/>
      <c r="H1022" s="21"/>
      <c r="I1022" s="21"/>
      <c r="J1022" s="21"/>
      <c r="K1022" s="21"/>
      <c r="L1022" s="21"/>
      <c r="M1022" s="21"/>
      <c r="N1022" s="22"/>
      <c r="O1022" s="21"/>
      <c r="P1022" s="22"/>
      <c r="Q1022" s="21"/>
      <c r="R1022" s="21"/>
      <c r="S1022" s="21"/>
      <c r="T1022" s="21"/>
      <c r="U1022" s="21"/>
      <c r="V1022" s="22"/>
      <c r="W1022" s="21"/>
      <c r="X1022" s="22"/>
      <c r="Y1022" s="21"/>
      <c r="Z1022" s="21"/>
      <c r="AA1022" s="21"/>
      <c r="AB1022" s="21"/>
      <c r="AC1022" s="26"/>
      <c r="AD1022" s="26"/>
      <c r="AE1022" s="62"/>
    </row>
    <row r="1023" spans="1:31" ht="15" x14ac:dyDescent="0.35">
      <c r="A1023" s="6"/>
      <c r="B1023" s="6"/>
      <c r="C1023" s="39"/>
      <c r="D1023" s="6"/>
      <c r="E1023" s="153"/>
      <c r="F1023" s="10"/>
      <c r="G1023" s="2"/>
      <c r="H1023" s="3"/>
      <c r="I1023" s="2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65"/>
    </row>
    <row r="1024" spans="1:31" x14ac:dyDescent="0.3">
      <c r="A1024" s="6"/>
      <c r="B1024" s="6"/>
      <c r="C1024" s="39"/>
      <c r="D1024" s="6"/>
      <c r="E1024" s="153"/>
      <c r="F1024" s="10"/>
      <c r="G1024" s="2"/>
      <c r="H1024" s="3"/>
      <c r="I1024" s="2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spans="1:31" ht="13.5" customHeight="1" x14ac:dyDescent="0.35">
      <c r="A1025" s="49"/>
      <c r="B1025" s="49"/>
      <c r="C1025" s="14"/>
      <c r="D1025" s="1"/>
      <c r="E1025" s="153"/>
      <c r="F1025" s="10"/>
      <c r="G1025" s="21"/>
      <c r="H1025" s="21"/>
      <c r="I1025" s="21"/>
      <c r="J1025" s="21"/>
      <c r="K1025" s="21"/>
      <c r="L1025" s="21"/>
      <c r="M1025" s="21"/>
      <c r="N1025" s="22"/>
      <c r="O1025" s="21"/>
      <c r="P1025" s="22"/>
      <c r="Q1025" s="21"/>
      <c r="R1025" s="21"/>
      <c r="S1025" s="21"/>
      <c r="T1025" s="21"/>
      <c r="U1025" s="21"/>
      <c r="V1025" s="22"/>
      <c r="W1025" s="21"/>
      <c r="X1025" s="22"/>
      <c r="Y1025" s="21"/>
      <c r="Z1025" s="21"/>
      <c r="AA1025" s="21"/>
      <c r="AB1025" s="21"/>
      <c r="AC1025" s="26"/>
      <c r="AD1025" s="26"/>
      <c r="AE1025" s="62"/>
    </row>
    <row r="1026" spans="1:31" ht="13.5" customHeight="1" x14ac:dyDescent="0.35">
      <c r="A1026" s="49"/>
      <c r="B1026" s="49"/>
      <c r="C1026" s="14"/>
      <c r="D1026" s="1"/>
      <c r="E1026" s="153"/>
      <c r="F1026" s="10"/>
      <c r="G1026" s="21"/>
      <c r="H1026" s="21"/>
      <c r="I1026" s="21"/>
      <c r="J1026" s="21"/>
      <c r="K1026" s="21"/>
      <c r="L1026" s="21"/>
      <c r="M1026" s="21"/>
      <c r="N1026" s="22"/>
      <c r="O1026" s="21"/>
      <c r="P1026" s="22"/>
      <c r="Q1026" s="21"/>
      <c r="R1026" s="21"/>
      <c r="S1026" s="21"/>
      <c r="T1026" s="21"/>
      <c r="U1026" s="21"/>
      <c r="V1026" s="22"/>
      <c r="W1026" s="21"/>
      <c r="X1026" s="22"/>
      <c r="Y1026" s="21"/>
      <c r="Z1026" s="21"/>
      <c r="AA1026" s="21"/>
      <c r="AB1026" s="21"/>
      <c r="AC1026" s="26"/>
      <c r="AD1026" s="26"/>
      <c r="AE1026" s="62"/>
    </row>
    <row r="1027" spans="1:31" ht="13.5" customHeight="1" x14ac:dyDescent="0.35">
      <c r="A1027" s="49"/>
      <c r="B1027" s="49"/>
      <c r="C1027" s="14"/>
      <c r="D1027" s="1"/>
      <c r="E1027" s="153"/>
      <c r="F1027" s="10"/>
      <c r="G1027" s="21"/>
      <c r="H1027" s="21"/>
      <c r="I1027" s="21"/>
      <c r="J1027" s="21"/>
      <c r="K1027" s="21"/>
      <c r="L1027" s="21"/>
      <c r="M1027" s="21"/>
      <c r="N1027" s="22"/>
      <c r="O1027" s="21"/>
      <c r="P1027" s="22"/>
      <c r="Q1027" s="21"/>
      <c r="R1027" s="21"/>
      <c r="S1027" s="21"/>
      <c r="T1027" s="21"/>
      <c r="U1027" s="21"/>
      <c r="V1027" s="22"/>
      <c r="W1027" s="21"/>
      <c r="X1027" s="22"/>
      <c r="Y1027" s="21"/>
      <c r="Z1027" s="21"/>
      <c r="AA1027" s="21"/>
      <c r="AB1027" s="21"/>
      <c r="AC1027" s="26"/>
      <c r="AD1027" s="26"/>
      <c r="AE1027" s="62"/>
    </row>
    <row r="1028" spans="1:31" x14ac:dyDescent="0.3">
      <c r="A1028" s="6"/>
      <c r="B1028" s="6"/>
      <c r="C1028" s="39"/>
      <c r="D1028" s="6"/>
      <c r="E1028" s="153"/>
      <c r="F1028" s="10"/>
      <c r="G1028" s="2"/>
      <c r="H1028" s="3"/>
      <c r="I1028" s="2"/>
      <c r="J1028" s="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spans="1:31" x14ac:dyDescent="0.3">
      <c r="A1029" s="6"/>
      <c r="B1029" s="6"/>
      <c r="C1029" s="39"/>
      <c r="D1029" s="6"/>
      <c r="E1029" s="153"/>
      <c r="F1029" s="10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21"/>
      <c r="R1029" s="21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spans="1:31" x14ac:dyDescent="0.3">
      <c r="A1030" s="6"/>
      <c r="B1030" s="6"/>
      <c r="C1030" s="39"/>
      <c r="D1030" s="6"/>
      <c r="E1030" s="153"/>
      <c r="F1030" s="10"/>
      <c r="G1030" s="2"/>
      <c r="H1030" s="3"/>
      <c r="I1030" s="2"/>
      <c r="J1030" s="2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spans="1:31" x14ac:dyDescent="0.3">
      <c r="A1031" s="63"/>
      <c r="B1031" s="63"/>
      <c r="C1031" s="39"/>
      <c r="D1031" s="6"/>
      <c r="E1031" s="153"/>
      <c r="F1031" s="10"/>
      <c r="G1031" s="64"/>
      <c r="H1031" s="3"/>
      <c r="I1031" s="2"/>
      <c r="J1031" s="2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spans="1:31" x14ac:dyDescent="0.3">
      <c r="A1032" s="6"/>
      <c r="B1032" s="6"/>
      <c r="C1032" s="39"/>
      <c r="D1032" s="6"/>
      <c r="E1032" s="153"/>
      <c r="F1032" s="10"/>
      <c r="G1032" s="2"/>
      <c r="H1032" s="3"/>
      <c r="I1032" s="2"/>
      <c r="J1032" s="2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spans="1:31" ht="13.5" customHeight="1" x14ac:dyDescent="0.35">
      <c r="A1033" s="49"/>
      <c r="B1033" s="49"/>
      <c r="C1033" s="39"/>
      <c r="D1033" s="1"/>
      <c r="E1033" s="153"/>
      <c r="F1033" s="10"/>
      <c r="G1033" s="21"/>
      <c r="H1033" s="21"/>
      <c r="I1033" s="21"/>
      <c r="J1033" s="21"/>
      <c r="K1033" s="21"/>
      <c r="L1033" s="21"/>
      <c r="M1033" s="21"/>
      <c r="N1033" s="22"/>
      <c r="O1033" s="21"/>
      <c r="P1033" s="22"/>
      <c r="Q1033" s="21"/>
      <c r="R1033" s="21"/>
      <c r="S1033" s="21"/>
      <c r="T1033" s="21"/>
      <c r="U1033" s="21"/>
      <c r="V1033" s="22"/>
      <c r="W1033" s="21"/>
      <c r="X1033" s="22"/>
      <c r="Y1033" s="21"/>
      <c r="Z1033" s="21"/>
      <c r="AA1033" s="21"/>
      <c r="AB1033" s="21"/>
      <c r="AC1033" s="26"/>
      <c r="AD1033" s="26"/>
      <c r="AE1033" s="62"/>
    </row>
    <row r="1034" spans="1:31" x14ac:dyDescent="0.3">
      <c r="A1034" s="6"/>
      <c r="B1034" s="6"/>
      <c r="C1034" s="39"/>
      <c r="D1034" s="6"/>
      <c r="E1034" s="153"/>
      <c r="F1034" s="10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21"/>
      <c r="R1034" s="21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spans="1:31" x14ac:dyDescent="0.3">
      <c r="A1035" s="6"/>
      <c r="B1035" s="6"/>
      <c r="C1035" s="39"/>
      <c r="D1035" s="6"/>
      <c r="E1035" s="153"/>
      <c r="F1035" s="10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21"/>
      <c r="R1035" s="21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spans="1:31" ht="13.5" customHeight="1" x14ac:dyDescent="0.35">
      <c r="A1036" s="49"/>
      <c r="B1036" s="49"/>
      <c r="C1036" s="14"/>
      <c r="D1036" s="1"/>
      <c r="E1036" s="153"/>
      <c r="F1036" s="10"/>
      <c r="G1036" s="21"/>
      <c r="H1036" s="21"/>
      <c r="I1036" s="21"/>
      <c r="J1036" s="21"/>
      <c r="K1036" s="21"/>
      <c r="L1036" s="21"/>
      <c r="M1036" s="21"/>
      <c r="N1036" s="22"/>
      <c r="O1036" s="21"/>
      <c r="P1036" s="22"/>
      <c r="Q1036" s="21"/>
      <c r="R1036" s="21"/>
      <c r="S1036" s="21"/>
      <c r="T1036" s="21"/>
      <c r="U1036" s="21"/>
      <c r="V1036" s="22"/>
      <c r="W1036" s="21"/>
      <c r="X1036" s="22"/>
      <c r="Y1036" s="21"/>
      <c r="Z1036" s="21"/>
      <c r="AA1036" s="21"/>
      <c r="AB1036" s="21"/>
      <c r="AC1036" s="26"/>
      <c r="AD1036" s="26"/>
      <c r="AE1036" s="62"/>
    </row>
    <row r="1037" spans="1:31" ht="13.5" customHeight="1" x14ac:dyDescent="0.35">
      <c r="A1037" s="49"/>
      <c r="B1037" s="49"/>
      <c r="C1037" s="39"/>
      <c r="D1037" s="1"/>
      <c r="E1037" s="153"/>
      <c r="F1037" s="10"/>
      <c r="G1037" s="21"/>
      <c r="H1037" s="21"/>
      <c r="I1037" s="21"/>
      <c r="J1037" s="21"/>
      <c r="K1037" s="21"/>
      <c r="L1037" s="21"/>
      <c r="M1037" s="21"/>
      <c r="N1037" s="22"/>
      <c r="O1037" s="21"/>
      <c r="P1037" s="22"/>
      <c r="Q1037" s="21"/>
      <c r="R1037" s="21"/>
      <c r="S1037" s="21"/>
      <c r="T1037" s="21"/>
      <c r="U1037" s="21"/>
      <c r="V1037" s="22"/>
      <c r="W1037" s="21"/>
      <c r="X1037" s="22"/>
      <c r="Y1037" s="21"/>
      <c r="Z1037" s="21"/>
      <c r="AA1037" s="21"/>
      <c r="AB1037" s="21"/>
      <c r="AC1037" s="26"/>
      <c r="AD1037" s="26"/>
      <c r="AE1037" s="62"/>
    </row>
    <row r="1038" spans="1:31" ht="13.5" customHeight="1" x14ac:dyDescent="0.35">
      <c r="A1038" s="49"/>
      <c r="B1038" s="49"/>
      <c r="C1038" s="14"/>
      <c r="D1038" s="1"/>
      <c r="E1038" s="153"/>
      <c r="F1038" s="10"/>
      <c r="G1038" s="21"/>
      <c r="H1038" s="21"/>
      <c r="I1038" s="21"/>
      <c r="J1038" s="21"/>
      <c r="K1038" s="21"/>
      <c r="L1038" s="21"/>
      <c r="M1038" s="21"/>
      <c r="N1038" s="22"/>
      <c r="O1038" s="21"/>
      <c r="P1038" s="22"/>
      <c r="Q1038" s="21"/>
      <c r="R1038" s="21"/>
      <c r="S1038" s="21"/>
      <c r="T1038" s="21"/>
      <c r="U1038" s="21"/>
      <c r="V1038" s="22"/>
      <c r="W1038" s="21"/>
      <c r="X1038" s="22"/>
      <c r="Y1038" s="21"/>
      <c r="Z1038" s="21"/>
      <c r="AA1038" s="21"/>
      <c r="AB1038" s="21"/>
      <c r="AC1038" s="26"/>
      <c r="AD1038" s="26"/>
      <c r="AE1038" s="62"/>
    </row>
    <row r="1039" spans="1:31" x14ac:dyDescent="0.3">
      <c r="A1039" s="6"/>
      <c r="B1039" s="6"/>
      <c r="C1039" s="39"/>
      <c r="D1039" s="6"/>
      <c r="E1039" s="153"/>
      <c r="F1039" s="10"/>
      <c r="G1039" s="2"/>
      <c r="H1039" s="3"/>
      <c r="I1039" s="2"/>
      <c r="J1039" s="2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spans="1:31" x14ac:dyDescent="0.3">
      <c r="A1040" s="6"/>
      <c r="B1040" s="6"/>
      <c r="C1040" s="39"/>
      <c r="D1040" s="6"/>
      <c r="E1040" s="153"/>
      <c r="F1040" s="10"/>
      <c r="G1040" s="2"/>
      <c r="H1040" s="3"/>
      <c r="I1040" s="2"/>
      <c r="J1040" s="2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spans="1:31" x14ac:dyDescent="0.3">
      <c r="A1041" s="63"/>
      <c r="B1041" s="63"/>
      <c r="C1041" s="39"/>
      <c r="D1041" s="6"/>
      <c r="E1041" s="153"/>
      <c r="F1041" s="10"/>
      <c r="G1041" s="64"/>
      <c r="H1041" s="3"/>
      <c r="I1041" s="2"/>
      <c r="J1041" s="2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spans="1:31" x14ac:dyDescent="0.3">
      <c r="A1042" s="6"/>
      <c r="B1042" s="6"/>
      <c r="C1042" s="39"/>
      <c r="D1042" s="6"/>
      <c r="E1042" s="153"/>
      <c r="F1042" s="10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21"/>
      <c r="R1042" s="21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 spans="1:31" ht="13.5" customHeight="1" x14ac:dyDescent="0.35">
      <c r="A1043" s="49"/>
      <c r="B1043" s="49"/>
      <c r="C1043" s="14"/>
      <c r="D1043" s="1"/>
      <c r="E1043" s="153"/>
      <c r="F1043" s="10"/>
      <c r="G1043" s="21"/>
      <c r="H1043" s="21"/>
      <c r="I1043" s="21"/>
      <c r="J1043" s="21"/>
      <c r="K1043" s="21"/>
      <c r="L1043" s="21"/>
      <c r="M1043" s="21"/>
      <c r="N1043" s="22"/>
      <c r="O1043" s="21"/>
      <c r="P1043" s="22"/>
      <c r="Q1043" s="21"/>
      <c r="R1043" s="21"/>
      <c r="S1043" s="21"/>
      <c r="T1043" s="21"/>
      <c r="U1043" s="21"/>
      <c r="V1043" s="22"/>
      <c r="W1043" s="21"/>
      <c r="X1043" s="22"/>
      <c r="Y1043" s="21"/>
      <c r="Z1043" s="21"/>
      <c r="AA1043" s="21"/>
      <c r="AB1043" s="21"/>
      <c r="AC1043" s="26"/>
      <c r="AD1043" s="26"/>
      <c r="AE1043" s="62"/>
    </row>
    <row r="1044" spans="1:31" x14ac:dyDescent="0.3">
      <c r="A1044" s="63"/>
      <c r="B1044" s="63"/>
      <c r="C1044" s="39"/>
      <c r="D1044" s="6"/>
      <c r="E1044" s="153"/>
      <c r="F1044" s="10"/>
      <c r="G1044" s="64"/>
      <c r="H1044" s="3"/>
      <c r="I1044" s="2"/>
      <c r="J1044" s="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 spans="1:31" ht="13.5" customHeight="1" x14ac:dyDescent="0.35">
      <c r="A1045" s="49"/>
      <c r="B1045" s="49"/>
      <c r="C1045" s="14"/>
      <c r="D1045" s="1"/>
      <c r="E1045" s="153"/>
      <c r="F1045" s="10"/>
      <c r="G1045" s="21"/>
      <c r="H1045" s="21"/>
      <c r="I1045" s="21"/>
      <c r="J1045" s="21"/>
      <c r="K1045" s="21"/>
      <c r="L1045" s="21"/>
      <c r="M1045" s="21"/>
      <c r="N1045" s="22"/>
      <c r="O1045" s="21"/>
      <c r="P1045" s="22"/>
      <c r="Q1045" s="21"/>
      <c r="R1045" s="21"/>
      <c r="S1045" s="21"/>
      <c r="T1045" s="21"/>
      <c r="U1045" s="21"/>
      <c r="V1045" s="22"/>
      <c r="W1045" s="21"/>
      <c r="X1045" s="22"/>
      <c r="Y1045" s="21"/>
      <c r="Z1045" s="21"/>
      <c r="AA1045" s="21"/>
      <c r="AB1045" s="21"/>
      <c r="AC1045" s="26"/>
      <c r="AD1045" s="26"/>
      <c r="AE1045" s="62"/>
    </row>
    <row r="1046" spans="1:31" ht="13.5" customHeight="1" x14ac:dyDescent="0.35">
      <c r="A1046" s="49"/>
      <c r="B1046" s="49"/>
      <c r="C1046" s="14"/>
      <c r="D1046" s="1"/>
      <c r="E1046" s="153"/>
      <c r="F1046" s="10"/>
      <c r="G1046" s="21"/>
      <c r="H1046" s="21"/>
      <c r="I1046" s="21"/>
      <c r="J1046" s="21"/>
      <c r="K1046" s="21"/>
      <c r="L1046" s="21"/>
      <c r="M1046" s="21"/>
      <c r="N1046" s="22"/>
      <c r="O1046" s="21"/>
      <c r="P1046" s="22"/>
      <c r="Q1046" s="21"/>
      <c r="R1046" s="21"/>
      <c r="S1046" s="21"/>
      <c r="T1046" s="21"/>
      <c r="U1046" s="21"/>
      <c r="V1046" s="22"/>
      <c r="W1046" s="21"/>
      <c r="X1046" s="22"/>
      <c r="Y1046" s="21"/>
      <c r="Z1046" s="21"/>
      <c r="AA1046" s="21"/>
      <c r="AB1046" s="21"/>
      <c r="AC1046" s="26"/>
      <c r="AD1046" s="26"/>
      <c r="AE1046" s="62"/>
    </row>
    <row r="1047" spans="1:31" ht="13.5" customHeight="1" x14ac:dyDescent="0.35">
      <c r="A1047" s="49"/>
      <c r="B1047" s="49"/>
      <c r="C1047" s="14"/>
      <c r="D1047" s="1"/>
      <c r="E1047" s="153"/>
      <c r="F1047" s="10"/>
      <c r="G1047" s="21"/>
      <c r="H1047" s="21"/>
      <c r="I1047" s="21"/>
      <c r="J1047" s="21"/>
      <c r="K1047" s="21"/>
      <c r="L1047" s="21"/>
      <c r="M1047" s="21"/>
      <c r="N1047" s="22"/>
      <c r="O1047" s="21"/>
      <c r="P1047" s="22"/>
      <c r="Q1047" s="21"/>
      <c r="R1047" s="21"/>
      <c r="S1047" s="21"/>
      <c r="T1047" s="21"/>
      <c r="U1047" s="21"/>
      <c r="V1047" s="22"/>
      <c r="W1047" s="21"/>
      <c r="X1047" s="22"/>
      <c r="Y1047" s="21"/>
      <c r="Z1047" s="21"/>
      <c r="AA1047" s="21"/>
      <c r="AB1047" s="21"/>
      <c r="AC1047" s="26"/>
      <c r="AD1047" s="26"/>
      <c r="AE1047" s="62"/>
    </row>
    <row r="1048" spans="1:31" x14ac:dyDescent="0.3">
      <c r="A1048" s="6"/>
      <c r="B1048" s="6"/>
      <c r="C1048" s="39"/>
      <c r="D1048" s="6"/>
      <c r="E1048" s="153"/>
      <c r="F1048" s="10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21"/>
      <c r="R1048" s="21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spans="1:31" ht="13.5" customHeight="1" x14ac:dyDescent="0.35">
      <c r="A1049" s="49"/>
      <c r="B1049" s="49"/>
      <c r="C1049" s="14"/>
      <c r="D1049" s="1"/>
      <c r="E1049" s="153"/>
      <c r="F1049" s="10"/>
      <c r="G1049" s="21"/>
      <c r="H1049" s="21"/>
      <c r="I1049" s="21"/>
      <c r="J1049" s="21"/>
      <c r="K1049" s="21"/>
      <c r="L1049" s="21"/>
      <c r="M1049" s="21"/>
      <c r="N1049" s="22"/>
      <c r="O1049" s="21"/>
      <c r="P1049" s="22"/>
      <c r="Q1049" s="21"/>
      <c r="R1049" s="21"/>
      <c r="S1049" s="21"/>
      <c r="T1049" s="21"/>
      <c r="U1049" s="21"/>
      <c r="V1049" s="22"/>
      <c r="W1049" s="21"/>
      <c r="X1049" s="22"/>
      <c r="Y1049" s="21"/>
      <c r="Z1049" s="21"/>
      <c r="AA1049" s="21"/>
      <c r="AB1049" s="21"/>
      <c r="AC1049" s="26"/>
      <c r="AD1049" s="26"/>
      <c r="AE1049" s="62"/>
    </row>
    <row r="1050" spans="1:31" x14ac:dyDescent="0.3">
      <c r="A1050" s="6"/>
      <c r="B1050" s="6"/>
      <c r="C1050" s="39"/>
      <c r="D1050" s="6"/>
      <c r="E1050" s="153"/>
      <c r="F1050" s="10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21"/>
      <c r="R1050" s="21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spans="1:31" ht="13.5" customHeight="1" x14ac:dyDescent="0.35">
      <c r="A1051" s="49"/>
      <c r="B1051" s="49"/>
      <c r="C1051" s="14"/>
      <c r="D1051" s="1"/>
      <c r="E1051" s="153"/>
      <c r="F1051" s="10"/>
      <c r="G1051" s="21"/>
      <c r="H1051" s="21"/>
      <c r="I1051" s="21"/>
      <c r="J1051" s="21"/>
      <c r="K1051" s="21"/>
      <c r="L1051" s="21"/>
      <c r="M1051" s="21"/>
      <c r="N1051" s="22"/>
      <c r="O1051" s="21"/>
      <c r="P1051" s="22"/>
      <c r="Q1051" s="21"/>
      <c r="R1051" s="21"/>
      <c r="S1051" s="21"/>
      <c r="T1051" s="21"/>
      <c r="U1051" s="21"/>
      <c r="V1051" s="22"/>
      <c r="W1051" s="21"/>
      <c r="X1051" s="22"/>
      <c r="Y1051" s="21"/>
      <c r="Z1051" s="21"/>
      <c r="AA1051" s="21"/>
      <c r="AB1051" s="21"/>
      <c r="AC1051" s="26"/>
      <c r="AD1051" s="26"/>
      <c r="AE1051" s="62"/>
    </row>
    <row r="1052" spans="1:31" x14ac:dyDescent="0.3">
      <c r="A1052" s="63"/>
      <c r="B1052" s="63"/>
      <c r="C1052" s="39"/>
      <c r="D1052" s="6"/>
      <c r="E1052" s="153"/>
      <c r="F1052" s="10"/>
      <c r="G1052" s="64"/>
      <c r="H1052" s="3"/>
      <c r="I1052" s="2"/>
      <c r="J1052" s="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</row>
    <row r="1053" spans="1:31" ht="13.5" customHeight="1" x14ac:dyDescent="0.35">
      <c r="A1053" s="49"/>
      <c r="B1053" s="49"/>
      <c r="C1053" s="14"/>
      <c r="D1053" s="1"/>
      <c r="E1053" s="153"/>
      <c r="F1053" s="10"/>
      <c r="G1053" s="21"/>
      <c r="H1053" s="21"/>
      <c r="I1053" s="21"/>
      <c r="J1053" s="21"/>
      <c r="K1053" s="21"/>
      <c r="L1053" s="21"/>
      <c r="M1053" s="21"/>
      <c r="N1053" s="22"/>
      <c r="O1053" s="21"/>
      <c r="P1053" s="22"/>
      <c r="Q1053" s="21"/>
      <c r="R1053" s="21"/>
      <c r="S1053" s="21"/>
      <c r="T1053" s="21"/>
      <c r="U1053" s="21"/>
      <c r="V1053" s="22"/>
      <c r="W1053" s="21"/>
      <c r="X1053" s="22"/>
      <c r="Y1053" s="21"/>
      <c r="Z1053" s="21"/>
      <c r="AA1053" s="21"/>
      <c r="AB1053" s="21"/>
      <c r="AC1053" s="26"/>
      <c r="AD1053" s="26"/>
      <c r="AE1053" s="62"/>
    </row>
    <row r="1054" spans="1:31" x14ac:dyDescent="0.3">
      <c r="A1054" s="6"/>
      <c r="B1054" s="6"/>
      <c r="C1054" s="39"/>
      <c r="D1054" s="6"/>
      <c r="E1054" s="153"/>
      <c r="F1054" s="10"/>
      <c r="G1054" s="2"/>
      <c r="H1054" s="3"/>
      <c r="I1054" s="2"/>
      <c r="J1054" s="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</row>
    <row r="1055" spans="1:31" ht="13.5" customHeight="1" x14ac:dyDescent="0.35">
      <c r="A1055" s="49"/>
      <c r="B1055" s="49"/>
      <c r="C1055" s="39"/>
      <c r="D1055" s="1"/>
      <c r="E1055" s="153"/>
      <c r="F1055" s="10"/>
      <c r="G1055" s="21"/>
      <c r="H1055" s="21"/>
      <c r="I1055" s="21"/>
      <c r="J1055" s="21"/>
      <c r="K1055" s="21"/>
      <c r="L1055" s="21"/>
      <c r="M1055" s="21"/>
      <c r="N1055" s="22"/>
      <c r="O1055" s="21"/>
      <c r="P1055" s="22"/>
      <c r="Q1055" s="21"/>
      <c r="R1055" s="21"/>
      <c r="S1055" s="21"/>
      <c r="T1055" s="21"/>
      <c r="U1055" s="21"/>
      <c r="V1055" s="22"/>
      <c r="W1055" s="21"/>
      <c r="X1055" s="22"/>
      <c r="Y1055" s="21"/>
      <c r="Z1055" s="21"/>
      <c r="AA1055" s="21"/>
      <c r="AB1055" s="21"/>
      <c r="AC1055" s="26"/>
      <c r="AD1055" s="26"/>
      <c r="AE1055" s="65"/>
    </row>
    <row r="1056" spans="1:31" x14ac:dyDescent="0.3">
      <c r="A1056" s="6"/>
      <c r="B1056" s="6"/>
      <c r="C1056" s="39"/>
      <c r="D1056" s="6"/>
      <c r="E1056" s="153"/>
      <c r="F1056" s="10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21"/>
      <c r="R1056" s="21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</row>
    <row r="1057" spans="1:31" x14ac:dyDescent="0.3">
      <c r="A1057" s="6"/>
      <c r="B1057" s="6"/>
      <c r="C1057" s="39"/>
      <c r="D1057" s="6"/>
      <c r="E1057" s="153"/>
      <c r="F1057" s="10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21"/>
      <c r="R1057" s="21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</row>
    <row r="1058" spans="1:31" x14ac:dyDescent="0.3">
      <c r="A1058" s="6"/>
      <c r="B1058" s="6"/>
      <c r="C1058" s="39"/>
      <c r="D1058" s="6"/>
      <c r="E1058" s="153"/>
      <c r="F1058" s="10"/>
      <c r="G1058" s="2"/>
      <c r="H1058" s="3"/>
      <c r="I1058" s="2"/>
      <c r="J1058" s="2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</row>
    <row r="1059" spans="1:31" x14ac:dyDescent="0.3">
      <c r="A1059" s="6"/>
      <c r="B1059" s="6"/>
      <c r="C1059" s="39"/>
      <c r="D1059" s="6"/>
      <c r="E1059" s="153"/>
      <c r="F1059" s="10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21"/>
      <c r="R1059" s="21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</row>
    <row r="1060" spans="1:31" x14ac:dyDescent="0.3">
      <c r="A1060" s="6"/>
      <c r="B1060" s="6"/>
      <c r="C1060" s="39"/>
      <c r="D1060" s="6"/>
      <c r="E1060" s="153"/>
      <c r="F1060" s="10"/>
      <c r="G1060" s="2"/>
      <c r="H1060" s="3"/>
      <c r="I1060" s="2"/>
      <c r="J1060" s="2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</row>
    <row r="1061" spans="1:31" x14ac:dyDescent="0.3">
      <c r="A1061" s="6"/>
      <c r="B1061" s="6"/>
      <c r="C1061" s="39"/>
      <c r="D1061" s="6"/>
      <c r="E1061" s="153"/>
      <c r="F1061" s="10"/>
      <c r="G1061" s="2"/>
      <c r="H1061" s="3"/>
      <c r="I1061" s="2"/>
      <c r="J1061" s="2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</row>
    <row r="1062" spans="1:31" x14ac:dyDescent="0.3">
      <c r="A1062" s="6"/>
      <c r="B1062" s="6"/>
      <c r="C1062" s="39"/>
      <c r="D1062" s="6"/>
      <c r="E1062" s="153"/>
      <c r="F1062" s="10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21"/>
      <c r="R1062" s="21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</row>
    <row r="1063" spans="1:31" x14ac:dyDescent="0.3">
      <c r="A1063" s="6"/>
      <c r="B1063" s="6"/>
      <c r="C1063" s="39"/>
      <c r="D1063" s="6"/>
      <c r="E1063" s="153"/>
      <c r="F1063" s="10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21"/>
      <c r="R1063" s="21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</row>
    <row r="1064" spans="1:31" ht="13.5" customHeight="1" x14ac:dyDescent="0.35">
      <c r="A1064" s="49"/>
      <c r="B1064" s="49"/>
      <c r="C1064" s="14"/>
      <c r="D1064" s="1"/>
      <c r="E1064" s="153"/>
      <c r="F1064" s="10"/>
      <c r="G1064" s="21"/>
      <c r="H1064" s="21"/>
      <c r="I1064" s="21"/>
      <c r="J1064" s="21"/>
      <c r="K1064" s="21"/>
      <c r="L1064" s="21"/>
      <c r="M1064" s="21"/>
      <c r="N1064" s="22"/>
      <c r="O1064" s="21"/>
      <c r="P1064" s="22"/>
      <c r="Q1064" s="21"/>
      <c r="R1064" s="21"/>
      <c r="S1064" s="21"/>
      <c r="T1064" s="21"/>
      <c r="U1064" s="21"/>
      <c r="V1064" s="22"/>
      <c r="W1064" s="21"/>
      <c r="X1064" s="22"/>
      <c r="Y1064" s="21"/>
      <c r="Z1064" s="21"/>
      <c r="AA1064" s="21"/>
      <c r="AB1064" s="21"/>
      <c r="AC1064" s="26"/>
      <c r="AD1064" s="26"/>
      <c r="AE1064" s="62"/>
    </row>
    <row r="1065" spans="1:31" x14ac:dyDescent="0.3">
      <c r="A1065" s="6"/>
      <c r="B1065" s="6"/>
      <c r="C1065" s="39"/>
      <c r="D1065" s="6"/>
      <c r="E1065" s="153"/>
      <c r="F1065" s="10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21"/>
      <c r="R1065" s="21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</row>
    <row r="1066" spans="1:31" x14ac:dyDescent="0.3">
      <c r="A1066" s="6"/>
      <c r="B1066" s="6"/>
      <c r="C1066" s="39"/>
      <c r="D1066" s="6"/>
      <c r="E1066" s="153"/>
      <c r="F1066" s="10"/>
      <c r="G1066" s="2"/>
      <c r="H1066" s="3"/>
      <c r="I1066" s="2"/>
      <c r="J1066" s="2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</row>
    <row r="1067" spans="1:31" x14ac:dyDescent="0.3">
      <c r="A1067" s="6"/>
      <c r="B1067" s="6"/>
      <c r="C1067" s="39"/>
      <c r="D1067" s="6"/>
      <c r="E1067" s="153"/>
      <c r="F1067" s="10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</row>
    <row r="1068" spans="1:31" ht="13.5" customHeight="1" x14ac:dyDescent="0.35">
      <c r="A1068" s="49"/>
      <c r="B1068" s="49"/>
      <c r="C1068" s="14"/>
      <c r="D1068" s="1"/>
      <c r="E1068" s="153"/>
      <c r="F1068" s="10"/>
      <c r="G1068" s="21"/>
      <c r="H1068" s="21"/>
      <c r="I1068" s="21"/>
      <c r="J1068" s="21"/>
      <c r="K1068" s="21"/>
      <c r="L1068" s="21"/>
      <c r="M1068" s="21"/>
      <c r="N1068" s="22"/>
      <c r="O1068" s="21"/>
      <c r="P1068" s="22"/>
      <c r="Q1068" s="21"/>
      <c r="R1068" s="21"/>
      <c r="S1068" s="21"/>
      <c r="T1068" s="21"/>
      <c r="U1068" s="21"/>
      <c r="V1068" s="22"/>
      <c r="W1068" s="21"/>
      <c r="X1068" s="22"/>
      <c r="Y1068" s="21"/>
      <c r="Z1068" s="21"/>
      <c r="AA1068" s="21"/>
      <c r="AB1068" s="21"/>
      <c r="AC1068" s="26"/>
      <c r="AD1068" s="26"/>
      <c r="AE1068" s="62"/>
    </row>
    <row r="1069" spans="1:31" ht="13.5" customHeight="1" x14ac:dyDescent="0.35">
      <c r="A1069" s="49"/>
      <c r="B1069" s="49"/>
      <c r="C1069" s="39"/>
      <c r="D1069" s="1"/>
      <c r="E1069" s="153"/>
      <c r="F1069" s="10"/>
      <c r="G1069" s="21"/>
      <c r="H1069" s="21"/>
      <c r="I1069" s="21"/>
      <c r="J1069" s="21"/>
      <c r="K1069" s="21"/>
      <c r="L1069" s="21"/>
      <c r="M1069" s="21"/>
      <c r="N1069" s="22"/>
      <c r="O1069" s="21"/>
      <c r="P1069" s="22"/>
      <c r="Q1069" s="21"/>
      <c r="R1069" s="21"/>
      <c r="S1069" s="21"/>
      <c r="T1069" s="21"/>
      <c r="U1069" s="21"/>
      <c r="V1069" s="22"/>
      <c r="W1069" s="21"/>
      <c r="X1069" s="22"/>
      <c r="Y1069" s="21"/>
      <c r="Z1069" s="21"/>
      <c r="AA1069" s="21"/>
      <c r="AB1069" s="21"/>
      <c r="AC1069" s="26"/>
      <c r="AD1069" s="26"/>
      <c r="AE1069" s="62"/>
    </row>
    <row r="1070" spans="1:31" x14ac:dyDescent="0.3">
      <c r="A1070" s="6"/>
      <c r="B1070" s="6"/>
      <c r="C1070" s="39"/>
      <c r="D1070" s="6"/>
      <c r="E1070" s="153"/>
      <c r="F1070" s="10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21"/>
      <c r="R1070" s="21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</row>
    <row r="1071" spans="1:31" x14ac:dyDescent="0.3">
      <c r="A1071" s="63"/>
      <c r="B1071" s="63"/>
      <c r="C1071" s="39"/>
      <c r="D1071" s="6"/>
      <c r="E1071" s="153"/>
      <c r="F1071" s="10"/>
      <c r="G1071" s="64"/>
      <c r="H1071" s="3"/>
      <c r="I1071" s="2"/>
      <c r="J1071" s="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</row>
    <row r="1072" spans="1:31" s="14" customFormat="1" ht="15" customHeight="1" x14ac:dyDescent="0.3">
      <c r="A1072" s="50"/>
      <c r="B1072" s="63"/>
      <c r="C1072" s="39"/>
      <c r="D1072" s="6"/>
      <c r="E1072" s="153"/>
      <c r="F1072" s="10"/>
      <c r="G1072" s="56"/>
      <c r="H1072" s="58"/>
      <c r="I1072" s="58"/>
      <c r="J1072" s="58"/>
      <c r="K1072" s="58"/>
      <c r="L1072" s="58"/>
      <c r="M1072" s="58"/>
      <c r="N1072" s="58"/>
      <c r="O1072" s="58"/>
      <c r="P1072" s="61"/>
      <c r="Q1072" s="21"/>
      <c r="R1072" s="21"/>
      <c r="S1072" s="58"/>
      <c r="T1072" s="58"/>
      <c r="U1072" s="58"/>
      <c r="V1072" s="58"/>
      <c r="W1072" s="58"/>
      <c r="X1072" s="58"/>
      <c r="Y1072" s="58"/>
      <c r="Z1072" s="53"/>
      <c r="AA1072" s="3"/>
      <c r="AB1072" s="59"/>
      <c r="AC1072" s="3"/>
      <c r="AD1072" s="53"/>
      <c r="AE1072" s="59"/>
    </row>
    <row r="1073" spans="1:31" customFormat="1" ht="15" x14ac:dyDescent="0.35">
      <c r="A1073" s="50"/>
      <c r="B1073" s="63"/>
      <c r="C1073" s="39"/>
      <c r="D1073" s="6"/>
      <c r="E1073" s="153"/>
      <c r="F1073" s="10"/>
      <c r="G1073" s="53"/>
      <c r="H1073" s="3"/>
      <c r="I1073" s="3"/>
      <c r="J1073" s="3"/>
      <c r="K1073" s="3"/>
      <c r="L1073" s="3"/>
      <c r="M1073" s="3"/>
      <c r="N1073" s="3"/>
      <c r="O1073" s="3"/>
      <c r="P1073" s="59"/>
      <c r="Q1073" s="21"/>
      <c r="R1073" s="21"/>
      <c r="S1073" s="3"/>
      <c r="T1073" s="3"/>
      <c r="U1073" s="3"/>
      <c r="V1073" s="3"/>
      <c r="W1073" s="3"/>
      <c r="X1073" s="3"/>
      <c r="Y1073" s="3"/>
      <c r="Z1073" s="53"/>
      <c r="AA1073" s="3"/>
      <c r="AB1073" s="59"/>
      <c r="AC1073" s="3"/>
      <c r="AD1073" s="53"/>
      <c r="AE1073" s="59"/>
    </row>
    <row r="1074" spans="1:31" customFormat="1" ht="15" x14ac:dyDescent="0.35">
      <c r="A1074" s="19"/>
      <c r="B1074" s="49"/>
      <c r="C1074" s="14"/>
      <c r="D1074" s="1"/>
      <c r="E1074" s="153"/>
      <c r="F1074" s="10"/>
      <c r="G1074" s="20"/>
      <c r="H1074" s="21"/>
      <c r="I1074" s="21"/>
      <c r="J1074" s="21"/>
      <c r="K1074" s="21"/>
      <c r="L1074" s="21"/>
      <c r="M1074" s="21"/>
      <c r="N1074" s="22"/>
      <c r="O1074" s="21"/>
      <c r="P1074" s="24"/>
      <c r="Q1074" s="21"/>
      <c r="R1074" s="21"/>
      <c r="S1074" s="21"/>
      <c r="T1074" s="21"/>
      <c r="U1074" s="21"/>
      <c r="V1074" s="22"/>
      <c r="W1074" s="21"/>
      <c r="X1074" s="22"/>
      <c r="Y1074" s="21"/>
      <c r="Z1074" s="20"/>
      <c r="AA1074" s="21"/>
      <c r="AB1074" s="25"/>
      <c r="AC1074" s="26"/>
      <c r="AD1074" s="27"/>
      <c r="AE1074" s="28"/>
    </row>
    <row r="1075" spans="1:31" customFormat="1" ht="15" x14ac:dyDescent="0.35">
      <c r="A1075" s="50"/>
      <c r="B1075" s="63"/>
      <c r="C1075" s="39"/>
      <c r="D1075" s="6"/>
      <c r="E1075" s="153"/>
      <c r="F1075" s="10"/>
      <c r="G1075" s="53"/>
      <c r="H1075" s="3"/>
      <c r="I1075" s="3"/>
      <c r="J1075" s="3"/>
      <c r="K1075" s="3"/>
      <c r="L1075" s="3"/>
      <c r="M1075" s="3"/>
      <c r="N1075" s="3"/>
      <c r="O1075" s="3"/>
      <c r="P1075" s="59"/>
      <c r="Q1075" s="21"/>
      <c r="R1075" s="21"/>
      <c r="S1075" s="3"/>
      <c r="T1075" s="3"/>
      <c r="U1075" s="3"/>
      <c r="V1075" s="3"/>
      <c r="W1075" s="3"/>
      <c r="X1075" s="3"/>
      <c r="Y1075" s="3"/>
      <c r="Z1075" s="53"/>
      <c r="AA1075" s="3"/>
      <c r="AB1075" s="59"/>
      <c r="AC1075" s="3"/>
      <c r="AD1075" s="53"/>
      <c r="AE1075" s="59"/>
    </row>
    <row r="1076" spans="1:31" customFormat="1" ht="15" x14ac:dyDescent="0.35">
      <c r="A1076" s="50"/>
      <c r="B1076" s="63"/>
      <c r="C1076" s="39"/>
      <c r="D1076" s="6"/>
      <c r="E1076" s="153"/>
      <c r="F1076" s="10"/>
      <c r="G1076" s="53"/>
      <c r="H1076" s="3"/>
      <c r="I1076" s="3"/>
      <c r="J1076" s="3"/>
      <c r="K1076" s="3"/>
      <c r="L1076" s="3"/>
      <c r="M1076" s="3"/>
      <c r="N1076" s="3"/>
      <c r="O1076" s="3"/>
      <c r="P1076" s="59"/>
      <c r="Q1076" s="21"/>
      <c r="R1076" s="21"/>
      <c r="S1076" s="3"/>
      <c r="T1076" s="3"/>
      <c r="U1076" s="3"/>
      <c r="V1076" s="3"/>
      <c r="W1076" s="3"/>
      <c r="X1076" s="3"/>
      <c r="Y1076" s="3"/>
      <c r="Z1076" s="53"/>
      <c r="AA1076" s="3"/>
      <c r="AB1076" s="59"/>
      <c r="AC1076" s="3"/>
      <c r="AD1076" s="53"/>
      <c r="AE1076" s="59"/>
    </row>
    <row r="1077" spans="1:31" customFormat="1" ht="15" x14ac:dyDescent="0.35">
      <c r="A1077" s="50"/>
      <c r="B1077" s="63"/>
      <c r="C1077" s="39"/>
      <c r="D1077" s="6"/>
      <c r="E1077" s="153"/>
      <c r="F1077" s="10"/>
      <c r="G1077" s="53"/>
      <c r="H1077" s="3"/>
      <c r="I1077" s="3"/>
      <c r="J1077" s="3"/>
      <c r="K1077" s="3"/>
      <c r="L1077" s="3"/>
      <c r="M1077" s="3"/>
      <c r="N1077" s="3"/>
      <c r="O1077" s="3"/>
      <c r="P1077" s="59"/>
      <c r="Q1077" s="21"/>
      <c r="R1077" s="21"/>
      <c r="S1077" s="3"/>
      <c r="T1077" s="3"/>
      <c r="U1077" s="3"/>
      <c r="V1077" s="3"/>
      <c r="W1077" s="3"/>
      <c r="X1077" s="3"/>
      <c r="Y1077" s="3"/>
      <c r="Z1077" s="53"/>
      <c r="AA1077" s="3"/>
      <c r="AB1077" s="59"/>
      <c r="AC1077" s="3"/>
      <c r="AD1077" s="53"/>
      <c r="AE1077" s="59"/>
    </row>
    <row r="1078" spans="1:31" customFormat="1" ht="15" x14ac:dyDescent="0.35">
      <c r="A1078" s="19"/>
      <c r="B1078" s="49"/>
      <c r="C1078" s="39"/>
      <c r="D1078" s="1"/>
      <c r="E1078" s="153"/>
      <c r="F1078" s="10"/>
      <c r="G1078" s="20"/>
      <c r="H1078" s="21"/>
      <c r="I1078" s="21"/>
      <c r="J1078" s="21"/>
      <c r="K1078" s="21"/>
      <c r="L1078" s="21"/>
      <c r="M1078" s="21"/>
      <c r="N1078" s="22"/>
      <c r="O1078" s="21"/>
      <c r="P1078" s="24"/>
      <c r="Q1078" s="21"/>
      <c r="R1078" s="21"/>
      <c r="S1078" s="21"/>
      <c r="T1078" s="21"/>
      <c r="U1078" s="21"/>
      <c r="V1078" s="22"/>
      <c r="W1078" s="21"/>
      <c r="X1078" s="22"/>
      <c r="Y1078" s="21"/>
      <c r="Z1078" s="20"/>
      <c r="AA1078" s="21"/>
      <c r="AB1078" s="25"/>
      <c r="AC1078" s="26"/>
      <c r="AD1078" s="27"/>
      <c r="AE1078" s="28"/>
    </row>
    <row r="1079" spans="1:31" customFormat="1" ht="15" x14ac:dyDescent="0.35">
      <c r="A1079" s="50"/>
      <c r="B1079" s="63"/>
      <c r="C1079" s="39"/>
      <c r="D1079" s="6"/>
      <c r="E1079" s="153"/>
      <c r="F1079" s="10"/>
      <c r="G1079" s="53"/>
      <c r="H1079" s="3"/>
      <c r="I1079" s="3"/>
      <c r="J1079" s="3"/>
      <c r="K1079" s="3"/>
      <c r="L1079" s="3"/>
      <c r="M1079" s="3"/>
      <c r="N1079" s="3"/>
      <c r="O1079" s="3"/>
      <c r="P1079" s="59"/>
      <c r="Q1079" s="21"/>
      <c r="R1079" s="21"/>
      <c r="S1079" s="3"/>
      <c r="T1079" s="3"/>
      <c r="U1079" s="3"/>
      <c r="V1079" s="3"/>
      <c r="W1079" s="3"/>
      <c r="X1079" s="3"/>
      <c r="Y1079" s="3"/>
      <c r="Z1079" s="53"/>
      <c r="AA1079" s="3"/>
      <c r="AB1079" s="59"/>
      <c r="AC1079" s="3"/>
      <c r="AD1079" s="53"/>
      <c r="AE1079" s="59"/>
    </row>
    <row r="1080" spans="1:31" customFormat="1" ht="15" x14ac:dyDescent="0.35">
      <c r="A1080" s="50"/>
      <c r="B1080" s="63"/>
      <c r="C1080" s="39"/>
      <c r="D1080" s="6"/>
      <c r="E1080" s="153"/>
      <c r="F1080" s="10"/>
      <c r="G1080" s="53"/>
      <c r="H1080" s="3"/>
      <c r="I1080" s="3"/>
      <c r="J1080" s="3"/>
      <c r="K1080" s="3"/>
      <c r="L1080" s="3"/>
      <c r="M1080" s="3"/>
      <c r="N1080" s="3"/>
      <c r="O1080" s="3"/>
      <c r="P1080" s="59"/>
      <c r="Q1080" s="21"/>
      <c r="R1080" s="21"/>
      <c r="S1080" s="3"/>
      <c r="T1080" s="3"/>
      <c r="U1080" s="3"/>
      <c r="V1080" s="3"/>
      <c r="W1080" s="3"/>
      <c r="X1080" s="3"/>
      <c r="Y1080" s="3"/>
      <c r="Z1080" s="53"/>
      <c r="AA1080" s="3"/>
      <c r="AB1080" s="59"/>
      <c r="AC1080" s="3"/>
      <c r="AD1080" s="53"/>
      <c r="AE1080" s="59"/>
    </row>
    <row r="1081" spans="1:31" customFormat="1" ht="15" x14ac:dyDescent="0.35">
      <c r="A1081" s="50"/>
      <c r="B1081" s="63"/>
      <c r="C1081" s="39"/>
      <c r="D1081" s="6"/>
      <c r="E1081" s="153"/>
      <c r="F1081" s="10"/>
      <c r="G1081" s="54"/>
      <c r="H1081" s="3"/>
      <c r="I1081" s="2"/>
      <c r="J1081" s="2"/>
      <c r="K1081" s="3"/>
      <c r="L1081" s="3"/>
      <c r="M1081" s="3"/>
      <c r="N1081" s="3"/>
      <c r="O1081" s="3"/>
      <c r="P1081" s="59"/>
      <c r="Q1081" s="3"/>
      <c r="R1081" s="3"/>
      <c r="S1081" s="3"/>
      <c r="T1081" s="3"/>
      <c r="U1081" s="3"/>
      <c r="V1081" s="3"/>
      <c r="W1081" s="3"/>
      <c r="X1081" s="3"/>
      <c r="Y1081" s="3"/>
      <c r="Z1081" s="53"/>
      <c r="AA1081" s="3"/>
      <c r="AB1081" s="59"/>
      <c r="AC1081" s="3"/>
      <c r="AD1081" s="53"/>
      <c r="AE1081" s="59"/>
    </row>
    <row r="1082" spans="1:31" customFormat="1" ht="15" x14ac:dyDescent="0.35">
      <c r="A1082" s="19"/>
      <c r="B1082" s="49"/>
      <c r="C1082" s="14"/>
      <c r="D1082" s="1"/>
      <c r="E1082" s="153"/>
      <c r="F1082" s="10"/>
      <c r="G1082" s="20"/>
      <c r="H1082" s="21"/>
      <c r="I1082" s="21"/>
      <c r="J1082" s="21"/>
      <c r="K1082" s="21"/>
      <c r="L1082" s="21"/>
      <c r="M1082" s="21"/>
      <c r="N1082" s="22"/>
      <c r="O1082" s="21"/>
      <c r="P1082" s="24"/>
      <c r="Q1082" s="21"/>
      <c r="R1082" s="21"/>
      <c r="S1082" s="21"/>
      <c r="T1082" s="21"/>
      <c r="U1082" s="21"/>
      <c r="V1082" s="22"/>
      <c r="W1082" s="21"/>
      <c r="X1082" s="22"/>
      <c r="Y1082" s="21"/>
      <c r="Z1082" s="20"/>
      <c r="AA1082" s="21"/>
      <c r="AB1082" s="25"/>
      <c r="AC1082" s="26"/>
      <c r="AD1082" s="27"/>
      <c r="AE1082" s="28"/>
    </row>
    <row r="1083" spans="1:31" customFormat="1" ht="15" x14ac:dyDescent="0.35">
      <c r="A1083" s="50"/>
      <c r="B1083" s="63"/>
      <c r="C1083" s="39"/>
      <c r="D1083" s="6"/>
      <c r="E1083" s="153"/>
      <c r="F1083" s="10"/>
      <c r="G1083" s="53"/>
      <c r="H1083" s="3"/>
      <c r="I1083" s="3"/>
      <c r="J1083" s="3"/>
      <c r="K1083" s="3"/>
      <c r="L1083" s="3"/>
      <c r="M1083" s="3"/>
      <c r="N1083" s="3"/>
      <c r="O1083" s="3"/>
      <c r="P1083" s="59"/>
      <c r="Q1083" s="21"/>
      <c r="R1083" s="21"/>
      <c r="S1083" s="3"/>
      <c r="T1083" s="3"/>
      <c r="U1083" s="3"/>
      <c r="V1083" s="3"/>
      <c r="W1083" s="3"/>
      <c r="X1083" s="3"/>
      <c r="Y1083" s="3"/>
      <c r="Z1083" s="53"/>
      <c r="AA1083" s="3"/>
      <c r="AB1083" s="59"/>
      <c r="AC1083" s="3"/>
      <c r="AD1083" s="53"/>
      <c r="AE1083" s="59"/>
    </row>
    <row r="1084" spans="1:31" customFormat="1" ht="15" x14ac:dyDescent="0.35">
      <c r="A1084" s="50"/>
      <c r="B1084" s="63"/>
      <c r="C1084" s="39"/>
      <c r="D1084" s="6"/>
      <c r="E1084" s="153"/>
      <c r="F1084" s="10"/>
      <c r="G1084" s="54"/>
      <c r="H1084" s="3"/>
      <c r="I1084" s="2"/>
      <c r="J1084" s="2"/>
      <c r="K1084" s="3"/>
      <c r="L1084" s="3"/>
      <c r="M1084" s="3"/>
      <c r="N1084" s="3"/>
      <c r="O1084" s="3"/>
      <c r="P1084" s="59"/>
      <c r="Q1084" s="3"/>
      <c r="R1084" s="3"/>
      <c r="S1084" s="3"/>
      <c r="T1084" s="3"/>
      <c r="U1084" s="3"/>
      <c r="V1084" s="3"/>
      <c r="W1084" s="3"/>
      <c r="X1084" s="3"/>
      <c r="Y1084" s="3"/>
      <c r="Z1084" s="53"/>
      <c r="AA1084" s="3"/>
      <c r="AB1084" s="59"/>
      <c r="AC1084" s="3"/>
      <c r="AD1084" s="53"/>
      <c r="AE1084" s="59"/>
    </row>
    <row r="1085" spans="1:31" customFormat="1" ht="15" x14ac:dyDescent="0.35">
      <c r="A1085" s="50"/>
      <c r="B1085" s="63"/>
      <c r="C1085" s="39"/>
      <c r="D1085" s="6"/>
      <c r="E1085" s="153"/>
      <c r="F1085" s="10"/>
      <c r="G1085" s="53"/>
      <c r="H1085" s="3"/>
      <c r="I1085" s="3"/>
      <c r="J1085" s="3"/>
      <c r="K1085" s="3"/>
      <c r="L1085" s="3"/>
      <c r="M1085" s="3"/>
      <c r="N1085" s="3"/>
      <c r="O1085" s="3"/>
      <c r="P1085" s="59"/>
      <c r="Q1085" s="21"/>
      <c r="R1085" s="21"/>
      <c r="S1085" s="3"/>
      <c r="T1085" s="3"/>
      <c r="U1085" s="3"/>
      <c r="V1085" s="3"/>
      <c r="W1085" s="3"/>
      <c r="X1085" s="3"/>
      <c r="Y1085" s="3"/>
      <c r="Z1085" s="53"/>
      <c r="AA1085" s="3"/>
      <c r="AB1085" s="59"/>
      <c r="AC1085" s="3"/>
      <c r="AD1085" s="53"/>
      <c r="AE1085" s="59"/>
    </row>
    <row r="1086" spans="1:31" customFormat="1" ht="15" x14ac:dyDescent="0.35">
      <c r="A1086" s="50"/>
      <c r="B1086" s="63"/>
      <c r="C1086" s="39"/>
      <c r="D1086" s="6"/>
      <c r="E1086" s="153"/>
      <c r="F1086" s="10"/>
      <c r="G1086" s="53"/>
      <c r="H1086" s="3"/>
      <c r="I1086" s="3"/>
      <c r="J1086" s="3"/>
      <c r="K1086" s="3"/>
      <c r="L1086" s="3"/>
      <c r="M1086" s="3"/>
      <c r="N1086" s="3"/>
      <c r="O1086" s="3"/>
      <c r="P1086" s="59"/>
      <c r="Q1086" s="21"/>
      <c r="R1086" s="21"/>
      <c r="S1086" s="3"/>
      <c r="T1086" s="3"/>
      <c r="U1086" s="3"/>
      <c r="V1086" s="3"/>
      <c r="W1086" s="3"/>
      <c r="X1086" s="3"/>
      <c r="Y1086" s="3"/>
      <c r="Z1086" s="53"/>
      <c r="AA1086" s="3"/>
      <c r="AB1086" s="59"/>
      <c r="AC1086" s="3"/>
      <c r="AD1086" s="53"/>
      <c r="AE1086" s="59"/>
    </row>
    <row r="1087" spans="1:31" customFormat="1" ht="15" x14ac:dyDescent="0.35">
      <c r="A1087" s="19"/>
      <c r="B1087" s="49"/>
      <c r="C1087" s="14"/>
      <c r="D1087" s="1"/>
      <c r="E1087" s="153"/>
      <c r="F1087" s="10"/>
      <c r="G1087" s="20"/>
      <c r="H1087" s="21"/>
      <c r="I1087" s="21"/>
      <c r="J1087" s="21"/>
      <c r="K1087" s="21"/>
      <c r="L1087" s="21"/>
      <c r="M1087" s="21"/>
      <c r="N1087" s="22"/>
      <c r="O1087" s="21"/>
      <c r="P1087" s="24"/>
      <c r="Q1087" s="21"/>
      <c r="R1087" s="21"/>
      <c r="S1087" s="21"/>
      <c r="T1087" s="21"/>
      <c r="U1087" s="21"/>
      <c r="V1087" s="22"/>
      <c r="W1087" s="21"/>
      <c r="X1087" s="22"/>
      <c r="Y1087" s="21"/>
      <c r="Z1087" s="20"/>
      <c r="AA1087" s="21"/>
      <c r="AB1087" s="25"/>
      <c r="AC1087" s="26"/>
      <c r="AD1087" s="27"/>
      <c r="AE1087" s="28"/>
    </row>
    <row r="1088" spans="1:31" customFormat="1" ht="15" x14ac:dyDescent="0.35">
      <c r="A1088" s="19"/>
      <c r="B1088" s="49"/>
      <c r="C1088" s="14"/>
      <c r="D1088" s="1"/>
      <c r="E1088" s="153"/>
      <c r="F1088" s="10"/>
      <c r="G1088" s="20"/>
      <c r="H1088" s="21"/>
      <c r="I1088" s="21"/>
      <c r="J1088" s="21"/>
      <c r="K1088" s="21"/>
      <c r="L1088" s="21"/>
      <c r="M1088" s="21"/>
      <c r="N1088" s="22"/>
      <c r="O1088" s="21"/>
      <c r="P1088" s="24"/>
      <c r="Q1088" s="21"/>
      <c r="R1088" s="21"/>
      <c r="S1088" s="21"/>
      <c r="T1088" s="21"/>
      <c r="U1088" s="21"/>
      <c r="V1088" s="22"/>
      <c r="W1088" s="21"/>
      <c r="X1088" s="22"/>
      <c r="Y1088" s="21"/>
      <c r="Z1088" s="20"/>
      <c r="AA1088" s="21"/>
      <c r="AB1088" s="25"/>
      <c r="AC1088" s="26"/>
      <c r="AD1088" s="27"/>
      <c r="AE1088" s="28"/>
    </row>
    <row r="1089" spans="1:31" customFormat="1" ht="15" x14ac:dyDescent="0.35">
      <c r="A1089" s="19"/>
      <c r="B1089" s="49"/>
      <c r="C1089" s="39"/>
      <c r="D1089" s="1"/>
      <c r="E1089" s="153"/>
      <c r="F1089" s="10"/>
      <c r="G1089" s="20"/>
      <c r="H1089" s="21"/>
      <c r="I1089" s="21"/>
      <c r="J1089" s="21"/>
      <c r="K1089" s="21"/>
      <c r="L1089" s="21"/>
      <c r="M1089" s="21"/>
      <c r="N1089" s="22"/>
      <c r="O1089" s="21"/>
      <c r="P1089" s="24"/>
      <c r="Q1089" s="21"/>
      <c r="R1089" s="21"/>
      <c r="S1089" s="21"/>
      <c r="T1089" s="21"/>
      <c r="U1089" s="21"/>
      <c r="V1089" s="22"/>
      <c r="W1089" s="21"/>
      <c r="X1089" s="22"/>
      <c r="Y1089" s="21"/>
      <c r="Z1089" s="20"/>
      <c r="AA1089" s="21"/>
      <c r="AB1089" s="25"/>
      <c r="AC1089" s="26"/>
      <c r="AD1089" s="27"/>
      <c r="AE1089" s="28"/>
    </row>
    <row r="1090" spans="1:31" customFormat="1" ht="15" x14ac:dyDescent="0.35">
      <c r="A1090" s="50"/>
      <c r="B1090" s="63"/>
      <c r="C1090" s="39"/>
      <c r="D1090" s="6"/>
      <c r="E1090" s="153"/>
      <c r="F1090" s="10"/>
      <c r="G1090" s="53"/>
      <c r="H1090" s="3"/>
      <c r="I1090" s="3"/>
      <c r="J1090" s="3"/>
      <c r="K1090" s="3"/>
      <c r="L1090" s="3"/>
      <c r="M1090" s="3"/>
      <c r="N1090" s="3"/>
      <c r="O1090" s="3"/>
      <c r="P1090" s="59"/>
      <c r="Q1090" s="21"/>
      <c r="R1090" s="21"/>
      <c r="S1090" s="3"/>
      <c r="T1090" s="3"/>
      <c r="U1090" s="3"/>
      <c r="V1090" s="3"/>
      <c r="W1090" s="3"/>
      <c r="X1090" s="3"/>
      <c r="Y1090" s="3"/>
      <c r="Z1090" s="53"/>
      <c r="AA1090" s="3"/>
      <c r="AB1090" s="59"/>
      <c r="AC1090" s="3"/>
      <c r="AD1090" s="53"/>
      <c r="AE1090" s="59"/>
    </row>
    <row r="1091" spans="1:31" customFormat="1" ht="15" x14ac:dyDescent="0.35">
      <c r="A1091" s="19"/>
      <c r="B1091" s="49"/>
      <c r="C1091" s="14"/>
      <c r="D1091" s="1"/>
      <c r="E1091" s="153"/>
      <c r="F1091" s="10"/>
      <c r="G1091" s="20"/>
      <c r="H1091" s="21"/>
      <c r="I1091" s="21"/>
      <c r="J1091" s="21"/>
      <c r="K1091" s="21"/>
      <c r="L1091" s="21"/>
      <c r="M1091" s="21"/>
      <c r="N1091" s="22"/>
      <c r="O1091" s="21"/>
      <c r="P1091" s="24"/>
      <c r="Q1091" s="21"/>
      <c r="R1091" s="21"/>
      <c r="S1091" s="21"/>
      <c r="T1091" s="21"/>
      <c r="U1091" s="21"/>
      <c r="V1091" s="22"/>
      <c r="W1091" s="21"/>
      <c r="X1091" s="22"/>
      <c r="Y1091" s="21"/>
      <c r="Z1091" s="20"/>
      <c r="AA1091" s="21"/>
      <c r="AB1091" s="25"/>
      <c r="AC1091" s="26"/>
      <c r="AD1091" s="27"/>
      <c r="AE1091" s="28"/>
    </row>
    <row r="1092" spans="1:31" customFormat="1" ht="15" x14ac:dyDescent="0.35">
      <c r="A1092" s="50"/>
      <c r="B1092" s="63"/>
      <c r="C1092" s="39"/>
      <c r="D1092" s="6"/>
      <c r="E1092" s="153"/>
      <c r="F1092" s="10"/>
      <c r="G1092" s="54"/>
      <c r="H1092" s="3"/>
      <c r="I1092" s="2"/>
      <c r="J1092" s="2"/>
      <c r="K1092" s="3"/>
      <c r="L1092" s="3"/>
      <c r="M1092" s="3"/>
      <c r="N1092" s="3"/>
      <c r="O1092" s="3"/>
      <c r="P1092" s="59"/>
      <c r="Q1092" s="3"/>
      <c r="R1092" s="3"/>
      <c r="S1092" s="3"/>
      <c r="T1092" s="3"/>
      <c r="U1092" s="3"/>
      <c r="V1092" s="3"/>
      <c r="W1092" s="3"/>
      <c r="X1092" s="3"/>
      <c r="Y1092" s="3"/>
      <c r="Z1092" s="53"/>
      <c r="AA1092" s="3"/>
      <c r="AB1092" s="59"/>
      <c r="AC1092" s="3"/>
      <c r="AD1092" s="53"/>
      <c r="AE1092" s="59"/>
    </row>
    <row r="1093" spans="1:31" customFormat="1" ht="15" x14ac:dyDescent="0.35">
      <c r="A1093" s="19"/>
      <c r="B1093" s="49"/>
      <c r="C1093" s="14"/>
      <c r="D1093" s="6"/>
      <c r="E1093" s="153"/>
      <c r="F1093" s="10"/>
      <c r="G1093" s="20"/>
      <c r="H1093" s="21"/>
      <c r="I1093" s="21"/>
      <c r="J1093" s="21"/>
      <c r="K1093" s="21"/>
      <c r="L1093" s="21"/>
      <c r="M1093" s="21"/>
      <c r="N1093" s="22"/>
      <c r="O1093" s="21"/>
      <c r="P1093" s="24"/>
      <c r="Q1093" s="21"/>
      <c r="R1093" s="21"/>
      <c r="S1093" s="21"/>
      <c r="T1093" s="21"/>
      <c r="U1093" s="21"/>
      <c r="V1093" s="22"/>
      <c r="W1093" s="21"/>
      <c r="X1093" s="22"/>
      <c r="Y1093" s="21"/>
      <c r="Z1093" s="20"/>
      <c r="AA1093" s="21"/>
      <c r="AB1093" s="25"/>
      <c r="AC1093" s="26"/>
      <c r="AD1093" s="27"/>
      <c r="AE1093" s="28"/>
    </row>
    <row r="1094" spans="1:31" customFormat="1" ht="15" x14ac:dyDescent="0.35">
      <c r="A1094" s="50"/>
      <c r="B1094" s="63"/>
      <c r="C1094" s="39"/>
      <c r="D1094" s="6"/>
      <c r="E1094" s="153"/>
      <c r="F1094" s="10"/>
      <c r="G1094" s="54"/>
      <c r="H1094" s="3"/>
      <c r="I1094" s="2"/>
      <c r="J1094" s="2"/>
      <c r="K1094" s="3"/>
      <c r="L1094" s="3"/>
      <c r="M1094" s="3"/>
      <c r="N1094" s="3"/>
      <c r="O1094" s="3"/>
      <c r="P1094" s="59"/>
      <c r="Q1094" s="3"/>
      <c r="R1094" s="3"/>
      <c r="S1094" s="3"/>
      <c r="T1094" s="3"/>
      <c r="U1094" s="3"/>
      <c r="V1094" s="3"/>
      <c r="W1094" s="3"/>
      <c r="X1094" s="3"/>
      <c r="Y1094" s="3"/>
      <c r="Z1094" s="53"/>
      <c r="AA1094" s="3"/>
      <c r="AB1094" s="59"/>
      <c r="AC1094" s="3"/>
      <c r="AD1094" s="53"/>
      <c r="AE1094" s="59"/>
    </row>
    <row r="1095" spans="1:31" customFormat="1" ht="15" x14ac:dyDescent="0.35">
      <c r="A1095" s="19"/>
      <c r="B1095" s="49"/>
      <c r="C1095" s="39"/>
      <c r="D1095" s="1"/>
      <c r="E1095" s="153"/>
      <c r="F1095" s="10"/>
      <c r="G1095" s="20"/>
      <c r="H1095" s="21"/>
      <c r="I1095" s="21"/>
      <c r="J1095" s="21"/>
      <c r="K1095" s="21"/>
      <c r="L1095" s="21"/>
      <c r="M1095" s="21"/>
      <c r="N1095" s="22"/>
      <c r="O1095" s="21"/>
      <c r="P1095" s="24"/>
      <c r="Q1095" s="21"/>
      <c r="R1095" s="21"/>
      <c r="S1095" s="21"/>
      <c r="T1095" s="21"/>
      <c r="U1095" s="21"/>
      <c r="V1095" s="22"/>
      <c r="W1095" s="21"/>
      <c r="X1095" s="22"/>
      <c r="Y1095" s="21"/>
      <c r="Z1095" s="20"/>
      <c r="AA1095" s="21"/>
      <c r="AB1095" s="25"/>
      <c r="AC1095" s="26"/>
      <c r="AD1095" s="27"/>
      <c r="AE1095" s="28"/>
    </row>
    <row r="1096" spans="1:31" customFormat="1" ht="15" x14ac:dyDescent="0.35">
      <c r="A1096" s="50"/>
      <c r="B1096" s="63"/>
      <c r="C1096" s="39"/>
      <c r="D1096" s="6"/>
      <c r="E1096" s="153"/>
      <c r="F1096" s="10"/>
      <c r="G1096" s="54"/>
      <c r="H1096" s="3"/>
      <c r="I1096" s="2"/>
      <c r="J1096" s="2"/>
      <c r="K1096" s="3"/>
      <c r="L1096" s="3"/>
      <c r="M1096" s="3"/>
      <c r="N1096" s="3"/>
      <c r="O1096" s="3"/>
      <c r="P1096" s="59"/>
      <c r="Q1096" s="3"/>
      <c r="R1096" s="3"/>
      <c r="S1096" s="3"/>
      <c r="T1096" s="3"/>
      <c r="U1096" s="3"/>
      <c r="V1096" s="3"/>
      <c r="W1096" s="3"/>
      <c r="X1096" s="3"/>
      <c r="Y1096" s="3"/>
      <c r="Z1096" s="53"/>
      <c r="AA1096" s="3"/>
      <c r="AB1096" s="59"/>
      <c r="AC1096" s="3"/>
      <c r="AD1096" s="53"/>
      <c r="AE1096" s="59"/>
    </row>
    <row r="1097" spans="1:31" customFormat="1" ht="15" x14ac:dyDescent="0.35">
      <c r="A1097" s="50"/>
      <c r="B1097" s="63"/>
      <c r="C1097" s="39"/>
      <c r="D1097" s="6"/>
      <c r="E1097" s="153"/>
      <c r="F1097" s="10"/>
      <c r="G1097" s="53"/>
      <c r="H1097" s="3"/>
      <c r="I1097" s="3"/>
      <c r="J1097" s="3"/>
      <c r="K1097" s="3"/>
      <c r="L1097" s="3"/>
      <c r="M1097" s="3"/>
      <c r="N1097" s="3"/>
      <c r="O1097" s="3"/>
      <c r="P1097" s="59"/>
      <c r="Q1097" s="21"/>
      <c r="R1097" s="21"/>
      <c r="S1097" s="3"/>
      <c r="T1097" s="3"/>
      <c r="U1097" s="3"/>
      <c r="V1097" s="3"/>
      <c r="W1097" s="3"/>
      <c r="X1097" s="3"/>
      <c r="Y1097" s="3"/>
      <c r="Z1097" s="53"/>
      <c r="AA1097" s="3"/>
      <c r="AB1097" s="59"/>
      <c r="AC1097" s="3"/>
      <c r="AD1097" s="53"/>
      <c r="AE1097" s="59"/>
    </row>
    <row r="1098" spans="1:31" customFormat="1" ht="15" x14ac:dyDescent="0.35">
      <c r="A1098" s="50"/>
      <c r="B1098" s="63"/>
      <c r="C1098" s="39"/>
      <c r="D1098" s="6"/>
      <c r="E1098" s="153"/>
      <c r="F1098" s="10"/>
      <c r="G1098" s="54"/>
      <c r="H1098" s="3"/>
      <c r="I1098" s="2"/>
      <c r="J1098" s="2"/>
      <c r="K1098" s="3"/>
      <c r="L1098" s="3"/>
      <c r="M1098" s="3"/>
      <c r="N1098" s="3"/>
      <c r="O1098" s="3"/>
      <c r="P1098" s="59"/>
      <c r="Q1098" s="3"/>
      <c r="R1098" s="3"/>
      <c r="S1098" s="3"/>
      <c r="T1098" s="3"/>
      <c r="U1098" s="3"/>
      <c r="V1098" s="3"/>
      <c r="W1098" s="3"/>
      <c r="X1098" s="3"/>
      <c r="Y1098" s="3"/>
      <c r="Z1098" s="53"/>
      <c r="AA1098" s="3"/>
      <c r="AB1098" s="59"/>
      <c r="AC1098" s="3"/>
      <c r="AD1098" s="53"/>
      <c r="AE1098" s="59"/>
    </row>
    <row r="1099" spans="1:31" customFormat="1" ht="15" x14ac:dyDescent="0.35">
      <c r="A1099" s="50"/>
      <c r="B1099" s="63"/>
      <c r="C1099" s="39"/>
      <c r="D1099" s="6"/>
      <c r="E1099" s="153"/>
      <c r="F1099" s="10"/>
      <c r="G1099" s="53"/>
      <c r="H1099" s="3"/>
      <c r="I1099" s="3"/>
      <c r="J1099" s="3"/>
      <c r="K1099" s="3"/>
      <c r="L1099" s="3"/>
      <c r="M1099" s="3"/>
      <c r="N1099" s="3"/>
      <c r="O1099" s="3"/>
      <c r="P1099" s="59"/>
      <c r="Q1099" s="21"/>
      <c r="R1099" s="21"/>
      <c r="S1099" s="3"/>
      <c r="T1099" s="3"/>
      <c r="U1099" s="3"/>
      <c r="V1099" s="3"/>
      <c r="W1099" s="3"/>
      <c r="X1099" s="3"/>
      <c r="Y1099" s="3"/>
      <c r="Z1099" s="53"/>
      <c r="AA1099" s="3"/>
      <c r="AB1099" s="59"/>
      <c r="AC1099" s="3"/>
      <c r="AD1099" s="53"/>
      <c r="AE1099" s="59"/>
    </row>
    <row r="1100" spans="1:31" customFormat="1" ht="15" x14ac:dyDescent="0.35">
      <c r="A1100" s="50"/>
      <c r="B1100" s="63"/>
      <c r="C1100" s="39"/>
      <c r="D1100" s="6"/>
      <c r="E1100" s="153"/>
      <c r="F1100" s="10"/>
      <c r="G1100" s="53"/>
      <c r="H1100" s="3"/>
      <c r="I1100" s="3"/>
      <c r="J1100" s="3"/>
      <c r="K1100" s="3"/>
      <c r="L1100" s="3"/>
      <c r="M1100" s="3"/>
      <c r="N1100" s="3"/>
      <c r="O1100" s="3"/>
      <c r="P1100" s="59"/>
      <c r="Q1100" s="21"/>
      <c r="R1100" s="21"/>
      <c r="S1100" s="3"/>
      <c r="T1100" s="3"/>
      <c r="U1100" s="3"/>
      <c r="V1100" s="3"/>
      <c r="W1100" s="3"/>
      <c r="X1100" s="3"/>
      <c r="Y1100" s="3"/>
      <c r="Z1100" s="53"/>
      <c r="AA1100" s="3"/>
      <c r="AB1100" s="59"/>
      <c r="AC1100" s="3"/>
      <c r="AD1100" s="53"/>
      <c r="AE1100" s="59"/>
    </row>
    <row r="1101" spans="1:31" customFormat="1" ht="15" x14ac:dyDescent="0.35">
      <c r="A1101" s="50"/>
      <c r="B1101" s="63"/>
      <c r="C1101" s="39"/>
      <c r="D1101" s="6"/>
      <c r="E1101" s="153"/>
      <c r="F1101" s="10"/>
      <c r="G1101" s="54"/>
      <c r="H1101" s="3"/>
      <c r="I1101" s="2"/>
      <c r="J1101" s="2"/>
      <c r="K1101" s="3"/>
      <c r="L1101" s="3"/>
      <c r="M1101" s="3"/>
      <c r="N1101" s="3"/>
      <c r="O1101" s="3"/>
      <c r="P1101" s="59"/>
      <c r="Q1101" s="3"/>
      <c r="R1101" s="3"/>
      <c r="S1101" s="3"/>
      <c r="T1101" s="3"/>
      <c r="U1101" s="3"/>
      <c r="V1101" s="3"/>
      <c r="W1101" s="3"/>
      <c r="X1101" s="3"/>
      <c r="Y1101" s="3"/>
      <c r="Z1101" s="53"/>
      <c r="AA1101" s="3"/>
      <c r="AB1101" s="59"/>
      <c r="AC1101" s="3"/>
      <c r="AD1101" s="53"/>
      <c r="AE1101" s="59"/>
    </row>
    <row r="1102" spans="1:31" customFormat="1" ht="15" x14ac:dyDescent="0.35">
      <c r="A1102" s="50"/>
      <c r="B1102" s="63"/>
      <c r="C1102" s="39"/>
      <c r="D1102" s="6"/>
      <c r="E1102" s="153"/>
      <c r="F1102" s="10"/>
      <c r="G1102" s="53"/>
      <c r="H1102" s="3"/>
      <c r="I1102" s="3"/>
      <c r="J1102" s="3"/>
      <c r="K1102" s="3"/>
      <c r="L1102" s="3"/>
      <c r="M1102" s="3"/>
      <c r="N1102" s="3"/>
      <c r="O1102" s="3"/>
      <c r="P1102" s="59"/>
      <c r="Q1102" s="21"/>
      <c r="R1102" s="21"/>
      <c r="S1102" s="3"/>
      <c r="T1102" s="3"/>
      <c r="U1102" s="3"/>
      <c r="V1102" s="3"/>
      <c r="W1102" s="3"/>
      <c r="X1102" s="3"/>
      <c r="Y1102" s="3"/>
      <c r="Z1102" s="53"/>
      <c r="AA1102" s="3"/>
      <c r="AB1102" s="59"/>
      <c r="AC1102" s="3"/>
      <c r="AD1102" s="53"/>
      <c r="AE1102" s="59"/>
    </row>
    <row r="1103" spans="1:31" customFormat="1" ht="15" x14ac:dyDescent="0.35">
      <c r="A1103" s="19"/>
      <c r="B1103" s="49"/>
      <c r="C1103" s="14"/>
      <c r="D1103" s="1"/>
      <c r="E1103" s="153"/>
      <c r="F1103" s="10"/>
      <c r="G1103" s="20"/>
      <c r="H1103" s="21"/>
      <c r="I1103" s="21"/>
      <c r="J1103" s="21"/>
      <c r="K1103" s="21"/>
      <c r="L1103" s="21"/>
      <c r="M1103" s="21"/>
      <c r="N1103" s="22"/>
      <c r="O1103" s="21"/>
      <c r="P1103" s="24"/>
      <c r="Q1103" s="21"/>
      <c r="R1103" s="21"/>
      <c r="S1103" s="21"/>
      <c r="T1103" s="21"/>
      <c r="U1103" s="21"/>
      <c r="V1103" s="22"/>
      <c r="W1103" s="21"/>
      <c r="X1103" s="22"/>
      <c r="Y1103" s="21"/>
      <c r="Z1103" s="20"/>
      <c r="AA1103" s="21"/>
      <c r="AB1103" s="25"/>
      <c r="AC1103" s="26"/>
      <c r="AD1103" s="27"/>
      <c r="AE1103" s="28"/>
    </row>
    <row r="1104" spans="1:31" customFormat="1" ht="15" x14ac:dyDescent="0.35">
      <c r="A1104" s="50"/>
      <c r="B1104" s="63"/>
      <c r="C1104" s="39"/>
      <c r="D1104" s="6"/>
      <c r="E1104" s="153"/>
      <c r="F1104" s="10"/>
      <c r="G1104" s="54"/>
      <c r="H1104" s="3"/>
      <c r="I1104" s="2"/>
      <c r="J1104" s="2"/>
      <c r="K1104" s="3"/>
      <c r="L1104" s="3"/>
      <c r="M1104" s="3"/>
      <c r="N1104" s="3"/>
      <c r="O1104" s="3"/>
      <c r="P1104" s="59"/>
      <c r="Q1104" s="3"/>
      <c r="R1104" s="3"/>
      <c r="S1104" s="3"/>
      <c r="T1104" s="3"/>
      <c r="U1104" s="3"/>
      <c r="V1104" s="3"/>
      <c r="W1104" s="3"/>
      <c r="X1104" s="3"/>
      <c r="Y1104" s="3"/>
      <c r="Z1104" s="53"/>
      <c r="AA1104" s="3"/>
      <c r="AB1104" s="59"/>
      <c r="AC1104" s="3"/>
      <c r="AD1104" s="53"/>
      <c r="AE1104" s="59"/>
    </row>
    <row r="1105" spans="1:31" customFormat="1" ht="15" x14ac:dyDescent="0.35">
      <c r="A1105" s="50"/>
      <c r="B1105" s="63"/>
      <c r="C1105" s="39"/>
      <c r="D1105" s="6"/>
      <c r="E1105" s="153"/>
      <c r="F1105" s="10"/>
      <c r="G1105" s="54"/>
      <c r="H1105" s="3"/>
      <c r="I1105" s="2"/>
      <c r="J1105" s="2"/>
      <c r="K1105" s="3"/>
      <c r="L1105" s="3"/>
      <c r="M1105" s="3"/>
      <c r="N1105" s="3"/>
      <c r="O1105" s="3"/>
      <c r="P1105" s="59"/>
      <c r="Q1105" s="3"/>
      <c r="R1105" s="3"/>
      <c r="S1105" s="3"/>
      <c r="T1105" s="3"/>
      <c r="U1105" s="3"/>
      <c r="V1105" s="3"/>
      <c r="W1105" s="3"/>
      <c r="X1105" s="3"/>
      <c r="Y1105" s="3"/>
      <c r="Z1105" s="53"/>
      <c r="AA1105" s="3"/>
      <c r="AB1105" s="59"/>
      <c r="AC1105" s="3"/>
      <c r="AD1105" s="53"/>
      <c r="AE1105" s="59"/>
    </row>
    <row r="1106" spans="1:31" customFormat="1" ht="15" x14ac:dyDescent="0.35">
      <c r="A1106" s="50"/>
      <c r="B1106" s="63"/>
      <c r="C1106" s="39"/>
      <c r="D1106" s="6"/>
      <c r="E1106" s="153"/>
      <c r="F1106" s="10"/>
      <c r="G1106" s="53"/>
      <c r="H1106" s="3"/>
      <c r="I1106" s="3"/>
      <c r="J1106" s="3"/>
      <c r="K1106" s="3"/>
      <c r="L1106" s="3"/>
      <c r="M1106" s="3"/>
      <c r="N1106" s="3"/>
      <c r="O1106" s="3"/>
      <c r="P1106" s="59"/>
      <c r="Q1106" s="21"/>
      <c r="R1106" s="21"/>
      <c r="S1106" s="3"/>
      <c r="T1106" s="3"/>
      <c r="U1106" s="3"/>
      <c r="V1106" s="3"/>
      <c r="W1106" s="3"/>
      <c r="X1106" s="3"/>
      <c r="Y1106" s="3"/>
      <c r="Z1106" s="53"/>
      <c r="AA1106" s="3"/>
      <c r="AB1106" s="59"/>
      <c r="AC1106" s="3"/>
      <c r="AD1106" s="53"/>
      <c r="AE1106" s="59"/>
    </row>
    <row r="1107" spans="1:31" customFormat="1" ht="15" x14ac:dyDescent="0.35">
      <c r="A1107" s="50"/>
      <c r="B1107" s="63"/>
      <c r="C1107" s="39"/>
      <c r="D1107" s="6"/>
      <c r="E1107" s="153"/>
      <c r="F1107" s="10"/>
      <c r="G1107" s="54"/>
      <c r="H1107" s="3"/>
      <c r="I1107" s="2"/>
      <c r="J1107" s="2"/>
      <c r="K1107" s="3"/>
      <c r="L1107" s="3"/>
      <c r="M1107" s="3"/>
      <c r="N1107" s="3"/>
      <c r="O1107" s="3"/>
      <c r="P1107" s="59"/>
      <c r="Q1107" s="3"/>
      <c r="R1107" s="3"/>
      <c r="S1107" s="3"/>
      <c r="T1107" s="3"/>
      <c r="U1107" s="3"/>
      <c r="V1107" s="3"/>
      <c r="W1107" s="3"/>
      <c r="X1107" s="3"/>
      <c r="Y1107" s="3"/>
      <c r="Z1107" s="53"/>
      <c r="AA1107" s="3"/>
      <c r="AB1107" s="59"/>
      <c r="AC1107" s="3"/>
      <c r="AD1107" s="53"/>
      <c r="AE1107" s="59"/>
    </row>
    <row r="1108" spans="1:31" customFormat="1" ht="15" x14ac:dyDescent="0.35">
      <c r="A1108" s="19"/>
      <c r="B1108" s="49"/>
      <c r="C1108" s="14"/>
      <c r="D1108" s="1"/>
      <c r="E1108" s="153"/>
      <c r="F1108" s="10"/>
      <c r="G1108" s="20"/>
      <c r="H1108" s="21"/>
      <c r="I1108" s="21"/>
      <c r="J1108" s="21"/>
      <c r="K1108" s="21"/>
      <c r="L1108" s="21"/>
      <c r="M1108" s="21"/>
      <c r="N1108" s="22"/>
      <c r="O1108" s="21"/>
      <c r="P1108" s="24"/>
      <c r="Q1108" s="21"/>
      <c r="R1108" s="21"/>
      <c r="S1108" s="21"/>
      <c r="T1108" s="21"/>
      <c r="U1108" s="21"/>
      <c r="V1108" s="22"/>
      <c r="W1108" s="21"/>
      <c r="X1108" s="22"/>
      <c r="Y1108" s="21"/>
      <c r="Z1108" s="20"/>
      <c r="AA1108" s="21"/>
      <c r="AB1108" s="25"/>
      <c r="AC1108" s="26"/>
      <c r="AD1108" s="27"/>
      <c r="AE1108" s="28"/>
    </row>
    <row r="1109" spans="1:31" customFormat="1" ht="15" x14ac:dyDescent="0.35">
      <c r="A1109" s="50"/>
      <c r="B1109" s="63"/>
      <c r="C1109" s="39"/>
      <c r="D1109" s="6"/>
      <c r="E1109" s="153"/>
      <c r="F1109" s="10"/>
      <c r="G1109" s="53"/>
      <c r="H1109" s="3"/>
      <c r="I1109" s="3"/>
      <c r="J1109" s="3"/>
      <c r="K1109" s="3"/>
      <c r="L1109" s="3"/>
      <c r="M1109" s="3"/>
      <c r="N1109" s="3"/>
      <c r="O1109" s="3"/>
      <c r="P1109" s="59"/>
      <c r="Q1109" s="21"/>
      <c r="R1109" s="21"/>
      <c r="S1109" s="3"/>
      <c r="T1109" s="3"/>
      <c r="U1109" s="3"/>
      <c r="V1109" s="3"/>
      <c r="W1109" s="3"/>
      <c r="X1109" s="3"/>
      <c r="Y1109" s="3"/>
      <c r="Z1109" s="53"/>
      <c r="AA1109" s="3"/>
      <c r="AB1109" s="59"/>
      <c r="AC1109" s="3"/>
      <c r="AD1109" s="53"/>
      <c r="AE1109" s="59"/>
    </row>
    <row r="1110" spans="1:31" customFormat="1" ht="15" x14ac:dyDescent="0.35">
      <c r="A1110" s="19"/>
      <c r="B1110" s="49"/>
      <c r="C1110" s="14"/>
      <c r="D1110" s="1"/>
      <c r="E1110" s="153"/>
      <c r="F1110" s="10"/>
      <c r="G1110" s="20"/>
      <c r="H1110" s="21"/>
      <c r="I1110" s="21"/>
      <c r="J1110" s="21"/>
      <c r="K1110" s="21"/>
      <c r="L1110" s="21"/>
      <c r="M1110" s="21"/>
      <c r="N1110" s="22"/>
      <c r="O1110" s="21"/>
      <c r="P1110" s="24"/>
      <c r="Q1110" s="21"/>
      <c r="R1110" s="21"/>
      <c r="S1110" s="21"/>
      <c r="T1110" s="21"/>
      <c r="U1110" s="21"/>
      <c r="V1110" s="22"/>
      <c r="W1110" s="21"/>
      <c r="X1110" s="22"/>
      <c r="Y1110" s="21"/>
      <c r="Z1110" s="20"/>
      <c r="AA1110" s="21"/>
      <c r="AB1110" s="25"/>
      <c r="AC1110" s="26"/>
      <c r="AD1110" s="27"/>
      <c r="AE1110" s="28"/>
    </row>
    <row r="1111" spans="1:31" customFormat="1" ht="15" x14ac:dyDescent="0.35">
      <c r="A1111" s="19"/>
      <c r="B1111" s="49"/>
      <c r="C1111" s="14"/>
      <c r="D1111" s="1"/>
      <c r="E1111" s="153"/>
      <c r="F1111" s="10"/>
      <c r="G1111" s="20"/>
      <c r="H1111" s="21"/>
      <c r="I1111" s="21"/>
      <c r="J1111" s="21"/>
      <c r="K1111" s="21"/>
      <c r="L1111" s="21"/>
      <c r="M1111" s="21"/>
      <c r="N1111" s="22"/>
      <c r="O1111" s="21"/>
      <c r="P1111" s="24"/>
      <c r="Q1111" s="21"/>
      <c r="R1111" s="21"/>
      <c r="S1111" s="21"/>
      <c r="T1111" s="21"/>
      <c r="U1111" s="21"/>
      <c r="V1111" s="22"/>
      <c r="W1111" s="21"/>
      <c r="X1111" s="22"/>
      <c r="Y1111" s="21"/>
      <c r="Z1111" s="20"/>
      <c r="AA1111" s="21"/>
      <c r="AB1111" s="25"/>
      <c r="AC1111" s="26"/>
      <c r="AD1111" s="27"/>
      <c r="AE1111" s="28"/>
    </row>
    <row r="1112" spans="1:31" customFormat="1" ht="15" x14ac:dyDescent="0.35">
      <c r="A1112" s="50"/>
      <c r="B1112" s="63"/>
      <c r="C1112" s="39"/>
      <c r="D1112" s="6"/>
      <c r="E1112" s="153"/>
      <c r="F1112" s="10"/>
      <c r="G1112" s="53"/>
      <c r="H1112" s="3"/>
      <c r="I1112" s="3"/>
      <c r="J1112" s="3"/>
      <c r="K1112" s="3"/>
      <c r="L1112" s="3"/>
      <c r="M1112" s="3"/>
      <c r="N1112" s="3"/>
      <c r="O1112" s="3"/>
      <c r="P1112" s="59"/>
      <c r="Q1112" s="21"/>
      <c r="R1112" s="21"/>
      <c r="S1112" s="3"/>
      <c r="T1112" s="3"/>
      <c r="U1112" s="3"/>
      <c r="V1112" s="3"/>
      <c r="W1112" s="3"/>
      <c r="X1112" s="3"/>
      <c r="Y1112" s="3"/>
      <c r="Z1112" s="53"/>
      <c r="AA1112" s="3"/>
      <c r="AB1112" s="59"/>
      <c r="AC1112" s="3"/>
      <c r="AD1112" s="53"/>
      <c r="AE1112" s="59"/>
    </row>
    <row r="1113" spans="1:31" customFormat="1" ht="15" x14ac:dyDescent="0.35">
      <c r="A1113" s="50"/>
      <c r="B1113" s="63"/>
      <c r="C1113" s="39"/>
      <c r="D1113" s="6"/>
      <c r="E1113" s="153"/>
      <c r="F1113" s="10"/>
      <c r="G1113" s="53"/>
      <c r="H1113" s="3"/>
      <c r="I1113" s="3"/>
      <c r="J1113" s="3"/>
      <c r="K1113" s="3"/>
      <c r="L1113" s="3"/>
      <c r="M1113" s="3"/>
      <c r="N1113" s="3"/>
      <c r="O1113" s="3"/>
      <c r="P1113" s="59"/>
      <c r="Q1113" s="21"/>
      <c r="R1113" s="21"/>
      <c r="S1113" s="3"/>
      <c r="T1113" s="3"/>
      <c r="U1113" s="3"/>
      <c r="V1113" s="3"/>
      <c r="W1113" s="3"/>
      <c r="X1113" s="3"/>
      <c r="Y1113" s="3"/>
      <c r="Z1113" s="53"/>
      <c r="AA1113" s="3"/>
      <c r="AB1113" s="59"/>
      <c r="AC1113" s="3"/>
      <c r="AD1113" s="53"/>
      <c r="AE1113" s="59"/>
    </row>
    <row r="1114" spans="1:31" customFormat="1" ht="15" x14ac:dyDescent="0.35">
      <c r="A1114" s="19"/>
      <c r="B1114" s="49"/>
      <c r="C1114" s="14"/>
      <c r="D1114" s="1"/>
      <c r="E1114" s="153"/>
      <c r="F1114" s="10"/>
      <c r="G1114" s="20"/>
      <c r="H1114" s="21"/>
      <c r="I1114" s="21"/>
      <c r="J1114" s="21"/>
      <c r="K1114" s="21"/>
      <c r="L1114" s="21"/>
      <c r="M1114" s="21"/>
      <c r="N1114" s="22"/>
      <c r="O1114" s="21"/>
      <c r="P1114" s="24"/>
      <c r="Q1114" s="21"/>
      <c r="R1114" s="21"/>
      <c r="S1114" s="21"/>
      <c r="T1114" s="21"/>
      <c r="U1114" s="21"/>
      <c r="V1114" s="22"/>
      <c r="W1114" s="21"/>
      <c r="X1114" s="22"/>
      <c r="Y1114" s="21"/>
      <c r="Z1114" s="20"/>
      <c r="AA1114" s="21"/>
      <c r="AB1114" s="25"/>
      <c r="AC1114" s="26"/>
      <c r="AD1114" s="27"/>
      <c r="AE1114" s="65"/>
    </row>
    <row r="1115" spans="1:31" customFormat="1" ht="15" x14ac:dyDescent="0.35">
      <c r="A1115" s="50"/>
      <c r="B1115" s="63"/>
      <c r="C1115" s="39"/>
      <c r="D1115" s="6"/>
      <c r="E1115" s="153"/>
      <c r="F1115" s="10"/>
      <c r="G1115" s="53"/>
      <c r="H1115" s="3"/>
      <c r="I1115" s="3"/>
      <c r="J1115" s="3"/>
      <c r="K1115" s="3"/>
      <c r="L1115" s="3"/>
      <c r="M1115" s="3"/>
      <c r="N1115" s="3"/>
      <c r="O1115" s="3"/>
      <c r="P1115" s="59"/>
      <c r="Q1115" s="21"/>
      <c r="R1115" s="21"/>
      <c r="S1115" s="3"/>
      <c r="T1115" s="3"/>
      <c r="U1115" s="3"/>
      <c r="V1115" s="3"/>
      <c r="W1115" s="3"/>
      <c r="X1115" s="3"/>
      <c r="Y1115" s="3"/>
      <c r="Z1115" s="53"/>
      <c r="AA1115" s="3"/>
      <c r="AB1115" s="59"/>
      <c r="AC1115" s="3"/>
      <c r="AD1115" s="53"/>
      <c r="AE1115" s="59"/>
    </row>
    <row r="1116" spans="1:31" customFormat="1" ht="15" x14ac:dyDescent="0.35">
      <c r="A1116" s="50"/>
      <c r="B1116" s="63"/>
      <c r="C1116" s="39"/>
      <c r="D1116" s="6"/>
      <c r="E1116" s="153"/>
      <c r="F1116" s="10"/>
      <c r="G1116" s="53"/>
      <c r="H1116" s="3"/>
      <c r="I1116" s="3"/>
      <c r="J1116" s="3"/>
      <c r="K1116" s="3"/>
      <c r="L1116" s="3"/>
      <c r="M1116" s="3"/>
      <c r="N1116" s="3"/>
      <c r="O1116" s="3"/>
      <c r="P1116" s="59"/>
      <c r="Q1116" s="21"/>
      <c r="R1116" s="21"/>
      <c r="S1116" s="3"/>
      <c r="T1116" s="3"/>
      <c r="U1116" s="3"/>
      <c r="V1116" s="3"/>
      <c r="W1116" s="3"/>
      <c r="X1116" s="3"/>
      <c r="Y1116" s="3"/>
      <c r="Z1116" s="53"/>
      <c r="AA1116" s="3"/>
      <c r="AB1116" s="59"/>
      <c r="AC1116" s="3"/>
      <c r="AD1116" s="53"/>
      <c r="AE1116" s="59"/>
    </row>
    <row r="1117" spans="1:31" customFormat="1" ht="15" x14ac:dyDescent="0.35">
      <c r="A1117" s="19"/>
      <c r="B1117" s="49"/>
      <c r="C1117" s="39"/>
      <c r="D1117" s="1"/>
      <c r="E1117" s="153"/>
      <c r="F1117" s="10"/>
      <c r="G1117" s="20"/>
      <c r="H1117" s="21"/>
      <c r="I1117" s="21"/>
      <c r="J1117" s="21"/>
      <c r="K1117" s="21"/>
      <c r="L1117" s="21"/>
      <c r="M1117" s="21"/>
      <c r="N1117" s="22"/>
      <c r="O1117" s="21"/>
      <c r="P1117" s="24"/>
      <c r="Q1117" s="21"/>
      <c r="R1117" s="21"/>
      <c r="S1117" s="21"/>
      <c r="T1117" s="21"/>
      <c r="U1117" s="21"/>
      <c r="V1117" s="22"/>
      <c r="W1117" s="21"/>
      <c r="X1117" s="22"/>
      <c r="Y1117" s="21"/>
      <c r="Z1117" s="20"/>
      <c r="AA1117" s="21"/>
      <c r="AB1117" s="25"/>
      <c r="AC1117" s="26"/>
      <c r="AD1117" s="27"/>
      <c r="AE1117" s="28"/>
    </row>
    <row r="1118" spans="1:31" customFormat="1" ht="15" x14ac:dyDescent="0.35">
      <c r="A1118" s="50"/>
      <c r="B1118" s="63"/>
      <c r="C1118" s="39"/>
      <c r="D1118" s="6"/>
      <c r="E1118" s="153"/>
      <c r="F1118" s="10"/>
      <c r="G1118" s="53"/>
      <c r="H1118" s="3"/>
      <c r="I1118" s="3"/>
      <c r="J1118" s="3"/>
      <c r="K1118" s="3"/>
      <c r="L1118" s="3"/>
      <c r="M1118" s="3"/>
      <c r="N1118" s="3"/>
      <c r="O1118" s="3"/>
      <c r="P1118" s="59"/>
      <c r="Q1118" s="21"/>
      <c r="R1118" s="21"/>
      <c r="S1118" s="3"/>
      <c r="T1118" s="3"/>
      <c r="U1118" s="3"/>
      <c r="V1118" s="3"/>
      <c r="W1118" s="3"/>
      <c r="X1118" s="3"/>
      <c r="Y1118" s="3"/>
      <c r="Z1118" s="53"/>
      <c r="AA1118" s="3"/>
      <c r="AB1118" s="59"/>
      <c r="AC1118" s="3"/>
      <c r="AD1118" s="53"/>
      <c r="AE1118" s="59"/>
    </row>
    <row r="1119" spans="1:31" customFormat="1" ht="15" x14ac:dyDescent="0.35">
      <c r="A1119" s="50"/>
      <c r="B1119" s="63"/>
      <c r="C1119" s="39"/>
      <c r="D1119" s="6"/>
      <c r="E1119" s="153"/>
      <c r="F1119" s="10"/>
      <c r="G1119" s="53"/>
      <c r="H1119" s="3"/>
      <c r="I1119" s="3"/>
      <c r="J1119" s="3"/>
      <c r="K1119" s="3"/>
      <c r="L1119" s="3"/>
      <c r="M1119" s="3"/>
      <c r="N1119" s="3"/>
      <c r="O1119" s="3"/>
      <c r="P1119" s="59"/>
      <c r="Q1119" s="21"/>
      <c r="R1119" s="21"/>
      <c r="S1119" s="3"/>
      <c r="T1119" s="3"/>
      <c r="U1119" s="3"/>
      <c r="V1119" s="3"/>
      <c r="W1119" s="3"/>
      <c r="X1119" s="3"/>
      <c r="Y1119" s="3"/>
      <c r="Z1119" s="53"/>
      <c r="AA1119" s="3"/>
      <c r="AB1119" s="59"/>
      <c r="AC1119" s="3"/>
      <c r="AD1119" s="53"/>
      <c r="AE1119" s="59"/>
    </row>
    <row r="1120" spans="1:31" customFormat="1" ht="15" x14ac:dyDescent="0.35">
      <c r="A1120" s="19"/>
      <c r="B1120" s="49"/>
      <c r="C1120" s="14"/>
      <c r="D1120" s="1"/>
      <c r="E1120" s="153"/>
      <c r="F1120" s="10"/>
      <c r="G1120" s="20"/>
      <c r="H1120" s="21"/>
      <c r="I1120" s="21"/>
      <c r="J1120" s="21"/>
      <c r="K1120" s="21"/>
      <c r="L1120" s="21"/>
      <c r="M1120" s="21"/>
      <c r="N1120" s="22"/>
      <c r="O1120" s="21"/>
      <c r="P1120" s="24"/>
      <c r="Q1120" s="21"/>
      <c r="R1120" s="21"/>
      <c r="S1120" s="21"/>
      <c r="T1120" s="21"/>
      <c r="U1120" s="21"/>
      <c r="V1120" s="22"/>
      <c r="W1120" s="21"/>
      <c r="X1120" s="22"/>
      <c r="Y1120" s="21"/>
      <c r="Z1120" s="20"/>
      <c r="AA1120" s="21"/>
      <c r="AB1120" s="25"/>
      <c r="AC1120" s="26"/>
      <c r="AD1120" s="27"/>
      <c r="AE1120" s="28"/>
    </row>
    <row r="1121" spans="1:31" customFormat="1" ht="15" x14ac:dyDescent="0.35">
      <c r="A1121" s="50"/>
      <c r="B1121" s="63"/>
      <c r="C1121" s="39"/>
      <c r="D1121" s="6"/>
      <c r="E1121" s="153"/>
      <c r="F1121" s="10"/>
      <c r="G1121" s="54"/>
      <c r="H1121" s="3"/>
      <c r="I1121" s="2"/>
      <c r="J1121" s="2"/>
      <c r="K1121" s="3"/>
      <c r="L1121" s="3"/>
      <c r="M1121" s="3"/>
      <c r="N1121" s="3"/>
      <c r="O1121" s="3"/>
      <c r="P1121" s="59"/>
      <c r="Q1121" s="3"/>
      <c r="R1121" s="3"/>
      <c r="S1121" s="3"/>
      <c r="T1121" s="3"/>
      <c r="U1121" s="3"/>
      <c r="V1121" s="3"/>
      <c r="W1121" s="3"/>
      <c r="X1121" s="3"/>
      <c r="Y1121" s="3"/>
      <c r="Z1121" s="53"/>
      <c r="AA1121" s="3"/>
      <c r="AB1121" s="59"/>
      <c r="AC1121" s="3"/>
      <c r="AD1121" s="53"/>
      <c r="AE1121" s="59"/>
    </row>
    <row r="1122" spans="1:31" customFormat="1" ht="15" x14ac:dyDescent="0.35">
      <c r="A1122" s="19"/>
      <c r="B1122" s="49"/>
      <c r="C1122" s="14"/>
      <c r="D1122" s="1"/>
      <c r="E1122" s="153"/>
      <c r="F1122" s="10"/>
      <c r="G1122" s="20"/>
      <c r="H1122" s="21"/>
      <c r="I1122" s="21"/>
      <c r="J1122" s="21"/>
      <c r="K1122" s="21"/>
      <c r="L1122" s="21"/>
      <c r="M1122" s="21"/>
      <c r="N1122" s="22"/>
      <c r="O1122" s="21"/>
      <c r="P1122" s="24"/>
      <c r="Q1122" s="21"/>
      <c r="R1122" s="21"/>
      <c r="S1122" s="21"/>
      <c r="T1122" s="21"/>
      <c r="U1122" s="21"/>
      <c r="V1122" s="22"/>
      <c r="W1122" s="21"/>
      <c r="X1122" s="22"/>
      <c r="Y1122" s="21"/>
      <c r="Z1122" s="20"/>
      <c r="AA1122" s="21"/>
      <c r="AB1122" s="25"/>
      <c r="AC1122" s="26"/>
      <c r="AD1122" s="27"/>
      <c r="AE1122" s="28"/>
    </row>
    <row r="1123" spans="1:31" customFormat="1" ht="15" x14ac:dyDescent="0.35">
      <c r="A1123" s="19"/>
      <c r="B1123" s="49"/>
      <c r="C1123" s="14"/>
      <c r="D1123" s="1"/>
      <c r="E1123" s="153"/>
      <c r="F1123" s="10"/>
      <c r="G1123" s="20"/>
      <c r="H1123" s="21"/>
      <c r="I1123" s="21"/>
      <c r="J1123" s="21"/>
      <c r="K1123" s="21"/>
      <c r="L1123" s="21"/>
      <c r="M1123" s="21"/>
      <c r="N1123" s="22"/>
      <c r="O1123" s="21"/>
      <c r="P1123" s="24"/>
      <c r="Q1123" s="21"/>
      <c r="R1123" s="21"/>
      <c r="S1123" s="21"/>
      <c r="T1123" s="21"/>
      <c r="U1123" s="21"/>
      <c r="V1123" s="22"/>
      <c r="W1123" s="21"/>
      <c r="X1123" s="22"/>
      <c r="Y1123" s="21"/>
      <c r="Z1123" s="20"/>
      <c r="AA1123" s="21"/>
      <c r="AB1123" s="25"/>
      <c r="AC1123" s="26"/>
      <c r="AD1123" s="27"/>
      <c r="AE1123" s="28"/>
    </row>
    <row r="1124" spans="1:31" customFormat="1" ht="15" x14ac:dyDescent="0.35">
      <c r="A1124" s="19"/>
      <c r="B1124" s="49"/>
      <c r="C1124" s="14"/>
      <c r="D1124" s="1"/>
      <c r="E1124" s="153"/>
      <c r="F1124" s="10"/>
      <c r="G1124" s="20"/>
      <c r="H1124" s="21"/>
      <c r="I1124" s="21"/>
      <c r="J1124" s="21"/>
      <c r="K1124" s="21"/>
      <c r="L1124" s="21"/>
      <c r="M1124" s="21"/>
      <c r="N1124" s="22"/>
      <c r="O1124" s="21"/>
      <c r="P1124" s="24"/>
      <c r="Q1124" s="21"/>
      <c r="R1124" s="21"/>
      <c r="S1124" s="21"/>
      <c r="T1124" s="21"/>
      <c r="U1124" s="21"/>
      <c r="V1124" s="22"/>
      <c r="W1124" s="21"/>
      <c r="X1124" s="22"/>
      <c r="Y1124" s="21"/>
      <c r="Z1124" s="20"/>
      <c r="AA1124" s="21"/>
      <c r="AB1124" s="25"/>
      <c r="AC1124" s="26"/>
      <c r="AD1124" s="27"/>
      <c r="AE1124" s="28"/>
    </row>
    <row r="1125" spans="1:31" customFormat="1" ht="15" x14ac:dyDescent="0.35">
      <c r="A1125" s="50"/>
      <c r="B1125" s="63"/>
      <c r="C1125" s="39"/>
      <c r="D1125" s="6"/>
      <c r="E1125" s="153"/>
      <c r="F1125" s="10"/>
      <c r="G1125" s="53"/>
      <c r="H1125" s="3"/>
      <c r="I1125" s="3"/>
      <c r="J1125" s="3"/>
      <c r="K1125" s="3"/>
      <c r="L1125" s="3"/>
      <c r="M1125" s="3"/>
      <c r="N1125" s="3"/>
      <c r="O1125" s="3"/>
      <c r="P1125" s="59"/>
      <c r="Q1125" s="21"/>
      <c r="R1125" s="21"/>
      <c r="S1125" s="3"/>
      <c r="T1125" s="3"/>
      <c r="U1125" s="3"/>
      <c r="V1125" s="3"/>
      <c r="W1125" s="3"/>
      <c r="X1125" s="3"/>
      <c r="Y1125" s="3"/>
      <c r="Z1125" s="53"/>
      <c r="AA1125" s="3"/>
      <c r="AB1125" s="59"/>
      <c r="AC1125" s="3"/>
      <c r="AD1125" s="53"/>
      <c r="AE1125" s="59"/>
    </row>
    <row r="1126" spans="1:31" customFormat="1" ht="15" x14ac:dyDescent="0.35">
      <c r="A1126" s="50"/>
      <c r="B1126" s="63"/>
      <c r="C1126" s="39"/>
      <c r="D1126" s="6"/>
      <c r="E1126" s="153"/>
      <c r="F1126" s="10"/>
      <c r="G1126" s="53"/>
      <c r="H1126" s="3"/>
      <c r="I1126" s="3"/>
      <c r="J1126" s="3"/>
      <c r="K1126" s="3"/>
      <c r="L1126" s="3"/>
      <c r="M1126" s="3"/>
      <c r="N1126" s="3"/>
      <c r="O1126" s="3"/>
      <c r="P1126" s="59"/>
      <c r="Q1126" s="21"/>
      <c r="R1126" s="21"/>
      <c r="S1126" s="3"/>
      <c r="T1126" s="3"/>
      <c r="U1126" s="3"/>
      <c r="V1126" s="3"/>
      <c r="W1126" s="3"/>
      <c r="X1126" s="3"/>
      <c r="Y1126" s="3"/>
      <c r="Z1126" s="53"/>
      <c r="AA1126" s="3"/>
      <c r="AB1126" s="59"/>
      <c r="AC1126" s="3"/>
      <c r="AD1126" s="53"/>
      <c r="AE1126" s="59"/>
    </row>
    <row r="1127" spans="1:31" customFormat="1" ht="15" x14ac:dyDescent="0.35">
      <c r="A1127" s="50"/>
      <c r="B1127" s="63"/>
      <c r="C1127" s="39"/>
      <c r="D1127" s="6"/>
      <c r="E1127" s="153"/>
      <c r="F1127" s="10"/>
      <c r="G1127" s="53"/>
      <c r="H1127" s="3"/>
      <c r="I1127" s="3"/>
      <c r="J1127" s="3"/>
      <c r="K1127" s="3"/>
      <c r="L1127" s="3"/>
      <c r="M1127" s="3"/>
      <c r="N1127" s="3"/>
      <c r="O1127" s="3"/>
      <c r="P1127" s="59"/>
      <c r="Q1127" s="21"/>
      <c r="R1127" s="21"/>
      <c r="S1127" s="3"/>
      <c r="T1127" s="3"/>
      <c r="U1127" s="3"/>
      <c r="V1127" s="3"/>
      <c r="W1127" s="3"/>
      <c r="X1127" s="3"/>
      <c r="Y1127" s="3"/>
      <c r="Z1127" s="53"/>
      <c r="AA1127" s="3"/>
      <c r="AB1127" s="59"/>
      <c r="AC1127" s="3"/>
      <c r="AD1127" s="53"/>
      <c r="AE1127" s="59"/>
    </row>
    <row r="1128" spans="1:31" customFormat="1" ht="15" x14ac:dyDescent="0.35">
      <c r="A1128" s="50"/>
      <c r="B1128" s="63"/>
      <c r="C1128" s="39"/>
      <c r="D1128" s="6"/>
      <c r="E1128" s="153"/>
      <c r="F1128" s="10"/>
      <c r="G1128" s="54"/>
      <c r="H1128" s="3"/>
      <c r="I1128" s="2"/>
      <c r="J1128" s="2"/>
      <c r="K1128" s="3"/>
      <c r="L1128" s="3"/>
      <c r="M1128" s="3"/>
      <c r="N1128" s="3"/>
      <c r="O1128" s="3"/>
      <c r="P1128" s="59"/>
      <c r="Q1128" s="3"/>
      <c r="R1128" s="3"/>
      <c r="S1128" s="3"/>
      <c r="T1128" s="3"/>
      <c r="U1128" s="3"/>
      <c r="V1128" s="3"/>
      <c r="W1128" s="3"/>
      <c r="X1128" s="3"/>
      <c r="Y1128" s="3"/>
      <c r="Z1128" s="53"/>
      <c r="AA1128" s="3"/>
      <c r="AB1128" s="59"/>
      <c r="AC1128" s="3"/>
      <c r="AD1128" s="53"/>
      <c r="AE1128" s="59"/>
    </row>
    <row r="1129" spans="1:31" customFormat="1" ht="15" x14ac:dyDescent="0.35">
      <c r="A1129" s="19"/>
      <c r="B1129" s="49"/>
      <c r="C1129" s="39"/>
      <c r="D1129" s="1"/>
      <c r="E1129" s="153"/>
      <c r="F1129" s="10"/>
      <c r="G1129" s="20"/>
      <c r="H1129" s="21"/>
      <c r="I1129" s="21"/>
      <c r="J1129" s="21"/>
      <c r="K1129" s="21"/>
      <c r="L1129" s="21"/>
      <c r="M1129" s="21"/>
      <c r="N1129" s="22"/>
      <c r="O1129" s="21"/>
      <c r="P1129" s="24"/>
      <c r="Q1129" s="21"/>
      <c r="R1129" s="21"/>
      <c r="S1129" s="21"/>
      <c r="T1129" s="21"/>
      <c r="U1129" s="21"/>
      <c r="V1129" s="22"/>
      <c r="W1129" s="21"/>
      <c r="X1129" s="22"/>
      <c r="Y1129" s="21"/>
      <c r="Z1129" s="20"/>
      <c r="AA1129" s="21"/>
      <c r="AB1129" s="25"/>
      <c r="AC1129" s="26"/>
      <c r="AD1129" s="27"/>
      <c r="AE1129" s="28"/>
    </row>
    <row r="1130" spans="1:31" customFormat="1" ht="15" x14ac:dyDescent="0.35">
      <c r="A1130" s="50"/>
      <c r="B1130" s="63"/>
      <c r="C1130" s="39"/>
      <c r="D1130" s="6"/>
      <c r="E1130" s="153"/>
      <c r="F1130" s="10"/>
      <c r="G1130" s="53"/>
      <c r="H1130" s="3"/>
      <c r="I1130" s="3"/>
      <c r="J1130" s="3"/>
      <c r="K1130" s="3"/>
      <c r="L1130" s="3"/>
      <c r="M1130" s="3"/>
      <c r="N1130" s="3"/>
      <c r="O1130" s="3"/>
      <c r="P1130" s="59"/>
      <c r="Q1130" s="21"/>
      <c r="R1130" s="21"/>
      <c r="S1130" s="3"/>
      <c r="T1130" s="3"/>
      <c r="U1130" s="3"/>
      <c r="V1130" s="3"/>
      <c r="W1130" s="3"/>
      <c r="X1130" s="3"/>
      <c r="Y1130" s="3"/>
      <c r="Z1130" s="53"/>
      <c r="AA1130" s="3"/>
      <c r="AB1130" s="59"/>
      <c r="AC1130" s="3"/>
      <c r="AD1130" s="53"/>
      <c r="AE1130" s="59"/>
    </row>
    <row r="1131" spans="1:31" customFormat="1" ht="15" x14ac:dyDescent="0.35">
      <c r="A1131" s="50"/>
      <c r="B1131" s="63"/>
      <c r="C1131" s="39"/>
      <c r="D1131" s="6"/>
      <c r="E1131" s="153"/>
      <c r="F1131" s="10"/>
      <c r="G1131" s="53"/>
      <c r="H1131" s="3"/>
      <c r="I1131" s="3"/>
      <c r="J1131" s="3"/>
      <c r="K1131" s="3"/>
      <c r="L1131" s="3"/>
      <c r="M1131" s="3"/>
      <c r="N1131" s="3"/>
      <c r="O1131" s="3"/>
      <c r="P1131" s="59"/>
      <c r="Q1131" s="21"/>
      <c r="R1131" s="21"/>
      <c r="S1131" s="3"/>
      <c r="T1131" s="3"/>
      <c r="U1131" s="3"/>
      <c r="V1131" s="3"/>
      <c r="W1131" s="3"/>
      <c r="X1131" s="3"/>
      <c r="Y1131" s="3"/>
      <c r="Z1131" s="53"/>
      <c r="AA1131" s="3"/>
      <c r="AB1131" s="59"/>
      <c r="AC1131" s="3"/>
      <c r="AD1131" s="53"/>
      <c r="AE1131" s="59"/>
    </row>
    <row r="1132" spans="1:31" customFormat="1" ht="15" x14ac:dyDescent="0.35">
      <c r="A1132" s="19"/>
      <c r="B1132" s="49"/>
      <c r="C1132" s="39"/>
      <c r="D1132" s="1"/>
      <c r="E1132" s="153"/>
      <c r="F1132" s="10"/>
      <c r="G1132" s="20"/>
      <c r="H1132" s="21"/>
      <c r="I1132" s="21"/>
      <c r="J1132" s="21"/>
      <c r="K1132" s="21"/>
      <c r="L1132" s="21"/>
      <c r="M1132" s="21"/>
      <c r="N1132" s="22"/>
      <c r="O1132" s="21"/>
      <c r="P1132" s="24"/>
      <c r="Q1132" s="21"/>
      <c r="R1132" s="21"/>
      <c r="S1132" s="21"/>
      <c r="T1132" s="21"/>
      <c r="U1132" s="21"/>
      <c r="V1132" s="22"/>
      <c r="W1132" s="21"/>
      <c r="X1132" s="22"/>
      <c r="Y1132" s="21"/>
      <c r="Z1132" s="20"/>
      <c r="AA1132" s="21"/>
      <c r="AB1132" s="25"/>
      <c r="AC1132" s="26"/>
      <c r="AD1132" s="27"/>
      <c r="AE1132" s="28"/>
    </row>
    <row r="1133" spans="1:31" customFormat="1" ht="15" x14ac:dyDescent="0.35">
      <c r="A1133" s="50"/>
      <c r="B1133" s="63"/>
      <c r="C1133" s="39"/>
      <c r="D1133" s="6"/>
      <c r="E1133" s="153"/>
      <c r="F1133" s="10"/>
      <c r="G1133" s="54"/>
      <c r="H1133" s="3"/>
      <c r="I1133" s="2"/>
      <c r="J1133" s="2"/>
      <c r="K1133" s="3"/>
      <c r="L1133" s="3"/>
      <c r="M1133" s="3"/>
      <c r="N1133" s="3"/>
      <c r="O1133" s="3"/>
      <c r="P1133" s="59"/>
      <c r="Q1133" s="3"/>
      <c r="R1133" s="3"/>
      <c r="S1133" s="3"/>
      <c r="T1133" s="3"/>
      <c r="U1133" s="3"/>
      <c r="V1133" s="3"/>
      <c r="W1133" s="3"/>
      <c r="X1133" s="3"/>
      <c r="Y1133" s="3"/>
      <c r="Z1133" s="53"/>
      <c r="AA1133" s="3"/>
      <c r="AB1133" s="59"/>
      <c r="AC1133" s="3"/>
      <c r="AD1133" s="53"/>
      <c r="AE1133" s="59"/>
    </row>
    <row r="1134" spans="1:31" customFormat="1" ht="15" x14ac:dyDescent="0.35">
      <c r="A1134" s="50"/>
      <c r="B1134" s="63"/>
      <c r="C1134" s="39"/>
      <c r="D1134" s="6"/>
      <c r="E1134" s="153"/>
      <c r="F1134" s="10"/>
      <c r="G1134" s="53"/>
      <c r="H1134" s="3"/>
      <c r="I1134" s="3"/>
      <c r="J1134" s="3"/>
      <c r="K1134" s="3"/>
      <c r="L1134" s="3"/>
      <c r="M1134" s="3"/>
      <c r="N1134" s="3"/>
      <c r="O1134" s="3"/>
      <c r="P1134" s="59"/>
      <c r="Q1134" s="21"/>
      <c r="R1134" s="21"/>
      <c r="S1134" s="3"/>
      <c r="T1134" s="3"/>
      <c r="U1134" s="3"/>
      <c r="V1134" s="3"/>
      <c r="W1134" s="3"/>
      <c r="X1134" s="3"/>
      <c r="Y1134" s="3"/>
      <c r="Z1134" s="53"/>
      <c r="AA1134" s="3"/>
      <c r="AB1134" s="59"/>
      <c r="AC1134" s="3"/>
      <c r="AD1134" s="53"/>
      <c r="AE1134" s="59"/>
    </row>
    <row r="1135" spans="1:31" customFormat="1" ht="15" x14ac:dyDescent="0.35">
      <c r="A1135" s="50"/>
      <c r="B1135" s="63"/>
      <c r="C1135" s="39"/>
      <c r="D1135" s="6"/>
      <c r="E1135" s="153"/>
      <c r="F1135" s="10"/>
      <c r="G1135" s="53"/>
      <c r="H1135" s="3"/>
      <c r="I1135" s="3"/>
      <c r="J1135" s="3"/>
      <c r="K1135" s="3"/>
      <c r="L1135" s="3"/>
      <c r="M1135" s="3"/>
      <c r="N1135" s="3"/>
      <c r="O1135" s="3"/>
      <c r="P1135" s="59"/>
      <c r="Q1135" s="21"/>
      <c r="R1135" s="21"/>
      <c r="S1135" s="3"/>
      <c r="T1135" s="3"/>
      <c r="U1135" s="3"/>
      <c r="V1135" s="3"/>
      <c r="W1135" s="3"/>
      <c r="X1135" s="3"/>
      <c r="Y1135" s="3"/>
      <c r="Z1135" s="53"/>
      <c r="AA1135" s="3"/>
      <c r="AB1135" s="59"/>
      <c r="AC1135" s="3"/>
      <c r="AD1135" s="53"/>
      <c r="AE1135" s="59"/>
    </row>
    <row r="1136" spans="1:31" customFormat="1" ht="15" x14ac:dyDescent="0.35">
      <c r="A1136" s="19"/>
      <c r="B1136" s="49"/>
      <c r="C1136" s="14"/>
      <c r="D1136" s="1"/>
      <c r="E1136" s="153"/>
      <c r="F1136" s="10"/>
      <c r="G1136" s="20"/>
      <c r="H1136" s="21"/>
      <c r="I1136" s="21"/>
      <c r="J1136" s="21"/>
      <c r="K1136" s="21"/>
      <c r="L1136" s="21"/>
      <c r="M1136" s="21"/>
      <c r="N1136" s="22"/>
      <c r="O1136" s="21"/>
      <c r="P1136" s="24"/>
      <c r="Q1136" s="21"/>
      <c r="R1136" s="21"/>
      <c r="S1136" s="21"/>
      <c r="T1136" s="21"/>
      <c r="U1136" s="21"/>
      <c r="V1136" s="22"/>
      <c r="W1136" s="21"/>
      <c r="X1136" s="22"/>
      <c r="Y1136" s="21"/>
      <c r="Z1136" s="20"/>
      <c r="AA1136" s="21"/>
      <c r="AB1136" s="25"/>
      <c r="AC1136" s="26"/>
      <c r="AD1136" s="27"/>
      <c r="AE1136" s="28"/>
    </row>
    <row r="1137" spans="1:31" customFormat="1" ht="15" x14ac:dyDescent="0.35">
      <c r="A1137" s="50"/>
      <c r="B1137" s="63"/>
      <c r="C1137" s="39"/>
      <c r="D1137" s="6"/>
      <c r="E1137" s="153"/>
      <c r="F1137" s="10"/>
      <c r="G1137" s="53"/>
      <c r="H1137" s="3"/>
      <c r="I1137" s="3"/>
      <c r="J1137" s="3"/>
      <c r="K1137" s="3"/>
      <c r="L1137" s="3"/>
      <c r="M1137" s="3"/>
      <c r="N1137" s="3"/>
      <c r="O1137" s="3"/>
      <c r="P1137" s="59"/>
      <c r="Q1137" s="21"/>
      <c r="R1137" s="21"/>
      <c r="S1137" s="3"/>
      <c r="T1137" s="3"/>
      <c r="U1137" s="3"/>
      <c r="V1137" s="3"/>
      <c r="W1137" s="3"/>
      <c r="X1137" s="3"/>
      <c r="Y1137" s="3"/>
      <c r="Z1137" s="53"/>
      <c r="AA1137" s="3"/>
      <c r="AB1137" s="59"/>
      <c r="AC1137" s="3"/>
      <c r="AD1137" s="53"/>
      <c r="AE1137" s="59"/>
    </row>
    <row r="1138" spans="1:31" customFormat="1" ht="15" x14ac:dyDescent="0.35">
      <c r="A1138" s="50"/>
      <c r="B1138" s="63"/>
      <c r="C1138" s="39"/>
      <c r="D1138" s="6"/>
      <c r="E1138" s="153"/>
      <c r="F1138" s="10"/>
      <c r="G1138" s="53"/>
      <c r="H1138" s="3"/>
      <c r="I1138" s="3"/>
      <c r="J1138" s="3"/>
      <c r="K1138" s="3"/>
      <c r="L1138" s="3"/>
      <c r="M1138" s="3"/>
      <c r="N1138" s="3"/>
      <c r="O1138" s="3"/>
      <c r="P1138" s="59"/>
      <c r="Q1138" s="21"/>
      <c r="R1138" s="21"/>
      <c r="S1138" s="3"/>
      <c r="T1138" s="3"/>
      <c r="U1138" s="3"/>
      <c r="V1138" s="3"/>
      <c r="W1138" s="3"/>
      <c r="X1138" s="3"/>
      <c r="Y1138" s="3"/>
      <c r="Z1138" s="53"/>
      <c r="AA1138" s="3"/>
      <c r="AB1138" s="59"/>
      <c r="AC1138" s="3"/>
      <c r="AD1138" s="53"/>
      <c r="AE1138" s="59"/>
    </row>
    <row r="1139" spans="1:31" customFormat="1" ht="15" x14ac:dyDescent="0.35">
      <c r="A1139" s="50"/>
      <c r="B1139" s="63"/>
      <c r="C1139" s="39"/>
      <c r="D1139" s="6"/>
      <c r="E1139" s="153"/>
      <c r="F1139" s="10"/>
      <c r="G1139" s="54"/>
      <c r="H1139" s="3"/>
      <c r="I1139" s="2"/>
      <c r="J1139" s="2"/>
      <c r="K1139" s="3"/>
      <c r="L1139" s="3"/>
      <c r="M1139" s="3"/>
      <c r="N1139" s="3"/>
      <c r="O1139" s="3"/>
      <c r="P1139" s="59"/>
      <c r="Q1139" s="3"/>
      <c r="R1139" s="3"/>
      <c r="S1139" s="3"/>
      <c r="T1139" s="3"/>
      <c r="U1139" s="3"/>
      <c r="V1139" s="3"/>
      <c r="W1139" s="3"/>
      <c r="X1139" s="3"/>
      <c r="Y1139" s="3"/>
      <c r="Z1139" s="53"/>
      <c r="AA1139" s="3"/>
      <c r="AB1139" s="59"/>
      <c r="AC1139" s="3"/>
      <c r="AD1139" s="53"/>
      <c r="AE1139" s="59"/>
    </row>
    <row r="1140" spans="1:31" customFormat="1" ht="15" x14ac:dyDescent="0.35">
      <c r="A1140" s="50"/>
      <c r="B1140" s="63"/>
      <c r="C1140" s="39"/>
      <c r="D1140" s="6"/>
      <c r="E1140" s="153"/>
      <c r="F1140" s="10"/>
      <c r="G1140" s="54"/>
      <c r="H1140" s="3"/>
      <c r="I1140" s="2"/>
      <c r="J1140" s="2"/>
      <c r="K1140" s="3"/>
      <c r="L1140" s="3"/>
      <c r="M1140" s="3"/>
      <c r="N1140" s="3"/>
      <c r="O1140" s="3"/>
      <c r="P1140" s="59"/>
      <c r="Q1140" s="3"/>
      <c r="R1140" s="3"/>
      <c r="S1140" s="3"/>
      <c r="T1140" s="3"/>
      <c r="U1140" s="3"/>
      <c r="V1140" s="3"/>
      <c r="W1140" s="3"/>
      <c r="X1140" s="3"/>
      <c r="Y1140" s="3"/>
      <c r="Z1140" s="53"/>
      <c r="AA1140" s="3"/>
      <c r="AB1140" s="59"/>
      <c r="AC1140" s="3"/>
      <c r="AD1140" s="53"/>
      <c r="AE1140" s="59"/>
    </row>
    <row r="1141" spans="1:31" customFormat="1" ht="15" x14ac:dyDescent="0.35">
      <c r="A1141" s="50"/>
      <c r="B1141" s="63"/>
      <c r="C1141" s="39"/>
      <c r="D1141" s="6"/>
      <c r="E1141" s="153"/>
      <c r="F1141" s="10"/>
      <c r="G1141" s="54"/>
      <c r="H1141" s="3"/>
      <c r="I1141" s="2"/>
      <c r="J1141" s="2"/>
      <c r="K1141" s="3"/>
      <c r="L1141" s="3"/>
      <c r="M1141" s="3"/>
      <c r="N1141" s="3"/>
      <c r="O1141" s="3"/>
      <c r="P1141" s="59"/>
      <c r="Q1141" s="3"/>
      <c r="R1141" s="3"/>
      <c r="S1141" s="3"/>
      <c r="T1141" s="3"/>
      <c r="U1141" s="3"/>
      <c r="V1141" s="3"/>
      <c r="W1141" s="3"/>
      <c r="X1141" s="3"/>
      <c r="Y1141" s="3"/>
      <c r="Z1141" s="53"/>
      <c r="AA1141" s="3"/>
      <c r="AB1141" s="59"/>
      <c r="AC1141" s="3"/>
      <c r="AD1141" s="53"/>
      <c r="AE1141" s="59"/>
    </row>
    <row r="1142" spans="1:31" customFormat="1" ht="15" x14ac:dyDescent="0.35">
      <c r="A1142" s="50"/>
      <c r="B1142" s="63"/>
      <c r="C1142" s="39"/>
      <c r="D1142" s="6"/>
      <c r="E1142" s="153"/>
      <c r="F1142" s="10"/>
      <c r="G1142" s="54"/>
      <c r="H1142" s="3"/>
      <c r="I1142" s="2"/>
      <c r="J1142" s="2"/>
      <c r="K1142" s="3"/>
      <c r="L1142" s="3"/>
      <c r="M1142" s="3"/>
      <c r="N1142" s="3"/>
      <c r="O1142" s="3"/>
      <c r="P1142" s="59"/>
      <c r="Q1142" s="3"/>
      <c r="R1142" s="3"/>
      <c r="S1142" s="3"/>
      <c r="T1142" s="3"/>
      <c r="U1142" s="3"/>
      <c r="V1142" s="3"/>
      <c r="W1142" s="3"/>
      <c r="X1142" s="3"/>
      <c r="Y1142" s="3"/>
      <c r="Z1142" s="53"/>
      <c r="AA1142" s="3"/>
      <c r="AB1142" s="59"/>
      <c r="AC1142" s="3"/>
      <c r="AD1142" s="53"/>
      <c r="AE1142" s="59"/>
    </row>
    <row r="1143" spans="1:31" customFormat="1" ht="15" x14ac:dyDescent="0.35">
      <c r="A1143" s="19"/>
      <c r="B1143" s="49"/>
      <c r="C1143" s="14"/>
      <c r="D1143" s="1"/>
      <c r="E1143" s="153"/>
      <c r="F1143" s="10"/>
      <c r="G1143" s="20"/>
      <c r="H1143" s="21"/>
      <c r="I1143" s="21"/>
      <c r="J1143" s="21"/>
      <c r="K1143" s="21"/>
      <c r="L1143" s="21"/>
      <c r="M1143" s="21"/>
      <c r="N1143" s="22"/>
      <c r="O1143" s="21"/>
      <c r="P1143" s="24"/>
      <c r="Q1143" s="21"/>
      <c r="R1143" s="21"/>
      <c r="S1143" s="21"/>
      <c r="T1143" s="21"/>
      <c r="U1143" s="21"/>
      <c r="V1143" s="22"/>
      <c r="W1143" s="21"/>
      <c r="X1143" s="22"/>
      <c r="Y1143" s="21"/>
      <c r="Z1143" s="20"/>
      <c r="AA1143" s="21"/>
      <c r="AB1143" s="25"/>
      <c r="AC1143" s="26"/>
      <c r="AD1143" s="27"/>
      <c r="AE1143" s="28"/>
    </row>
    <row r="1144" spans="1:31" customFormat="1" ht="15" x14ac:dyDescent="0.35">
      <c r="A1144" s="19"/>
      <c r="B1144" s="49"/>
      <c r="C1144" s="39"/>
      <c r="D1144" s="1"/>
      <c r="E1144" s="153"/>
      <c r="F1144" s="10"/>
      <c r="G1144" s="20"/>
      <c r="H1144" s="21"/>
      <c r="I1144" s="21"/>
      <c r="J1144" s="21"/>
      <c r="K1144" s="21"/>
      <c r="L1144" s="21"/>
      <c r="M1144" s="21"/>
      <c r="N1144" s="22"/>
      <c r="O1144" s="21"/>
      <c r="P1144" s="24"/>
      <c r="Q1144" s="21"/>
      <c r="R1144" s="21"/>
      <c r="S1144" s="21"/>
      <c r="T1144" s="21"/>
      <c r="U1144" s="21"/>
      <c r="V1144" s="22"/>
      <c r="W1144" s="21"/>
      <c r="X1144" s="22"/>
      <c r="Y1144" s="21"/>
      <c r="Z1144" s="20"/>
      <c r="AA1144" s="21"/>
      <c r="AB1144" s="25"/>
      <c r="AC1144" s="26"/>
      <c r="AD1144" s="27"/>
      <c r="AE1144" s="28"/>
    </row>
    <row r="1145" spans="1:31" customFormat="1" ht="15" x14ac:dyDescent="0.35">
      <c r="A1145" s="50"/>
      <c r="B1145" s="63"/>
      <c r="C1145" s="39"/>
      <c r="D1145" s="6"/>
      <c r="E1145" s="153"/>
      <c r="F1145" s="10"/>
      <c r="G1145" s="54"/>
      <c r="H1145" s="3"/>
      <c r="I1145" s="2"/>
      <c r="J1145" s="2"/>
      <c r="K1145" s="3"/>
      <c r="L1145" s="3"/>
      <c r="M1145" s="3"/>
      <c r="N1145" s="3"/>
      <c r="O1145" s="3"/>
      <c r="P1145" s="59"/>
      <c r="Q1145" s="3"/>
      <c r="R1145" s="3"/>
      <c r="S1145" s="3"/>
      <c r="T1145" s="3"/>
      <c r="U1145" s="3"/>
      <c r="V1145" s="3"/>
      <c r="W1145" s="3"/>
      <c r="X1145" s="3"/>
      <c r="Y1145" s="3"/>
      <c r="Z1145" s="53"/>
      <c r="AA1145" s="3"/>
      <c r="AB1145" s="59"/>
      <c r="AC1145" s="3"/>
      <c r="AD1145" s="53"/>
      <c r="AE1145" s="59"/>
    </row>
    <row r="1146" spans="1:31" customFormat="1" ht="15" x14ac:dyDescent="0.35">
      <c r="A1146" s="19"/>
      <c r="B1146" s="49"/>
      <c r="C1146" s="14"/>
      <c r="D1146" s="1"/>
      <c r="E1146" s="153"/>
      <c r="F1146" s="10"/>
      <c r="G1146" s="20"/>
      <c r="H1146" s="21"/>
      <c r="I1146" s="21"/>
      <c r="J1146" s="21"/>
      <c r="K1146" s="21"/>
      <c r="L1146" s="21"/>
      <c r="M1146" s="21"/>
      <c r="N1146" s="22"/>
      <c r="O1146" s="21"/>
      <c r="P1146" s="24"/>
      <c r="Q1146" s="21"/>
      <c r="R1146" s="21"/>
      <c r="S1146" s="21"/>
      <c r="T1146" s="21"/>
      <c r="U1146" s="21"/>
      <c r="V1146" s="22"/>
      <c r="W1146" s="21"/>
      <c r="X1146" s="22"/>
      <c r="Y1146" s="21"/>
      <c r="Z1146" s="20"/>
      <c r="AA1146" s="21"/>
      <c r="AB1146" s="25"/>
      <c r="AC1146" s="26"/>
      <c r="AD1146" s="27"/>
      <c r="AE1146" s="28"/>
    </row>
    <row r="1147" spans="1:31" customFormat="1" ht="15" x14ac:dyDescent="0.35">
      <c r="A1147" s="50"/>
      <c r="B1147" s="63"/>
      <c r="C1147" s="39"/>
      <c r="D1147" s="6"/>
      <c r="E1147" s="153"/>
      <c r="F1147" s="10"/>
      <c r="G1147" s="53"/>
      <c r="H1147" s="3"/>
      <c r="I1147" s="3"/>
      <c r="J1147" s="3"/>
      <c r="K1147" s="3"/>
      <c r="L1147" s="3"/>
      <c r="M1147" s="3"/>
      <c r="N1147" s="3"/>
      <c r="O1147" s="3"/>
      <c r="P1147" s="59"/>
      <c r="Q1147" s="21"/>
      <c r="R1147" s="21"/>
      <c r="S1147" s="3"/>
      <c r="T1147" s="3"/>
      <c r="U1147" s="3"/>
      <c r="V1147" s="3"/>
      <c r="W1147" s="3"/>
      <c r="X1147" s="3"/>
      <c r="Y1147" s="3"/>
      <c r="Z1147" s="53"/>
      <c r="AA1147" s="3"/>
      <c r="AB1147" s="59"/>
      <c r="AC1147" s="3"/>
      <c r="AD1147" s="53"/>
      <c r="AE1147" s="59"/>
    </row>
    <row r="1148" spans="1:31" customFormat="1" ht="15" x14ac:dyDescent="0.35">
      <c r="A1148" s="50"/>
      <c r="B1148" s="63"/>
      <c r="C1148" s="39"/>
      <c r="D1148" s="6"/>
      <c r="E1148" s="153"/>
      <c r="F1148" s="10"/>
      <c r="G1148" s="54"/>
      <c r="H1148" s="3"/>
      <c r="I1148" s="2"/>
      <c r="J1148" s="2"/>
      <c r="K1148" s="3"/>
      <c r="L1148" s="3"/>
      <c r="M1148" s="3"/>
      <c r="N1148" s="3"/>
      <c r="O1148" s="3"/>
      <c r="P1148" s="59"/>
      <c r="Q1148" s="3"/>
      <c r="R1148" s="3"/>
      <c r="S1148" s="3"/>
      <c r="T1148" s="3"/>
      <c r="U1148" s="3"/>
      <c r="V1148" s="3"/>
      <c r="W1148" s="3"/>
      <c r="X1148" s="3"/>
      <c r="Y1148" s="3"/>
      <c r="Z1148" s="53"/>
      <c r="AA1148" s="3"/>
      <c r="AB1148" s="59"/>
      <c r="AC1148" s="3"/>
      <c r="AD1148" s="53"/>
      <c r="AE1148" s="59"/>
    </row>
    <row r="1149" spans="1:31" customFormat="1" ht="15" x14ac:dyDescent="0.35">
      <c r="A1149" s="50"/>
      <c r="B1149" s="63"/>
      <c r="C1149" s="39"/>
      <c r="D1149" s="6"/>
      <c r="E1149" s="153"/>
      <c r="F1149" s="10"/>
      <c r="G1149" s="54"/>
      <c r="H1149" s="3"/>
      <c r="I1149" s="2"/>
      <c r="J1149" s="2"/>
      <c r="K1149" s="3"/>
      <c r="L1149" s="3"/>
      <c r="M1149" s="3"/>
      <c r="N1149" s="3"/>
      <c r="O1149" s="3"/>
      <c r="P1149" s="59"/>
      <c r="Q1149" s="3"/>
      <c r="R1149" s="3"/>
      <c r="S1149" s="3"/>
      <c r="T1149" s="3"/>
      <c r="U1149" s="3"/>
      <c r="V1149" s="12"/>
      <c r="W1149" s="3"/>
      <c r="X1149" s="3"/>
      <c r="Y1149" s="3"/>
      <c r="Z1149" s="53"/>
      <c r="AA1149" s="3"/>
      <c r="AB1149" s="59"/>
      <c r="AC1149" s="3"/>
      <c r="AD1149" s="53"/>
      <c r="AE1149" s="59"/>
    </row>
    <row r="1150" spans="1:31" customFormat="1" ht="15" x14ac:dyDescent="0.35">
      <c r="A1150" s="50"/>
      <c r="B1150" s="63"/>
      <c r="C1150" s="39"/>
      <c r="D1150" s="6"/>
      <c r="E1150" s="153"/>
      <c r="F1150" s="10"/>
      <c r="G1150" s="54"/>
      <c r="H1150" s="3"/>
      <c r="I1150" s="2"/>
      <c r="J1150" s="2"/>
      <c r="K1150" s="3"/>
      <c r="L1150" s="3"/>
      <c r="M1150" s="3"/>
      <c r="N1150" s="3"/>
      <c r="O1150" s="3"/>
      <c r="P1150" s="59"/>
      <c r="Q1150" s="3"/>
      <c r="R1150" s="3"/>
      <c r="S1150" s="3"/>
      <c r="T1150" s="3"/>
      <c r="U1150" s="3"/>
      <c r="V1150" s="3"/>
      <c r="W1150" s="3"/>
      <c r="X1150" s="3"/>
      <c r="Y1150" s="3"/>
      <c r="Z1150" s="53"/>
      <c r="AA1150" s="3"/>
      <c r="AB1150" s="59"/>
      <c r="AC1150" s="3"/>
      <c r="AD1150" s="53"/>
      <c r="AE1150" s="59"/>
    </row>
    <row r="1151" spans="1:31" customFormat="1" ht="15" x14ac:dyDescent="0.35">
      <c r="A1151" s="50"/>
      <c r="B1151" s="63"/>
      <c r="C1151" s="39"/>
      <c r="D1151" s="6"/>
      <c r="E1151" s="153"/>
      <c r="F1151" s="10"/>
      <c r="G1151" s="53"/>
      <c r="H1151" s="3"/>
      <c r="I1151" s="3"/>
      <c r="J1151" s="3"/>
      <c r="K1151" s="3"/>
      <c r="L1151" s="3"/>
      <c r="M1151" s="3"/>
      <c r="N1151" s="3"/>
      <c r="O1151" s="3"/>
      <c r="P1151" s="59"/>
      <c r="Q1151" s="3"/>
      <c r="R1151" s="3"/>
      <c r="S1151" s="3"/>
      <c r="T1151" s="3"/>
      <c r="U1151" s="3"/>
      <c r="V1151" s="3"/>
      <c r="W1151" s="3"/>
      <c r="X1151" s="3"/>
      <c r="Y1151" s="3"/>
      <c r="Z1151" s="53"/>
      <c r="AA1151" s="3"/>
      <c r="AB1151" s="59"/>
      <c r="AC1151" s="3"/>
      <c r="AD1151" s="53"/>
      <c r="AE1151" s="59"/>
    </row>
    <row r="1152" spans="1:31" customFormat="1" ht="15" x14ac:dyDescent="0.35">
      <c r="A1152" s="50"/>
      <c r="B1152" s="63"/>
      <c r="C1152" s="39"/>
      <c r="D1152" s="6"/>
      <c r="E1152" s="153"/>
      <c r="F1152" s="10"/>
      <c r="G1152" s="54"/>
      <c r="H1152" s="3"/>
      <c r="I1152" s="2"/>
      <c r="J1152" s="2"/>
      <c r="K1152" s="3"/>
      <c r="L1152" s="3"/>
      <c r="M1152" s="3"/>
      <c r="N1152" s="3"/>
      <c r="O1152" s="3"/>
      <c r="P1152" s="59"/>
      <c r="Q1152" s="3"/>
      <c r="R1152" s="3"/>
      <c r="S1152" s="3"/>
      <c r="T1152" s="3"/>
      <c r="U1152" s="3"/>
      <c r="V1152" s="3"/>
      <c r="W1152" s="3"/>
      <c r="X1152" s="3"/>
      <c r="Y1152" s="3"/>
      <c r="Z1152" s="53"/>
      <c r="AA1152" s="3"/>
      <c r="AB1152" s="59"/>
      <c r="AC1152" s="3"/>
      <c r="AD1152" s="53"/>
      <c r="AE1152" s="59"/>
    </row>
    <row r="1153" spans="1:31" customFormat="1" ht="15" x14ac:dyDescent="0.35">
      <c r="A1153" s="50"/>
      <c r="B1153" s="63"/>
      <c r="C1153" s="39"/>
      <c r="D1153" s="6"/>
      <c r="E1153" s="153"/>
      <c r="F1153" s="10"/>
      <c r="G1153" s="54"/>
      <c r="H1153" s="3"/>
      <c r="I1153" s="2"/>
      <c r="J1153" s="2"/>
      <c r="K1153" s="3"/>
      <c r="L1153" s="3"/>
      <c r="M1153" s="3"/>
      <c r="N1153" s="3"/>
      <c r="O1153" s="3"/>
      <c r="P1153" s="59"/>
      <c r="Q1153" s="3"/>
      <c r="R1153" s="3"/>
      <c r="S1153" s="3"/>
      <c r="T1153" s="3"/>
      <c r="U1153" s="3"/>
      <c r="V1153" s="3"/>
      <c r="W1153" s="3"/>
      <c r="X1153" s="3"/>
      <c r="Y1153" s="3"/>
      <c r="Z1153" s="53"/>
      <c r="AA1153" s="3"/>
      <c r="AB1153" s="59"/>
      <c r="AC1153" s="3"/>
      <c r="AD1153" s="53"/>
      <c r="AE1153" s="59"/>
    </row>
    <row r="1154" spans="1:31" customFormat="1" ht="15" x14ac:dyDescent="0.35">
      <c r="A1154" s="19"/>
      <c r="B1154" s="49"/>
      <c r="C1154" s="14"/>
      <c r="D1154" s="1"/>
      <c r="E1154" s="153"/>
      <c r="F1154" s="10"/>
      <c r="G1154" s="20"/>
      <c r="H1154" s="21"/>
      <c r="I1154" s="21"/>
      <c r="J1154" s="21"/>
      <c r="K1154" s="21"/>
      <c r="L1154" s="21"/>
      <c r="M1154" s="21"/>
      <c r="N1154" s="22"/>
      <c r="O1154" s="21"/>
      <c r="P1154" s="24"/>
      <c r="Q1154" s="21"/>
      <c r="R1154" s="21"/>
      <c r="S1154" s="21"/>
      <c r="T1154" s="21"/>
      <c r="U1154" s="21"/>
      <c r="V1154" s="22"/>
      <c r="W1154" s="21"/>
      <c r="X1154" s="22"/>
      <c r="Y1154" s="21"/>
      <c r="Z1154" s="20"/>
      <c r="AA1154" s="21"/>
      <c r="AB1154" s="25"/>
      <c r="AC1154" s="26"/>
      <c r="AD1154" s="27"/>
      <c r="AE1154" s="28"/>
    </row>
    <row r="1155" spans="1:31" customFormat="1" ht="15" x14ac:dyDescent="0.35">
      <c r="A1155" s="50"/>
      <c r="B1155" s="63"/>
      <c r="C1155" s="39"/>
      <c r="D1155" s="6"/>
      <c r="E1155" s="153"/>
      <c r="F1155" s="10"/>
      <c r="G1155" s="53"/>
      <c r="H1155" s="3"/>
      <c r="I1155" s="3"/>
      <c r="J1155" s="3"/>
      <c r="K1155" s="3"/>
      <c r="L1155" s="3"/>
      <c r="M1155" s="3"/>
      <c r="N1155" s="3"/>
      <c r="O1155" s="3"/>
      <c r="P1155" s="59"/>
      <c r="Q1155" s="21"/>
      <c r="R1155" s="21"/>
      <c r="S1155" s="3"/>
      <c r="T1155" s="3"/>
      <c r="U1155" s="3"/>
      <c r="V1155" s="3"/>
      <c r="W1155" s="3"/>
      <c r="X1155" s="3"/>
      <c r="Y1155" s="3"/>
      <c r="Z1155" s="53"/>
      <c r="AA1155" s="3"/>
      <c r="AB1155" s="59"/>
      <c r="AC1155" s="3"/>
      <c r="AD1155" s="53"/>
      <c r="AE1155" s="59"/>
    </row>
    <row r="1156" spans="1:31" customFormat="1" ht="15" x14ac:dyDescent="0.35">
      <c r="A1156" s="50"/>
      <c r="B1156" s="63"/>
      <c r="C1156" s="39"/>
      <c r="D1156" s="6"/>
      <c r="E1156" s="153"/>
      <c r="F1156" s="10"/>
      <c r="G1156" s="54"/>
      <c r="H1156" s="3"/>
      <c r="I1156" s="2"/>
      <c r="J1156" s="2"/>
      <c r="K1156" s="3"/>
      <c r="L1156" s="3"/>
      <c r="M1156" s="3"/>
      <c r="N1156" s="3"/>
      <c r="O1156" s="3"/>
      <c r="P1156" s="59"/>
      <c r="Q1156" s="3"/>
      <c r="R1156" s="3"/>
      <c r="S1156" s="3"/>
      <c r="T1156" s="3"/>
      <c r="U1156" s="3"/>
      <c r="V1156" s="3"/>
      <c r="W1156" s="3"/>
      <c r="X1156" s="3"/>
      <c r="Y1156" s="3"/>
      <c r="Z1156" s="53"/>
      <c r="AA1156" s="3"/>
      <c r="AB1156" s="59"/>
      <c r="AC1156" s="3"/>
      <c r="AD1156" s="53"/>
      <c r="AE1156" s="59"/>
    </row>
    <row r="1157" spans="1:31" customFormat="1" ht="15" x14ac:dyDescent="0.35">
      <c r="A1157" s="19"/>
      <c r="B1157" s="49"/>
      <c r="C1157" s="39"/>
      <c r="D1157" s="1"/>
      <c r="E1157" s="153"/>
      <c r="F1157" s="10"/>
      <c r="G1157" s="20"/>
      <c r="H1157" s="21"/>
      <c r="I1157" s="21"/>
      <c r="J1157" s="21"/>
      <c r="K1157" s="21"/>
      <c r="L1157" s="21"/>
      <c r="M1157" s="21"/>
      <c r="N1157" s="22"/>
      <c r="O1157" s="21"/>
      <c r="P1157" s="24"/>
      <c r="Q1157" s="21"/>
      <c r="R1157" s="21"/>
      <c r="S1157" s="21"/>
      <c r="T1157" s="21"/>
      <c r="U1157" s="21"/>
      <c r="V1157" s="22"/>
      <c r="W1157" s="21"/>
      <c r="X1157" s="22"/>
      <c r="Y1157" s="21"/>
      <c r="Z1157" s="20"/>
      <c r="AA1157" s="21"/>
      <c r="AB1157" s="25"/>
      <c r="AC1157" s="26"/>
      <c r="AD1157" s="27"/>
      <c r="AE1157" s="28"/>
    </row>
    <row r="1158" spans="1:31" customFormat="1" ht="15" x14ac:dyDescent="0.35">
      <c r="A1158" s="50"/>
      <c r="B1158" s="63"/>
      <c r="C1158" s="39"/>
      <c r="D1158" s="6"/>
      <c r="E1158" s="153"/>
      <c r="F1158" s="10"/>
      <c r="G1158" s="53"/>
      <c r="H1158" s="3"/>
      <c r="I1158" s="3"/>
      <c r="J1158" s="3"/>
      <c r="K1158" s="3"/>
      <c r="L1158" s="3"/>
      <c r="M1158" s="3"/>
      <c r="N1158" s="3"/>
      <c r="O1158" s="3"/>
      <c r="P1158" s="59"/>
      <c r="Q1158" s="21"/>
      <c r="R1158" s="21"/>
      <c r="S1158" s="3"/>
      <c r="T1158" s="3"/>
      <c r="U1158" s="3"/>
      <c r="V1158" s="3"/>
      <c r="W1158" s="3"/>
      <c r="X1158" s="3"/>
      <c r="Y1158" s="3"/>
      <c r="Z1158" s="53"/>
      <c r="AA1158" s="3"/>
      <c r="AB1158" s="59"/>
      <c r="AC1158" s="3"/>
      <c r="AD1158" s="53"/>
      <c r="AE1158" s="59"/>
    </row>
    <row r="1159" spans="1:31" customFormat="1" ht="15" x14ac:dyDescent="0.35">
      <c r="A1159" s="50"/>
      <c r="B1159" s="63"/>
      <c r="C1159" s="39"/>
      <c r="D1159" s="6"/>
      <c r="E1159" s="153"/>
      <c r="F1159" s="10"/>
      <c r="G1159" s="53"/>
      <c r="H1159" s="3"/>
      <c r="I1159" s="3"/>
      <c r="J1159" s="3"/>
      <c r="K1159" s="3"/>
      <c r="L1159" s="3"/>
      <c r="M1159" s="3"/>
      <c r="N1159" s="3"/>
      <c r="O1159" s="3"/>
      <c r="P1159" s="59"/>
      <c r="Q1159" s="21"/>
      <c r="R1159" s="21"/>
      <c r="S1159" s="3"/>
      <c r="T1159" s="3"/>
      <c r="U1159" s="3"/>
      <c r="V1159" s="3"/>
      <c r="W1159" s="3"/>
      <c r="X1159" s="3"/>
      <c r="Y1159" s="3"/>
      <c r="Z1159" s="53"/>
      <c r="AA1159" s="3"/>
      <c r="AB1159" s="59"/>
      <c r="AC1159" s="3"/>
      <c r="AD1159" s="53"/>
      <c r="AE1159" s="59"/>
    </row>
    <row r="1160" spans="1:31" customFormat="1" ht="15" x14ac:dyDescent="0.35">
      <c r="A1160" s="50"/>
      <c r="B1160" s="63"/>
      <c r="C1160" s="39"/>
      <c r="D1160" s="6"/>
      <c r="E1160" s="153"/>
      <c r="F1160" s="10"/>
      <c r="G1160" s="53"/>
      <c r="H1160" s="3"/>
      <c r="I1160" s="3"/>
      <c r="J1160" s="3"/>
      <c r="K1160" s="3"/>
      <c r="L1160" s="3"/>
      <c r="M1160" s="3"/>
      <c r="N1160" s="3"/>
      <c r="O1160" s="3"/>
      <c r="P1160" s="59"/>
      <c r="Q1160" s="21"/>
      <c r="R1160" s="21"/>
      <c r="S1160" s="3"/>
      <c r="T1160" s="3"/>
      <c r="U1160" s="3"/>
      <c r="V1160" s="3"/>
      <c r="W1160" s="3"/>
      <c r="X1160" s="3"/>
      <c r="Y1160" s="3"/>
      <c r="Z1160" s="53"/>
      <c r="AA1160" s="3"/>
      <c r="AB1160" s="59"/>
      <c r="AC1160" s="3"/>
      <c r="AD1160" s="53"/>
      <c r="AE1160" s="59"/>
    </row>
    <row r="1161" spans="1:31" customFormat="1" ht="15" x14ac:dyDescent="0.35">
      <c r="A1161" s="50"/>
      <c r="B1161" s="63"/>
      <c r="C1161" s="39"/>
      <c r="D1161" s="6"/>
      <c r="E1161" s="153"/>
      <c r="F1161" s="10"/>
      <c r="G1161" s="53"/>
      <c r="H1161" s="3"/>
      <c r="I1161" s="3"/>
      <c r="J1161" s="3"/>
      <c r="K1161" s="3"/>
      <c r="L1161" s="3"/>
      <c r="M1161" s="3"/>
      <c r="N1161" s="3"/>
      <c r="O1161" s="3"/>
      <c r="P1161" s="59"/>
      <c r="Q1161" s="3"/>
      <c r="R1161" s="3"/>
      <c r="S1161" s="3"/>
      <c r="T1161" s="3"/>
      <c r="U1161" s="3"/>
      <c r="V1161" s="3"/>
      <c r="W1161" s="3"/>
      <c r="X1161" s="3"/>
      <c r="Y1161" s="3"/>
      <c r="Z1161" s="53"/>
      <c r="AA1161" s="3"/>
      <c r="AB1161" s="59"/>
      <c r="AC1161" s="3"/>
      <c r="AD1161" s="53"/>
      <c r="AE1161" s="59"/>
    </row>
    <row r="1162" spans="1:31" customFormat="1" ht="15" x14ac:dyDescent="0.35">
      <c r="A1162" s="50"/>
      <c r="B1162" s="63"/>
      <c r="C1162" s="39"/>
      <c r="D1162" s="6"/>
      <c r="E1162" s="153"/>
      <c r="F1162" s="10"/>
      <c r="G1162" s="53"/>
      <c r="H1162" s="3"/>
      <c r="I1162" s="3"/>
      <c r="J1162" s="3"/>
      <c r="K1162" s="3"/>
      <c r="L1162" s="3"/>
      <c r="M1162" s="3"/>
      <c r="N1162" s="3"/>
      <c r="O1162" s="3"/>
      <c r="P1162" s="59"/>
      <c r="Q1162" s="21"/>
      <c r="R1162" s="21"/>
      <c r="S1162" s="3"/>
      <c r="T1162" s="3"/>
      <c r="U1162" s="3"/>
      <c r="V1162" s="3"/>
      <c r="W1162" s="3"/>
      <c r="X1162" s="3"/>
      <c r="Y1162" s="3"/>
      <c r="Z1162" s="53"/>
      <c r="AA1162" s="3"/>
      <c r="AB1162" s="59"/>
      <c r="AC1162" s="3"/>
      <c r="AD1162" s="53"/>
      <c r="AE1162" s="59"/>
    </row>
    <row r="1163" spans="1:31" customFormat="1" ht="15" x14ac:dyDescent="0.35">
      <c r="A1163" s="19"/>
      <c r="B1163" s="49"/>
      <c r="C1163" s="14"/>
      <c r="D1163" s="1"/>
      <c r="E1163" s="153"/>
      <c r="F1163" s="10"/>
      <c r="G1163" s="20"/>
      <c r="H1163" s="21"/>
      <c r="I1163" s="21"/>
      <c r="J1163" s="21"/>
      <c r="K1163" s="21"/>
      <c r="L1163" s="21"/>
      <c r="M1163" s="21"/>
      <c r="N1163" s="22"/>
      <c r="O1163" s="21"/>
      <c r="P1163" s="24"/>
      <c r="Q1163" s="21"/>
      <c r="R1163" s="21"/>
      <c r="S1163" s="21"/>
      <c r="T1163" s="21"/>
      <c r="U1163" s="21"/>
      <c r="V1163" s="22"/>
      <c r="W1163" s="21"/>
      <c r="X1163" s="22"/>
      <c r="Y1163" s="21"/>
      <c r="Z1163" s="20"/>
      <c r="AA1163" s="21"/>
      <c r="AB1163" s="25"/>
      <c r="AC1163" s="26"/>
      <c r="AD1163" s="27"/>
      <c r="AE1163" s="28"/>
    </row>
    <row r="1164" spans="1:31" customFormat="1" ht="15" x14ac:dyDescent="0.35">
      <c r="A1164" s="50"/>
      <c r="B1164" s="63"/>
      <c r="C1164" s="39"/>
      <c r="D1164" s="6"/>
      <c r="E1164" s="153"/>
      <c r="F1164" s="10"/>
      <c r="G1164" s="53"/>
      <c r="H1164" s="3"/>
      <c r="I1164" s="3"/>
      <c r="J1164" s="3"/>
      <c r="K1164" s="3"/>
      <c r="L1164" s="3"/>
      <c r="M1164" s="3"/>
      <c r="N1164" s="3"/>
      <c r="O1164" s="3"/>
      <c r="P1164" s="59"/>
      <c r="Q1164" s="21"/>
      <c r="R1164" s="21"/>
      <c r="S1164" s="3"/>
      <c r="T1164" s="3"/>
      <c r="U1164" s="3"/>
      <c r="V1164" s="3"/>
      <c r="W1164" s="3"/>
      <c r="X1164" s="3"/>
      <c r="Y1164" s="3"/>
      <c r="Z1164" s="53"/>
      <c r="AA1164" s="3"/>
      <c r="AB1164" s="59"/>
      <c r="AC1164" s="3"/>
      <c r="AD1164" s="53"/>
      <c r="AE1164" s="59"/>
    </row>
    <row r="1165" spans="1:31" customFormat="1" ht="15" x14ac:dyDescent="0.35">
      <c r="A1165" s="19"/>
      <c r="B1165" s="49"/>
      <c r="C1165" s="39"/>
      <c r="D1165" s="1"/>
      <c r="E1165" s="153"/>
      <c r="F1165" s="10"/>
      <c r="G1165" s="20"/>
      <c r="H1165" s="21"/>
      <c r="I1165" s="21"/>
      <c r="J1165" s="21"/>
      <c r="K1165" s="21"/>
      <c r="L1165" s="21"/>
      <c r="M1165" s="21"/>
      <c r="N1165" s="22"/>
      <c r="O1165" s="21"/>
      <c r="P1165" s="24"/>
      <c r="Q1165" s="21"/>
      <c r="R1165" s="21"/>
      <c r="S1165" s="21"/>
      <c r="T1165" s="21"/>
      <c r="U1165" s="21"/>
      <c r="V1165" s="22"/>
      <c r="W1165" s="21"/>
      <c r="X1165" s="22"/>
      <c r="Y1165" s="21"/>
      <c r="Z1165" s="20"/>
      <c r="AA1165" s="21"/>
      <c r="AB1165" s="25"/>
      <c r="AC1165" s="26"/>
      <c r="AD1165" s="27"/>
      <c r="AE1165" s="28"/>
    </row>
    <row r="1166" spans="1:31" customFormat="1" ht="15" x14ac:dyDescent="0.35">
      <c r="A1166" s="50"/>
      <c r="B1166" s="63"/>
      <c r="C1166" s="39"/>
      <c r="D1166" s="6"/>
      <c r="E1166" s="153"/>
      <c r="F1166" s="10"/>
      <c r="G1166" s="53"/>
      <c r="H1166" s="3"/>
      <c r="I1166" s="3"/>
      <c r="J1166" s="3"/>
      <c r="K1166" s="3"/>
      <c r="L1166" s="3"/>
      <c r="M1166" s="3"/>
      <c r="N1166" s="3"/>
      <c r="O1166" s="3"/>
      <c r="P1166" s="59"/>
      <c r="Q1166" s="21"/>
      <c r="R1166" s="21"/>
      <c r="S1166" s="3"/>
      <c r="T1166" s="3"/>
      <c r="U1166" s="3"/>
      <c r="V1166" s="3"/>
      <c r="W1166" s="3"/>
      <c r="X1166" s="3"/>
      <c r="Y1166" s="3"/>
      <c r="Z1166" s="53"/>
      <c r="AA1166" s="3"/>
      <c r="AB1166" s="59"/>
      <c r="AC1166" s="3"/>
      <c r="AD1166" s="53"/>
      <c r="AE1166" s="59"/>
    </row>
    <row r="1167" spans="1:31" customFormat="1" ht="15" x14ac:dyDescent="0.35">
      <c r="A1167" s="50"/>
      <c r="B1167" s="63"/>
      <c r="C1167" s="39"/>
      <c r="D1167" s="6"/>
      <c r="E1167" s="153"/>
      <c r="F1167" s="10"/>
      <c r="G1167" s="54"/>
      <c r="H1167" s="3"/>
      <c r="I1167" s="2"/>
      <c r="J1167" s="2"/>
      <c r="K1167" s="3"/>
      <c r="L1167" s="3"/>
      <c r="M1167" s="3"/>
      <c r="N1167" s="3"/>
      <c r="O1167" s="3"/>
      <c r="P1167" s="59"/>
      <c r="Q1167" s="3"/>
      <c r="R1167" s="3"/>
      <c r="S1167" s="3"/>
      <c r="T1167" s="3"/>
      <c r="U1167" s="3"/>
      <c r="V1167" s="3"/>
      <c r="W1167" s="3"/>
      <c r="X1167" s="3"/>
      <c r="Y1167" s="3"/>
      <c r="Z1167" s="53"/>
      <c r="AA1167" s="3"/>
      <c r="AB1167" s="59"/>
      <c r="AC1167" s="3"/>
      <c r="AD1167" s="53"/>
      <c r="AE1167" s="59"/>
    </row>
    <row r="1168" spans="1:31" customFormat="1" ht="15" x14ac:dyDescent="0.35">
      <c r="A1168" s="50"/>
      <c r="B1168" s="63"/>
      <c r="C1168" s="39"/>
      <c r="D1168" s="6"/>
      <c r="E1168" s="153"/>
      <c r="F1168" s="10"/>
      <c r="G1168" s="53"/>
      <c r="H1168" s="3"/>
      <c r="I1168" s="3"/>
      <c r="J1168" s="3"/>
      <c r="K1168" s="3"/>
      <c r="L1168" s="3"/>
      <c r="M1168" s="3"/>
      <c r="N1168" s="3"/>
      <c r="O1168" s="3"/>
      <c r="P1168" s="59"/>
      <c r="Q1168" s="21"/>
      <c r="R1168" s="21"/>
      <c r="S1168" s="3"/>
      <c r="T1168" s="3"/>
      <c r="U1168" s="3"/>
      <c r="V1168" s="3"/>
      <c r="W1168" s="3"/>
      <c r="X1168" s="3"/>
      <c r="Y1168" s="3"/>
      <c r="Z1168" s="53"/>
      <c r="AA1168" s="3"/>
      <c r="AB1168" s="59"/>
      <c r="AC1168" s="3"/>
      <c r="AD1168" s="53"/>
      <c r="AE1168" s="59"/>
    </row>
    <row r="1169" spans="1:31" customFormat="1" ht="15" x14ac:dyDescent="0.35">
      <c r="A1169" s="19"/>
      <c r="B1169" s="49"/>
      <c r="C1169" s="14"/>
      <c r="D1169" s="1"/>
      <c r="E1169" s="153"/>
      <c r="F1169" s="10"/>
      <c r="G1169" s="20"/>
      <c r="H1169" s="21"/>
      <c r="I1169" s="21"/>
      <c r="J1169" s="21"/>
      <c r="K1169" s="21"/>
      <c r="L1169" s="21"/>
      <c r="M1169" s="21"/>
      <c r="N1169" s="22"/>
      <c r="O1169" s="21"/>
      <c r="P1169" s="24"/>
      <c r="Q1169" s="21"/>
      <c r="R1169" s="21"/>
      <c r="S1169" s="21"/>
      <c r="T1169" s="21"/>
      <c r="U1169" s="21"/>
      <c r="V1169" s="22"/>
      <c r="W1169" s="21"/>
      <c r="X1169" s="22"/>
      <c r="Y1169" s="21"/>
      <c r="Z1169" s="20"/>
      <c r="AA1169" s="21"/>
      <c r="AB1169" s="25"/>
      <c r="AC1169" s="26"/>
      <c r="AD1169" s="27"/>
      <c r="AE1169" s="28"/>
    </row>
    <row r="1170" spans="1:31" customFormat="1" ht="15" x14ac:dyDescent="0.35">
      <c r="A1170" s="19"/>
      <c r="B1170" s="49"/>
      <c r="C1170" s="39"/>
      <c r="D1170" s="1"/>
      <c r="E1170" s="153"/>
      <c r="F1170" s="10"/>
      <c r="G1170" s="20"/>
      <c r="H1170" s="21"/>
      <c r="I1170" s="21"/>
      <c r="J1170" s="21"/>
      <c r="K1170" s="21"/>
      <c r="L1170" s="21"/>
      <c r="M1170" s="21"/>
      <c r="N1170" s="22"/>
      <c r="O1170" s="21"/>
      <c r="P1170" s="24"/>
      <c r="Q1170" s="21"/>
      <c r="R1170" s="21"/>
      <c r="S1170" s="21"/>
      <c r="T1170" s="21"/>
      <c r="U1170" s="21"/>
      <c r="V1170" s="22"/>
      <c r="W1170" s="21"/>
      <c r="X1170" s="22"/>
      <c r="Y1170" s="21"/>
      <c r="Z1170" s="20"/>
      <c r="AA1170" s="21"/>
      <c r="AB1170" s="25"/>
      <c r="AC1170" s="26"/>
      <c r="AD1170" s="27"/>
      <c r="AE1170" s="28"/>
    </row>
    <row r="1171" spans="1:31" customFormat="1" ht="15" x14ac:dyDescent="0.35">
      <c r="A1171" s="50"/>
      <c r="B1171" s="63"/>
      <c r="C1171" s="39"/>
      <c r="D1171" s="6"/>
      <c r="E1171" s="153"/>
      <c r="F1171" s="10"/>
      <c r="G1171" s="53"/>
      <c r="H1171" s="3"/>
      <c r="I1171" s="3"/>
      <c r="J1171" s="3"/>
      <c r="K1171" s="3"/>
      <c r="L1171" s="3"/>
      <c r="M1171" s="3"/>
      <c r="N1171" s="3"/>
      <c r="O1171" s="3"/>
      <c r="P1171" s="59"/>
      <c r="Q1171" s="21"/>
      <c r="R1171" s="21"/>
      <c r="S1171" s="3"/>
      <c r="T1171" s="3"/>
      <c r="U1171" s="3"/>
      <c r="V1171" s="3"/>
      <c r="W1171" s="3"/>
      <c r="X1171" s="3"/>
      <c r="Y1171" s="3"/>
      <c r="Z1171" s="53"/>
      <c r="AA1171" s="3"/>
      <c r="AB1171" s="59"/>
      <c r="AC1171" s="3"/>
      <c r="AD1171" s="53"/>
      <c r="AE1171" s="59"/>
    </row>
    <row r="1172" spans="1:31" customFormat="1" ht="15" x14ac:dyDescent="0.35">
      <c r="A1172" s="19"/>
      <c r="B1172" s="49"/>
      <c r="C1172" s="14"/>
      <c r="D1172" s="1"/>
      <c r="E1172" s="153"/>
      <c r="F1172" s="10"/>
      <c r="G1172" s="20"/>
      <c r="H1172" s="21"/>
      <c r="I1172" s="21"/>
      <c r="J1172" s="21"/>
      <c r="K1172" s="21"/>
      <c r="L1172" s="21"/>
      <c r="M1172" s="21"/>
      <c r="N1172" s="22"/>
      <c r="O1172" s="21"/>
      <c r="P1172" s="24"/>
      <c r="Q1172" s="21"/>
      <c r="R1172" s="21"/>
      <c r="S1172" s="21"/>
      <c r="T1172" s="21"/>
      <c r="U1172" s="21"/>
      <c r="V1172" s="22"/>
      <c r="W1172" s="21"/>
      <c r="X1172" s="22"/>
      <c r="Y1172" s="21"/>
      <c r="Z1172" s="20"/>
      <c r="AA1172" s="21"/>
      <c r="AB1172" s="25"/>
      <c r="AC1172" s="26"/>
      <c r="AD1172" s="27"/>
      <c r="AE1172" s="28"/>
    </row>
    <row r="1173" spans="1:31" customFormat="1" ht="15" x14ac:dyDescent="0.35">
      <c r="A1173" s="50"/>
      <c r="B1173" s="63"/>
      <c r="C1173" s="39"/>
      <c r="D1173" s="6"/>
      <c r="E1173" s="153"/>
      <c r="F1173" s="10"/>
      <c r="G1173" s="54"/>
      <c r="H1173" s="3"/>
      <c r="I1173" s="2"/>
      <c r="J1173" s="2"/>
      <c r="K1173" s="3"/>
      <c r="L1173" s="3"/>
      <c r="M1173" s="3"/>
      <c r="N1173" s="3"/>
      <c r="O1173" s="3"/>
      <c r="P1173" s="59"/>
      <c r="Q1173" s="21"/>
      <c r="R1173" s="21"/>
      <c r="S1173" s="3"/>
      <c r="T1173" s="3"/>
      <c r="U1173" s="3"/>
      <c r="V1173" s="3"/>
      <c r="W1173" s="3"/>
      <c r="X1173" s="3"/>
      <c r="Y1173" s="3"/>
      <c r="Z1173" s="53"/>
      <c r="AA1173" s="3"/>
      <c r="AB1173" s="59"/>
      <c r="AC1173" s="3"/>
      <c r="AD1173" s="53"/>
      <c r="AE1173" s="59"/>
    </row>
    <row r="1174" spans="1:31" customFormat="1" ht="15" x14ac:dyDescent="0.35">
      <c r="A1174" s="50"/>
      <c r="B1174" s="63"/>
      <c r="C1174" s="39"/>
      <c r="D1174" s="6"/>
      <c r="E1174" s="153"/>
      <c r="F1174" s="10"/>
      <c r="G1174" s="53"/>
      <c r="H1174" s="3"/>
      <c r="I1174" s="3"/>
      <c r="J1174" s="3"/>
      <c r="K1174" s="3"/>
      <c r="L1174" s="3"/>
      <c r="M1174" s="3"/>
      <c r="N1174" s="3"/>
      <c r="O1174" s="3"/>
      <c r="P1174" s="59"/>
      <c r="Q1174" s="21"/>
      <c r="R1174" s="21"/>
      <c r="S1174" s="3"/>
      <c r="T1174" s="3"/>
      <c r="U1174" s="3"/>
      <c r="V1174" s="3"/>
      <c r="W1174" s="3"/>
      <c r="X1174" s="3"/>
      <c r="Y1174" s="3"/>
      <c r="Z1174" s="53"/>
      <c r="AA1174" s="3"/>
      <c r="AB1174" s="59"/>
      <c r="AC1174" s="3"/>
      <c r="AD1174" s="53"/>
      <c r="AE1174" s="59"/>
    </row>
    <row r="1175" spans="1:31" customFormat="1" ht="15" x14ac:dyDescent="0.35">
      <c r="A1175" s="50"/>
      <c r="B1175" s="63"/>
      <c r="C1175" s="39"/>
      <c r="D1175" s="6"/>
      <c r="E1175" s="153"/>
      <c r="F1175" s="10"/>
      <c r="G1175" s="53"/>
      <c r="H1175" s="3"/>
      <c r="I1175" s="3"/>
      <c r="J1175" s="3"/>
      <c r="K1175" s="3"/>
      <c r="L1175" s="3"/>
      <c r="M1175" s="3"/>
      <c r="N1175" s="3"/>
      <c r="O1175" s="3"/>
      <c r="P1175" s="59"/>
      <c r="Q1175" s="21"/>
      <c r="R1175" s="21"/>
      <c r="S1175" s="3"/>
      <c r="T1175" s="3"/>
      <c r="U1175" s="3"/>
      <c r="V1175" s="3"/>
      <c r="W1175" s="3"/>
      <c r="X1175" s="3"/>
      <c r="Y1175" s="3"/>
      <c r="Z1175" s="53"/>
      <c r="AA1175" s="3"/>
      <c r="AB1175" s="59"/>
      <c r="AC1175" s="3"/>
      <c r="AD1175" s="53"/>
      <c r="AE1175" s="59"/>
    </row>
    <row r="1176" spans="1:31" customFormat="1" ht="15" x14ac:dyDescent="0.35">
      <c r="A1176" s="50"/>
      <c r="B1176" s="63"/>
      <c r="C1176" s="39"/>
      <c r="D1176" s="6"/>
      <c r="E1176" s="153"/>
      <c r="F1176" s="10"/>
      <c r="G1176" s="54"/>
      <c r="H1176" s="3"/>
      <c r="I1176" s="2"/>
      <c r="J1176" s="2"/>
      <c r="K1176" s="3"/>
      <c r="L1176" s="3"/>
      <c r="M1176" s="3"/>
      <c r="N1176" s="3"/>
      <c r="O1176" s="3"/>
      <c r="P1176" s="59"/>
      <c r="Q1176" s="21"/>
      <c r="R1176" s="21"/>
      <c r="S1176" s="3"/>
      <c r="T1176" s="3"/>
      <c r="U1176" s="3"/>
      <c r="V1176" s="3"/>
      <c r="W1176" s="3"/>
      <c r="X1176" s="3"/>
      <c r="Y1176" s="3"/>
      <c r="Z1176" s="53"/>
      <c r="AA1176" s="3"/>
      <c r="AB1176" s="59"/>
      <c r="AC1176" s="3"/>
      <c r="AD1176" s="53"/>
      <c r="AE1176" s="59"/>
    </row>
    <row r="1177" spans="1:31" customFormat="1" ht="15" x14ac:dyDescent="0.35">
      <c r="A1177" s="19"/>
      <c r="B1177" s="49"/>
      <c r="C1177" s="39"/>
      <c r="D1177" s="1"/>
      <c r="E1177" s="153"/>
      <c r="F1177" s="10"/>
      <c r="G1177" s="20"/>
      <c r="H1177" s="21"/>
      <c r="I1177" s="21"/>
      <c r="J1177" s="21"/>
      <c r="K1177" s="21"/>
      <c r="L1177" s="21"/>
      <c r="M1177" s="21"/>
      <c r="N1177" s="22"/>
      <c r="O1177" s="21"/>
      <c r="P1177" s="24"/>
      <c r="Q1177" s="21"/>
      <c r="R1177" s="21"/>
      <c r="S1177" s="21"/>
      <c r="T1177" s="21"/>
      <c r="U1177" s="21"/>
      <c r="V1177" s="22"/>
      <c r="W1177" s="21"/>
      <c r="X1177" s="22"/>
      <c r="Y1177" s="21"/>
      <c r="Z1177" s="20"/>
      <c r="AA1177" s="21"/>
      <c r="AB1177" s="25"/>
      <c r="AC1177" s="26"/>
      <c r="AD1177" s="27"/>
      <c r="AE1177" s="28"/>
    </row>
    <row r="1178" spans="1:31" customFormat="1" ht="15" x14ac:dyDescent="0.35">
      <c r="A1178" s="50"/>
      <c r="B1178" s="63"/>
      <c r="C1178" s="39"/>
      <c r="D1178" s="6"/>
      <c r="E1178" s="153"/>
      <c r="F1178" s="10"/>
      <c r="G1178" s="53"/>
      <c r="H1178" s="3"/>
      <c r="I1178" s="3"/>
      <c r="J1178" s="3"/>
      <c r="K1178" s="3"/>
      <c r="L1178" s="3"/>
      <c r="M1178" s="3"/>
      <c r="N1178" s="3"/>
      <c r="O1178" s="3"/>
      <c r="P1178" s="59"/>
      <c r="Q1178" s="21"/>
      <c r="R1178" s="21"/>
      <c r="S1178" s="3"/>
      <c r="T1178" s="3"/>
      <c r="U1178" s="3"/>
      <c r="V1178" s="3"/>
      <c r="W1178" s="3"/>
      <c r="X1178" s="3"/>
      <c r="Y1178" s="3"/>
      <c r="Z1178" s="53"/>
      <c r="AA1178" s="3"/>
      <c r="AB1178" s="59"/>
      <c r="AC1178" s="3"/>
      <c r="AD1178" s="53"/>
      <c r="AE1178" s="59"/>
    </row>
    <row r="1179" spans="1:31" customFormat="1" ht="15" x14ac:dyDescent="0.35">
      <c r="A1179" s="19"/>
      <c r="B1179" s="49"/>
      <c r="C1179" s="14"/>
      <c r="D1179" s="1"/>
      <c r="E1179" s="153"/>
      <c r="F1179" s="10"/>
      <c r="G1179" s="20"/>
      <c r="H1179" s="21"/>
      <c r="I1179" s="21"/>
      <c r="J1179" s="21"/>
      <c r="K1179" s="21"/>
      <c r="L1179" s="21"/>
      <c r="M1179" s="21"/>
      <c r="N1179" s="22"/>
      <c r="O1179" s="21"/>
      <c r="P1179" s="24"/>
      <c r="Q1179" s="21"/>
      <c r="R1179" s="21"/>
      <c r="S1179" s="21"/>
      <c r="T1179" s="21"/>
      <c r="U1179" s="21"/>
      <c r="V1179" s="22"/>
      <c r="W1179" s="21"/>
      <c r="X1179" s="22"/>
      <c r="Y1179" s="21"/>
      <c r="Z1179" s="20"/>
      <c r="AA1179" s="21"/>
      <c r="AB1179" s="25"/>
      <c r="AC1179" s="26"/>
      <c r="AD1179" s="27"/>
      <c r="AE1179" s="28"/>
    </row>
    <row r="1180" spans="1:31" customFormat="1" ht="15" x14ac:dyDescent="0.35">
      <c r="A1180" s="50"/>
      <c r="B1180" s="63"/>
      <c r="C1180" s="39"/>
      <c r="D1180" s="6"/>
      <c r="E1180" s="153"/>
      <c r="F1180" s="10"/>
      <c r="G1180" s="54"/>
      <c r="H1180" s="3"/>
      <c r="I1180" s="2"/>
      <c r="J1180" s="2"/>
      <c r="K1180" s="3"/>
      <c r="L1180" s="3"/>
      <c r="M1180" s="3"/>
      <c r="N1180" s="3"/>
      <c r="O1180" s="3"/>
      <c r="P1180" s="59"/>
      <c r="Q1180" s="3"/>
      <c r="R1180" s="3"/>
      <c r="S1180" s="3"/>
      <c r="T1180" s="3"/>
      <c r="U1180" s="3"/>
      <c r="V1180" s="3"/>
      <c r="W1180" s="3"/>
      <c r="X1180" s="3"/>
      <c r="Y1180" s="3"/>
      <c r="Z1180" s="53"/>
      <c r="AA1180" s="3"/>
      <c r="AB1180" s="59"/>
      <c r="AC1180" s="3"/>
      <c r="AD1180" s="53"/>
      <c r="AE1180" s="59"/>
    </row>
    <row r="1181" spans="1:31" customFormat="1" ht="15" x14ac:dyDescent="0.35">
      <c r="A1181" s="50"/>
      <c r="B1181" s="63"/>
      <c r="C1181" s="39"/>
      <c r="D1181" s="6"/>
      <c r="E1181" s="153"/>
      <c r="F1181" s="10"/>
      <c r="G1181" s="54"/>
      <c r="H1181" s="3"/>
      <c r="I1181" s="2"/>
      <c r="J1181" s="2"/>
      <c r="K1181" s="3"/>
      <c r="L1181" s="3"/>
      <c r="M1181" s="3"/>
      <c r="N1181" s="3"/>
      <c r="O1181" s="3"/>
      <c r="P1181" s="59"/>
      <c r="Q1181" s="3"/>
      <c r="R1181" s="3"/>
      <c r="S1181" s="3"/>
      <c r="T1181" s="3"/>
      <c r="U1181" s="3"/>
      <c r="V1181" s="3"/>
      <c r="W1181" s="3"/>
      <c r="X1181" s="3"/>
      <c r="Y1181" s="3"/>
      <c r="Z1181" s="53"/>
      <c r="AA1181" s="3"/>
      <c r="AB1181" s="59"/>
      <c r="AC1181" s="3"/>
      <c r="AD1181" s="53"/>
      <c r="AE1181" s="59"/>
    </row>
    <row r="1182" spans="1:31" customFormat="1" ht="15" x14ac:dyDescent="0.35">
      <c r="A1182" s="50"/>
      <c r="B1182" s="63"/>
      <c r="C1182" s="39"/>
      <c r="D1182" s="6"/>
      <c r="E1182" s="153"/>
      <c r="F1182" s="10"/>
      <c r="G1182" s="54"/>
      <c r="H1182" s="3"/>
      <c r="I1182" s="2"/>
      <c r="J1182" s="2"/>
      <c r="K1182" s="3"/>
      <c r="L1182" s="3"/>
      <c r="M1182" s="3"/>
      <c r="N1182" s="3"/>
      <c r="O1182" s="3"/>
      <c r="P1182" s="59"/>
      <c r="Q1182" s="3"/>
      <c r="R1182" s="3"/>
      <c r="S1182" s="3"/>
      <c r="T1182" s="3"/>
      <c r="U1182" s="3"/>
      <c r="V1182" s="3"/>
      <c r="W1182" s="3"/>
      <c r="X1182" s="3"/>
      <c r="Y1182" s="3"/>
      <c r="Z1182" s="53"/>
      <c r="AA1182" s="3"/>
      <c r="AB1182" s="59"/>
      <c r="AC1182" s="3"/>
      <c r="AD1182" s="53"/>
      <c r="AE1182" s="59"/>
    </row>
    <row r="1183" spans="1:31" customFormat="1" ht="15" x14ac:dyDescent="0.35">
      <c r="A1183" s="19"/>
      <c r="B1183" s="49"/>
      <c r="C1183" s="14"/>
      <c r="D1183" s="1"/>
      <c r="E1183" s="153"/>
      <c r="F1183" s="10"/>
      <c r="G1183" s="20"/>
      <c r="H1183" s="21"/>
      <c r="I1183" s="21"/>
      <c r="J1183" s="21"/>
      <c r="K1183" s="21"/>
      <c r="L1183" s="21"/>
      <c r="M1183" s="21"/>
      <c r="N1183" s="22"/>
      <c r="O1183" s="21"/>
      <c r="P1183" s="24"/>
      <c r="Q1183" s="21"/>
      <c r="R1183" s="21"/>
      <c r="S1183" s="21"/>
      <c r="T1183" s="21"/>
      <c r="U1183" s="21"/>
      <c r="V1183" s="22"/>
      <c r="W1183" s="21"/>
      <c r="X1183" s="22"/>
      <c r="Y1183" s="21"/>
      <c r="Z1183" s="20"/>
      <c r="AA1183" s="21"/>
      <c r="AB1183" s="25"/>
      <c r="AC1183" s="26"/>
      <c r="AD1183" s="27"/>
      <c r="AE1183" s="28"/>
    </row>
    <row r="1184" spans="1:31" customFormat="1" ht="15" x14ac:dyDescent="0.35">
      <c r="A1184" s="50"/>
      <c r="B1184" s="63"/>
      <c r="C1184" s="39"/>
      <c r="D1184" s="6"/>
      <c r="E1184" s="153"/>
      <c r="F1184" s="10"/>
      <c r="G1184" s="53"/>
      <c r="H1184" s="3"/>
      <c r="I1184" s="3"/>
      <c r="J1184" s="3"/>
      <c r="K1184" s="3"/>
      <c r="L1184" s="3"/>
      <c r="M1184" s="3"/>
      <c r="N1184" s="3"/>
      <c r="O1184" s="3"/>
      <c r="P1184" s="59"/>
      <c r="Q1184" s="21"/>
      <c r="R1184" s="21"/>
      <c r="S1184" s="3"/>
      <c r="T1184" s="3"/>
      <c r="U1184" s="3"/>
      <c r="V1184" s="3"/>
      <c r="W1184" s="3"/>
      <c r="X1184" s="3"/>
      <c r="Y1184" s="3"/>
      <c r="Z1184" s="53"/>
      <c r="AA1184" s="3"/>
      <c r="AB1184" s="59"/>
      <c r="AC1184" s="3"/>
      <c r="AD1184" s="53"/>
      <c r="AE1184" s="59"/>
    </row>
    <row r="1185" spans="1:31" customFormat="1" ht="15" x14ac:dyDescent="0.35">
      <c r="A1185" s="19"/>
      <c r="B1185" s="49"/>
      <c r="C1185" s="39"/>
      <c r="D1185" s="1"/>
      <c r="E1185" s="153"/>
      <c r="F1185" s="10"/>
      <c r="G1185" s="20"/>
      <c r="H1185" s="21"/>
      <c r="I1185" s="21"/>
      <c r="J1185" s="21"/>
      <c r="K1185" s="21"/>
      <c r="L1185" s="21"/>
      <c r="M1185" s="21"/>
      <c r="N1185" s="22"/>
      <c r="O1185" s="21"/>
      <c r="P1185" s="24"/>
      <c r="Q1185" s="21"/>
      <c r="R1185" s="21"/>
      <c r="S1185" s="21"/>
      <c r="T1185" s="21"/>
      <c r="U1185" s="21"/>
      <c r="V1185" s="22"/>
      <c r="W1185" s="21"/>
      <c r="X1185" s="22"/>
      <c r="Y1185" s="21"/>
      <c r="Z1185" s="20"/>
      <c r="AA1185" s="21"/>
      <c r="AB1185" s="25"/>
      <c r="AC1185" s="26"/>
      <c r="AD1185" s="27"/>
      <c r="AE1185" s="28"/>
    </row>
    <row r="1186" spans="1:31" customFormat="1" ht="15" x14ac:dyDescent="0.35">
      <c r="A1186" s="50"/>
      <c r="B1186" s="63"/>
      <c r="C1186" s="39"/>
      <c r="D1186" s="6"/>
      <c r="E1186" s="153"/>
      <c r="F1186" s="10"/>
      <c r="G1186" s="54"/>
      <c r="H1186" s="3"/>
      <c r="I1186" s="2"/>
      <c r="J1186" s="2"/>
      <c r="K1186" s="3"/>
      <c r="L1186" s="3"/>
      <c r="M1186" s="3"/>
      <c r="N1186" s="3"/>
      <c r="O1186" s="3"/>
      <c r="P1186" s="59"/>
      <c r="Q1186" s="3"/>
      <c r="R1186" s="3"/>
      <c r="S1186" s="3"/>
      <c r="T1186" s="3"/>
      <c r="U1186" s="3"/>
      <c r="V1186" s="3"/>
      <c r="W1186" s="3"/>
      <c r="X1186" s="3"/>
      <c r="Y1186" s="3"/>
      <c r="Z1186" s="53"/>
      <c r="AA1186" s="3"/>
      <c r="AB1186" s="59"/>
      <c r="AC1186" s="3"/>
      <c r="AD1186" s="53"/>
      <c r="AE1186" s="59"/>
    </row>
    <row r="1187" spans="1:31" customFormat="1" ht="15" x14ac:dyDescent="0.35">
      <c r="A1187" s="50"/>
      <c r="B1187" s="63"/>
      <c r="C1187" s="39"/>
      <c r="D1187" s="6"/>
      <c r="E1187" s="153"/>
      <c r="F1187" s="10"/>
      <c r="G1187" s="53"/>
      <c r="H1187" s="3"/>
      <c r="I1187" s="3"/>
      <c r="J1187" s="3"/>
      <c r="K1187" s="3"/>
      <c r="L1187" s="3"/>
      <c r="M1187" s="3"/>
      <c r="N1187" s="3"/>
      <c r="O1187" s="3"/>
      <c r="P1187" s="59"/>
      <c r="Q1187" s="21"/>
      <c r="R1187" s="21"/>
      <c r="S1187" s="3"/>
      <c r="T1187" s="3"/>
      <c r="U1187" s="3"/>
      <c r="V1187" s="3"/>
      <c r="W1187" s="3"/>
      <c r="X1187" s="3"/>
      <c r="Y1187" s="3"/>
      <c r="Z1187" s="53"/>
      <c r="AA1187" s="3"/>
      <c r="AB1187" s="59"/>
      <c r="AC1187" s="3"/>
      <c r="AD1187" s="53"/>
      <c r="AE1187" s="59"/>
    </row>
    <row r="1188" spans="1:31" customFormat="1" ht="15" x14ac:dyDescent="0.35">
      <c r="A1188" s="50"/>
      <c r="B1188" s="63"/>
      <c r="C1188" s="39"/>
      <c r="D1188" s="6"/>
      <c r="E1188" s="153"/>
      <c r="F1188" s="10"/>
      <c r="G1188" s="53"/>
      <c r="H1188" s="3"/>
      <c r="I1188" s="3"/>
      <c r="J1188" s="3"/>
      <c r="K1188" s="3"/>
      <c r="L1188" s="3"/>
      <c r="M1188" s="3"/>
      <c r="N1188" s="3"/>
      <c r="O1188" s="3"/>
      <c r="P1188" s="59"/>
      <c r="Q1188" s="21"/>
      <c r="R1188" s="21"/>
      <c r="S1188" s="3"/>
      <c r="T1188" s="3"/>
      <c r="U1188" s="3"/>
      <c r="V1188" s="3"/>
      <c r="W1188" s="3"/>
      <c r="X1188" s="3"/>
      <c r="Y1188" s="3"/>
      <c r="Z1188" s="53"/>
      <c r="AA1188" s="3"/>
      <c r="AB1188" s="59"/>
      <c r="AC1188" s="3"/>
      <c r="AD1188" s="53"/>
      <c r="AE1188" s="59"/>
    </row>
    <row r="1189" spans="1:31" customFormat="1" ht="15" x14ac:dyDescent="0.35">
      <c r="A1189" s="19"/>
      <c r="B1189" s="49"/>
      <c r="C1189" s="14"/>
      <c r="D1189" s="1"/>
      <c r="E1189" s="153"/>
      <c r="F1189" s="10"/>
      <c r="G1189" s="20"/>
      <c r="H1189" s="21"/>
      <c r="I1189" s="21"/>
      <c r="J1189" s="21"/>
      <c r="K1189" s="21"/>
      <c r="L1189" s="21"/>
      <c r="M1189" s="21"/>
      <c r="N1189" s="22"/>
      <c r="O1189" s="21"/>
      <c r="P1189" s="24"/>
      <c r="Q1189" s="21"/>
      <c r="R1189" s="21"/>
      <c r="S1189" s="21"/>
      <c r="T1189" s="21"/>
      <c r="U1189" s="21"/>
      <c r="V1189" s="22"/>
      <c r="W1189" s="21"/>
      <c r="X1189" s="22"/>
      <c r="Y1189" s="21"/>
      <c r="Z1189" s="20"/>
      <c r="AA1189" s="21"/>
      <c r="AB1189" s="25"/>
      <c r="AC1189" s="26"/>
      <c r="AD1189" s="27"/>
      <c r="AE1189" s="28"/>
    </row>
    <row r="1190" spans="1:31" customFormat="1" ht="15" x14ac:dyDescent="0.35">
      <c r="A1190" s="50"/>
      <c r="B1190" s="63"/>
      <c r="C1190" s="39"/>
      <c r="D1190" s="6"/>
      <c r="E1190" s="153"/>
      <c r="F1190" s="10"/>
      <c r="G1190" s="53"/>
      <c r="H1190" s="3"/>
      <c r="I1190" s="3"/>
      <c r="J1190" s="3"/>
      <c r="K1190" s="3"/>
      <c r="L1190" s="3"/>
      <c r="M1190" s="3"/>
      <c r="N1190" s="3"/>
      <c r="O1190" s="3"/>
      <c r="P1190" s="59"/>
      <c r="Q1190" s="21"/>
      <c r="R1190" s="21"/>
      <c r="S1190" s="3"/>
      <c r="T1190" s="3"/>
      <c r="U1190" s="3"/>
      <c r="V1190" s="3"/>
      <c r="W1190" s="3"/>
      <c r="X1190" s="3"/>
      <c r="Y1190" s="3"/>
      <c r="Z1190" s="53"/>
      <c r="AA1190" s="3"/>
      <c r="AB1190" s="59"/>
      <c r="AC1190" s="3"/>
      <c r="AD1190" s="53"/>
      <c r="AE1190" s="59"/>
    </row>
    <row r="1191" spans="1:31" customFormat="1" ht="15" x14ac:dyDescent="0.35">
      <c r="A1191" s="50"/>
      <c r="B1191" s="63"/>
      <c r="C1191" s="39"/>
      <c r="D1191" s="6"/>
      <c r="E1191" s="153"/>
      <c r="F1191" s="10"/>
      <c r="G1191" s="54"/>
      <c r="H1191" s="3"/>
      <c r="I1191" s="2"/>
      <c r="J1191" s="2"/>
      <c r="K1191" s="3"/>
      <c r="L1191" s="3"/>
      <c r="M1191" s="3"/>
      <c r="N1191" s="3"/>
      <c r="O1191" s="3"/>
      <c r="P1191" s="59"/>
      <c r="Q1191" s="3"/>
      <c r="R1191" s="3"/>
      <c r="S1191" s="3"/>
      <c r="T1191" s="3"/>
      <c r="U1191" s="3"/>
      <c r="V1191" s="3"/>
      <c r="W1191" s="3"/>
      <c r="X1191" s="3"/>
      <c r="Y1191" s="3"/>
      <c r="Z1191" s="53"/>
      <c r="AA1191" s="3"/>
      <c r="AB1191" s="59"/>
      <c r="AC1191" s="3"/>
      <c r="AD1191" s="53"/>
      <c r="AE1191" s="59"/>
    </row>
    <row r="1192" spans="1:31" customFormat="1" ht="15" x14ac:dyDescent="0.35">
      <c r="A1192" s="50"/>
      <c r="B1192" s="63"/>
      <c r="C1192" s="39"/>
      <c r="D1192" s="6"/>
      <c r="E1192" s="153"/>
      <c r="F1192" s="10"/>
      <c r="G1192" s="53"/>
      <c r="H1192" s="3"/>
      <c r="I1192" s="3"/>
      <c r="J1192" s="3"/>
      <c r="K1192" s="3"/>
      <c r="L1192" s="3"/>
      <c r="M1192" s="3"/>
      <c r="N1192" s="3"/>
      <c r="O1192" s="3"/>
      <c r="P1192" s="59"/>
      <c r="Q1192" s="21"/>
      <c r="R1192" s="21"/>
      <c r="S1192" s="3"/>
      <c r="T1192" s="3"/>
      <c r="U1192" s="3"/>
      <c r="V1192" s="3"/>
      <c r="W1192" s="3"/>
      <c r="X1192" s="3"/>
      <c r="Y1192" s="3"/>
      <c r="Z1192" s="53"/>
      <c r="AA1192" s="3"/>
      <c r="AB1192" s="59"/>
      <c r="AC1192" s="3"/>
      <c r="AD1192" s="53"/>
      <c r="AE1192" s="59"/>
    </row>
    <row r="1193" spans="1:31" customFormat="1" ht="15" x14ac:dyDescent="0.35">
      <c r="A1193" s="50"/>
      <c r="B1193" s="63"/>
      <c r="C1193" s="39"/>
      <c r="D1193" s="6"/>
      <c r="E1193" s="153"/>
      <c r="F1193" s="10"/>
      <c r="G1193" s="53"/>
      <c r="H1193" s="3"/>
      <c r="I1193" s="3"/>
      <c r="J1193" s="3"/>
      <c r="K1193" s="3"/>
      <c r="L1193" s="3"/>
      <c r="M1193" s="3"/>
      <c r="N1193" s="3"/>
      <c r="O1193" s="3"/>
      <c r="P1193" s="59"/>
      <c r="Q1193" s="21"/>
      <c r="R1193" s="21"/>
      <c r="S1193" s="3"/>
      <c r="T1193" s="3"/>
      <c r="U1193" s="3"/>
      <c r="V1193" s="3"/>
      <c r="W1193" s="3"/>
      <c r="X1193" s="3"/>
      <c r="Y1193" s="3"/>
      <c r="Z1193" s="53"/>
      <c r="AA1193" s="3"/>
      <c r="AB1193" s="59"/>
      <c r="AC1193" s="3"/>
      <c r="AD1193" s="53"/>
      <c r="AE1193" s="59"/>
    </row>
    <row r="1194" spans="1:31" customFormat="1" ht="15" x14ac:dyDescent="0.35">
      <c r="A1194" s="19"/>
      <c r="B1194" s="49"/>
      <c r="C1194" s="39"/>
      <c r="D1194" s="1"/>
      <c r="E1194" s="153"/>
      <c r="F1194" s="10"/>
      <c r="G1194" s="20"/>
      <c r="H1194" s="21"/>
      <c r="I1194" s="21"/>
      <c r="J1194" s="21"/>
      <c r="K1194" s="21"/>
      <c r="L1194" s="21"/>
      <c r="M1194" s="21"/>
      <c r="N1194" s="22"/>
      <c r="O1194" s="21"/>
      <c r="P1194" s="24"/>
      <c r="Q1194" s="21"/>
      <c r="R1194" s="21"/>
      <c r="S1194" s="21"/>
      <c r="T1194" s="21"/>
      <c r="U1194" s="21"/>
      <c r="V1194" s="22"/>
      <c r="W1194" s="21"/>
      <c r="X1194" s="22"/>
      <c r="Y1194" s="21"/>
      <c r="Z1194" s="20"/>
      <c r="AA1194" s="21"/>
      <c r="AB1194" s="25"/>
      <c r="AC1194" s="26"/>
      <c r="AD1194" s="27"/>
      <c r="AE1194" s="28"/>
    </row>
    <row r="1195" spans="1:31" customFormat="1" ht="15" x14ac:dyDescent="0.35">
      <c r="A1195" s="50"/>
      <c r="B1195" s="63"/>
      <c r="C1195" s="39"/>
      <c r="D1195" s="6"/>
      <c r="E1195" s="153"/>
      <c r="F1195" s="10"/>
      <c r="G1195" s="53"/>
      <c r="H1195" s="3"/>
      <c r="I1195" s="3"/>
      <c r="J1195" s="3"/>
      <c r="K1195" s="3"/>
      <c r="L1195" s="3"/>
      <c r="M1195" s="3"/>
      <c r="N1195" s="3"/>
      <c r="O1195" s="3"/>
      <c r="P1195" s="59"/>
      <c r="Q1195" s="21"/>
      <c r="R1195" s="21"/>
      <c r="S1195" s="3"/>
      <c r="T1195" s="3"/>
      <c r="U1195" s="3"/>
      <c r="V1195" s="3"/>
      <c r="W1195" s="3"/>
      <c r="X1195" s="3"/>
      <c r="Y1195" s="3"/>
      <c r="Z1195" s="53"/>
      <c r="AA1195" s="3"/>
      <c r="AB1195" s="59"/>
      <c r="AC1195" s="3"/>
      <c r="AD1195" s="53"/>
      <c r="AE1195" s="59"/>
    </row>
    <row r="1196" spans="1:31" customFormat="1" ht="15" x14ac:dyDescent="0.35">
      <c r="A1196" s="50"/>
      <c r="B1196" s="63"/>
      <c r="C1196" s="39"/>
      <c r="D1196" s="6"/>
      <c r="E1196" s="153"/>
      <c r="F1196" s="10"/>
      <c r="G1196" s="53"/>
      <c r="H1196" s="3"/>
      <c r="I1196" s="3"/>
      <c r="J1196" s="3"/>
      <c r="K1196" s="3"/>
      <c r="L1196" s="3"/>
      <c r="M1196" s="3"/>
      <c r="N1196" s="3"/>
      <c r="O1196" s="3"/>
      <c r="P1196" s="59"/>
      <c r="Q1196" s="21"/>
      <c r="R1196" s="21"/>
      <c r="S1196" s="3"/>
      <c r="T1196" s="3"/>
      <c r="U1196" s="3"/>
      <c r="V1196" s="3"/>
      <c r="W1196" s="3"/>
      <c r="X1196" s="3"/>
      <c r="Y1196" s="3"/>
      <c r="Z1196" s="53"/>
      <c r="AA1196" s="3"/>
      <c r="AB1196" s="59"/>
      <c r="AC1196" s="3"/>
      <c r="AD1196" s="53"/>
      <c r="AE1196" s="59"/>
    </row>
    <row r="1197" spans="1:31" customFormat="1" ht="15" x14ac:dyDescent="0.35">
      <c r="A1197" s="50"/>
      <c r="B1197" s="63"/>
      <c r="C1197" s="39"/>
      <c r="D1197" s="6"/>
      <c r="E1197" s="153"/>
      <c r="F1197" s="10"/>
      <c r="G1197" s="53"/>
      <c r="H1197" s="3"/>
      <c r="I1197" s="3"/>
      <c r="J1197" s="3"/>
      <c r="K1197" s="3"/>
      <c r="L1197" s="3"/>
      <c r="M1197" s="3"/>
      <c r="N1197" s="3"/>
      <c r="O1197" s="3"/>
      <c r="P1197" s="59"/>
      <c r="Q1197" s="21"/>
      <c r="R1197" s="21"/>
      <c r="S1197" s="3"/>
      <c r="T1197" s="3"/>
      <c r="U1197" s="3"/>
      <c r="V1197" s="3"/>
      <c r="W1197" s="3"/>
      <c r="X1197" s="3"/>
      <c r="Y1197" s="3"/>
      <c r="Z1197" s="53"/>
      <c r="AA1197" s="3"/>
      <c r="AB1197" s="59"/>
      <c r="AC1197" s="3"/>
      <c r="AD1197" s="53"/>
      <c r="AE1197" s="59"/>
    </row>
    <row r="1198" spans="1:31" customFormat="1" ht="15" x14ac:dyDescent="0.35">
      <c r="A1198" s="50"/>
      <c r="B1198" s="63"/>
      <c r="C1198" s="39"/>
      <c r="D1198" s="6"/>
      <c r="E1198" s="153"/>
      <c r="F1198" s="10"/>
      <c r="G1198" s="54"/>
      <c r="H1198" s="3"/>
      <c r="I1198" s="2"/>
      <c r="J1198" s="2"/>
      <c r="K1198" s="3"/>
      <c r="L1198" s="3"/>
      <c r="M1198" s="3"/>
      <c r="N1198" s="3"/>
      <c r="O1198" s="3"/>
      <c r="P1198" s="59"/>
      <c r="Q1198" s="3"/>
      <c r="R1198" s="3"/>
      <c r="S1198" s="3"/>
      <c r="T1198" s="3"/>
      <c r="U1198" s="3"/>
      <c r="V1198" s="3"/>
      <c r="W1198" s="3"/>
      <c r="X1198" s="3"/>
      <c r="Y1198" s="3"/>
      <c r="Z1198" s="53"/>
      <c r="AA1198" s="3"/>
      <c r="AB1198" s="59"/>
      <c r="AC1198" s="3"/>
      <c r="AD1198" s="53"/>
      <c r="AE1198" s="59"/>
    </row>
    <row r="1199" spans="1:31" customFormat="1" ht="15" x14ac:dyDescent="0.35">
      <c r="A1199" s="50"/>
      <c r="B1199" s="63"/>
      <c r="C1199" s="39"/>
      <c r="D1199" s="6"/>
      <c r="E1199" s="153"/>
      <c r="F1199" s="10"/>
      <c r="G1199" s="54"/>
      <c r="H1199" s="3"/>
      <c r="I1199" s="2"/>
      <c r="J1199" s="2"/>
      <c r="K1199" s="3"/>
      <c r="L1199" s="3"/>
      <c r="M1199" s="3"/>
      <c r="N1199" s="3"/>
      <c r="O1199" s="3"/>
      <c r="P1199" s="59"/>
      <c r="Q1199" s="3"/>
      <c r="R1199" s="3"/>
      <c r="S1199" s="3"/>
      <c r="T1199" s="3"/>
      <c r="U1199" s="3"/>
      <c r="V1199" s="3"/>
      <c r="W1199" s="3"/>
      <c r="X1199" s="3"/>
      <c r="Y1199" s="3"/>
      <c r="Z1199" s="53"/>
      <c r="AA1199" s="3"/>
      <c r="AB1199" s="59"/>
      <c r="AC1199" s="3"/>
      <c r="AD1199" s="53"/>
      <c r="AE1199" s="59"/>
    </row>
    <row r="1200" spans="1:31" customFormat="1" ht="15" x14ac:dyDescent="0.35">
      <c r="A1200" s="19"/>
      <c r="B1200" s="49"/>
      <c r="C1200" s="39"/>
      <c r="D1200" s="1"/>
      <c r="E1200" s="153"/>
      <c r="F1200" s="10"/>
      <c r="G1200" s="20"/>
      <c r="H1200" s="21"/>
      <c r="I1200" s="21"/>
      <c r="J1200" s="21"/>
      <c r="K1200" s="21"/>
      <c r="L1200" s="21"/>
      <c r="M1200" s="21"/>
      <c r="N1200" s="22"/>
      <c r="O1200" s="21"/>
      <c r="P1200" s="24"/>
      <c r="Q1200" s="21"/>
      <c r="R1200" s="21"/>
      <c r="S1200" s="21"/>
      <c r="T1200" s="21"/>
      <c r="U1200" s="21"/>
      <c r="V1200" s="22"/>
      <c r="W1200" s="21"/>
      <c r="X1200" s="22"/>
      <c r="Y1200" s="21"/>
      <c r="Z1200" s="20"/>
      <c r="AA1200" s="21"/>
      <c r="AB1200" s="25"/>
      <c r="AC1200" s="26"/>
      <c r="AD1200" s="27"/>
      <c r="AE1200" s="28"/>
    </row>
    <row r="1201" spans="1:31" customFormat="1" ht="15" x14ac:dyDescent="0.35">
      <c r="A1201" s="50"/>
      <c r="B1201" s="63"/>
      <c r="C1201" s="39"/>
      <c r="D1201" s="6"/>
      <c r="E1201" s="153"/>
      <c r="F1201" s="10"/>
      <c r="G1201" s="54"/>
      <c r="H1201" s="3"/>
      <c r="I1201" s="2"/>
      <c r="J1201" s="2"/>
      <c r="K1201" s="3"/>
      <c r="L1201" s="3"/>
      <c r="M1201" s="3"/>
      <c r="N1201" s="3"/>
      <c r="O1201" s="3"/>
      <c r="P1201" s="59"/>
      <c r="Q1201" s="3"/>
      <c r="R1201" s="3"/>
      <c r="S1201" s="3"/>
      <c r="T1201" s="3"/>
      <c r="U1201" s="3"/>
      <c r="V1201" s="3"/>
      <c r="W1201" s="3"/>
      <c r="X1201" s="3"/>
      <c r="Y1201" s="3"/>
      <c r="Z1201" s="53"/>
      <c r="AA1201" s="3"/>
      <c r="AB1201" s="59"/>
      <c r="AC1201" s="3"/>
      <c r="AD1201" s="53"/>
      <c r="AE1201" s="59"/>
    </row>
    <row r="1202" spans="1:31" customFormat="1" ht="15" x14ac:dyDescent="0.35">
      <c r="A1202" s="50"/>
      <c r="B1202" s="63"/>
      <c r="C1202" s="39"/>
      <c r="D1202" s="6"/>
      <c r="E1202" s="153"/>
      <c r="F1202" s="10"/>
      <c r="G1202" s="54"/>
      <c r="H1202" s="3"/>
      <c r="I1202" s="2"/>
      <c r="J1202" s="2"/>
      <c r="K1202" s="3"/>
      <c r="L1202" s="3"/>
      <c r="M1202" s="3"/>
      <c r="N1202" s="3"/>
      <c r="O1202" s="3"/>
      <c r="P1202" s="59"/>
      <c r="Q1202" s="3"/>
      <c r="R1202" s="3"/>
      <c r="S1202" s="3"/>
      <c r="T1202" s="3"/>
      <c r="U1202" s="3"/>
      <c r="V1202" s="3"/>
      <c r="W1202" s="3"/>
      <c r="X1202" s="3"/>
      <c r="Y1202" s="3"/>
      <c r="Z1202" s="53"/>
      <c r="AA1202" s="3"/>
      <c r="AB1202" s="59"/>
      <c r="AC1202" s="3"/>
      <c r="AD1202" s="53"/>
      <c r="AE1202" s="59"/>
    </row>
    <row r="1203" spans="1:31" customFormat="1" ht="15" x14ac:dyDescent="0.35">
      <c r="A1203" s="50"/>
      <c r="B1203" s="63"/>
      <c r="C1203" s="39"/>
      <c r="D1203" s="6"/>
      <c r="E1203" s="153"/>
      <c r="F1203" s="10"/>
      <c r="G1203" s="54"/>
      <c r="H1203" s="3"/>
      <c r="I1203" s="2"/>
      <c r="J1203" s="2"/>
      <c r="K1203" s="3"/>
      <c r="L1203" s="3"/>
      <c r="M1203" s="3"/>
      <c r="N1203" s="3"/>
      <c r="O1203" s="3"/>
      <c r="P1203" s="59"/>
      <c r="Q1203" s="3"/>
      <c r="R1203" s="3"/>
      <c r="S1203" s="3"/>
      <c r="T1203" s="3"/>
      <c r="U1203" s="3"/>
      <c r="V1203" s="3"/>
      <c r="W1203" s="3"/>
      <c r="X1203" s="3"/>
      <c r="Y1203" s="3"/>
      <c r="Z1203" s="53"/>
      <c r="AA1203" s="3"/>
      <c r="AB1203" s="59"/>
      <c r="AC1203" s="3"/>
      <c r="AD1203" s="53"/>
      <c r="AE1203" s="59"/>
    </row>
    <row r="1204" spans="1:31" customFormat="1" ht="15" x14ac:dyDescent="0.35">
      <c r="A1204" s="19"/>
      <c r="B1204" s="49"/>
      <c r="C1204" s="39"/>
      <c r="D1204" s="1"/>
      <c r="E1204" s="153"/>
      <c r="F1204" s="10"/>
      <c r="G1204" s="20"/>
      <c r="H1204" s="21"/>
      <c r="I1204" s="21"/>
      <c r="J1204" s="21"/>
      <c r="K1204" s="21"/>
      <c r="L1204" s="21"/>
      <c r="M1204" s="21"/>
      <c r="N1204" s="22"/>
      <c r="O1204" s="21"/>
      <c r="P1204" s="24"/>
      <c r="Q1204" s="21"/>
      <c r="R1204" s="21"/>
      <c r="S1204" s="21"/>
      <c r="T1204" s="21"/>
      <c r="U1204" s="21"/>
      <c r="V1204" s="22"/>
      <c r="W1204" s="21"/>
      <c r="X1204" s="22"/>
      <c r="Y1204" s="21"/>
      <c r="Z1204" s="20"/>
      <c r="AA1204" s="21"/>
      <c r="AB1204" s="25"/>
      <c r="AC1204" s="26"/>
      <c r="AD1204" s="27"/>
      <c r="AE1204" s="28"/>
    </row>
    <row r="1205" spans="1:31" customFormat="1" ht="15" x14ac:dyDescent="0.35">
      <c r="A1205" s="50"/>
      <c r="B1205" s="63"/>
      <c r="C1205" s="39"/>
      <c r="D1205" s="6"/>
      <c r="E1205" s="153"/>
      <c r="F1205" s="10"/>
      <c r="G1205" s="53"/>
      <c r="H1205" s="3"/>
      <c r="I1205" s="3"/>
      <c r="J1205" s="3"/>
      <c r="K1205" s="3"/>
      <c r="L1205" s="3"/>
      <c r="M1205" s="3"/>
      <c r="N1205" s="3"/>
      <c r="O1205" s="3"/>
      <c r="P1205" s="59"/>
      <c r="Q1205" s="21"/>
      <c r="R1205" s="21"/>
      <c r="S1205" s="3"/>
      <c r="T1205" s="3"/>
      <c r="U1205" s="3"/>
      <c r="V1205" s="3"/>
      <c r="W1205" s="3"/>
      <c r="X1205" s="3"/>
      <c r="Y1205" s="3"/>
      <c r="Z1205" s="53"/>
      <c r="AA1205" s="3"/>
      <c r="AB1205" s="59"/>
      <c r="AC1205" s="3"/>
      <c r="AD1205" s="53"/>
      <c r="AE1205" s="59"/>
    </row>
    <row r="1206" spans="1:31" customFormat="1" ht="15" x14ac:dyDescent="0.35">
      <c r="A1206" s="50"/>
      <c r="B1206" s="63"/>
      <c r="C1206" s="39"/>
      <c r="D1206" s="6"/>
      <c r="E1206" s="153"/>
      <c r="F1206" s="10"/>
      <c r="G1206" s="53"/>
      <c r="H1206" s="3"/>
      <c r="I1206" s="3"/>
      <c r="J1206" s="3"/>
      <c r="K1206" s="3"/>
      <c r="L1206" s="3"/>
      <c r="M1206" s="3"/>
      <c r="N1206" s="3"/>
      <c r="O1206" s="3"/>
      <c r="P1206" s="59"/>
      <c r="Q1206" s="21"/>
      <c r="R1206" s="21"/>
      <c r="S1206" s="3"/>
      <c r="T1206" s="3"/>
      <c r="U1206" s="3"/>
      <c r="V1206" s="3"/>
      <c r="W1206" s="3"/>
      <c r="X1206" s="3"/>
      <c r="Y1206" s="3"/>
      <c r="Z1206" s="53"/>
      <c r="AA1206" s="3"/>
      <c r="AB1206" s="59"/>
      <c r="AC1206" s="3"/>
      <c r="AD1206" s="53"/>
      <c r="AE1206" s="59"/>
    </row>
    <row r="1207" spans="1:31" customFormat="1" ht="15" x14ac:dyDescent="0.35">
      <c r="A1207" s="50"/>
      <c r="B1207" s="63"/>
      <c r="C1207" s="39"/>
      <c r="D1207" s="6"/>
      <c r="E1207" s="153"/>
      <c r="F1207" s="10"/>
      <c r="G1207" s="53"/>
      <c r="H1207" s="3"/>
      <c r="I1207" s="3"/>
      <c r="J1207" s="3"/>
      <c r="K1207" s="3"/>
      <c r="L1207" s="3"/>
      <c r="M1207" s="3"/>
      <c r="N1207" s="3"/>
      <c r="O1207" s="3"/>
      <c r="P1207" s="59"/>
      <c r="Q1207" s="21"/>
      <c r="R1207" s="21"/>
      <c r="S1207" s="3"/>
      <c r="T1207" s="3"/>
      <c r="U1207" s="3"/>
      <c r="V1207" s="3"/>
      <c r="W1207" s="3"/>
      <c r="X1207" s="3"/>
      <c r="Y1207" s="3"/>
      <c r="Z1207" s="53"/>
      <c r="AA1207" s="3"/>
      <c r="AB1207" s="59"/>
      <c r="AC1207" s="3"/>
      <c r="AD1207" s="53"/>
      <c r="AE1207" s="59"/>
    </row>
    <row r="1208" spans="1:31" customFormat="1" ht="15" x14ac:dyDescent="0.35">
      <c r="A1208" s="50"/>
      <c r="B1208" s="63"/>
      <c r="C1208" s="39"/>
      <c r="D1208" s="6"/>
      <c r="E1208" s="153"/>
      <c r="F1208" s="10"/>
      <c r="G1208" s="53"/>
      <c r="H1208" s="3"/>
      <c r="I1208" s="3"/>
      <c r="J1208" s="3"/>
      <c r="K1208" s="3"/>
      <c r="L1208" s="3"/>
      <c r="M1208" s="3"/>
      <c r="N1208" s="3"/>
      <c r="O1208" s="3"/>
      <c r="P1208" s="59"/>
      <c r="Q1208" s="21"/>
      <c r="R1208" s="21"/>
      <c r="S1208" s="3"/>
      <c r="T1208" s="3"/>
      <c r="U1208" s="3"/>
      <c r="V1208" s="3"/>
      <c r="W1208" s="3"/>
      <c r="X1208" s="3"/>
      <c r="Y1208" s="3"/>
      <c r="Z1208" s="53"/>
      <c r="AA1208" s="3"/>
      <c r="AB1208" s="59"/>
      <c r="AC1208" s="3"/>
      <c r="AD1208" s="53"/>
      <c r="AE1208" s="59"/>
    </row>
    <row r="1209" spans="1:31" customFormat="1" ht="15" x14ac:dyDescent="0.35">
      <c r="A1209" s="50"/>
      <c r="B1209" s="63"/>
      <c r="C1209" s="39"/>
      <c r="D1209" s="6"/>
      <c r="E1209" s="153"/>
      <c r="F1209" s="10"/>
      <c r="G1209" s="54"/>
      <c r="H1209" s="3"/>
      <c r="I1209" s="2"/>
      <c r="J1209" s="2"/>
      <c r="K1209" s="3"/>
      <c r="L1209" s="3"/>
      <c r="M1209" s="3"/>
      <c r="N1209" s="3"/>
      <c r="O1209" s="3"/>
      <c r="P1209" s="59"/>
      <c r="Q1209" s="3"/>
      <c r="R1209" s="3"/>
      <c r="S1209" s="3"/>
      <c r="T1209" s="3"/>
      <c r="U1209" s="3"/>
      <c r="V1209" s="3"/>
      <c r="W1209" s="3"/>
      <c r="X1209" s="3"/>
      <c r="Y1209" s="3"/>
      <c r="Z1209" s="53"/>
      <c r="AA1209" s="3"/>
      <c r="AB1209" s="59"/>
      <c r="AC1209" s="3"/>
      <c r="AD1209" s="53"/>
      <c r="AE1209" s="59"/>
    </row>
    <row r="1210" spans="1:31" customFormat="1" ht="15" x14ac:dyDescent="0.35">
      <c r="A1210" s="50"/>
      <c r="B1210" s="63"/>
      <c r="C1210" s="39"/>
      <c r="D1210" s="6"/>
      <c r="E1210" s="153"/>
      <c r="F1210" s="10"/>
      <c r="G1210" s="53"/>
      <c r="H1210" s="3"/>
      <c r="I1210" s="3"/>
      <c r="J1210" s="3"/>
      <c r="K1210" s="3"/>
      <c r="L1210" s="3"/>
      <c r="M1210" s="3"/>
      <c r="N1210" s="3"/>
      <c r="O1210" s="3"/>
      <c r="P1210" s="59"/>
      <c r="Q1210" s="21"/>
      <c r="R1210" s="21"/>
      <c r="S1210" s="3"/>
      <c r="T1210" s="3"/>
      <c r="U1210" s="3"/>
      <c r="V1210" s="3"/>
      <c r="W1210" s="3"/>
      <c r="X1210" s="3"/>
      <c r="Y1210" s="3"/>
      <c r="Z1210" s="53"/>
      <c r="AA1210" s="3"/>
      <c r="AB1210" s="59"/>
      <c r="AC1210" s="3"/>
      <c r="AD1210" s="53"/>
      <c r="AE1210" s="59"/>
    </row>
    <row r="1211" spans="1:31" customFormat="1" ht="15" x14ac:dyDescent="0.35">
      <c r="A1211" s="50"/>
      <c r="B1211" s="63"/>
      <c r="C1211" s="39"/>
      <c r="D1211" s="6"/>
      <c r="E1211" s="153"/>
      <c r="F1211" s="10"/>
      <c r="G1211" s="53"/>
      <c r="H1211" s="3"/>
      <c r="I1211" s="3"/>
      <c r="J1211" s="3"/>
      <c r="K1211" s="3"/>
      <c r="L1211" s="3"/>
      <c r="M1211" s="3"/>
      <c r="N1211" s="3"/>
      <c r="O1211" s="3"/>
      <c r="P1211" s="59"/>
      <c r="Q1211" s="21"/>
      <c r="R1211" s="21"/>
      <c r="S1211" s="3"/>
      <c r="T1211" s="3"/>
      <c r="U1211" s="3"/>
      <c r="V1211" s="3"/>
      <c r="W1211" s="3"/>
      <c r="X1211" s="3"/>
      <c r="Y1211" s="3"/>
      <c r="Z1211" s="53"/>
      <c r="AA1211" s="3"/>
      <c r="AB1211" s="59"/>
      <c r="AC1211" s="3"/>
      <c r="AD1211" s="53"/>
      <c r="AE1211" s="59"/>
    </row>
    <row r="1212" spans="1:31" customFormat="1" ht="15" x14ac:dyDescent="0.35">
      <c r="A1212" s="50"/>
      <c r="B1212" s="63"/>
      <c r="C1212" s="39"/>
      <c r="D1212" s="6"/>
      <c r="E1212" s="153"/>
      <c r="F1212" s="10"/>
      <c r="G1212" s="54"/>
      <c r="H1212" s="3"/>
      <c r="I1212" s="2"/>
      <c r="J1212" s="2"/>
      <c r="K1212" s="3"/>
      <c r="L1212" s="3"/>
      <c r="M1212" s="3"/>
      <c r="N1212" s="3"/>
      <c r="O1212" s="3"/>
      <c r="P1212" s="59"/>
      <c r="Q1212" s="3"/>
      <c r="R1212" s="3"/>
      <c r="S1212" s="3"/>
      <c r="T1212" s="3"/>
      <c r="U1212" s="3"/>
      <c r="V1212" s="3"/>
      <c r="W1212" s="3"/>
      <c r="X1212" s="3"/>
      <c r="Y1212" s="3"/>
      <c r="Z1212" s="53"/>
      <c r="AA1212" s="3"/>
      <c r="AB1212" s="59"/>
      <c r="AC1212" s="3"/>
      <c r="AD1212" s="53"/>
      <c r="AE1212" s="59"/>
    </row>
    <row r="1213" spans="1:31" customFormat="1" ht="15" x14ac:dyDescent="0.35">
      <c r="A1213" s="50"/>
      <c r="B1213" s="63"/>
      <c r="C1213" s="39"/>
      <c r="D1213" s="6"/>
      <c r="E1213" s="153"/>
      <c r="F1213" s="10"/>
      <c r="G1213" s="53"/>
      <c r="H1213" s="3"/>
      <c r="I1213" s="3"/>
      <c r="J1213" s="3"/>
      <c r="K1213" s="3"/>
      <c r="L1213" s="3"/>
      <c r="M1213" s="3"/>
      <c r="N1213" s="3"/>
      <c r="O1213" s="3"/>
      <c r="P1213" s="59"/>
      <c r="Q1213" s="21"/>
      <c r="R1213" s="21"/>
      <c r="S1213" s="3"/>
      <c r="T1213" s="3"/>
      <c r="U1213" s="3"/>
      <c r="V1213" s="3"/>
      <c r="W1213" s="3"/>
      <c r="X1213" s="3"/>
      <c r="Y1213" s="3"/>
      <c r="Z1213" s="53"/>
      <c r="AA1213" s="3"/>
      <c r="AB1213" s="59"/>
      <c r="AC1213" s="3"/>
      <c r="AD1213" s="53"/>
      <c r="AE1213" s="59"/>
    </row>
    <row r="1214" spans="1:31" customFormat="1" ht="15" x14ac:dyDescent="0.35">
      <c r="A1214" s="50"/>
      <c r="B1214" s="63"/>
      <c r="C1214" s="39"/>
      <c r="D1214" s="6"/>
      <c r="E1214" s="153"/>
      <c r="F1214" s="10"/>
      <c r="G1214" s="54"/>
      <c r="H1214" s="3"/>
      <c r="I1214" s="2"/>
      <c r="J1214" s="2"/>
      <c r="K1214" s="3"/>
      <c r="L1214" s="3"/>
      <c r="M1214" s="3"/>
      <c r="N1214" s="3"/>
      <c r="O1214" s="3"/>
      <c r="P1214" s="59"/>
      <c r="Q1214" s="3"/>
      <c r="R1214" s="3"/>
      <c r="S1214" s="3"/>
      <c r="T1214" s="3"/>
      <c r="U1214" s="3"/>
      <c r="V1214" s="3"/>
      <c r="W1214" s="3"/>
      <c r="X1214" s="3"/>
      <c r="Y1214" s="3"/>
      <c r="Z1214" s="53"/>
      <c r="AA1214" s="3"/>
      <c r="AB1214" s="59"/>
      <c r="AC1214" s="3"/>
      <c r="AD1214" s="53"/>
      <c r="AE1214" s="59"/>
    </row>
    <row r="1215" spans="1:31" customFormat="1" ht="15" x14ac:dyDescent="0.35">
      <c r="A1215" s="50"/>
      <c r="B1215" s="63"/>
      <c r="C1215" s="39"/>
      <c r="D1215" s="6"/>
      <c r="E1215" s="153"/>
      <c r="F1215" s="10"/>
      <c r="G1215" s="54"/>
      <c r="H1215" s="3"/>
      <c r="I1215" s="2"/>
      <c r="J1215" s="2"/>
      <c r="K1215" s="3"/>
      <c r="L1215" s="3"/>
      <c r="M1215" s="3"/>
      <c r="N1215" s="3"/>
      <c r="O1215" s="3"/>
      <c r="P1215" s="59"/>
      <c r="Q1215" s="3"/>
      <c r="R1215" s="3"/>
      <c r="S1215" s="3"/>
      <c r="T1215" s="3"/>
      <c r="U1215" s="3"/>
      <c r="V1215" s="3"/>
      <c r="W1215" s="3"/>
      <c r="X1215" s="3"/>
      <c r="Y1215" s="3"/>
      <c r="Z1215" s="53"/>
      <c r="AA1215" s="3"/>
      <c r="AB1215" s="59"/>
      <c r="AC1215" s="3"/>
      <c r="AD1215" s="53"/>
      <c r="AE1215" s="59"/>
    </row>
    <row r="1216" spans="1:31" customFormat="1" ht="15" x14ac:dyDescent="0.35">
      <c r="A1216" s="50"/>
      <c r="B1216" s="63"/>
      <c r="C1216" s="39"/>
      <c r="D1216" s="6"/>
      <c r="E1216" s="153"/>
      <c r="F1216" s="10"/>
      <c r="G1216" s="54"/>
      <c r="H1216" s="3"/>
      <c r="I1216" s="2"/>
      <c r="J1216" s="2"/>
      <c r="K1216" s="3"/>
      <c r="L1216" s="3"/>
      <c r="M1216" s="3"/>
      <c r="N1216" s="3"/>
      <c r="O1216" s="3"/>
      <c r="P1216" s="59"/>
      <c r="Q1216" s="3"/>
      <c r="R1216" s="3"/>
      <c r="S1216" s="3"/>
      <c r="T1216" s="3"/>
      <c r="U1216" s="3"/>
      <c r="V1216" s="3"/>
      <c r="W1216" s="3"/>
      <c r="X1216" s="3"/>
      <c r="Y1216" s="3"/>
      <c r="Z1216" s="53"/>
      <c r="AA1216" s="3"/>
      <c r="AB1216" s="59"/>
      <c r="AC1216" s="3"/>
      <c r="AD1216" s="53"/>
      <c r="AE1216" s="59"/>
    </row>
    <row r="1217" spans="1:31" customFormat="1" ht="15" x14ac:dyDescent="0.35">
      <c r="A1217" s="50"/>
      <c r="B1217" s="63"/>
      <c r="C1217" s="39"/>
      <c r="D1217" s="6"/>
      <c r="E1217" s="153"/>
      <c r="F1217" s="10"/>
      <c r="G1217" s="53"/>
      <c r="H1217" s="3"/>
      <c r="I1217" s="3"/>
      <c r="J1217" s="3"/>
      <c r="K1217" s="3"/>
      <c r="L1217" s="3"/>
      <c r="M1217" s="3"/>
      <c r="N1217" s="3"/>
      <c r="O1217" s="3"/>
      <c r="P1217" s="59"/>
      <c r="Q1217" s="21"/>
      <c r="R1217" s="21"/>
      <c r="S1217" s="3"/>
      <c r="T1217" s="3"/>
      <c r="U1217" s="3"/>
      <c r="V1217" s="3"/>
      <c r="W1217" s="3"/>
      <c r="X1217" s="3"/>
      <c r="Y1217" s="3"/>
      <c r="Z1217" s="53"/>
      <c r="AA1217" s="3"/>
      <c r="AB1217" s="59"/>
      <c r="AC1217" s="3"/>
      <c r="AD1217" s="53"/>
      <c r="AE1217" s="59"/>
    </row>
    <row r="1218" spans="1:31" customFormat="1" ht="15" x14ac:dyDescent="0.35">
      <c r="A1218" s="19"/>
      <c r="B1218" s="49"/>
      <c r="C1218" s="14"/>
      <c r="D1218" s="1"/>
      <c r="E1218" s="153"/>
      <c r="F1218" s="10"/>
      <c r="G1218" s="20"/>
      <c r="H1218" s="21"/>
      <c r="I1218" s="21"/>
      <c r="J1218" s="21"/>
      <c r="K1218" s="21"/>
      <c r="L1218" s="21"/>
      <c r="M1218" s="21"/>
      <c r="N1218" s="22"/>
      <c r="O1218" s="21"/>
      <c r="P1218" s="24"/>
      <c r="Q1218" s="21"/>
      <c r="R1218" s="21"/>
      <c r="S1218" s="21"/>
      <c r="T1218" s="21"/>
      <c r="U1218" s="21"/>
      <c r="V1218" s="22"/>
      <c r="W1218" s="21"/>
      <c r="X1218" s="22"/>
      <c r="Y1218" s="21"/>
      <c r="Z1218" s="20"/>
      <c r="AA1218" s="21"/>
      <c r="AB1218" s="25"/>
      <c r="AC1218" s="26"/>
      <c r="AD1218" s="27"/>
      <c r="AE1218" s="28"/>
    </row>
    <row r="1219" spans="1:31" customFormat="1" ht="15" x14ac:dyDescent="0.35">
      <c r="A1219" s="19"/>
      <c r="B1219" s="49"/>
      <c r="C1219" s="39"/>
      <c r="D1219" s="1"/>
      <c r="E1219" s="153"/>
      <c r="F1219" s="10"/>
      <c r="G1219" s="20"/>
      <c r="H1219" s="21"/>
      <c r="I1219" s="21"/>
      <c r="J1219" s="21"/>
      <c r="K1219" s="21"/>
      <c r="L1219" s="21"/>
      <c r="M1219" s="21"/>
      <c r="N1219" s="22"/>
      <c r="O1219" s="21"/>
      <c r="P1219" s="24"/>
      <c r="Q1219" s="21"/>
      <c r="R1219" s="21"/>
      <c r="S1219" s="21"/>
      <c r="T1219" s="21"/>
      <c r="U1219" s="21"/>
      <c r="V1219" s="22"/>
      <c r="W1219" s="21"/>
      <c r="X1219" s="22"/>
      <c r="Y1219" s="21"/>
      <c r="Z1219" s="20"/>
      <c r="AA1219" s="21"/>
      <c r="AB1219" s="25"/>
      <c r="AC1219" s="26"/>
      <c r="AD1219" s="27"/>
      <c r="AE1219" s="28"/>
    </row>
    <row r="1220" spans="1:31" customFormat="1" ht="15" x14ac:dyDescent="0.35">
      <c r="A1220" s="50"/>
      <c r="B1220" s="63"/>
      <c r="C1220" s="39"/>
      <c r="D1220" s="6"/>
      <c r="E1220" s="153"/>
      <c r="F1220" s="10"/>
      <c r="G1220" s="53"/>
      <c r="H1220" s="3"/>
      <c r="I1220" s="3"/>
      <c r="J1220" s="3"/>
      <c r="K1220" s="3"/>
      <c r="L1220" s="3"/>
      <c r="M1220" s="3"/>
      <c r="N1220" s="3"/>
      <c r="O1220" s="3"/>
      <c r="P1220" s="59"/>
      <c r="Q1220" s="21"/>
      <c r="R1220" s="21"/>
      <c r="S1220" s="3"/>
      <c r="T1220" s="3"/>
      <c r="U1220" s="3"/>
      <c r="V1220" s="3"/>
      <c r="W1220" s="3"/>
      <c r="X1220" s="3"/>
      <c r="Y1220" s="3"/>
      <c r="Z1220" s="53"/>
      <c r="AA1220" s="3"/>
      <c r="AB1220" s="59"/>
      <c r="AC1220" s="3"/>
      <c r="AD1220" s="53"/>
      <c r="AE1220" s="59"/>
    </row>
    <row r="1221" spans="1:31" customFormat="1" ht="15" x14ac:dyDescent="0.35">
      <c r="A1221" s="50"/>
      <c r="B1221" s="63"/>
      <c r="C1221" s="39"/>
      <c r="D1221" s="6"/>
      <c r="E1221" s="153"/>
      <c r="F1221" s="10"/>
      <c r="G1221" s="54"/>
      <c r="H1221" s="3"/>
      <c r="I1221" s="2"/>
      <c r="J1221" s="2"/>
      <c r="K1221" s="3"/>
      <c r="L1221" s="3"/>
      <c r="M1221" s="3"/>
      <c r="N1221" s="3"/>
      <c r="O1221" s="3"/>
      <c r="P1221" s="59"/>
      <c r="Q1221" s="3"/>
      <c r="R1221" s="3"/>
      <c r="S1221" s="3"/>
      <c r="T1221" s="3"/>
      <c r="U1221" s="3"/>
      <c r="V1221" s="3"/>
      <c r="W1221" s="3"/>
      <c r="X1221" s="3"/>
      <c r="Y1221" s="3"/>
      <c r="Z1221" s="53"/>
      <c r="AA1221" s="3"/>
      <c r="AB1221" s="59"/>
      <c r="AC1221" s="3"/>
      <c r="AD1221" s="53"/>
      <c r="AE1221" s="59"/>
    </row>
    <row r="1222" spans="1:31" customFormat="1" ht="15" x14ac:dyDescent="0.35">
      <c r="A1222" s="50"/>
      <c r="B1222" s="63"/>
      <c r="C1222" s="39"/>
      <c r="D1222" s="6"/>
      <c r="E1222" s="153"/>
      <c r="F1222" s="10"/>
      <c r="G1222" s="54"/>
      <c r="H1222" s="3"/>
      <c r="I1222" s="2"/>
      <c r="J1222" s="2"/>
      <c r="K1222" s="3"/>
      <c r="L1222" s="3"/>
      <c r="M1222" s="3"/>
      <c r="N1222" s="3"/>
      <c r="O1222" s="3"/>
      <c r="P1222" s="59"/>
      <c r="Q1222" s="3"/>
      <c r="R1222" s="3"/>
      <c r="S1222" s="3"/>
      <c r="T1222" s="3"/>
      <c r="U1222" s="3"/>
      <c r="V1222" s="3"/>
      <c r="W1222" s="3"/>
      <c r="X1222" s="3"/>
      <c r="Y1222" s="3"/>
      <c r="Z1222" s="53"/>
      <c r="AA1222" s="3"/>
      <c r="AB1222" s="59"/>
      <c r="AC1222" s="3"/>
      <c r="AD1222" s="53"/>
      <c r="AE1222" s="59"/>
    </row>
    <row r="1223" spans="1:31" customFormat="1" ht="15" x14ac:dyDescent="0.35">
      <c r="A1223" s="50"/>
      <c r="B1223" s="63"/>
      <c r="C1223" s="39"/>
      <c r="D1223" s="6"/>
      <c r="E1223" s="153"/>
      <c r="F1223" s="10"/>
      <c r="G1223" s="54"/>
      <c r="H1223" s="3"/>
      <c r="I1223" s="2"/>
      <c r="J1223" s="2"/>
      <c r="K1223" s="3"/>
      <c r="L1223" s="3"/>
      <c r="M1223" s="3"/>
      <c r="N1223" s="3"/>
      <c r="O1223" s="3"/>
      <c r="P1223" s="59"/>
      <c r="Q1223" s="3"/>
      <c r="R1223" s="3"/>
      <c r="S1223" s="3"/>
      <c r="T1223" s="3"/>
      <c r="U1223" s="3"/>
      <c r="V1223" s="3"/>
      <c r="W1223" s="3"/>
      <c r="X1223" s="3"/>
      <c r="Y1223" s="3"/>
      <c r="Z1223" s="53"/>
      <c r="AA1223" s="3"/>
      <c r="AB1223" s="59"/>
      <c r="AC1223" s="3"/>
      <c r="AD1223" s="53"/>
      <c r="AE1223" s="59"/>
    </row>
    <row r="1224" spans="1:31" customFormat="1" ht="15" x14ac:dyDescent="0.35">
      <c r="A1224" s="50"/>
      <c r="B1224" s="63"/>
      <c r="C1224" s="39"/>
      <c r="D1224" s="6"/>
      <c r="E1224" s="153"/>
      <c r="F1224" s="10"/>
      <c r="G1224" s="54"/>
      <c r="H1224" s="3"/>
      <c r="I1224" s="2"/>
      <c r="J1224" s="2"/>
      <c r="K1224" s="3"/>
      <c r="L1224" s="3"/>
      <c r="M1224" s="3"/>
      <c r="N1224" s="3"/>
      <c r="O1224" s="3"/>
      <c r="P1224" s="59"/>
      <c r="Q1224" s="3"/>
      <c r="R1224" s="3"/>
      <c r="S1224" s="3"/>
      <c r="T1224" s="3"/>
      <c r="U1224" s="3"/>
      <c r="V1224" s="3"/>
      <c r="W1224" s="3"/>
      <c r="X1224" s="3"/>
      <c r="Y1224" s="3"/>
      <c r="Z1224" s="53"/>
      <c r="AA1224" s="3"/>
      <c r="AB1224" s="59"/>
      <c r="AC1224" s="3"/>
      <c r="AD1224" s="53"/>
      <c r="AE1224" s="59"/>
    </row>
    <row r="1225" spans="1:31" customFormat="1" ht="15" x14ac:dyDescent="0.35">
      <c r="A1225" s="19"/>
      <c r="B1225" s="49"/>
      <c r="C1225" s="14"/>
      <c r="D1225" s="1"/>
      <c r="E1225" s="153"/>
      <c r="F1225" s="10"/>
      <c r="G1225" s="20"/>
      <c r="H1225" s="21"/>
      <c r="I1225" s="21"/>
      <c r="J1225" s="21"/>
      <c r="K1225" s="21"/>
      <c r="L1225" s="21"/>
      <c r="M1225" s="21"/>
      <c r="N1225" s="22"/>
      <c r="O1225" s="21"/>
      <c r="P1225" s="24"/>
      <c r="Q1225" s="21"/>
      <c r="R1225" s="21"/>
      <c r="S1225" s="21"/>
      <c r="T1225" s="21"/>
      <c r="U1225" s="21"/>
      <c r="V1225" s="22"/>
      <c r="W1225" s="21"/>
      <c r="X1225" s="22"/>
      <c r="Y1225" s="21"/>
      <c r="Z1225" s="20"/>
      <c r="AA1225" s="21"/>
      <c r="AB1225" s="25"/>
      <c r="AC1225" s="26"/>
      <c r="AD1225" s="27"/>
      <c r="AE1225" s="28"/>
    </row>
    <row r="1226" spans="1:31" customFormat="1" ht="15" x14ac:dyDescent="0.35">
      <c r="A1226" s="50"/>
      <c r="B1226" s="63"/>
      <c r="C1226" s="39"/>
      <c r="D1226" s="6"/>
      <c r="E1226" s="153"/>
      <c r="F1226" s="10"/>
      <c r="G1226" s="54"/>
      <c r="H1226" s="3"/>
      <c r="I1226" s="2"/>
      <c r="J1226" s="2"/>
      <c r="K1226" s="3"/>
      <c r="L1226" s="3"/>
      <c r="M1226" s="3"/>
      <c r="N1226" s="3"/>
      <c r="O1226" s="3"/>
      <c r="P1226" s="59"/>
      <c r="Q1226" s="3"/>
      <c r="R1226" s="3"/>
      <c r="S1226" s="3"/>
      <c r="T1226" s="3"/>
      <c r="U1226" s="3"/>
      <c r="V1226" s="3"/>
      <c r="W1226" s="3"/>
      <c r="X1226" s="3"/>
      <c r="Y1226" s="3"/>
      <c r="Z1226" s="53"/>
      <c r="AA1226" s="3"/>
      <c r="AB1226" s="59"/>
      <c r="AC1226" s="3"/>
      <c r="AD1226" s="53"/>
      <c r="AE1226" s="59"/>
    </row>
    <row r="1227" spans="1:31" customFormat="1" ht="15" x14ac:dyDescent="0.35">
      <c r="A1227" s="50"/>
      <c r="B1227" s="63"/>
      <c r="C1227" s="39"/>
      <c r="D1227" s="6"/>
      <c r="E1227" s="153"/>
      <c r="F1227" s="10"/>
      <c r="G1227" s="54"/>
      <c r="H1227" s="3"/>
      <c r="I1227" s="2"/>
      <c r="J1227" s="2"/>
      <c r="K1227" s="3"/>
      <c r="L1227" s="3"/>
      <c r="M1227" s="3"/>
      <c r="N1227" s="3"/>
      <c r="O1227" s="3"/>
      <c r="P1227" s="59"/>
      <c r="Q1227" s="21"/>
      <c r="R1227" s="21"/>
      <c r="S1227" s="3"/>
      <c r="T1227" s="3"/>
      <c r="U1227" s="3"/>
      <c r="V1227" s="3"/>
      <c r="W1227" s="3"/>
      <c r="X1227" s="3"/>
      <c r="Y1227" s="3"/>
      <c r="Z1227" s="53"/>
      <c r="AA1227" s="3"/>
      <c r="AB1227" s="59"/>
      <c r="AC1227" s="3"/>
      <c r="AD1227" s="53"/>
      <c r="AE1227" s="59"/>
    </row>
    <row r="1228" spans="1:31" customFormat="1" ht="15" x14ac:dyDescent="0.35">
      <c r="A1228" s="50"/>
      <c r="B1228" s="63"/>
      <c r="C1228" s="39"/>
      <c r="D1228" s="6"/>
      <c r="E1228" s="153"/>
      <c r="F1228" s="10"/>
      <c r="G1228" s="53"/>
      <c r="H1228" s="3"/>
      <c r="I1228" s="3"/>
      <c r="J1228" s="3"/>
      <c r="K1228" s="3"/>
      <c r="L1228" s="3"/>
      <c r="M1228" s="3"/>
      <c r="N1228" s="3"/>
      <c r="O1228" s="3"/>
      <c r="P1228" s="59"/>
      <c r="Q1228" s="21"/>
      <c r="R1228" s="21"/>
      <c r="S1228" s="3"/>
      <c r="T1228" s="3"/>
      <c r="U1228" s="3"/>
      <c r="V1228" s="3"/>
      <c r="W1228" s="3"/>
      <c r="X1228" s="3"/>
      <c r="Y1228" s="3"/>
      <c r="Z1228" s="53"/>
      <c r="AA1228" s="3"/>
      <c r="AB1228" s="59"/>
      <c r="AC1228" s="3"/>
      <c r="AD1228" s="53"/>
      <c r="AE1228" s="59"/>
    </row>
    <row r="1229" spans="1:31" customFormat="1" ht="15" x14ac:dyDescent="0.35">
      <c r="A1229" s="50"/>
      <c r="B1229" s="63"/>
      <c r="C1229" s="39"/>
      <c r="D1229" s="6"/>
      <c r="E1229" s="153"/>
      <c r="F1229" s="10"/>
      <c r="G1229" s="53"/>
      <c r="H1229" s="3"/>
      <c r="I1229" s="3"/>
      <c r="J1229" s="3"/>
      <c r="K1229" s="3"/>
      <c r="L1229" s="3"/>
      <c r="M1229" s="3"/>
      <c r="N1229" s="3"/>
      <c r="O1229" s="3"/>
      <c r="P1229" s="59"/>
      <c r="Q1229" s="21"/>
      <c r="R1229" s="21"/>
      <c r="S1229" s="3"/>
      <c r="T1229" s="3"/>
      <c r="U1229" s="3"/>
      <c r="V1229" s="3"/>
      <c r="W1229" s="3"/>
      <c r="X1229" s="3"/>
      <c r="Y1229" s="3"/>
      <c r="Z1229" s="53"/>
      <c r="AA1229" s="3"/>
      <c r="AB1229" s="59"/>
      <c r="AC1229" s="3"/>
      <c r="AD1229" s="53"/>
      <c r="AE1229" s="59"/>
    </row>
    <row r="1230" spans="1:31" customFormat="1" ht="15" x14ac:dyDescent="0.35">
      <c r="A1230" s="19"/>
      <c r="B1230" s="49"/>
      <c r="C1230" s="14"/>
      <c r="D1230" s="1"/>
      <c r="E1230" s="153"/>
      <c r="F1230" s="10"/>
      <c r="G1230" s="20"/>
      <c r="H1230" s="21"/>
      <c r="I1230" s="21"/>
      <c r="J1230" s="21"/>
      <c r="K1230" s="21"/>
      <c r="L1230" s="21"/>
      <c r="M1230" s="21"/>
      <c r="N1230" s="22"/>
      <c r="O1230" s="21"/>
      <c r="P1230" s="24"/>
      <c r="Q1230" s="21"/>
      <c r="R1230" s="21"/>
      <c r="S1230" s="21"/>
      <c r="T1230" s="21"/>
      <c r="U1230" s="21"/>
      <c r="V1230" s="22"/>
      <c r="W1230" s="21"/>
      <c r="X1230" s="22"/>
      <c r="Y1230" s="21"/>
      <c r="Z1230" s="20"/>
      <c r="AA1230" s="21"/>
      <c r="AB1230" s="25"/>
      <c r="AC1230" s="26"/>
      <c r="AD1230" s="27"/>
      <c r="AE1230" s="28"/>
    </row>
    <row r="1231" spans="1:31" customFormat="1" ht="15" x14ac:dyDescent="0.35">
      <c r="A1231" s="19"/>
      <c r="B1231" s="49"/>
      <c r="C1231" s="14"/>
      <c r="D1231" s="1"/>
      <c r="E1231" s="153"/>
      <c r="F1231" s="10"/>
      <c r="G1231" s="20"/>
      <c r="H1231" s="21"/>
      <c r="I1231" s="21"/>
      <c r="J1231" s="21"/>
      <c r="K1231" s="21"/>
      <c r="L1231" s="21"/>
      <c r="M1231" s="21"/>
      <c r="N1231" s="22"/>
      <c r="O1231" s="21"/>
      <c r="P1231" s="24"/>
      <c r="Q1231" s="21"/>
      <c r="R1231" s="21"/>
      <c r="S1231" s="21"/>
      <c r="T1231" s="21"/>
      <c r="U1231" s="21"/>
      <c r="V1231" s="22"/>
      <c r="W1231" s="21"/>
      <c r="X1231" s="22"/>
      <c r="Y1231" s="21"/>
      <c r="Z1231" s="20"/>
      <c r="AA1231" s="21"/>
      <c r="AB1231" s="25"/>
      <c r="AC1231" s="26"/>
      <c r="AD1231" s="27"/>
      <c r="AE1231" s="28"/>
    </row>
    <row r="1232" spans="1:31" customFormat="1" ht="15" x14ac:dyDescent="0.35">
      <c r="A1232" s="50"/>
      <c r="B1232" s="63"/>
      <c r="C1232" s="39"/>
      <c r="D1232" s="6"/>
      <c r="E1232" s="153"/>
      <c r="F1232" s="10"/>
      <c r="G1232" s="54"/>
      <c r="H1232" s="3"/>
      <c r="I1232" s="2"/>
      <c r="J1232" s="2"/>
      <c r="K1232" s="3"/>
      <c r="L1232" s="3"/>
      <c r="M1232" s="3"/>
      <c r="N1232" s="3"/>
      <c r="O1232" s="3"/>
      <c r="P1232" s="59"/>
      <c r="Q1232" s="3"/>
      <c r="R1232" s="3"/>
      <c r="S1232" s="3"/>
      <c r="T1232" s="3"/>
      <c r="U1232" s="3"/>
      <c r="V1232" s="3"/>
      <c r="W1232" s="3"/>
      <c r="X1232" s="3"/>
      <c r="Y1232" s="3"/>
      <c r="Z1232" s="53"/>
      <c r="AA1232" s="3"/>
      <c r="AB1232" s="59"/>
      <c r="AC1232" s="3"/>
      <c r="AD1232" s="53"/>
      <c r="AE1232" s="59"/>
    </row>
    <row r="1233" spans="1:31" customFormat="1" ht="15" x14ac:dyDescent="0.35">
      <c r="A1233" s="50"/>
      <c r="B1233" s="63"/>
      <c r="C1233" s="39"/>
      <c r="D1233" s="6"/>
      <c r="E1233" s="153"/>
      <c r="F1233" s="10"/>
      <c r="G1233" s="54"/>
      <c r="H1233" s="3"/>
      <c r="I1233" s="2"/>
      <c r="J1233" s="2"/>
      <c r="K1233" s="3"/>
      <c r="L1233" s="3"/>
      <c r="M1233" s="3"/>
      <c r="N1233" s="3"/>
      <c r="O1233" s="3"/>
      <c r="P1233" s="59"/>
      <c r="Q1233" s="3"/>
      <c r="R1233" s="3"/>
      <c r="S1233" s="3"/>
      <c r="T1233" s="3"/>
      <c r="U1233" s="3"/>
      <c r="V1233" s="3"/>
      <c r="W1233" s="3"/>
      <c r="X1233" s="3"/>
      <c r="Y1233" s="3"/>
      <c r="Z1233" s="53"/>
      <c r="AA1233" s="3"/>
      <c r="AB1233" s="59"/>
      <c r="AC1233" s="3"/>
      <c r="AD1233" s="53"/>
      <c r="AE1233" s="59"/>
    </row>
    <row r="1234" spans="1:31" customFormat="1" ht="15" x14ac:dyDescent="0.35">
      <c r="A1234" s="19"/>
      <c r="B1234" s="49"/>
      <c r="C1234" s="39"/>
      <c r="D1234" s="1"/>
      <c r="E1234" s="153"/>
      <c r="F1234" s="10"/>
      <c r="G1234" s="20"/>
      <c r="H1234" s="21"/>
      <c r="I1234" s="21"/>
      <c r="J1234" s="21"/>
      <c r="K1234" s="21"/>
      <c r="L1234" s="21"/>
      <c r="M1234" s="21"/>
      <c r="N1234" s="22"/>
      <c r="O1234" s="21"/>
      <c r="P1234" s="24"/>
      <c r="Q1234" s="21"/>
      <c r="R1234" s="21"/>
      <c r="S1234" s="21"/>
      <c r="T1234" s="21"/>
      <c r="U1234" s="21"/>
      <c r="V1234" s="22"/>
      <c r="W1234" s="21"/>
      <c r="X1234" s="22"/>
      <c r="Y1234" s="21"/>
      <c r="Z1234" s="20"/>
      <c r="AA1234" s="21"/>
      <c r="AB1234" s="25"/>
      <c r="AC1234" s="26"/>
      <c r="AD1234" s="27"/>
      <c r="AE1234" s="28"/>
    </row>
    <row r="1235" spans="1:31" customFormat="1" ht="15" x14ac:dyDescent="0.35">
      <c r="A1235" s="50"/>
      <c r="B1235" s="63"/>
      <c r="C1235" s="39"/>
      <c r="D1235" s="6"/>
      <c r="E1235" s="153"/>
      <c r="F1235" s="10"/>
      <c r="G1235" s="54"/>
      <c r="H1235" s="3"/>
      <c r="I1235" s="2"/>
      <c r="J1235" s="2"/>
      <c r="K1235" s="3"/>
      <c r="L1235" s="3"/>
      <c r="M1235" s="3"/>
      <c r="N1235" s="3"/>
      <c r="O1235" s="3"/>
      <c r="P1235" s="59"/>
      <c r="Q1235" s="3"/>
      <c r="R1235" s="3"/>
      <c r="S1235" s="3"/>
      <c r="T1235" s="3"/>
      <c r="U1235" s="3"/>
      <c r="V1235" s="3"/>
      <c r="W1235" s="3"/>
      <c r="X1235" s="3"/>
      <c r="Y1235" s="3"/>
      <c r="Z1235" s="53"/>
      <c r="AA1235" s="3"/>
      <c r="AB1235" s="59"/>
      <c r="AC1235" s="3"/>
      <c r="AD1235" s="53"/>
      <c r="AE1235" s="59"/>
    </row>
    <row r="1236" spans="1:31" customFormat="1" ht="15" x14ac:dyDescent="0.35">
      <c r="A1236" s="19"/>
      <c r="B1236" s="49"/>
      <c r="C1236" s="14"/>
      <c r="D1236" s="1"/>
      <c r="E1236" s="153"/>
      <c r="F1236" s="10"/>
      <c r="G1236" s="20"/>
      <c r="H1236" s="21"/>
      <c r="I1236" s="21"/>
      <c r="J1236" s="21"/>
      <c r="K1236" s="21"/>
      <c r="L1236" s="21"/>
      <c r="M1236" s="21"/>
      <c r="N1236" s="22"/>
      <c r="O1236" s="21"/>
      <c r="P1236" s="24"/>
      <c r="Q1236" s="21"/>
      <c r="R1236" s="21"/>
      <c r="S1236" s="21"/>
      <c r="T1236" s="21"/>
      <c r="U1236" s="21"/>
      <c r="V1236" s="22"/>
      <c r="W1236" s="21"/>
      <c r="X1236" s="22"/>
      <c r="Y1236" s="21"/>
      <c r="Z1236" s="20"/>
      <c r="AA1236" s="21"/>
      <c r="AB1236" s="25"/>
      <c r="AC1236" s="26"/>
      <c r="AD1236" s="27"/>
      <c r="AE1236" s="28"/>
    </row>
    <row r="1237" spans="1:31" customFormat="1" ht="15" x14ac:dyDescent="0.35">
      <c r="A1237" s="19"/>
      <c r="B1237" s="49"/>
      <c r="C1237" s="14"/>
      <c r="D1237" s="1"/>
      <c r="E1237" s="153"/>
      <c r="F1237" s="10"/>
      <c r="G1237" s="20"/>
      <c r="H1237" s="21"/>
      <c r="I1237" s="21"/>
      <c r="J1237" s="21"/>
      <c r="K1237" s="21"/>
      <c r="L1237" s="21"/>
      <c r="M1237" s="21"/>
      <c r="N1237" s="22"/>
      <c r="O1237" s="21"/>
      <c r="P1237" s="24"/>
      <c r="Q1237" s="21"/>
      <c r="R1237" s="21"/>
      <c r="S1237" s="21"/>
      <c r="T1237" s="21"/>
      <c r="U1237" s="21"/>
      <c r="V1237" s="22"/>
      <c r="W1237" s="21"/>
      <c r="X1237" s="22"/>
      <c r="Y1237" s="21"/>
      <c r="Z1237" s="20"/>
      <c r="AA1237" s="21"/>
      <c r="AB1237" s="25"/>
      <c r="AC1237" s="26"/>
      <c r="AD1237" s="27"/>
      <c r="AE1237" s="28"/>
    </row>
    <row r="1238" spans="1:31" customFormat="1" ht="15" x14ac:dyDescent="0.35">
      <c r="A1238" s="50"/>
      <c r="B1238" s="63"/>
      <c r="C1238" s="39"/>
      <c r="D1238" s="6"/>
      <c r="E1238" s="153"/>
      <c r="F1238" s="10"/>
      <c r="G1238" s="53"/>
      <c r="H1238" s="3"/>
      <c r="I1238" s="3"/>
      <c r="J1238" s="3"/>
      <c r="K1238" s="3"/>
      <c r="L1238" s="3"/>
      <c r="M1238" s="3"/>
      <c r="N1238" s="3"/>
      <c r="O1238" s="3"/>
      <c r="P1238" s="59"/>
      <c r="Q1238" s="21"/>
      <c r="R1238" s="21"/>
      <c r="S1238" s="3"/>
      <c r="T1238" s="3"/>
      <c r="U1238" s="3"/>
      <c r="V1238" s="3"/>
      <c r="W1238" s="3"/>
      <c r="X1238" s="3"/>
      <c r="Y1238" s="3"/>
      <c r="Z1238" s="53"/>
      <c r="AA1238" s="3"/>
      <c r="AB1238" s="59"/>
      <c r="AC1238" s="3"/>
      <c r="AD1238" s="53"/>
      <c r="AE1238" s="59"/>
    </row>
    <row r="1239" spans="1:31" customFormat="1" ht="15" x14ac:dyDescent="0.35">
      <c r="A1239" s="50"/>
      <c r="B1239" s="63"/>
      <c r="C1239" s="39"/>
      <c r="D1239" s="6"/>
      <c r="E1239" s="153"/>
      <c r="F1239" s="10"/>
      <c r="G1239" s="53"/>
      <c r="H1239" s="3"/>
      <c r="I1239" s="3"/>
      <c r="J1239" s="3"/>
      <c r="K1239" s="3"/>
      <c r="L1239" s="3"/>
      <c r="M1239" s="3"/>
      <c r="N1239" s="3"/>
      <c r="O1239" s="3"/>
      <c r="P1239" s="59"/>
      <c r="Q1239" s="21"/>
      <c r="R1239" s="21"/>
      <c r="S1239" s="3"/>
      <c r="T1239" s="3"/>
      <c r="U1239" s="3"/>
      <c r="V1239" s="3"/>
      <c r="W1239" s="3"/>
      <c r="X1239" s="3"/>
      <c r="Y1239" s="3"/>
      <c r="Z1239" s="53"/>
      <c r="AA1239" s="3"/>
      <c r="AB1239" s="59"/>
      <c r="AC1239" s="3"/>
      <c r="AD1239" s="53"/>
      <c r="AE1239" s="59"/>
    </row>
    <row r="1240" spans="1:31" customFormat="1" ht="15" x14ac:dyDescent="0.35">
      <c r="A1240" s="50"/>
      <c r="B1240" s="63"/>
      <c r="C1240" s="39"/>
      <c r="D1240" s="6"/>
      <c r="E1240" s="153"/>
      <c r="F1240" s="10"/>
      <c r="G1240" s="53"/>
      <c r="H1240" s="3"/>
      <c r="I1240" s="3"/>
      <c r="J1240" s="3"/>
      <c r="K1240" s="3"/>
      <c r="L1240" s="3"/>
      <c r="M1240" s="3"/>
      <c r="N1240" s="3"/>
      <c r="O1240" s="3"/>
      <c r="P1240" s="59"/>
      <c r="Q1240" s="21"/>
      <c r="R1240" s="21"/>
      <c r="S1240" s="3"/>
      <c r="T1240" s="3"/>
      <c r="U1240" s="3"/>
      <c r="V1240" s="3"/>
      <c r="W1240" s="3"/>
      <c r="X1240" s="3"/>
      <c r="Y1240" s="3"/>
      <c r="Z1240" s="53"/>
      <c r="AA1240" s="3"/>
      <c r="AB1240" s="59"/>
      <c r="AC1240" s="3"/>
      <c r="AD1240" s="53"/>
      <c r="AE1240" s="59"/>
    </row>
    <row r="1241" spans="1:31" customFormat="1" ht="15" x14ac:dyDescent="0.35">
      <c r="A1241" s="50"/>
      <c r="B1241" s="63"/>
      <c r="C1241" s="39"/>
      <c r="D1241" s="6"/>
      <c r="E1241" s="153"/>
      <c r="F1241" s="10"/>
      <c r="G1241" s="53"/>
      <c r="H1241" s="3"/>
      <c r="I1241" s="3"/>
      <c r="J1241" s="3"/>
      <c r="K1241" s="3"/>
      <c r="L1241" s="3"/>
      <c r="M1241" s="3"/>
      <c r="N1241" s="3"/>
      <c r="O1241" s="3"/>
      <c r="P1241" s="59"/>
      <c r="Q1241" s="21"/>
      <c r="R1241" s="21"/>
      <c r="S1241" s="3"/>
      <c r="T1241" s="3"/>
      <c r="U1241" s="3"/>
      <c r="V1241" s="3"/>
      <c r="W1241" s="3"/>
      <c r="X1241" s="3"/>
      <c r="Y1241" s="3"/>
      <c r="Z1241" s="53"/>
      <c r="AA1241" s="3"/>
      <c r="AB1241" s="59"/>
      <c r="AC1241" s="3"/>
      <c r="AD1241" s="53"/>
      <c r="AE1241" s="59"/>
    </row>
    <row r="1242" spans="1:31" customFormat="1" ht="15" x14ac:dyDescent="0.35">
      <c r="A1242" s="50"/>
      <c r="B1242" s="63"/>
      <c r="C1242" s="39"/>
      <c r="D1242" s="6"/>
      <c r="E1242" s="153"/>
      <c r="F1242" s="10"/>
      <c r="G1242" s="54"/>
      <c r="H1242" s="3"/>
      <c r="I1242" s="2"/>
      <c r="J1242" s="2"/>
      <c r="K1242" s="3"/>
      <c r="L1242" s="3"/>
      <c r="M1242" s="3"/>
      <c r="N1242" s="3"/>
      <c r="O1242" s="3"/>
      <c r="P1242" s="59"/>
      <c r="Q1242" s="21"/>
      <c r="R1242" s="21"/>
      <c r="S1242" s="3"/>
      <c r="T1242" s="3"/>
      <c r="U1242" s="3"/>
      <c r="V1242" s="3"/>
      <c r="W1242" s="3"/>
      <c r="X1242" s="3"/>
      <c r="Y1242" s="3"/>
      <c r="Z1242" s="53"/>
      <c r="AA1242" s="3"/>
      <c r="AB1242" s="59"/>
      <c r="AC1242" s="3"/>
      <c r="AD1242" s="53"/>
      <c r="AE1242" s="59"/>
    </row>
    <row r="1243" spans="1:31" customFormat="1" ht="15" x14ac:dyDescent="0.35">
      <c r="A1243" s="19"/>
      <c r="B1243" s="49"/>
      <c r="C1243" s="14"/>
      <c r="D1243" s="1"/>
      <c r="E1243" s="153"/>
      <c r="F1243" s="10"/>
      <c r="G1243" s="20"/>
      <c r="H1243" s="21"/>
      <c r="I1243" s="21"/>
      <c r="J1243" s="21"/>
      <c r="K1243" s="21"/>
      <c r="L1243" s="21"/>
      <c r="M1243" s="21"/>
      <c r="N1243" s="22"/>
      <c r="O1243" s="21"/>
      <c r="P1243" s="24"/>
      <c r="Q1243" s="21"/>
      <c r="R1243" s="21"/>
      <c r="S1243" s="21"/>
      <c r="T1243" s="21"/>
      <c r="U1243" s="21"/>
      <c r="V1243" s="22"/>
      <c r="W1243" s="21"/>
      <c r="X1243" s="22"/>
      <c r="Y1243" s="21"/>
      <c r="Z1243" s="20"/>
      <c r="AA1243" s="21"/>
      <c r="AB1243" s="25"/>
      <c r="AC1243" s="26"/>
      <c r="AD1243" s="27"/>
      <c r="AE1243" s="28"/>
    </row>
    <row r="1244" spans="1:31" customFormat="1" ht="15" x14ac:dyDescent="0.35">
      <c r="A1244" s="50"/>
      <c r="B1244" s="63"/>
      <c r="C1244" s="39"/>
      <c r="D1244" s="6"/>
      <c r="E1244" s="153"/>
      <c r="F1244" s="10"/>
      <c r="G1244" s="53"/>
      <c r="H1244" s="3"/>
      <c r="I1244" s="3"/>
      <c r="J1244" s="3"/>
      <c r="K1244" s="3"/>
      <c r="L1244" s="3"/>
      <c r="M1244" s="3"/>
      <c r="N1244" s="3"/>
      <c r="O1244" s="3"/>
      <c r="P1244" s="59"/>
      <c r="Q1244" s="21"/>
      <c r="R1244" s="21"/>
      <c r="S1244" s="3"/>
      <c r="T1244" s="3"/>
      <c r="U1244" s="3"/>
      <c r="V1244" s="3"/>
      <c r="W1244" s="3"/>
      <c r="X1244" s="3"/>
      <c r="Y1244" s="3"/>
      <c r="Z1244" s="53"/>
      <c r="AA1244" s="3"/>
      <c r="AB1244" s="59"/>
      <c r="AC1244" s="3"/>
      <c r="AD1244" s="53"/>
      <c r="AE1244" s="59"/>
    </row>
    <row r="1245" spans="1:31" customFormat="1" ht="15" x14ac:dyDescent="0.35">
      <c r="A1245" s="50"/>
      <c r="B1245" s="63"/>
      <c r="C1245" s="39"/>
      <c r="D1245" s="6"/>
      <c r="E1245" s="153"/>
      <c r="F1245" s="10"/>
      <c r="G1245" s="53"/>
      <c r="H1245" s="3"/>
      <c r="I1245" s="3"/>
      <c r="J1245" s="3"/>
      <c r="K1245" s="3"/>
      <c r="L1245" s="3"/>
      <c r="M1245" s="3"/>
      <c r="N1245" s="3"/>
      <c r="O1245" s="3"/>
      <c r="P1245" s="59"/>
      <c r="Q1245" s="3"/>
      <c r="R1245" s="3"/>
      <c r="S1245" s="3"/>
      <c r="T1245" s="3"/>
      <c r="U1245" s="3"/>
      <c r="V1245" s="3"/>
      <c r="W1245" s="3"/>
      <c r="X1245" s="3"/>
      <c r="Y1245" s="3"/>
      <c r="Z1245" s="53"/>
      <c r="AA1245" s="3"/>
      <c r="AB1245" s="59"/>
      <c r="AC1245" s="3"/>
      <c r="AD1245" s="53"/>
      <c r="AE1245" s="59"/>
    </row>
    <row r="1246" spans="1:31" customFormat="1" ht="15" x14ac:dyDescent="0.35">
      <c r="A1246" s="50"/>
      <c r="B1246" s="63"/>
      <c r="C1246" s="39"/>
      <c r="D1246" s="6"/>
      <c r="E1246" s="153"/>
      <c r="F1246" s="10"/>
      <c r="G1246" s="53"/>
      <c r="H1246" s="3"/>
      <c r="I1246" s="3"/>
      <c r="J1246" s="3"/>
      <c r="K1246" s="3"/>
      <c r="L1246" s="3"/>
      <c r="M1246" s="3"/>
      <c r="N1246" s="3"/>
      <c r="O1246" s="3"/>
      <c r="P1246" s="59"/>
      <c r="Q1246" s="21"/>
      <c r="R1246" s="21"/>
      <c r="S1246" s="3"/>
      <c r="T1246" s="3"/>
      <c r="U1246" s="3"/>
      <c r="V1246" s="3"/>
      <c r="W1246" s="3"/>
      <c r="X1246" s="3"/>
      <c r="Y1246" s="3"/>
      <c r="Z1246" s="53"/>
      <c r="AA1246" s="3"/>
      <c r="AB1246" s="59"/>
      <c r="AC1246" s="3"/>
      <c r="AD1246" s="53"/>
      <c r="AE1246" s="59"/>
    </row>
    <row r="1247" spans="1:31" customFormat="1" ht="15" x14ac:dyDescent="0.35">
      <c r="A1247" s="50"/>
      <c r="B1247" s="63"/>
      <c r="C1247" s="39"/>
      <c r="D1247" s="6"/>
      <c r="E1247" s="153"/>
      <c r="F1247" s="10"/>
      <c r="G1247" s="54"/>
      <c r="H1247" s="3"/>
      <c r="I1247" s="2"/>
      <c r="J1247" s="2"/>
      <c r="K1247" s="3"/>
      <c r="L1247" s="3"/>
      <c r="M1247" s="3"/>
      <c r="N1247" s="3"/>
      <c r="O1247" s="3"/>
      <c r="P1247" s="59"/>
      <c r="Q1247" s="3"/>
      <c r="R1247" s="3"/>
      <c r="S1247" s="3"/>
      <c r="T1247" s="3"/>
      <c r="U1247" s="3"/>
      <c r="V1247" s="3"/>
      <c r="W1247" s="3"/>
      <c r="X1247" s="3"/>
      <c r="Y1247" s="3"/>
      <c r="Z1247" s="53"/>
      <c r="AA1247" s="3"/>
      <c r="AB1247" s="59"/>
      <c r="AC1247" s="3"/>
      <c r="AD1247" s="53"/>
      <c r="AE1247" s="59"/>
    </row>
    <row r="1248" spans="1:31" customFormat="1" ht="15" x14ac:dyDescent="0.35">
      <c r="A1248" s="19"/>
      <c r="B1248" s="49"/>
      <c r="C1248" s="14"/>
      <c r="D1248" s="1"/>
      <c r="E1248" s="153"/>
      <c r="F1248" s="10"/>
      <c r="G1248" s="20"/>
      <c r="H1248" s="21"/>
      <c r="I1248" s="21"/>
      <c r="J1248" s="21"/>
      <c r="K1248" s="21"/>
      <c r="L1248" s="21"/>
      <c r="M1248" s="21"/>
      <c r="N1248" s="22"/>
      <c r="O1248" s="21"/>
      <c r="P1248" s="24"/>
      <c r="Q1248" s="21"/>
      <c r="R1248" s="21"/>
      <c r="S1248" s="21"/>
      <c r="T1248" s="21"/>
      <c r="U1248" s="21"/>
      <c r="V1248" s="22"/>
      <c r="W1248" s="21"/>
      <c r="X1248" s="22"/>
      <c r="Y1248" s="21"/>
      <c r="Z1248" s="20"/>
      <c r="AA1248" s="21"/>
      <c r="AB1248" s="25"/>
      <c r="AC1248" s="26"/>
      <c r="AD1248" s="27"/>
      <c r="AE1248" s="28"/>
    </row>
    <row r="1249" spans="1:31" customFormat="1" ht="15" x14ac:dyDescent="0.35">
      <c r="A1249" s="50"/>
      <c r="B1249" s="63"/>
      <c r="C1249" s="39"/>
      <c r="D1249" s="6"/>
      <c r="E1249" s="153"/>
      <c r="F1249" s="10"/>
      <c r="G1249" s="54"/>
      <c r="H1249" s="3"/>
      <c r="I1249" s="2"/>
      <c r="J1249" s="2"/>
      <c r="K1249" s="3"/>
      <c r="L1249" s="3"/>
      <c r="M1249" s="3"/>
      <c r="N1249" s="3"/>
      <c r="O1249" s="3"/>
      <c r="P1249" s="59"/>
      <c r="Q1249" s="3"/>
      <c r="R1249" s="3"/>
      <c r="S1249" s="3"/>
      <c r="T1249" s="3"/>
      <c r="U1249" s="3"/>
      <c r="V1249" s="3"/>
      <c r="W1249" s="3"/>
      <c r="X1249" s="3"/>
      <c r="Y1249" s="3"/>
      <c r="Z1249" s="53"/>
      <c r="AA1249" s="3"/>
      <c r="AB1249" s="59"/>
      <c r="AC1249" s="3"/>
      <c r="AD1249" s="53"/>
      <c r="AE1249" s="59"/>
    </row>
    <row r="1250" spans="1:31" customFormat="1" ht="15" x14ac:dyDescent="0.35">
      <c r="A1250" s="50"/>
      <c r="B1250" s="63"/>
      <c r="C1250" s="39"/>
      <c r="D1250" s="6"/>
      <c r="E1250" s="153"/>
      <c r="F1250" s="10"/>
      <c r="G1250" s="53"/>
      <c r="H1250" s="3"/>
      <c r="I1250" s="3"/>
      <c r="J1250" s="3"/>
      <c r="K1250" s="3"/>
      <c r="L1250" s="3"/>
      <c r="M1250" s="3"/>
      <c r="N1250" s="3"/>
      <c r="O1250" s="3"/>
      <c r="P1250" s="59"/>
      <c r="Q1250" s="21"/>
      <c r="R1250" s="21"/>
      <c r="S1250" s="3"/>
      <c r="T1250" s="3"/>
      <c r="U1250" s="3"/>
      <c r="V1250" s="3"/>
      <c r="W1250" s="3"/>
      <c r="X1250" s="3"/>
      <c r="Y1250" s="3"/>
      <c r="Z1250" s="53"/>
      <c r="AA1250" s="3"/>
      <c r="AB1250" s="59"/>
      <c r="AC1250" s="3"/>
      <c r="AD1250" s="53"/>
      <c r="AE1250" s="59"/>
    </row>
    <row r="1251" spans="1:31" customFormat="1" ht="15" x14ac:dyDescent="0.35">
      <c r="A1251" s="19"/>
      <c r="B1251" s="49"/>
      <c r="C1251" s="14"/>
      <c r="D1251" s="1"/>
      <c r="E1251" s="153"/>
      <c r="F1251" s="10"/>
      <c r="G1251" s="20"/>
      <c r="H1251" s="21"/>
      <c r="I1251" s="21"/>
      <c r="J1251" s="21"/>
      <c r="K1251" s="21"/>
      <c r="L1251" s="21"/>
      <c r="M1251" s="21"/>
      <c r="N1251" s="22"/>
      <c r="O1251" s="21"/>
      <c r="P1251" s="24"/>
      <c r="Q1251" s="21"/>
      <c r="R1251" s="21"/>
      <c r="S1251" s="21"/>
      <c r="T1251" s="21"/>
      <c r="U1251" s="21"/>
      <c r="V1251" s="22"/>
      <c r="W1251" s="21"/>
      <c r="X1251" s="22"/>
      <c r="Y1251" s="21"/>
      <c r="Z1251" s="20"/>
      <c r="AA1251" s="21"/>
      <c r="AB1251" s="25"/>
      <c r="AC1251" s="26"/>
      <c r="AD1251" s="27"/>
      <c r="AE1251" s="28"/>
    </row>
    <row r="1252" spans="1:31" customFormat="1" ht="15" x14ac:dyDescent="0.35">
      <c r="A1252" s="19"/>
      <c r="B1252" s="49"/>
      <c r="C1252" s="14"/>
      <c r="D1252" s="1"/>
      <c r="E1252" s="153"/>
      <c r="F1252" s="10"/>
      <c r="G1252" s="20"/>
      <c r="H1252" s="21"/>
      <c r="I1252" s="21"/>
      <c r="J1252" s="21"/>
      <c r="K1252" s="21"/>
      <c r="L1252" s="21"/>
      <c r="M1252" s="21"/>
      <c r="N1252" s="22"/>
      <c r="O1252" s="21"/>
      <c r="P1252" s="24"/>
      <c r="Q1252" s="21"/>
      <c r="R1252" s="21"/>
      <c r="S1252" s="21"/>
      <c r="T1252" s="21"/>
      <c r="U1252" s="21"/>
      <c r="V1252" s="22"/>
      <c r="W1252" s="21"/>
      <c r="X1252" s="22"/>
      <c r="Y1252" s="21"/>
      <c r="Z1252" s="20"/>
      <c r="AA1252" s="21"/>
      <c r="AB1252" s="25"/>
      <c r="AC1252" s="26"/>
      <c r="AD1252" s="27"/>
      <c r="AE1252" s="28"/>
    </row>
    <row r="1253" spans="1:31" customFormat="1" ht="15" x14ac:dyDescent="0.35">
      <c r="A1253" s="50"/>
      <c r="B1253" s="63"/>
      <c r="C1253" s="39"/>
      <c r="D1253" s="6"/>
      <c r="E1253" s="153"/>
      <c r="F1253" s="10"/>
      <c r="G1253" s="53"/>
      <c r="H1253" s="3"/>
      <c r="I1253" s="3"/>
      <c r="J1253" s="3"/>
      <c r="K1253" s="3"/>
      <c r="L1253" s="3"/>
      <c r="M1253" s="3"/>
      <c r="N1253" s="3"/>
      <c r="O1253" s="3"/>
      <c r="P1253" s="59"/>
      <c r="Q1253" s="21"/>
      <c r="R1253" s="21"/>
      <c r="S1253" s="3"/>
      <c r="T1253" s="3"/>
      <c r="U1253" s="3"/>
      <c r="V1253" s="3"/>
      <c r="W1253" s="3"/>
      <c r="X1253" s="3"/>
      <c r="Y1253" s="3"/>
      <c r="Z1253" s="53"/>
      <c r="AA1253" s="3"/>
      <c r="AB1253" s="59"/>
      <c r="AC1253" s="3"/>
      <c r="AD1253" s="53"/>
      <c r="AE1253" s="59"/>
    </row>
    <row r="1254" spans="1:31" customFormat="1" ht="15" x14ac:dyDescent="0.35">
      <c r="A1254" s="19"/>
      <c r="B1254" s="49"/>
      <c r="C1254" s="14"/>
      <c r="D1254" s="1"/>
      <c r="E1254" s="153"/>
      <c r="F1254" s="10"/>
      <c r="G1254" s="20"/>
      <c r="H1254" s="21"/>
      <c r="I1254" s="21"/>
      <c r="J1254" s="21"/>
      <c r="K1254" s="21"/>
      <c r="L1254" s="21"/>
      <c r="M1254" s="21"/>
      <c r="N1254" s="22"/>
      <c r="O1254" s="21"/>
      <c r="P1254" s="24"/>
      <c r="Q1254" s="21"/>
      <c r="R1254" s="21"/>
      <c r="S1254" s="21"/>
      <c r="T1254" s="21"/>
      <c r="U1254" s="21"/>
      <c r="V1254" s="22"/>
      <c r="W1254" s="21"/>
      <c r="X1254" s="22"/>
      <c r="Y1254" s="21"/>
      <c r="Z1254" s="20"/>
      <c r="AA1254" s="21"/>
      <c r="AB1254" s="25"/>
      <c r="AC1254" s="26"/>
      <c r="AD1254" s="27"/>
      <c r="AE1254" s="28"/>
    </row>
    <row r="1255" spans="1:31" customFormat="1" ht="15" x14ac:dyDescent="0.35">
      <c r="A1255" s="50"/>
      <c r="B1255" s="63"/>
      <c r="C1255" s="39"/>
      <c r="D1255" s="6"/>
      <c r="E1255" s="153"/>
      <c r="F1255" s="10"/>
      <c r="G1255" s="54"/>
      <c r="H1255" s="3"/>
      <c r="I1255" s="2"/>
      <c r="J1255" s="2"/>
      <c r="K1255" s="3"/>
      <c r="L1255" s="3"/>
      <c r="M1255" s="3"/>
      <c r="N1255" s="3"/>
      <c r="O1255" s="3"/>
      <c r="P1255" s="59"/>
      <c r="Q1255" s="3"/>
      <c r="R1255" s="3"/>
      <c r="S1255" s="3"/>
      <c r="T1255" s="3"/>
      <c r="U1255" s="3"/>
      <c r="V1255" s="3"/>
      <c r="W1255" s="3"/>
      <c r="X1255" s="3"/>
      <c r="Y1255" s="3"/>
      <c r="Z1255" s="53"/>
      <c r="AA1255" s="3"/>
      <c r="AB1255" s="59"/>
      <c r="AC1255" s="3"/>
      <c r="AD1255" s="53"/>
      <c r="AE1255" s="59"/>
    </row>
    <row r="1256" spans="1:31" customFormat="1" ht="15" x14ac:dyDescent="0.35">
      <c r="A1256" s="50"/>
      <c r="B1256" s="63"/>
      <c r="C1256" s="39"/>
      <c r="D1256" s="6"/>
      <c r="E1256" s="153"/>
      <c r="F1256" s="10"/>
      <c r="G1256" s="54"/>
      <c r="H1256" s="3"/>
      <c r="I1256" s="2"/>
      <c r="J1256" s="2"/>
      <c r="K1256" s="3"/>
      <c r="L1256" s="3"/>
      <c r="M1256" s="3"/>
      <c r="N1256" s="3"/>
      <c r="O1256" s="3"/>
      <c r="P1256" s="59"/>
      <c r="Q1256" s="21"/>
      <c r="R1256" s="21"/>
      <c r="S1256" s="3"/>
      <c r="T1256" s="3"/>
      <c r="U1256" s="3"/>
      <c r="V1256" s="3"/>
      <c r="W1256" s="3"/>
      <c r="X1256" s="3"/>
      <c r="Y1256" s="3"/>
      <c r="Z1256" s="53"/>
      <c r="AA1256" s="3"/>
      <c r="AB1256" s="59"/>
      <c r="AC1256" s="3"/>
      <c r="AD1256" s="53"/>
      <c r="AE1256" s="59"/>
    </row>
    <row r="1257" spans="1:31" customFormat="1" ht="15" x14ac:dyDescent="0.35">
      <c r="A1257" s="50"/>
      <c r="B1257" s="63"/>
      <c r="C1257" s="39"/>
      <c r="D1257" s="6"/>
      <c r="E1257" s="153"/>
      <c r="F1257" s="10"/>
      <c r="G1257" s="53"/>
      <c r="H1257" s="3"/>
      <c r="I1257" s="3"/>
      <c r="J1257" s="3"/>
      <c r="K1257" s="3"/>
      <c r="L1257" s="3"/>
      <c r="M1257" s="3"/>
      <c r="N1257" s="3"/>
      <c r="O1257" s="3"/>
      <c r="P1257" s="59"/>
      <c r="Q1257" s="21"/>
      <c r="R1257" s="21"/>
      <c r="S1257" s="3"/>
      <c r="T1257" s="3"/>
      <c r="U1257" s="3"/>
      <c r="V1257" s="3"/>
      <c r="W1257" s="3"/>
      <c r="X1257" s="3"/>
      <c r="Y1257" s="3"/>
      <c r="Z1257" s="53"/>
      <c r="AA1257" s="3"/>
      <c r="AB1257" s="59"/>
      <c r="AC1257" s="3"/>
      <c r="AD1257" s="53"/>
      <c r="AE1257" s="59"/>
    </row>
    <row r="1258" spans="1:31" customFormat="1" ht="15" x14ac:dyDescent="0.35">
      <c r="A1258" s="50"/>
      <c r="B1258" s="63"/>
      <c r="C1258" s="39"/>
      <c r="D1258" s="6"/>
      <c r="E1258" s="153"/>
      <c r="F1258" s="10"/>
      <c r="G1258" s="53"/>
      <c r="H1258" s="3"/>
      <c r="I1258" s="3"/>
      <c r="J1258" s="3"/>
      <c r="K1258" s="3"/>
      <c r="L1258" s="3"/>
      <c r="M1258" s="3"/>
      <c r="N1258" s="3"/>
      <c r="O1258" s="3"/>
      <c r="P1258" s="59"/>
      <c r="Q1258" s="21"/>
      <c r="R1258" s="21"/>
      <c r="S1258" s="3"/>
      <c r="T1258" s="3"/>
      <c r="U1258" s="3"/>
      <c r="V1258" s="3"/>
      <c r="W1258" s="3"/>
      <c r="X1258" s="3"/>
      <c r="Y1258" s="3"/>
      <c r="Z1258" s="53"/>
      <c r="AA1258" s="3"/>
      <c r="AB1258" s="59"/>
      <c r="AC1258" s="3"/>
      <c r="AD1258" s="53"/>
      <c r="AE1258" s="65"/>
    </row>
    <row r="1259" spans="1:31" customFormat="1" ht="15" x14ac:dyDescent="0.35">
      <c r="A1259" s="50"/>
      <c r="B1259" s="63"/>
      <c r="C1259" s="39"/>
      <c r="D1259" s="6"/>
      <c r="E1259" s="153"/>
      <c r="F1259" s="10"/>
      <c r="G1259" s="54"/>
      <c r="H1259" s="3"/>
      <c r="I1259" s="2"/>
      <c r="J1259" s="2"/>
      <c r="K1259" s="3"/>
      <c r="L1259" s="3"/>
      <c r="M1259" s="3"/>
      <c r="N1259" s="3"/>
      <c r="O1259" s="3"/>
      <c r="P1259" s="59"/>
      <c r="Q1259" s="3"/>
      <c r="R1259" s="3"/>
      <c r="S1259" s="3"/>
      <c r="T1259" s="3"/>
      <c r="U1259" s="3"/>
      <c r="V1259" s="3"/>
      <c r="W1259" s="3"/>
      <c r="X1259" s="3"/>
      <c r="Y1259" s="3"/>
      <c r="Z1259" s="53"/>
      <c r="AA1259" s="3"/>
      <c r="AB1259" s="59"/>
      <c r="AC1259" s="3"/>
      <c r="AD1259" s="53"/>
      <c r="AE1259" s="59"/>
    </row>
    <row r="1260" spans="1:31" customFormat="1" ht="15" x14ac:dyDescent="0.35">
      <c r="A1260" s="50"/>
      <c r="B1260" s="63"/>
      <c r="C1260" s="39"/>
      <c r="D1260" s="6"/>
      <c r="E1260" s="153"/>
      <c r="F1260" s="10"/>
      <c r="G1260" s="53"/>
      <c r="H1260" s="3"/>
      <c r="I1260" s="3"/>
      <c r="J1260" s="3"/>
      <c r="K1260" s="3"/>
      <c r="L1260" s="3"/>
      <c r="M1260" s="3"/>
      <c r="N1260" s="3"/>
      <c r="O1260" s="3"/>
      <c r="P1260" s="59"/>
      <c r="Q1260" s="21"/>
      <c r="R1260" s="21"/>
      <c r="S1260" s="3"/>
      <c r="T1260" s="3"/>
      <c r="U1260" s="3"/>
      <c r="V1260" s="3"/>
      <c r="W1260" s="3"/>
      <c r="X1260" s="3"/>
      <c r="Y1260" s="3"/>
      <c r="Z1260" s="53"/>
      <c r="AA1260" s="3"/>
      <c r="AB1260" s="59"/>
      <c r="AC1260" s="3"/>
      <c r="AD1260" s="53"/>
      <c r="AE1260" s="59"/>
    </row>
    <row r="1261" spans="1:31" customFormat="1" ht="15" x14ac:dyDescent="0.35">
      <c r="A1261" s="19"/>
      <c r="B1261" s="49"/>
      <c r="C1261" s="39"/>
      <c r="D1261" s="1"/>
      <c r="E1261" s="153"/>
      <c r="F1261" s="10"/>
      <c r="G1261" s="20"/>
      <c r="H1261" s="21"/>
      <c r="I1261" s="21"/>
      <c r="J1261" s="21"/>
      <c r="K1261" s="21"/>
      <c r="L1261" s="21"/>
      <c r="M1261" s="21"/>
      <c r="N1261" s="22"/>
      <c r="O1261" s="21"/>
      <c r="P1261" s="24"/>
      <c r="Q1261" s="21"/>
      <c r="R1261" s="21"/>
      <c r="S1261" s="21"/>
      <c r="T1261" s="21"/>
      <c r="U1261" s="21"/>
      <c r="V1261" s="22"/>
      <c r="W1261" s="21"/>
      <c r="X1261" s="22"/>
      <c r="Y1261" s="21"/>
      <c r="Z1261" s="20"/>
      <c r="AA1261" s="21"/>
      <c r="AB1261" s="25"/>
      <c r="AC1261" s="26"/>
      <c r="AD1261" s="27"/>
      <c r="AE1261" s="28"/>
    </row>
    <row r="1262" spans="1:31" customFormat="1" ht="15" x14ac:dyDescent="0.35">
      <c r="A1262" s="19"/>
      <c r="B1262" s="49"/>
      <c r="C1262" s="14"/>
      <c r="D1262" s="1"/>
      <c r="E1262" s="153"/>
      <c r="F1262" s="10"/>
      <c r="G1262" s="20"/>
      <c r="H1262" s="21"/>
      <c r="I1262" s="21"/>
      <c r="J1262" s="21"/>
      <c r="K1262" s="21"/>
      <c r="L1262" s="21"/>
      <c r="M1262" s="21"/>
      <c r="N1262" s="22"/>
      <c r="O1262" s="21"/>
      <c r="P1262" s="24"/>
      <c r="Q1262" s="21"/>
      <c r="R1262" s="21"/>
      <c r="S1262" s="21"/>
      <c r="T1262" s="21"/>
      <c r="U1262" s="21"/>
      <c r="V1262" s="22"/>
      <c r="W1262" s="21"/>
      <c r="X1262" s="22"/>
      <c r="Y1262" s="21"/>
      <c r="Z1262" s="20"/>
      <c r="AA1262" s="21"/>
      <c r="AB1262" s="25"/>
      <c r="AC1262" s="26"/>
      <c r="AD1262" s="27"/>
      <c r="AE1262" s="28"/>
    </row>
    <row r="1263" spans="1:31" customFormat="1" ht="15" x14ac:dyDescent="0.35">
      <c r="A1263" s="50"/>
      <c r="B1263" s="63"/>
      <c r="C1263" s="39"/>
      <c r="D1263" s="6"/>
      <c r="E1263" s="153"/>
      <c r="F1263" s="10"/>
      <c r="G1263" s="54"/>
      <c r="H1263" s="3"/>
      <c r="I1263" s="2"/>
      <c r="J1263" s="2"/>
      <c r="K1263" s="3"/>
      <c r="L1263" s="3"/>
      <c r="M1263" s="3"/>
      <c r="N1263" s="3"/>
      <c r="O1263" s="3"/>
      <c r="P1263" s="59"/>
      <c r="Q1263" s="3"/>
      <c r="R1263" s="3"/>
      <c r="S1263" s="3"/>
      <c r="T1263" s="3"/>
      <c r="U1263" s="3"/>
      <c r="V1263" s="3"/>
      <c r="W1263" s="3"/>
      <c r="X1263" s="3"/>
      <c r="Y1263" s="3"/>
      <c r="Z1263" s="53"/>
      <c r="AA1263" s="3"/>
      <c r="AB1263" s="59"/>
      <c r="AC1263" s="3"/>
      <c r="AD1263" s="53"/>
      <c r="AE1263" s="59"/>
    </row>
    <row r="1264" spans="1:31" customFormat="1" ht="15" x14ac:dyDescent="0.35">
      <c r="A1264" s="50"/>
      <c r="B1264" s="63"/>
      <c r="C1264" s="39"/>
      <c r="D1264" s="6"/>
      <c r="E1264" s="153"/>
      <c r="F1264" s="10"/>
      <c r="G1264" s="53"/>
      <c r="H1264" s="3"/>
      <c r="I1264" s="3"/>
      <c r="J1264" s="3"/>
      <c r="K1264" s="3"/>
      <c r="L1264" s="3"/>
      <c r="M1264" s="3"/>
      <c r="N1264" s="3"/>
      <c r="O1264" s="3"/>
      <c r="P1264" s="59"/>
      <c r="Q1264" s="21"/>
      <c r="R1264" s="21"/>
      <c r="S1264" s="3"/>
      <c r="T1264" s="3"/>
      <c r="U1264" s="3"/>
      <c r="V1264" s="3"/>
      <c r="W1264" s="3"/>
      <c r="X1264" s="3"/>
      <c r="Y1264" s="3"/>
      <c r="Z1264" s="53"/>
      <c r="AA1264" s="3"/>
      <c r="AB1264" s="59"/>
      <c r="AC1264" s="3"/>
      <c r="AD1264" s="53"/>
      <c r="AE1264" s="59"/>
    </row>
    <row r="1265" spans="1:31" customFormat="1" ht="15" x14ac:dyDescent="0.35">
      <c r="A1265" s="50"/>
      <c r="B1265" s="63"/>
      <c r="C1265" s="39"/>
      <c r="D1265" s="6"/>
      <c r="E1265" s="153"/>
      <c r="F1265" s="10"/>
      <c r="G1265" s="53"/>
      <c r="H1265" s="3"/>
      <c r="I1265" s="3"/>
      <c r="J1265" s="3"/>
      <c r="K1265" s="3"/>
      <c r="L1265" s="3"/>
      <c r="M1265" s="3"/>
      <c r="N1265" s="3"/>
      <c r="O1265" s="3"/>
      <c r="P1265" s="59"/>
      <c r="Q1265" s="21"/>
      <c r="R1265" s="21"/>
      <c r="S1265" s="3"/>
      <c r="T1265" s="3"/>
      <c r="U1265" s="3"/>
      <c r="V1265" s="3"/>
      <c r="W1265" s="3"/>
      <c r="X1265" s="3"/>
      <c r="Y1265" s="3"/>
      <c r="Z1265" s="53"/>
      <c r="AA1265" s="3"/>
      <c r="AB1265" s="59"/>
      <c r="AC1265" s="3"/>
      <c r="AD1265" s="53"/>
      <c r="AE1265" s="59"/>
    </row>
    <row r="1266" spans="1:31" customFormat="1" ht="15" x14ac:dyDescent="0.35">
      <c r="A1266" s="50"/>
      <c r="B1266" s="63"/>
      <c r="C1266" s="39"/>
      <c r="D1266" s="6"/>
      <c r="E1266" s="153"/>
      <c r="F1266" s="10"/>
      <c r="G1266" s="53"/>
      <c r="H1266" s="3"/>
      <c r="I1266" s="3"/>
      <c r="J1266" s="3"/>
      <c r="K1266" s="3"/>
      <c r="L1266" s="3"/>
      <c r="M1266" s="3"/>
      <c r="N1266" s="3"/>
      <c r="O1266" s="3"/>
      <c r="P1266" s="59"/>
      <c r="Q1266" s="3"/>
      <c r="R1266" s="3"/>
      <c r="S1266" s="3"/>
      <c r="T1266" s="3"/>
      <c r="U1266" s="3"/>
      <c r="V1266" s="3"/>
      <c r="W1266" s="3"/>
      <c r="X1266" s="3"/>
      <c r="Y1266" s="3"/>
      <c r="Z1266" s="53"/>
      <c r="AA1266" s="3"/>
      <c r="AB1266" s="59"/>
      <c r="AC1266" s="3"/>
      <c r="AD1266" s="53"/>
      <c r="AE1266" s="59"/>
    </row>
    <row r="1267" spans="1:31" customFormat="1" ht="15" x14ac:dyDescent="0.35">
      <c r="A1267" s="19"/>
      <c r="B1267" s="49"/>
      <c r="C1267" s="14"/>
      <c r="D1267" s="1"/>
      <c r="E1267" s="153"/>
      <c r="F1267" s="10"/>
      <c r="G1267" s="20"/>
      <c r="H1267" s="21"/>
      <c r="I1267" s="21"/>
      <c r="J1267" s="21"/>
      <c r="K1267" s="21"/>
      <c r="L1267" s="21"/>
      <c r="M1267" s="21"/>
      <c r="N1267" s="22"/>
      <c r="O1267" s="21"/>
      <c r="P1267" s="24"/>
      <c r="Q1267" s="21"/>
      <c r="R1267" s="21"/>
      <c r="S1267" s="21"/>
      <c r="T1267" s="21"/>
      <c r="U1267" s="21"/>
      <c r="V1267" s="22"/>
      <c r="W1267" s="21"/>
      <c r="X1267" s="22"/>
      <c r="Y1267" s="21"/>
      <c r="Z1267" s="20"/>
      <c r="AA1267" s="21"/>
      <c r="AB1267" s="25"/>
      <c r="AC1267" s="26"/>
      <c r="AD1267" s="27"/>
      <c r="AE1267" s="28"/>
    </row>
    <row r="1268" spans="1:31" customFormat="1" ht="15" x14ac:dyDescent="0.35">
      <c r="A1268" s="19"/>
      <c r="B1268" s="49"/>
      <c r="C1268" s="14"/>
      <c r="D1268" s="1"/>
      <c r="E1268" s="153"/>
      <c r="F1268" s="10"/>
      <c r="G1268" s="20"/>
      <c r="H1268" s="21"/>
      <c r="I1268" s="21"/>
      <c r="J1268" s="21"/>
      <c r="K1268" s="21"/>
      <c r="L1268" s="21"/>
      <c r="M1268" s="21"/>
      <c r="N1268" s="22"/>
      <c r="O1268" s="21"/>
      <c r="P1268" s="24"/>
      <c r="Q1268" s="21"/>
      <c r="R1268" s="21"/>
      <c r="S1268" s="21"/>
      <c r="T1268" s="21"/>
      <c r="U1268" s="21"/>
      <c r="V1268" s="22"/>
      <c r="W1268" s="21"/>
      <c r="X1268" s="22"/>
      <c r="Y1268" s="21"/>
      <c r="Z1268" s="20"/>
      <c r="AA1268" s="21"/>
      <c r="AB1268" s="25"/>
      <c r="AC1268" s="26"/>
      <c r="AD1268" s="27"/>
      <c r="AE1268" s="28"/>
    </row>
    <row r="1269" spans="1:31" customFormat="1" ht="15" x14ac:dyDescent="0.35">
      <c r="A1269" s="50"/>
      <c r="B1269" s="63"/>
      <c r="C1269" s="39"/>
      <c r="D1269" s="6"/>
      <c r="E1269" s="153"/>
      <c r="F1269" s="10"/>
      <c r="G1269" s="54"/>
      <c r="H1269" s="3"/>
      <c r="I1269" s="2"/>
      <c r="J1269" s="2"/>
      <c r="K1269" s="3"/>
      <c r="L1269" s="3"/>
      <c r="M1269" s="3"/>
      <c r="N1269" s="3"/>
      <c r="O1269" s="3"/>
      <c r="P1269" s="59"/>
      <c r="Q1269" s="3"/>
      <c r="R1269" s="3"/>
      <c r="S1269" s="3"/>
      <c r="T1269" s="3"/>
      <c r="U1269" s="3"/>
      <c r="V1269" s="3"/>
      <c r="W1269" s="3"/>
      <c r="X1269" s="3"/>
      <c r="Y1269" s="3"/>
      <c r="Z1269" s="53"/>
      <c r="AA1269" s="3"/>
      <c r="AB1269" s="59"/>
      <c r="AC1269" s="3"/>
      <c r="AD1269" s="53"/>
      <c r="AE1269" s="59"/>
    </row>
    <row r="1270" spans="1:31" customFormat="1" ht="15" x14ac:dyDescent="0.35">
      <c r="A1270" s="19"/>
      <c r="B1270" s="49"/>
      <c r="C1270" s="14"/>
      <c r="D1270" s="1"/>
      <c r="E1270" s="153"/>
      <c r="F1270" s="10"/>
      <c r="G1270" s="20"/>
      <c r="H1270" s="21"/>
      <c r="I1270" s="21"/>
      <c r="J1270" s="21"/>
      <c r="K1270" s="21"/>
      <c r="L1270" s="21"/>
      <c r="M1270" s="21"/>
      <c r="N1270" s="22"/>
      <c r="O1270" s="21"/>
      <c r="P1270" s="24"/>
      <c r="Q1270" s="21"/>
      <c r="R1270" s="21"/>
      <c r="S1270" s="21"/>
      <c r="T1270" s="21"/>
      <c r="U1270" s="21"/>
      <c r="V1270" s="22"/>
      <c r="W1270" s="21"/>
      <c r="X1270" s="22"/>
      <c r="Y1270" s="21"/>
      <c r="Z1270" s="20"/>
      <c r="AA1270" s="21"/>
      <c r="AB1270" s="25"/>
      <c r="AC1270" s="26"/>
      <c r="AD1270" s="27"/>
      <c r="AE1270" s="28"/>
    </row>
    <row r="1271" spans="1:31" customFormat="1" ht="15" x14ac:dyDescent="0.35">
      <c r="A1271" s="50"/>
      <c r="B1271" s="63"/>
      <c r="C1271" s="39"/>
      <c r="D1271" s="6"/>
      <c r="E1271" s="153"/>
      <c r="F1271" s="10"/>
      <c r="G1271" s="53"/>
      <c r="H1271" s="3"/>
      <c r="I1271" s="3"/>
      <c r="J1271" s="3"/>
      <c r="K1271" s="3"/>
      <c r="L1271" s="3"/>
      <c r="M1271" s="3"/>
      <c r="N1271" s="3"/>
      <c r="O1271" s="3"/>
      <c r="P1271" s="59"/>
      <c r="Q1271" s="21"/>
      <c r="R1271" s="21"/>
      <c r="S1271" s="3"/>
      <c r="T1271" s="3"/>
      <c r="U1271" s="3"/>
      <c r="V1271" s="3"/>
      <c r="W1271" s="3"/>
      <c r="X1271" s="3"/>
      <c r="Y1271" s="3"/>
      <c r="Z1271" s="53"/>
      <c r="AA1271" s="3"/>
      <c r="AB1271" s="59"/>
      <c r="AC1271" s="3"/>
      <c r="AD1271" s="53"/>
      <c r="AE1271" s="59"/>
    </row>
    <row r="1272" spans="1:31" customFormat="1" ht="15" x14ac:dyDescent="0.35">
      <c r="A1272" s="19"/>
      <c r="B1272" s="49"/>
      <c r="C1272" s="14"/>
      <c r="D1272" s="1"/>
      <c r="E1272" s="153"/>
      <c r="F1272" s="10"/>
      <c r="G1272" s="20"/>
      <c r="H1272" s="21"/>
      <c r="I1272" s="21"/>
      <c r="J1272" s="21"/>
      <c r="K1272" s="21"/>
      <c r="L1272" s="21"/>
      <c r="M1272" s="21"/>
      <c r="N1272" s="22"/>
      <c r="O1272" s="21"/>
      <c r="P1272" s="24"/>
      <c r="Q1272" s="21"/>
      <c r="R1272" s="21"/>
      <c r="S1272" s="21"/>
      <c r="T1272" s="21"/>
      <c r="U1272" s="21"/>
      <c r="V1272" s="22"/>
      <c r="W1272" s="21"/>
      <c r="X1272" s="22"/>
      <c r="Y1272" s="21"/>
      <c r="Z1272" s="20"/>
      <c r="AA1272" s="21"/>
      <c r="AB1272" s="25"/>
      <c r="AC1272" s="26"/>
      <c r="AD1272" s="27"/>
      <c r="AE1272" s="28"/>
    </row>
    <row r="1273" spans="1:31" customFormat="1" ht="15" x14ac:dyDescent="0.35">
      <c r="A1273" s="50"/>
      <c r="B1273" s="63"/>
      <c r="C1273" s="39"/>
      <c r="D1273" s="6"/>
      <c r="E1273" s="153"/>
      <c r="F1273" s="10"/>
      <c r="G1273" s="54"/>
      <c r="H1273" s="3"/>
      <c r="I1273" s="2"/>
      <c r="J1273" s="2"/>
      <c r="K1273" s="3"/>
      <c r="L1273" s="3"/>
      <c r="M1273" s="3"/>
      <c r="N1273" s="3"/>
      <c r="O1273" s="3"/>
      <c r="P1273" s="59"/>
      <c r="Q1273" s="3"/>
      <c r="R1273" s="3"/>
      <c r="S1273" s="3"/>
      <c r="T1273" s="3"/>
      <c r="U1273" s="3"/>
      <c r="V1273" s="3"/>
      <c r="W1273" s="3"/>
      <c r="X1273" s="3"/>
      <c r="Y1273" s="3"/>
      <c r="Z1273" s="53"/>
      <c r="AA1273" s="3"/>
      <c r="AB1273" s="59"/>
      <c r="AC1273" s="3"/>
      <c r="AD1273" s="53"/>
      <c r="AE1273" s="59"/>
    </row>
    <row r="1274" spans="1:31" customFormat="1" ht="15" x14ac:dyDescent="0.35">
      <c r="A1274" s="50"/>
      <c r="B1274" s="63"/>
      <c r="C1274" s="39"/>
      <c r="D1274" s="6"/>
      <c r="E1274" s="153"/>
      <c r="F1274" s="10"/>
      <c r="G1274" s="53"/>
      <c r="H1274" s="3"/>
      <c r="I1274" s="3"/>
      <c r="J1274" s="3"/>
      <c r="K1274" s="3"/>
      <c r="L1274" s="3"/>
      <c r="M1274" s="3"/>
      <c r="N1274" s="3"/>
      <c r="O1274" s="3"/>
      <c r="P1274" s="59"/>
      <c r="Q1274" s="21"/>
      <c r="R1274" s="21"/>
      <c r="S1274" s="3"/>
      <c r="T1274" s="3"/>
      <c r="U1274" s="3"/>
      <c r="V1274" s="3"/>
      <c r="W1274" s="3"/>
      <c r="X1274" s="3"/>
      <c r="Y1274" s="3"/>
      <c r="Z1274" s="53"/>
      <c r="AA1274" s="3"/>
      <c r="AB1274" s="59"/>
      <c r="AC1274" s="3"/>
      <c r="AD1274" s="53"/>
      <c r="AE1274" s="59"/>
    </row>
    <row r="1275" spans="1:31" customFormat="1" ht="15" x14ac:dyDescent="0.35">
      <c r="A1275" s="50"/>
      <c r="B1275" s="63"/>
      <c r="C1275" s="39"/>
      <c r="D1275" s="6"/>
      <c r="E1275" s="153"/>
      <c r="F1275" s="10"/>
      <c r="G1275" s="53"/>
      <c r="H1275" s="3"/>
      <c r="I1275" s="3"/>
      <c r="J1275" s="3"/>
      <c r="K1275" s="3"/>
      <c r="L1275" s="3"/>
      <c r="M1275" s="3"/>
      <c r="N1275" s="3"/>
      <c r="O1275" s="3"/>
      <c r="P1275" s="59"/>
      <c r="Q1275" s="21"/>
      <c r="R1275" s="21"/>
      <c r="S1275" s="3"/>
      <c r="T1275" s="3"/>
      <c r="U1275" s="3"/>
      <c r="V1275" s="3"/>
      <c r="W1275" s="3"/>
      <c r="X1275" s="3"/>
      <c r="Y1275" s="3"/>
      <c r="Z1275" s="53"/>
      <c r="AA1275" s="3"/>
      <c r="AB1275" s="59"/>
      <c r="AC1275" s="3"/>
      <c r="AD1275" s="53"/>
      <c r="AE1275" s="59"/>
    </row>
    <row r="1276" spans="1:31" customFormat="1" ht="15" x14ac:dyDescent="0.35">
      <c r="A1276" s="50"/>
      <c r="B1276" s="63"/>
      <c r="C1276" s="39"/>
      <c r="D1276" s="6"/>
      <c r="E1276" s="153"/>
      <c r="F1276" s="10"/>
      <c r="G1276" s="53"/>
      <c r="H1276" s="3"/>
      <c r="I1276" s="3"/>
      <c r="J1276" s="3"/>
      <c r="K1276" s="3"/>
      <c r="L1276" s="3"/>
      <c r="M1276" s="3"/>
      <c r="N1276" s="3"/>
      <c r="O1276" s="3"/>
      <c r="P1276" s="59"/>
      <c r="Q1276" s="21"/>
      <c r="R1276" s="21"/>
      <c r="S1276" s="3"/>
      <c r="T1276" s="3"/>
      <c r="U1276" s="3"/>
      <c r="V1276" s="3"/>
      <c r="W1276" s="3"/>
      <c r="X1276" s="3"/>
      <c r="Y1276" s="3"/>
      <c r="Z1276" s="53"/>
      <c r="AA1276" s="3"/>
      <c r="AB1276" s="59"/>
      <c r="AC1276" s="3"/>
      <c r="AD1276" s="53"/>
      <c r="AE1276" s="59"/>
    </row>
    <row r="1277" spans="1:31" customFormat="1" ht="15" x14ac:dyDescent="0.35">
      <c r="A1277" s="50"/>
      <c r="B1277" s="63"/>
      <c r="C1277" s="39"/>
      <c r="D1277" s="6"/>
      <c r="E1277" s="153"/>
      <c r="F1277" s="10"/>
      <c r="G1277" s="53"/>
      <c r="H1277" s="3"/>
      <c r="I1277" s="3"/>
      <c r="J1277" s="3"/>
      <c r="K1277" s="3"/>
      <c r="L1277" s="3"/>
      <c r="M1277" s="3"/>
      <c r="N1277" s="3"/>
      <c r="O1277" s="3"/>
      <c r="P1277" s="59"/>
      <c r="Q1277" s="21"/>
      <c r="R1277" s="21"/>
      <c r="S1277" s="3"/>
      <c r="T1277" s="3"/>
      <c r="U1277" s="3"/>
      <c r="V1277" s="3"/>
      <c r="W1277" s="3"/>
      <c r="X1277" s="3"/>
      <c r="Y1277" s="3"/>
      <c r="Z1277" s="53"/>
      <c r="AA1277" s="3"/>
      <c r="AB1277" s="59"/>
      <c r="AC1277" s="3"/>
      <c r="AD1277" s="53"/>
      <c r="AE1277" s="59"/>
    </row>
    <row r="1278" spans="1:31" customFormat="1" ht="15" x14ac:dyDescent="0.35">
      <c r="A1278" s="50"/>
      <c r="B1278" s="63"/>
      <c r="C1278" s="39"/>
      <c r="D1278" s="6"/>
      <c r="E1278" s="153"/>
      <c r="F1278" s="10"/>
      <c r="G1278" s="53"/>
      <c r="H1278" s="3"/>
      <c r="I1278" s="3"/>
      <c r="J1278" s="3"/>
      <c r="K1278" s="3"/>
      <c r="L1278" s="3"/>
      <c r="M1278" s="3"/>
      <c r="N1278" s="3"/>
      <c r="O1278" s="3"/>
      <c r="P1278" s="59"/>
      <c r="Q1278" s="21"/>
      <c r="R1278" s="21"/>
      <c r="S1278" s="3"/>
      <c r="T1278" s="3"/>
      <c r="U1278" s="3"/>
      <c r="V1278" s="3"/>
      <c r="W1278" s="3"/>
      <c r="X1278" s="3"/>
      <c r="Y1278" s="3"/>
      <c r="Z1278" s="53"/>
      <c r="AA1278" s="3"/>
      <c r="AB1278" s="59"/>
      <c r="AC1278" s="3"/>
      <c r="AD1278" s="53"/>
      <c r="AE1278" s="59"/>
    </row>
    <row r="1279" spans="1:31" customFormat="1" ht="15" x14ac:dyDescent="0.35">
      <c r="A1279" s="50"/>
      <c r="B1279" s="63"/>
      <c r="C1279" s="39"/>
      <c r="D1279" s="6"/>
      <c r="E1279" s="153"/>
      <c r="F1279" s="10"/>
      <c r="G1279" s="53"/>
      <c r="H1279" s="3"/>
      <c r="I1279" s="3"/>
      <c r="J1279" s="3"/>
      <c r="K1279" s="3"/>
      <c r="L1279" s="3"/>
      <c r="M1279" s="3"/>
      <c r="N1279" s="3"/>
      <c r="O1279" s="3"/>
      <c r="P1279" s="59"/>
      <c r="Q1279" s="21"/>
      <c r="R1279" s="21"/>
      <c r="S1279" s="3"/>
      <c r="T1279" s="3"/>
      <c r="U1279" s="3"/>
      <c r="V1279" s="3"/>
      <c r="W1279" s="3"/>
      <c r="X1279" s="3"/>
      <c r="Y1279" s="3"/>
      <c r="Z1279" s="53"/>
      <c r="AA1279" s="3"/>
      <c r="AB1279" s="59"/>
      <c r="AC1279" s="3"/>
      <c r="AD1279" s="53"/>
      <c r="AE1279" s="59"/>
    </row>
    <row r="1280" spans="1:31" customFormat="1" ht="15" x14ac:dyDescent="0.35">
      <c r="A1280" s="19"/>
      <c r="B1280" s="49"/>
      <c r="C1280" s="14"/>
      <c r="D1280" s="1"/>
      <c r="E1280" s="153"/>
      <c r="F1280" s="10"/>
      <c r="G1280" s="20"/>
      <c r="H1280" s="21"/>
      <c r="I1280" s="21"/>
      <c r="J1280" s="21"/>
      <c r="K1280" s="21"/>
      <c r="L1280" s="21"/>
      <c r="M1280" s="21"/>
      <c r="N1280" s="22"/>
      <c r="O1280" s="21"/>
      <c r="P1280" s="24"/>
      <c r="Q1280" s="21"/>
      <c r="R1280" s="21"/>
      <c r="S1280" s="21"/>
      <c r="T1280" s="21"/>
      <c r="U1280" s="21"/>
      <c r="V1280" s="22"/>
      <c r="W1280" s="21"/>
      <c r="X1280" s="22"/>
      <c r="Y1280" s="21"/>
      <c r="Z1280" s="20"/>
      <c r="AA1280" s="21"/>
      <c r="AB1280" s="25"/>
      <c r="AC1280" s="26"/>
      <c r="AD1280" s="27"/>
      <c r="AE1280" s="28"/>
    </row>
    <row r="1281" spans="1:31" customFormat="1" ht="15" x14ac:dyDescent="0.35">
      <c r="A1281" s="50"/>
      <c r="B1281" s="63"/>
      <c r="C1281" s="39"/>
      <c r="D1281" s="6"/>
      <c r="E1281" s="153"/>
      <c r="F1281" s="10"/>
      <c r="G1281" s="54"/>
      <c r="H1281" s="3"/>
      <c r="I1281" s="2"/>
      <c r="J1281" s="2"/>
      <c r="K1281" s="3"/>
      <c r="L1281" s="3"/>
      <c r="M1281" s="3"/>
      <c r="N1281" s="3"/>
      <c r="O1281" s="3"/>
      <c r="P1281" s="59"/>
      <c r="Q1281" s="3"/>
      <c r="R1281" s="3"/>
      <c r="S1281" s="3"/>
      <c r="T1281" s="3"/>
      <c r="U1281" s="3"/>
      <c r="V1281" s="3"/>
      <c r="W1281" s="3"/>
      <c r="X1281" s="3"/>
      <c r="Y1281" s="3"/>
      <c r="Z1281" s="53"/>
      <c r="AA1281" s="3"/>
      <c r="AB1281" s="59"/>
      <c r="AC1281" s="3"/>
      <c r="AD1281" s="53"/>
      <c r="AE1281" s="59"/>
    </row>
    <row r="1282" spans="1:31" customFormat="1" ht="15" x14ac:dyDescent="0.35">
      <c r="A1282" s="50"/>
      <c r="B1282" s="63"/>
      <c r="C1282" s="39"/>
      <c r="D1282" s="6"/>
      <c r="E1282" s="153"/>
      <c r="F1282" s="10"/>
      <c r="G1282" s="53"/>
      <c r="H1282" s="3"/>
      <c r="I1282" s="3"/>
      <c r="J1282" s="3"/>
      <c r="K1282" s="3"/>
      <c r="L1282" s="3"/>
      <c r="M1282" s="3"/>
      <c r="N1282" s="3"/>
      <c r="O1282" s="3"/>
      <c r="P1282" s="59"/>
      <c r="Q1282" s="21"/>
      <c r="R1282" s="21"/>
      <c r="S1282" s="3"/>
      <c r="T1282" s="3"/>
      <c r="U1282" s="3"/>
      <c r="V1282" s="3"/>
      <c r="W1282" s="3"/>
      <c r="X1282" s="3"/>
      <c r="Y1282" s="3"/>
      <c r="Z1282" s="53"/>
      <c r="AA1282" s="3"/>
      <c r="AB1282" s="59"/>
      <c r="AC1282" s="3"/>
      <c r="AD1282" s="53"/>
      <c r="AE1282" s="59"/>
    </row>
    <row r="1283" spans="1:31" customFormat="1" ht="15" x14ac:dyDescent="0.35">
      <c r="A1283" s="19"/>
      <c r="B1283" s="49"/>
      <c r="C1283" s="39"/>
      <c r="D1283" s="1"/>
      <c r="E1283" s="153"/>
      <c r="F1283" s="10"/>
      <c r="G1283" s="20"/>
      <c r="H1283" s="21"/>
      <c r="I1283" s="21"/>
      <c r="J1283" s="21"/>
      <c r="K1283" s="21"/>
      <c r="L1283" s="21"/>
      <c r="M1283" s="21"/>
      <c r="N1283" s="22"/>
      <c r="O1283" s="21"/>
      <c r="P1283" s="24"/>
      <c r="Q1283" s="21"/>
      <c r="R1283" s="21"/>
      <c r="S1283" s="21"/>
      <c r="T1283" s="21"/>
      <c r="U1283" s="21"/>
      <c r="V1283" s="22"/>
      <c r="W1283" s="21"/>
      <c r="X1283" s="22"/>
      <c r="Y1283" s="21"/>
      <c r="Z1283" s="20"/>
      <c r="AA1283" s="21"/>
      <c r="AB1283" s="25"/>
      <c r="AC1283" s="26"/>
      <c r="AD1283" s="27"/>
      <c r="AE1283" s="28"/>
    </row>
    <row r="1284" spans="1:31" customFormat="1" ht="15" x14ac:dyDescent="0.35">
      <c r="A1284" s="19"/>
      <c r="B1284" s="49"/>
      <c r="C1284" s="14"/>
      <c r="D1284" s="1"/>
      <c r="E1284" s="153"/>
      <c r="F1284" s="10"/>
      <c r="G1284" s="20"/>
      <c r="H1284" s="21"/>
      <c r="I1284" s="21"/>
      <c r="J1284" s="21"/>
      <c r="K1284" s="21"/>
      <c r="L1284" s="21"/>
      <c r="M1284" s="21"/>
      <c r="N1284" s="22"/>
      <c r="O1284" s="21"/>
      <c r="P1284" s="24"/>
      <c r="Q1284" s="21"/>
      <c r="R1284" s="21"/>
      <c r="S1284" s="21"/>
      <c r="T1284" s="21"/>
      <c r="U1284" s="21"/>
      <c r="V1284" s="22"/>
      <c r="W1284" s="21"/>
      <c r="X1284" s="22"/>
      <c r="Y1284" s="21"/>
      <c r="Z1284" s="20"/>
      <c r="AA1284" s="21"/>
      <c r="AB1284" s="25"/>
      <c r="AC1284" s="26"/>
      <c r="AD1284" s="27"/>
      <c r="AE1284" s="28"/>
    </row>
    <row r="1285" spans="1:31" customFormat="1" ht="15" x14ac:dyDescent="0.35">
      <c r="A1285" s="50"/>
      <c r="B1285" s="63"/>
      <c r="C1285" s="39"/>
      <c r="D1285" s="6"/>
      <c r="E1285" s="153"/>
      <c r="F1285" s="10"/>
      <c r="G1285" s="53"/>
      <c r="H1285" s="3"/>
      <c r="I1285" s="3"/>
      <c r="J1285" s="3"/>
      <c r="K1285" s="3"/>
      <c r="L1285" s="3"/>
      <c r="M1285" s="3"/>
      <c r="N1285" s="3"/>
      <c r="O1285" s="3"/>
      <c r="P1285" s="59"/>
      <c r="Q1285" s="21"/>
      <c r="R1285" s="21"/>
      <c r="S1285" s="3"/>
      <c r="T1285" s="3"/>
      <c r="U1285" s="3"/>
      <c r="V1285" s="3"/>
      <c r="W1285" s="3"/>
      <c r="X1285" s="3"/>
      <c r="Y1285" s="3"/>
      <c r="Z1285" s="53"/>
      <c r="AA1285" s="3"/>
      <c r="AB1285" s="59"/>
      <c r="AC1285" s="3"/>
      <c r="AD1285" s="53"/>
      <c r="AE1285" s="59"/>
    </row>
    <row r="1286" spans="1:31" customFormat="1" ht="15" x14ac:dyDescent="0.35">
      <c r="A1286" s="50"/>
      <c r="B1286" s="63"/>
      <c r="C1286" s="39"/>
      <c r="D1286" s="6"/>
      <c r="E1286" s="153"/>
      <c r="F1286" s="10"/>
      <c r="G1286" s="53"/>
      <c r="H1286" s="3"/>
      <c r="I1286" s="3"/>
      <c r="J1286" s="3"/>
      <c r="K1286" s="3"/>
      <c r="L1286" s="3"/>
      <c r="M1286" s="3"/>
      <c r="N1286" s="3"/>
      <c r="O1286" s="3"/>
      <c r="P1286" s="59"/>
      <c r="Q1286" s="21"/>
      <c r="R1286" s="21"/>
      <c r="S1286" s="3"/>
      <c r="T1286" s="3"/>
      <c r="U1286" s="3"/>
      <c r="V1286" s="3"/>
      <c r="W1286" s="3"/>
      <c r="X1286" s="3"/>
      <c r="Y1286" s="3"/>
      <c r="Z1286" s="53"/>
      <c r="AA1286" s="3"/>
      <c r="AB1286" s="59"/>
      <c r="AC1286" s="3"/>
      <c r="AD1286" s="53"/>
      <c r="AE1286" s="59"/>
    </row>
    <row r="1287" spans="1:31" customFormat="1" ht="15" x14ac:dyDescent="0.35">
      <c r="A1287" s="50"/>
      <c r="B1287" s="63"/>
      <c r="C1287" s="39"/>
      <c r="D1287" s="6"/>
      <c r="E1287" s="153"/>
      <c r="F1287" s="10"/>
      <c r="G1287" s="53"/>
      <c r="H1287" s="3"/>
      <c r="I1287" s="3"/>
      <c r="J1287" s="3"/>
      <c r="K1287" s="3"/>
      <c r="L1287" s="3"/>
      <c r="M1287" s="3"/>
      <c r="N1287" s="3"/>
      <c r="O1287" s="3"/>
      <c r="P1287" s="59"/>
      <c r="Q1287" s="3"/>
      <c r="R1287" s="3"/>
      <c r="S1287" s="3"/>
      <c r="T1287" s="3"/>
      <c r="U1287" s="3"/>
      <c r="V1287" s="3"/>
      <c r="W1287" s="3"/>
      <c r="X1287" s="3"/>
      <c r="Y1287" s="3"/>
      <c r="Z1287" s="53"/>
      <c r="AA1287" s="3"/>
      <c r="AB1287" s="59"/>
      <c r="AC1287" s="3"/>
      <c r="AD1287" s="53"/>
      <c r="AE1287" s="59"/>
    </row>
    <row r="1288" spans="1:31" customFormat="1" ht="15" x14ac:dyDescent="0.35">
      <c r="A1288" s="50"/>
      <c r="B1288" s="63"/>
      <c r="C1288" s="39"/>
      <c r="D1288" s="6"/>
      <c r="E1288" s="153"/>
      <c r="F1288" s="10"/>
      <c r="G1288" s="54"/>
      <c r="H1288" s="3"/>
      <c r="I1288" s="2"/>
      <c r="J1288" s="2"/>
      <c r="K1288" s="3"/>
      <c r="L1288" s="3"/>
      <c r="M1288" s="3"/>
      <c r="N1288" s="3"/>
      <c r="O1288" s="3"/>
      <c r="P1288" s="59"/>
      <c r="Q1288" s="21"/>
      <c r="R1288" s="21"/>
      <c r="S1288" s="3"/>
      <c r="T1288" s="3"/>
      <c r="U1288" s="3"/>
      <c r="V1288" s="3"/>
      <c r="W1288" s="3"/>
      <c r="X1288" s="3"/>
      <c r="Y1288" s="3"/>
      <c r="Z1288" s="53"/>
      <c r="AA1288" s="3"/>
      <c r="AB1288" s="59"/>
      <c r="AC1288" s="3"/>
      <c r="AD1288" s="53"/>
      <c r="AE1288" s="59"/>
    </row>
    <row r="1289" spans="1:31" customFormat="1" ht="15" x14ac:dyDescent="0.35">
      <c r="A1289" s="50"/>
      <c r="B1289" s="63"/>
      <c r="C1289" s="39"/>
      <c r="D1289" s="6"/>
      <c r="E1289" s="153"/>
      <c r="F1289" s="10"/>
      <c r="G1289" s="53"/>
      <c r="H1289" s="3"/>
      <c r="I1289" s="3"/>
      <c r="J1289" s="3"/>
      <c r="K1289" s="3"/>
      <c r="L1289" s="3"/>
      <c r="M1289" s="3"/>
      <c r="N1289" s="3"/>
      <c r="O1289" s="3"/>
      <c r="P1289" s="59"/>
      <c r="Q1289" s="21"/>
      <c r="R1289" s="21"/>
      <c r="S1289" s="3"/>
      <c r="T1289" s="3"/>
      <c r="U1289" s="3"/>
      <c r="V1289" s="3"/>
      <c r="W1289" s="3"/>
      <c r="X1289" s="3"/>
      <c r="Y1289" s="3"/>
      <c r="Z1289" s="53"/>
      <c r="AA1289" s="3"/>
      <c r="AB1289" s="59"/>
      <c r="AC1289" s="3"/>
      <c r="AD1289" s="53"/>
      <c r="AE1289" s="59"/>
    </row>
    <row r="1290" spans="1:31" customFormat="1" ht="15" x14ac:dyDescent="0.35">
      <c r="A1290" s="50"/>
      <c r="B1290" s="63"/>
      <c r="C1290" s="39"/>
      <c r="D1290" s="6"/>
      <c r="E1290" s="153"/>
      <c r="F1290" s="10"/>
      <c r="G1290" s="53"/>
      <c r="H1290" s="3"/>
      <c r="I1290" s="3"/>
      <c r="J1290" s="3"/>
      <c r="K1290" s="3"/>
      <c r="L1290" s="3"/>
      <c r="M1290" s="3"/>
      <c r="N1290" s="3"/>
      <c r="O1290" s="3"/>
      <c r="P1290" s="59"/>
      <c r="Q1290" s="21"/>
      <c r="R1290" s="21"/>
      <c r="S1290" s="3"/>
      <c r="T1290" s="3"/>
      <c r="U1290" s="3"/>
      <c r="V1290" s="3"/>
      <c r="W1290" s="3"/>
      <c r="X1290" s="3"/>
      <c r="Y1290" s="3"/>
      <c r="Z1290" s="53"/>
      <c r="AA1290" s="3"/>
      <c r="AB1290" s="59"/>
      <c r="AC1290" s="3"/>
      <c r="AD1290" s="53"/>
      <c r="AE1290" s="59"/>
    </row>
    <row r="1291" spans="1:31" customFormat="1" ht="15" x14ac:dyDescent="0.35">
      <c r="A1291" s="50"/>
      <c r="B1291" s="63"/>
      <c r="C1291" s="39"/>
      <c r="D1291" s="6"/>
      <c r="E1291" s="153"/>
      <c r="F1291" s="10"/>
      <c r="G1291" s="53"/>
      <c r="H1291" s="3"/>
      <c r="I1291" s="3"/>
      <c r="J1291" s="3"/>
      <c r="K1291" s="3"/>
      <c r="L1291" s="3"/>
      <c r="M1291" s="3"/>
      <c r="N1291" s="3"/>
      <c r="O1291" s="3"/>
      <c r="P1291" s="59"/>
      <c r="Q1291" s="21"/>
      <c r="R1291" s="21"/>
      <c r="S1291" s="3"/>
      <c r="T1291" s="3"/>
      <c r="U1291" s="3"/>
      <c r="V1291" s="3"/>
      <c r="W1291" s="3"/>
      <c r="X1291" s="3"/>
      <c r="Y1291" s="3"/>
      <c r="Z1291" s="53"/>
      <c r="AA1291" s="3"/>
      <c r="AB1291" s="59"/>
      <c r="AC1291" s="3"/>
      <c r="AD1291" s="53"/>
      <c r="AE1291" s="59"/>
    </row>
    <row r="1292" spans="1:31" customFormat="1" ht="15" x14ac:dyDescent="0.35">
      <c r="A1292" s="50"/>
      <c r="B1292" s="63"/>
      <c r="C1292" s="39"/>
      <c r="D1292" s="6"/>
      <c r="E1292" s="153"/>
      <c r="F1292" s="10"/>
      <c r="G1292" s="53"/>
      <c r="H1292" s="3"/>
      <c r="I1292" s="3"/>
      <c r="J1292" s="3"/>
      <c r="K1292" s="3"/>
      <c r="L1292" s="3"/>
      <c r="M1292" s="3"/>
      <c r="N1292" s="3"/>
      <c r="O1292" s="3"/>
      <c r="P1292" s="59"/>
      <c r="Q1292" s="21"/>
      <c r="R1292" s="21"/>
      <c r="S1292" s="3"/>
      <c r="T1292" s="3"/>
      <c r="U1292" s="3"/>
      <c r="V1292" s="3"/>
      <c r="W1292" s="3"/>
      <c r="X1292" s="3"/>
      <c r="Y1292" s="3"/>
      <c r="Z1292" s="53"/>
      <c r="AA1292" s="3"/>
      <c r="AB1292" s="59"/>
      <c r="AC1292" s="3"/>
      <c r="AD1292" s="53"/>
      <c r="AE1292" s="59"/>
    </row>
    <row r="1293" spans="1:31" customFormat="1" ht="15" x14ac:dyDescent="0.35">
      <c r="A1293" s="50"/>
      <c r="B1293" s="63"/>
      <c r="C1293" s="39"/>
      <c r="D1293" s="6"/>
      <c r="E1293" s="153"/>
      <c r="F1293" s="10"/>
      <c r="G1293" s="53"/>
      <c r="H1293" s="3"/>
      <c r="I1293" s="3"/>
      <c r="J1293" s="3"/>
      <c r="K1293" s="3"/>
      <c r="L1293" s="3"/>
      <c r="M1293" s="3"/>
      <c r="N1293" s="3"/>
      <c r="O1293" s="3"/>
      <c r="P1293" s="59"/>
      <c r="Q1293" s="21"/>
      <c r="R1293" s="21"/>
      <c r="S1293" s="3"/>
      <c r="T1293" s="3"/>
      <c r="U1293" s="3"/>
      <c r="V1293" s="3"/>
      <c r="W1293" s="3"/>
      <c r="X1293" s="3"/>
      <c r="Y1293" s="3"/>
      <c r="Z1293" s="53"/>
      <c r="AA1293" s="3"/>
      <c r="AB1293" s="59"/>
      <c r="AC1293" s="3"/>
      <c r="AD1293" s="53"/>
      <c r="AE1293" s="59"/>
    </row>
    <row r="1294" spans="1:31" customFormat="1" ht="15" x14ac:dyDescent="0.35">
      <c r="A1294" s="50"/>
      <c r="B1294" s="63"/>
      <c r="C1294" s="39"/>
      <c r="D1294" s="6"/>
      <c r="E1294" s="153"/>
      <c r="F1294" s="10"/>
      <c r="G1294" s="53"/>
      <c r="H1294" s="3"/>
      <c r="I1294" s="3"/>
      <c r="J1294" s="3"/>
      <c r="K1294" s="3"/>
      <c r="L1294" s="3"/>
      <c r="M1294" s="3"/>
      <c r="N1294" s="3"/>
      <c r="O1294" s="3"/>
      <c r="P1294" s="59"/>
      <c r="Q1294" s="21"/>
      <c r="R1294" s="21"/>
      <c r="S1294" s="3"/>
      <c r="T1294" s="3"/>
      <c r="U1294" s="3"/>
      <c r="V1294" s="3"/>
      <c r="W1294" s="3"/>
      <c r="X1294" s="3"/>
      <c r="Y1294" s="3"/>
      <c r="Z1294" s="53"/>
      <c r="AA1294" s="3"/>
      <c r="AB1294" s="59"/>
      <c r="AC1294" s="3"/>
      <c r="AD1294" s="53"/>
      <c r="AE1294" s="59"/>
    </row>
    <row r="1295" spans="1:31" customFormat="1" ht="15" x14ac:dyDescent="0.35">
      <c r="A1295" s="19"/>
      <c r="B1295" s="49"/>
      <c r="C1295" s="14"/>
      <c r="D1295" s="1"/>
      <c r="E1295" s="153"/>
      <c r="F1295" s="10"/>
      <c r="G1295" s="20"/>
      <c r="H1295" s="21"/>
      <c r="I1295" s="21"/>
      <c r="J1295" s="21"/>
      <c r="K1295" s="21"/>
      <c r="L1295" s="21"/>
      <c r="M1295" s="21"/>
      <c r="N1295" s="22"/>
      <c r="O1295" s="21"/>
      <c r="P1295" s="24"/>
      <c r="Q1295" s="21"/>
      <c r="R1295" s="21"/>
      <c r="S1295" s="21"/>
      <c r="T1295" s="21"/>
      <c r="U1295" s="21"/>
      <c r="V1295" s="22"/>
      <c r="W1295" s="21"/>
      <c r="X1295" s="22"/>
      <c r="Y1295" s="21"/>
      <c r="Z1295" s="20"/>
      <c r="AA1295" s="21"/>
      <c r="AB1295" s="25"/>
      <c r="AC1295" s="26"/>
      <c r="AD1295" s="27"/>
      <c r="AE1295" s="28"/>
    </row>
    <row r="1296" spans="1:31" customFormat="1" ht="15" x14ac:dyDescent="0.35">
      <c r="A1296" s="19"/>
      <c r="B1296" s="49"/>
      <c r="C1296" s="39"/>
      <c r="D1296" s="1"/>
      <c r="E1296" s="153"/>
      <c r="F1296" s="10"/>
      <c r="G1296" s="20"/>
      <c r="H1296" s="21"/>
      <c r="I1296" s="21"/>
      <c r="J1296" s="21"/>
      <c r="K1296" s="21"/>
      <c r="L1296" s="21"/>
      <c r="M1296" s="21"/>
      <c r="N1296" s="22"/>
      <c r="O1296" s="21"/>
      <c r="P1296" s="24"/>
      <c r="Q1296" s="21"/>
      <c r="R1296" s="21"/>
      <c r="S1296" s="21"/>
      <c r="T1296" s="21"/>
      <c r="U1296" s="21"/>
      <c r="V1296" s="22"/>
      <c r="W1296" s="21"/>
      <c r="X1296" s="22"/>
      <c r="Y1296" s="21"/>
      <c r="Z1296" s="20"/>
      <c r="AA1296" s="21"/>
      <c r="AB1296" s="25"/>
      <c r="AC1296" s="26"/>
      <c r="AD1296" s="27"/>
      <c r="AE1296" s="28"/>
    </row>
    <row r="1297" spans="1:31" customFormat="1" ht="15" x14ac:dyDescent="0.35">
      <c r="A1297" s="19"/>
      <c r="B1297" s="49"/>
      <c r="C1297" s="14"/>
      <c r="D1297" s="1"/>
      <c r="E1297" s="153"/>
      <c r="F1297" s="10"/>
      <c r="G1297" s="20"/>
      <c r="H1297" s="21"/>
      <c r="I1297" s="21"/>
      <c r="J1297" s="21"/>
      <c r="K1297" s="21"/>
      <c r="L1297" s="21"/>
      <c r="M1297" s="21"/>
      <c r="N1297" s="22"/>
      <c r="O1297" s="21"/>
      <c r="P1297" s="24"/>
      <c r="Q1297" s="21"/>
      <c r="R1297" s="21"/>
      <c r="S1297" s="21"/>
      <c r="T1297" s="21"/>
      <c r="U1297" s="21"/>
      <c r="V1297" s="22"/>
      <c r="W1297" s="21"/>
      <c r="X1297" s="22"/>
      <c r="Y1297" s="21"/>
      <c r="Z1297" s="20"/>
      <c r="AA1297" s="21"/>
      <c r="AB1297" s="25"/>
      <c r="AC1297" s="26"/>
      <c r="AD1297" s="27"/>
      <c r="AE1297" s="28"/>
    </row>
    <row r="1298" spans="1:31" customFormat="1" ht="15" x14ac:dyDescent="0.35">
      <c r="A1298" s="50"/>
      <c r="B1298" s="63"/>
      <c r="C1298" s="39"/>
      <c r="D1298" s="6"/>
      <c r="E1298" s="153"/>
      <c r="F1298" s="10"/>
      <c r="G1298" s="53"/>
      <c r="H1298" s="3"/>
      <c r="I1298" s="3"/>
      <c r="J1298" s="3"/>
      <c r="K1298" s="3"/>
      <c r="L1298" s="3"/>
      <c r="M1298" s="3"/>
      <c r="N1298" s="3"/>
      <c r="O1298" s="3"/>
      <c r="P1298" s="59"/>
      <c r="Q1298" s="21"/>
      <c r="R1298" s="21"/>
      <c r="S1298" s="3"/>
      <c r="T1298" s="3"/>
      <c r="U1298" s="3"/>
      <c r="V1298" s="3"/>
      <c r="W1298" s="3"/>
      <c r="X1298" s="3"/>
      <c r="Y1298" s="3"/>
      <c r="Z1298" s="53"/>
      <c r="AA1298" s="3"/>
      <c r="AB1298" s="59"/>
      <c r="AC1298" s="3"/>
      <c r="AD1298" s="53"/>
      <c r="AE1298" s="59"/>
    </row>
    <row r="1299" spans="1:31" customFormat="1" ht="15" x14ac:dyDescent="0.35">
      <c r="A1299" s="50"/>
      <c r="B1299" s="63"/>
      <c r="C1299" s="39"/>
      <c r="D1299" s="6"/>
      <c r="E1299" s="153"/>
      <c r="F1299" s="10"/>
      <c r="G1299" s="54"/>
      <c r="H1299" s="3"/>
      <c r="I1299" s="2"/>
      <c r="J1299" s="2"/>
      <c r="K1299" s="3"/>
      <c r="L1299" s="3"/>
      <c r="M1299" s="3"/>
      <c r="N1299" s="3"/>
      <c r="O1299" s="3"/>
      <c r="P1299" s="59"/>
      <c r="Q1299" s="3"/>
      <c r="R1299" s="3"/>
      <c r="S1299" s="3"/>
      <c r="T1299" s="3"/>
      <c r="U1299" s="3"/>
      <c r="V1299" s="3"/>
      <c r="W1299" s="3"/>
      <c r="X1299" s="3"/>
      <c r="Y1299" s="3"/>
      <c r="Z1299" s="53"/>
      <c r="AA1299" s="3"/>
      <c r="AB1299" s="59"/>
      <c r="AC1299" s="3"/>
      <c r="AD1299" s="53"/>
      <c r="AE1299" s="59"/>
    </row>
    <row r="1300" spans="1:31" customFormat="1" ht="15" x14ac:dyDescent="0.35">
      <c r="A1300" s="50"/>
      <c r="B1300" s="63"/>
      <c r="C1300" s="39"/>
      <c r="D1300" s="6"/>
      <c r="E1300" s="153"/>
      <c r="F1300" s="10"/>
      <c r="G1300" s="54"/>
      <c r="H1300" s="3"/>
      <c r="I1300" s="2"/>
      <c r="J1300" s="2"/>
      <c r="K1300" s="3"/>
      <c r="L1300" s="3"/>
      <c r="M1300" s="3"/>
      <c r="N1300" s="3"/>
      <c r="O1300" s="3"/>
      <c r="P1300" s="59"/>
      <c r="Q1300" s="3"/>
      <c r="R1300" s="3"/>
      <c r="S1300" s="3"/>
      <c r="T1300" s="3"/>
      <c r="U1300" s="3"/>
      <c r="V1300" s="3"/>
      <c r="W1300" s="3"/>
      <c r="X1300" s="3"/>
      <c r="Y1300" s="3"/>
      <c r="Z1300" s="53"/>
      <c r="AA1300" s="3"/>
      <c r="AB1300" s="59"/>
      <c r="AC1300" s="3"/>
      <c r="AD1300" s="53"/>
      <c r="AE1300" s="59"/>
    </row>
    <row r="1301" spans="1:31" customFormat="1" ht="15" x14ac:dyDescent="0.35">
      <c r="A1301" s="50"/>
      <c r="B1301" s="63"/>
      <c r="C1301" s="39"/>
      <c r="D1301" s="6"/>
      <c r="E1301" s="153"/>
      <c r="F1301" s="10"/>
      <c r="G1301" s="53"/>
      <c r="H1301" s="3"/>
      <c r="I1301" s="3"/>
      <c r="J1301" s="3"/>
      <c r="K1301" s="3"/>
      <c r="L1301" s="3"/>
      <c r="M1301" s="3"/>
      <c r="N1301" s="3"/>
      <c r="O1301" s="3"/>
      <c r="P1301" s="59"/>
      <c r="Q1301" s="21"/>
      <c r="R1301" s="21"/>
      <c r="S1301" s="3"/>
      <c r="T1301" s="3"/>
      <c r="U1301" s="3"/>
      <c r="V1301" s="3"/>
      <c r="W1301" s="3"/>
      <c r="X1301" s="3"/>
      <c r="Y1301" s="3"/>
      <c r="Z1301" s="53"/>
      <c r="AA1301" s="3"/>
      <c r="AB1301" s="59"/>
      <c r="AC1301" s="3"/>
      <c r="AD1301" s="53"/>
      <c r="AE1301" s="59"/>
    </row>
    <row r="1302" spans="1:31" customFormat="1" ht="15" x14ac:dyDescent="0.35">
      <c r="A1302" s="50"/>
      <c r="B1302" s="63"/>
      <c r="C1302" s="39"/>
      <c r="D1302" s="6"/>
      <c r="E1302" s="153"/>
      <c r="F1302" s="10"/>
      <c r="G1302" s="53"/>
      <c r="H1302" s="3"/>
      <c r="I1302" s="3"/>
      <c r="J1302" s="3"/>
      <c r="K1302" s="3"/>
      <c r="L1302" s="3"/>
      <c r="M1302" s="3"/>
      <c r="N1302" s="3"/>
      <c r="O1302" s="3"/>
      <c r="P1302" s="59"/>
      <c r="Q1302" s="21"/>
      <c r="R1302" s="21"/>
      <c r="S1302" s="3"/>
      <c r="T1302" s="3"/>
      <c r="U1302" s="3"/>
      <c r="V1302" s="3"/>
      <c r="W1302" s="3"/>
      <c r="X1302" s="3"/>
      <c r="Y1302" s="3"/>
      <c r="Z1302" s="53"/>
      <c r="AA1302" s="3"/>
      <c r="AB1302" s="59"/>
      <c r="AC1302" s="3"/>
      <c r="AD1302" s="53"/>
      <c r="AE1302" s="59"/>
    </row>
    <row r="1303" spans="1:31" customFormat="1" ht="15" x14ac:dyDescent="0.35">
      <c r="A1303" s="50"/>
      <c r="B1303" s="63"/>
      <c r="C1303" s="39"/>
      <c r="D1303" s="6"/>
      <c r="E1303" s="153"/>
      <c r="F1303" s="10"/>
      <c r="G1303" s="53"/>
      <c r="H1303" s="3"/>
      <c r="I1303" s="3"/>
      <c r="J1303" s="3"/>
      <c r="K1303" s="3"/>
      <c r="L1303" s="3"/>
      <c r="M1303" s="3"/>
      <c r="N1303" s="3"/>
      <c r="O1303" s="3"/>
      <c r="P1303" s="59"/>
      <c r="Q1303" s="21"/>
      <c r="R1303" s="21"/>
      <c r="S1303" s="3"/>
      <c r="T1303" s="3"/>
      <c r="U1303" s="3"/>
      <c r="V1303" s="3"/>
      <c r="W1303" s="3"/>
      <c r="X1303" s="3"/>
      <c r="Y1303" s="3"/>
      <c r="Z1303" s="53"/>
      <c r="AA1303" s="3"/>
      <c r="AB1303" s="59"/>
      <c r="AC1303" s="3"/>
      <c r="AD1303" s="53"/>
      <c r="AE1303" s="59"/>
    </row>
    <row r="1304" spans="1:31" customFormat="1" ht="15" x14ac:dyDescent="0.35">
      <c r="A1304" s="19"/>
      <c r="B1304" s="49"/>
      <c r="C1304" s="14"/>
      <c r="D1304" s="1"/>
      <c r="E1304" s="153"/>
      <c r="F1304" s="10"/>
      <c r="G1304" s="20"/>
      <c r="H1304" s="21"/>
      <c r="I1304" s="21"/>
      <c r="J1304" s="21"/>
      <c r="K1304" s="21"/>
      <c r="L1304" s="21"/>
      <c r="M1304" s="21"/>
      <c r="N1304" s="22"/>
      <c r="O1304" s="21"/>
      <c r="P1304" s="24"/>
      <c r="Q1304" s="21"/>
      <c r="R1304" s="21"/>
      <c r="S1304" s="21"/>
      <c r="T1304" s="21"/>
      <c r="U1304" s="21"/>
      <c r="V1304" s="22"/>
      <c r="W1304" s="21"/>
      <c r="X1304" s="22"/>
      <c r="Y1304" s="21"/>
      <c r="Z1304" s="20"/>
      <c r="AA1304" s="21"/>
      <c r="AB1304" s="25"/>
      <c r="AC1304" s="26"/>
      <c r="AD1304" s="27"/>
      <c r="AE1304" s="28"/>
    </row>
    <row r="1305" spans="1:31" customFormat="1" ht="15" x14ac:dyDescent="0.35">
      <c r="A1305" s="19"/>
      <c r="B1305" s="49"/>
      <c r="C1305" s="14"/>
      <c r="D1305" s="1"/>
      <c r="E1305" s="153"/>
      <c r="F1305" s="10"/>
      <c r="G1305" s="20"/>
      <c r="H1305" s="21"/>
      <c r="I1305" s="21"/>
      <c r="J1305" s="21"/>
      <c r="K1305" s="21"/>
      <c r="L1305" s="21"/>
      <c r="M1305" s="21"/>
      <c r="N1305" s="22"/>
      <c r="O1305" s="21"/>
      <c r="P1305" s="24"/>
      <c r="Q1305" s="21"/>
      <c r="R1305" s="21"/>
      <c r="S1305" s="21"/>
      <c r="T1305" s="21"/>
      <c r="U1305" s="21"/>
      <c r="V1305" s="22"/>
      <c r="W1305" s="21"/>
      <c r="X1305" s="22"/>
      <c r="Y1305" s="21"/>
      <c r="Z1305" s="20"/>
      <c r="AA1305" s="21"/>
      <c r="AB1305" s="25"/>
      <c r="AC1305" s="26"/>
      <c r="AD1305" s="27"/>
      <c r="AE1305" s="28"/>
    </row>
    <row r="1306" spans="1:31" customFormat="1" ht="15" x14ac:dyDescent="0.35">
      <c r="A1306" s="50"/>
      <c r="B1306" s="63"/>
      <c r="C1306" s="39"/>
      <c r="D1306" s="6"/>
      <c r="E1306" s="153"/>
      <c r="F1306" s="10"/>
      <c r="G1306" s="54"/>
      <c r="H1306" s="3"/>
      <c r="I1306" s="2"/>
      <c r="J1306" s="2"/>
      <c r="K1306" s="3"/>
      <c r="L1306" s="3"/>
      <c r="M1306" s="3"/>
      <c r="N1306" s="3"/>
      <c r="O1306" s="3"/>
      <c r="P1306" s="59"/>
      <c r="Q1306" s="3"/>
      <c r="R1306" s="3"/>
      <c r="S1306" s="3"/>
      <c r="T1306" s="3"/>
      <c r="U1306" s="3"/>
      <c r="V1306" s="3"/>
      <c r="W1306" s="3"/>
      <c r="X1306" s="3"/>
      <c r="Y1306" s="3"/>
      <c r="Z1306" s="53"/>
      <c r="AA1306" s="3"/>
      <c r="AB1306" s="59"/>
      <c r="AC1306" s="3"/>
      <c r="AD1306" s="53"/>
      <c r="AE1306" s="59"/>
    </row>
    <row r="1307" spans="1:31" customFormat="1" ht="15" x14ac:dyDescent="0.35">
      <c r="A1307" s="19"/>
      <c r="B1307" s="49"/>
      <c r="C1307" s="39"/>
      <c r="D1307" s="1"/>
      <c r="E1307" s="153"/>
      <c r="F1307" s="10"/>
      <c r="G1307" s="20"/>
      <c r="H1307" s="21"/>
      <c r="I1307" s="21"/>
      <c r="J1307" s="21"/>
      <c r="K1307" s="21"/>
      <c r="L1307" s="21"/>
      <c r="M1307" s="21"/>
      <c r="N1307" s="22"/>
      <c r="O1307" s="21"/>
      <c r="P1307" s="24"/>
      <c r="Q1307" s="21"/>
      <c r="R1307" s="21"/>
      <c r="S1307" s="21"/>
      <c r="T1307" s="21"/>
      <c r="U1307" s="21"/>
      <c r="V1307" s="22"/>
      <c r="W1307" s="21"/>
      <c r="X1307" s="22"/>
      <c r="Y1307" s="21"/>
      <c r="Z1307" s="20"/>
      <c r="AA1307" s="21"/>
      <c r="AB1307" s="25"/>
      <c r="AC1307" s="26"/>
      <c r="AD1307" s="27"/>
      <c r="AE1307" s="28"/>
    </row>
    <row r="1308" spans="1:31" customFormat="1" ht="15" x14ac:dyDescent="0.35">
      <c r="A1308" s="50"/>
      <c r="B1308" s="63"/>
      <c r="C1308" s="39"/>
      <c r="D1308" s="6"/>
      <c r="E1308" s="153"/>
      <c r="F1308" s="10"/>
      <c r="G1308" s="54"/>
      <c r="H1308" s="3"/>
      <c r="I1308" s="2"/>
      <c r="J1308" s="2"/>
      <c r="K1308" s="3"/>
      <c r="L1308" s="3"/>
      <c r="M1308" s="3"/>
      <c r="N1308" s="3"/>
      <c r="O1308" s="3"/>
      <c r="P1308" s="59"/>
      <c r="Q1308" s="3"/>
      <c r="R1308" s="3"/>
      <c r="S1308" s="3"/>
      <c r="T1308" s="3"/>
      <c r="U1308" s="3"/>
      <c r="V1308" s="3"/>
      <c r="W1308" s="3"/>
      <c r="X1308" s="3"/>
      <c r="Y1308" s="3"/>
      <c r="Z1308" s="53"/>
      <c r="AA1308" s="3"/>
      <c r="AB1308" s="59"/>
      <c r="AC1308" s="3"/>
      <c r="AD1308" s="53"/>
      <c r="AE1308" s="59"/>
    </row>
    <row r="1309" spans="1:31" customFormat="1" ht="15" x14ac:dyDescent="0.35">
      <c r="A1309" s="50"/>
      <c r="B1309" s="63"/>
      <c r="C1309" s="39"/>
      <c r="D1309" s="6"/>
      <c r="E1309" s="153"/>
      <c r="F1309" s="10"/>
      <c r="G1309" s="53"/>
      <c r="H1309" s="3"/>
      <c r="I1309" s="3"/>
      <c r="J1309" s="3"/>
      <c r="K1309" s="3"/>
      <c r="L1309" s="3"/>
      <c r="M1309" s="3"/>
      <c r="N1309" s="3"/>
      <c r="O1309" s="3"/>
      <c r="P1309" s="59"/>
      <c r="Q1309" s="21"/>
      <c r="R1309" s="21"/>
      <c r="S1309" s="3"/>
      <c r="T1309" s="3"/>
      <c r="U1309" s="3"/>
      <c r="V1309" s="3"/>
      <c r="W1309" s="3"/>
      <c r="X1309" s="3"/>
      <c r="Y1309" s="3"/>
      <c r="Z1309" s="53"/>
      <c r="AA1309" s="3"/>
      <c r="AB1309" s="59"/>
      <c r="AC1309" s="3"/>
      <c r="AD1309" s="53"/>
      <c r="AE1309" s="59"/>
    </row>
    <row r="1310" spans="1:31" customFormat="1" ht="15" x14ac:dyDescent="0.35">
      <c r="A1310" s="19"/>
      <c r="B1310" s="49"/>
      <c r="C1310" s="39"/>
      <c r="D1310" s="1"/>
      <c r="E1310" s="153"/>
      <c r="F1310" s="10"/>
      <c r="G1310" s="20"/>
      <c r="H1310" s="21"/>
      <c r="I1310" s="21"/>
      <c r="J1310" s="21"/>
      <c r="K1310" s="21"/>
      <c r="L1310" s="21"/>
      <c r="M1310" s="21"/>
      <c r="N1310" s="22"/>
      <c r="O1310" s="21"/>
      <c r="P1310" s="24"/>
      <c r="Q1310" s="21"/>
      <c r="R1310" s="21"/>
      <c r="S1310" s="21"/>
      <c r="T1310" s="21"/>
      <c r="U1310" s="21"/>
      <c r="V1310" s="22"/>
      <c r="W1310" s="21"/>
      <c r="X1310" s="22"/>
      <c r="Y1310" s="21"/>
      <c r="Z1310" s="20"/>
      <c r="AA1310" s="21"/>
      <c r="AB1310" s="25"/>
      <c r="AC1310" s="26"/>
      <c r="AD1310" s="27"/>
      <c r="AE1310" s="28"/>
    </row>
    <row r="1311" spans="1:31" customFormat="1" ht="15" x14ac:dyDescent="0.35">
      <c r="A1311" s="50"/>
      <c r="B1311" s="63"/>
      <c r="C1311" s="39"/>
      <c r="D1311" s="6"/>
      <c r="E1311" s="153"/>
      <c r="F1311" s="10"/>
      <c r="G1311" s="54"/>
      <c r="H1311" s="3"/>
      <c r="I1311" s="2"/>
      <c r="J1311" s="2"/>
      <c r="K1311" s="3"/>
      <c r="L1311" s="3"/>
      <c r="M1311" s="3"/>
      <c r="N1311" s="3"/>
      <c r="O1311" s="3"/>
      <c r="P1311" s="59"/>
      <c r="Q1311" s="3"/>
      <c r="R1311" s="3"/>
      <c r="S1311" s="3"/>
      <c r="T1311" s="3"/>
      <c r="U1311" s="3"/>
      <c r="V1311" s="3"/>
      <c r="W1311" s="3"/>
      <c r="X1311" s="3"/>
      <c r="Y1311" s="3"/>
      <c r="Z1311" s="53"/>
      <c r="AA1311" s="3"/>
      <c r="AB1311" s="59"/>
      <c r="AC1311" s="3"/>
      <c r="AD1311" s="53"/>
      <c r="AE1311" s="59"/>
    </row>
    <row r="1312" spans="1:31" customFormat="1" ht="15" x14ac:dyDescent="0.35">
      <c r="A1312" s="19"/>
      <c r="B1312" s="49"/>
      <c r="C1312" s="14"/>
      <c r="D1312" s="1"/>
      <c r="E1312" s="153"/>
      <c r="F1312" s="10"/>
      <c r="G1312" s="20"/>
      <c r="H1312" s="21"/>
      <c r="I1312" s="21"/>
      <c r="J1312" s="21"/>
      <c r="K1312" s="21"/>
      <c r="L1312" s="21"/>
      <c r="M1312" s="21"/>
      <c r="N1312" s="22"/>
      <c r="O1312" s="21"/>
      <c r="P1312" s="24"/>
      <c r="Q1312" s="21"/>
      <c r="R1312" s="21"/>
      <c r="S1312" s="21"/>
      <c r="T1312" s="21"/>
      <c r="U1312" s="21"/>
      <c r="V1312" s="22"/>
      <c r="W1312" s="21"/>
      <c r="X1312" s="22"/>
      <c r="Y1312" s="21"/>
      <c r="Z1312" s="20"/>
      <c r="AA1312" s="21"/>
      <c r="AB1312" s="25"/>
      <c r="AC1312" s="26"/>
      <c r="AD1312" s="27"/>
      <c r="AE1312" s="28"/>
    </row>
    <row r="1313" spans="1:31" customFormat="1" ht="15" x14ac:dyDescent="0.35">
      <c r="A1313" s="19"/>
      <c r="B1313" s="49"/>
      <c r="C1313" s="14"/>
      <c r="D1313" s="1"/>
      <c r="E1313" s="153"/>
      <c r="F1313" s="10"/>
      <c r="G1313" s="20"/>
      <c r="H1313" s="21"/>
      <c r="I1313" s="21"/>
      <c r="J1313" s="21"/>
      <c r="K1313" s="21"/>
      <c r="L1313" s="21"/>
      <c r="M1313" s="21"/>
      <c r="N1313" s="22"/>
      <c r="O1313" s="21"/>
      <c r="P1313" s="24"/>
      <c r="Q1313" s="21"/>
      <c r="R1313" s="21"/>
      <c r="S1313" s="21"/>
      <c r="T1313" s="21"/>
      <c r="U1313" s="21"/>
      <c r="V1313" s="22"/>
      <c r="W1313" s="21"/>
      <c r="X1313" s="22"/>
      <c r="Y1313" s="21"/>
      <c r="Z1313" s="20"/>
      <c r="AA1313" s="21"/>
      <c r="AB1313" s="25"/>
      <c r="AC1313" s="26"/>
      <c r="AD1313" s="27"/>
      <c r="AE1313" s="28"/>
    </row>
    <row r="1314" spans="1:31" customFormat="1" ht="15" x14ac:dyDescent="0.35">
      <c r="A1314" s="50"/>
      <c r="B1314" s="63"/>
      <c r="C1314" s="39"/>
      <c r="D1314" s="6"/>
      <c r="E1314" s="153"/>
      <c r="F1314" s="10"/>
      <c r="G1314" s="53"/>
      <c r="H1314" s="3"/>
      <c r="I1314" s="3"/>
      <c r="J1314" s="3"/>
      <c r="K1314" s="3"/>
      <c r="L1314" s="3"/>
      <c r="M1314" s="3"/>
      <c r="N1314" s="3"/>
      <c r="O1314" s="3"/>
      <c r="P1314" s="59"/>
      <c r="Q1314" s="21"/>
      <c r="R1314" s="21"/>
      <c r="S1314" s="3"/>
      <c r="T1314" s="3"/>
      <c r="U1314" s="3"/>
      <c r="V1314" s="3"/>
      <c r="W1314" s="3"/>
      <c r="X1314" s="3"/>
      <c r="Y1314" s="3"/>
      <c r="Z1314" s="53"/>
      <c r="AA1314" s="3"/>
      <c r="AB1314" s="59"/>
      <c r="AC1314" s="3"/>
      <c r="AD1314" s="53"/>
      <c r="AE1314" s="59"/>
    </row>
    <row r="1315" spans="1:31" customFormat="1" ht="15" x14ac:dyDescent="0.35">
      <c r="A1315" s="50"/>
      <c r="B1315" s="63"/>
      <c r="C1315" s="39"/>
      <c r="D1315" s="6"/>
      <c r="E1315" s="153"/>
      <c r="F1315" s="10"/>
      <c r="G1315" s="54"/>
      <c r="H1315" s="3"/>
      <c r="I1315" s="2"/>
      <c r="J1315" s="2"/>
      <c r="K1315" s="3"/>
      <c r="L1315" s="3"/>
      <c r="M1315" s="3"/>
      <c r="N1315" s="3"/>
      <c r="O1315" s="3"/>
      <c r="P1315" s="59"/>
      <c r="Q1315" s="3"/>
      <c r="R1315" s="3"/>
      <c r="S1315" s="3"/>
      <c r="T1315" s="3"/>
      <c r="U1315" s="3"/>
      <c r="V1315" s="3"/>
      <c r="W1315" s="3"/>
      <c r="X1315" s="3"/>
      <c r="Y1315" s="3"/>
      <c r="Z1315" s="53"/>
      <c r="AA1315" s="3"/>
      <c r="AB1315" s="59"/>
      <c r="AC1315" s="3"/>
      <c r="AD1315" s="53"/>
      <c r="AE1315" s="59"/>
    </row>
    <row r="1316" spans="1:31" customFormat="1" ht="15" x14ac:dyDescent="0.35">
      <c r="A1316" s="50"/>
      <c r="B1316" s="63"/>
      <c r="C1316" s="39"/>
      <c r="D1316" s="6"/>
      <c r="E1316" s="153"/>
      <c r="F1316" s="10"/>
      <c r="G1316" s="53"/>
      <c r="H1316" s="3"/>
      <c r="I1316" s="3"/>
      <c r="J1316" s="3"/>
      <c r="K1316" s="3"/>
      <c r="L1316" s="3"/>
      <c r="M1316" s="3"/>
      <c r="N1316" s="3"/>
      <c r="O1316" s="3"/>
      <c r="P1316" s="59"/>
      <c r="Q1316" s="21"/>
      <c r="R1316" s="21"/>
      <c r="S1316" s="3"/>
      <c r="T1316" s="3"/>
      <c r="U1316" s="3"/>
      <c r="V1316" s="3"/>
      <c r="W1316" s="3"/>
      <c r="X1316" s="3"/>
      <c r="Y1316" s="3"/>
      <c r="Z1316" s="53"/>
      <c r="AA1316" s="3"/>
      <c r="AB1316" s="59"/>
      <c r="AC1316" s="3"/>
      <c r="AD1316" s="53"/>
      <c r="AE1316" s="59"/>
    </row>
    <row r="1317" spans="1:31" customFormat="1" ht="15" x14ac:dyDescent="0.35">
      <c r="A1317" s="50"/>
      <c r="B1317" s="63"/>
      <c r="C1317" s="39"/>
      <c r="D1317" s="6"/>
      <c r="E1317" s="153"/>
      <c r="F1317" s="10"/>
      <c r="G1317" s="53"/>
      <c r="H1317" s="3"/>
      <c r="I1317" s="3"/>
      <c r="J1317" s="3"/>
      <c r="K1317" s="3"/>
      <c r="L1317" s="3"/>
      <c r="M1317" s="3"/>
      <c r="N1317" s="3"/>
      <c r="O1317" s="3"/>
      <c r="P1317" s="59"/>
      <c r="Q1317" s="21"/>
      <c r="R1317" s="21"/>
      <c r="S1317" s="3"/>
      <c r="T1317" s="3"/>
      <c r="U1317" s="3"/>
      <c r="V1317" s="3"/>
      <c r="W1317" s="3"/>
      <c r="X1317" s="3"/>
      <c r="Y1317" s="3"/>
      <c r="Z1317" s="53"/>
      <c r="AA1317" s="3"/>
      <c r="AB1317" s="59"/>
      <c r="AC1317" s="3"/>
      <c r="AD1317" s="53"/>
      <c r="AE1317" s="59"/>
    </row>
    <row r="1318" spans="1:31" customFormat="1" ht="15" x14ac:dyDescent="0.35">
      <c r="A1318" s="19"/>
      <c r="B1318" s="49"/>
      <c r="C1318" s="39"/>
      <c r="D1318" s="1"/>
      <c r="E1318" s="153"/>
      <c r="F1318" s="10"/>
      <c r="G1318" s="20"/>
      <c r="H1318" s="21"/>
      <c r="I1318" s="21"/>
      <c r="J1318" s="21"/>
      <c r="K1318" s="21"/>
      <c r="L1318" s="21"/>
      <c r="M1318" s="21"/>
      <c r="N1318" s="22"/>
      <c r="O1318" s="21"/>
      <c r="P1318" s="24"/>
      <c r="Q1318" s="21"/>
      <c r="R1318" s="21"/>
      <c r="S1318" s="21"/>
      <c r="T1318" s="21"/>
      <c r="U1318" s="21"/>
      <c r="V1318" s="22"/>
      <c r="W1318" s="21"/>
      <c r="X1318" s="22"/>
      <c r="Y1318" s="21"/>
      <c r="Z1318" s="20"/>
      <c r="AA1318" s="21"/>
      <c r="AB1318" s="25"/>
      <c r="AC1318" s="26"/>
      <c r="AD1318" s="27"/>
      <c r="AE1318" s="28"/>
    </row>
    <row r="1319" spans="1:31" customFormat="1" ht="15" x14ac:dyDescent="0.35">
      <c r="A1319" s="19"/>
      <c r="B1319" s="49"/>
      <c r="C1319" s="39"/>
      <c r="D1319" s="1"/>
      <c r="E1319" s="153"/>
      <c r="F1319" s="10"/>
      <c r="G1319" s="20"/>
      <c r="H1319" s="21"/>
      <c r="I1319" s="21"/>
      <c r="J1319" s="21"/>
      <c r="K1319" s="21"/>
      <c r="L1319" s="21"/>
      <c r="M1319" s="21"/>
      <c r="N1319" s="22"/>
      <c r="O1319" s="21"/>
      <c r="P1319" s="24"/>
      <c r="Q1319" s="21"/>
      <c r="R1319" s="21"/>
      <c r="S1319" s="21"/>
      <c r="T1319" s="21"/>
      <c r="U1319" s="21"/>
      <c r="V1319" s="22"/>
      <c r="W1319" s="21"/>
      <c r="X1319" s="22"/>
      <c r="Y1319" s="21"/>
      <c r="Z1319" s="20"/>
      <c r="AA1319" s="21"/>
      <c r="AB1319" s="25"/>
      <c r="AC1319" s="26"/>
      <c r="AD1319" s="27"/>
      <c r="AE1319" s="28"/>
    </row>
    <row r="1320" spans="1:31" customFormat="1" ht="15" x14ac:dyDescent="0.35">
      <c r="A1320" s="50"/>
      <c r="B1320" s="63"/>
      <c r="C1320" s="39"/>
      <c r="D1320" s="6"/>
      <c r="E1320" s="153"/>
      <c r="F1320" s="10"/>
      <c r="G1320" s="54"/>
      <c r="H1320" s="3"/>
      <c r="I1320" s="2"/>
      <c r="J1320" s="2"/>
      <c r="K1320" s="3"/>
      <c r="L1320" s="3"/>
      <c r="M1320" s="3"/>
      <c r="N1320" s="3"/>
      <c r="O1320" s="3"/>
      <c r="P1320" s="59"/>
      <c r="Q1320" s="3"/>
      <c r="R1320" s="3"/>
      <c r="S1320" s="3"/>
      <c r="T1320" s="3"/>
      <c r="U1320" s="3"/>
      <c r="V1320" s="3"/>
      <c r="W1320" s="3"/>
      <c r="X1320" s="3"/>
      <c r="Y1320" s="3"/>
      <c r="Z1320" s="53"/>
      <c r="AA1320" s="3"/>
      <c r="AB1320" s="59"/>
      <c r="AC1320" s="3"/>
      <c r="AD1320" s="53"/>
      <c r="AE1320" s="59"/>
    </row>
    <row r="1321" spans="1:31" customFormat="1" ht="15" x14ac:dyDescent="0.35">
      <c r="A1321" s="50"/>
      <c r="B1321" s="63"/>
      <c r="C1321" s="39"/>
      <c r="D1321" s="6"/>
      <c r="E1321" s="153"/>
      <c r="F1321" s="10"/>
      <c r="G1321" s="53"/>
      <c r="H1321" s="3"/>
      <c r="I1321" s="3"/>
      <c r="J1321" s="3"/>
      <c r="K1321" s="3"/>
      <c r="L1321" s="3"/>
      <c r="M1321" s="3"/>
      <c r="N1321" s="3"/>
      <c r="O1321" s="3"/>
      <c r="P1321" s="59"/>
      <c r="Q1321" s="21"/>
      <c r="R1321" s="21"/>
      <c r="S1321" s="3"/>
      <c r="T1321" s="3"/>
      <c r="U1321" s="3"/>
      <c r="V1321" s="3"/>
      <c r="W1321" s="3"/>
      <c r="X1321" s="3"/>
      <c r="Y1321" s="3"/>
      <c r="Z1321" s="53"/>
      <c r="AA1321" s="3"/>
      <c r="AB1321" s="59"/>
      <c r="AC1321" s="3"/>
      <c r="AD1321" s="53"/>
      <c r="AE1321" s="59"/>
    </row>
    <row r="1322" spans="1:31" customFormat="1" ht="15" x14ac:dyDescent="0.35">
      <c r="A1322" s="50"/>
      <c r="B1322" s="63"/>
      <c r="C1322" s="39"/>
      <c r="D1322" s="6"/>
      <c r="E1322" s="153"/>
      <c r="F1322" s="10"/>
      <c r="G1322" s="53"/>
      <c r="H1322" s="3"/>
      <c r="I1322" s="3"/>
      <c r="J1322" s="3"/>
      <c r="K1322" s="3"/>
      <c r="L1322" s="3"/>
      <c r="M1322" s="3"/>
      <c r="N1322" s="3"/>
      <c r="O1322" s="3"/>
      <c r="P1322" s="59"/>
      <c r="Q1322" s="3"/>
      <c r="R1322" s="3"/>
      <c r="S1322" s="3"/>
      <c r="T1322" s="3"/>
      <c r="U1322" s="3"/>
      <c r="V1322" s="3"/>
      <c r="W1322" s="3"/>
      <c r="X1322" s="3"/>
      <c r="Y1322" s="3"/>
      <c r="Z1322" s="53"/>
      <c r="AA1322" s="3"/>
      <c r="AB1322" s="59"/>
      <c r="AC1322" s="3"/>
      <c r="AD1322" s="53"/>
      <c r="AE1322" s="59"/>
    </row>
    <row r="1323" spans="1:31" customFormat="1" ht="15" x14ac:dyDescent="0.35">
      <c r="A1323" s="50"/>
      <c r="B1323" s="63"/>
      <c r="C1323" s="39"/>
      <c r="D1323" s="6"/>
      <c r="E1323" s="153"/>
      <c r="F1323" s="10"/>
      <c r="G1323" s="54"/>
      <c r="H1323" s="3"/>
      <c r="I1323" s="2"/>
      <c r="J1323" s="2"/>
      <c r="K1323" s="3"/>
      <c r="L1323" s="3"/>
      <c r="M1323" s="3"/>
      <c r="N1323" s="3"/>
      <c r="O1323" s="3"/>
      <c r="P1323" s="59"/>
      <c r="Q1323" s="3"/>
      <c r="R1323" s="3"/>
      <c r="S1323" s="3"/>
      <c r="T1323" s="3"/>
      <c r="U1323" s="3"/>
      <c r="V1323" s="3"/>
      <c r="W1323" s="3"/>
      <c r="X1323" s="3"/>
      <c r="Y1323" s="3"/>
      <c r="Z1323" s="53"/>
      <c r="AA1323" s="3"/>
      <c r="AB1323" s="59"/>
      <c r="AC1323" s="3"/>
      <c r="AD1323" s="53"/>
      <c r="AE1323" s="59"/>
    </row>
    <row r="1324" spans="1:31" customFormat="1" ht="15" x14ac:dyDescent="0.35">
      <c r="A1324" s="50"/>
      <c r="B1324" s="63"/>
      <c r="C1324" s="39"/>
      <c r="D1324" s="6"/>
      <c r="E1324" s="153"/>
      <c r="F1324" s="10"/>
      <c r="G1324" s="54"/>
      <c r="H1324" s="3"/>
      <c r="I1324" s="2"/>
      <c r="J1324" s="2"/>
      <c r="K1324" s="3"/>
      <c r="L1324" s="3"/>
      <c r="M1324" s="3"/>
      <c r="N1324" s="3"/>
      <c r="O1324" s="3"/>
      <c r="P1324" s="59"/>
      <c r="Q1324" s="3"/>
      <c r="R1324" s="3"/>
      <c r="S1324" s="3"/>
      <c r="T1324" s="3"/>
      <c r="U1324" s="3"/>
      <c r="V1324" s="3"/>
      <c r="W1324" s="3"/>
      <c r="X1324" s="3"/>
      <c r="Y1324" s="3"/>
      <c r="Z1324" s="53"/>
      <c r="AA1324" s="3"/>
      <c r="AB1324" s="59"/>
      <c r="AC1324" s="3"/>
      <c r="AD1324" s="53"/>
      <c r="AE1324" s="59"/>
    </row>
    <row r="1325" spans="1:31" customFormat="1" ht="15" x14ac:dyDescent="0.35">
      <c r="A1325" s="19"/>
      <c r="B1325" s="49"/>
      <c r="C1325" s="39"/>
      <c r="D1325" s="1"/>
      <c r="E1325" s="153"/>
      <c r="F1325" s="10"/>
      <c r="G1325" s="20"/>
      <c r="H1325" s="21"/>
      <c r="I1325" s="21"/>
      <c r="J1325" s="21"/>
      <c r="K1325" s="21"/>
      <c r="L1325" s="21"/>
      <c r="M1325" s="21"/>
      <c r="N1325" s="22"/>
      <c r="O1325" s="21"/>
      <c r="P1325" s="24"/>
      <c r="Q1325" s="21"/>
      <c r="R1325" s="21"/>
      <c r="S1325" s="21"/>
      <c r="T1325" s="21"/>
      <c r="U1325" s="21"/>
      <c r="V1325" s="22"/>
      <c r="W1325" s="21"/>
      <c r="X1325" s="22"/>
      <c r="Y1325" s="21"/>
      <c r="Z1325" s="20"/>
      <c r="AA1325" s="21"/>
      <c r="AB1325" s="25"/>
      <c r="AC1325" s="26"/>
      <c r="AD1325" s="27"/>
      <c r="AE1325" s="28"/>
    </row>
    <row r="1326" spans="1:31" customFormat="1" ht="15" x14ac:dyDescent="0.35">
      <c r="A1326" s="50"/>
      <c r="B1326" s="63"/>
      <c r="C1326" s="39"/>
      <c r="D1326" s="6"/>
      <c r="E1326" s="153"/>
      <c r="F1326" s="10"/>
      <c r="G1326" s="53"/>
      <c r="H1326" s="3"/>
      <c r="I1326" s="3"/>
      <c r="J1326" s="3"/>
      <c r="K1326" s="3"/>
      <c r="L1326" s="3"/>
      <c r="M1326" s="3"/>
      <c r="N1326" s="3"/>
      <c r="O1326" s="3"/>
      <c r="P1326" s="59"/>
      <c r="Q1326" s="21"/>
      <c r="R1326" s="21"/>
      <c r="S1326" s="3"/>
      <c r="T1326" s="3"/>
      <c r="U1326" s="3"/>
      <c r="V1326" s="3"/>
      <c r="W1326" s="3"/>
      <c r="X1326" s="3"/>
      <c r="Y1326" s="3"/>
      <c r="Z1326" s="53"/>
      <c r="AA1326" s="3"/>
      <c r="AB1326" s="59"/>
      <c r="AC1326" s="3"/>
      <c r="AD1326" s="53"/>
      <c r="AE1326" s="59"/>
    </row>
    <row r="1327" spans="1:31" customFormat="1" ht="15" x14ac:dyDescent="0.35">
      <c r="A1327" s="19"/>
      <c r="B1327" s="49"/>
      <c r="C1327" s="39"/>
      <c r="D1327" s="1"/>
      <c r="E1327" s="153"/>
      <c r="F1327" s="10"/>
      <c r="G1327" s="20"/>
      <c r="H1327" s="21"/>
      <c r="I1327" s="21"/>
      <c r="J1327" s="21"/>
      <c r="K1327" s="21"/>
      <c r="L1327" s="21"/>
      <c r="M1327" s="21"/>
      <c r="N1327" s="22"/>
      <c r="O1327" s="21"/>
      <c r="P1327" s="24"/>
      <c r="Q1327" s="21"/>
      <c r="R1327" s="21"/>
      <c r="S1327" s="21"/>
      <c r="T1327" s="21"/>
      <c r="U1327" s="21"/>
      <c r="V1327" s="22"/>
      <c r="W1327" s="21"/>
      <c r="X1327" s="22"/>
      <c r="Y1327" s="21"/>
      <c r="Z1327" s="20"/>
      <c r="AA1327" s="21"/>
      <c r="AB1327" s="25"/>
      <c r="AC1327" s="26"/>
      <c r="AD1327" s="27"/>
      <c r="AE1327" s="28"/>
    </row>
    <row r="1328" spans="1:31" customFormat="1" ht="15" x14ac:dyDescent="0.35">
      <c r="A1328" s="19"/>
      <c r="B1328" s="49"/>
      <c r="C1328" s="14"/>
      <c r="D1328" s="1"/>
      <c r="E1328" s="153"/>
      <c r="F1328" s="10"/>
      <c r="G1328" s="20"/>
      <c r="H1328" s="21"/>
      <c r="I1328" s="21"/>
      <c r="J1328" s="21"/>
      <c r="K1328" s="21"/>
      <c r="L1328" s="21"/>
      <c r="M1328" s="21"/>
      <c r="N1328" s="22"/>
      <c r="O1328" s="21"/>
      <c r="P1328" s="24"/>
      <c r="Q1328" s="21"/>
      <c r="R1328" s="21"/>
      <c r="S1328" s="21"/>
      <c r="T1328" s="21"/>
      <c r="U1328" s="21"/>
      <c r="V1328" s="22"/>
      <c r="W1328" s="21"/>
      <c r="X1328" s="22"/>
      <c r="Y1328" s="21"/>
      <c r="Z1328" s="20"/>
      <c r="AA1328" s="21"/>
      <c r="AB1328" s="25"/>
      <c r="AC1328" s="26"/>
      <c r="AD1328" s="27"/>
      <c r="AE1328" s="28"/>
    </row>
    <row r="1329" spans="1:31" customFormat="1" ht="15" x14ac:dyDescent="0.35">
      <c r="A1329" s="19"/>
      <c r="B1329" s="49"/>
      <c r="C1329" s="14"/>
      <c r="D1329" s="1"/>
      <c r="E1329" s="153"/>
      <c r="F1329" s="10"/>
      <c r="G1329" s="20"/>
      <c r="H1329" s="21"/>
      <c r="I1329" s="21"/>
      <c r="J1329" s="21"/>
      <c r="K1329" s="21"/>
      <c r="L1329" s="21"/>
      <c r="M1329" s="21"/>
      <c r="N1329" s="22"/>
      <c r="O1329" s="21"/>
      <c r="P1329" s="24"/>
      <c r="Q1329" s="21"/>
      <c r="R1329" s="21"/>
      <c r="S1329" s="21"/>
      <c r="T1329" s="21"/>
      <c r="U1329" s="21"/>
      <c r="V1329" s="22"/>
      <c r="W1329" s="21"/>
      <c r="X1329" s="22"/>
      <c r="Y1329" s="21"/>
      <c r="Z1329" s="20"/>
      <c r="AA1329" s="21"/>
      <c r="AB1329" s="25"/>
      <c r="AC1329" s="26"/>
      <c r="AD1329" s="27"/>
      <c r="AE1329" s="28"/>
    </row>
    <row r="1330" spans="1:31" customFormat="1" ht="15" x14ac:dyDescent="0.35">
      <c r="A1330" s="19"/>
      <c r="B1330" s="49"/>
      <c r="C1330" s="14"/>
      <c r="D1330" s="1"/>
      <c r="E1330" s="153"/>
      <c r="F1330" s="10"/>
      <c r="G1330" s="20"/>
      <c r="H1330" s="21"/>
      <c r="I1330" s="21"/>
      <c r="J1330" s="21"/>
      <c r="K1330" s="21"/>
      <c r="L1330" s="21"/>
      <c r="M1330" s="21"/>
      <c r="N1330" s="22"/>
      <c r="O1330" s="21"/>
      <c r="P1330" s="24"/>
      <c r="Q1330" s="21"/>
      <c r="R1330" s="21"/>
      <c r="S1330" s="21"/>
      <c r="T1330" s="21"/>
      <c r="U1330" s="21"/>
      <c r="V1330" s="22"/>
      <c r="W1330" s="21"/>
      <c r="X1330" s="22"/>
      <c r="Y1330" s="21"/>
      <c r="Z1330" s="20"/>
      <c r="AA1330" s="21"/>
      <c r="AB1330" s="25"/>
      <c r="AC1330" s="26"/>
      <c r="AD1330" s="27"/>
      <c r="AE1330" s="28"/>
    </row>
    <row r="1331" spans="1:31" customFormat="1" ht="15" x14ac:dyDescent="0.35">
      <c r="A1331" s="50"/>
      <c r="B1331" s="63"/>
      <c r="C1331" s="39"/>
      <c r="D1331" s="6"/>
      <c r="E1331" s="153"/>
      <c r="F1331" s="10"/>
      <c r="G1331" s="54"/>
      <c r="H1331" s="3"/>
      <c r="I1331" s="2"/>
      <c r="J1331" s="2"/>
      <c r="K1331" s="3"/>
      <c r="L1331" s="3"/>
      <c r="M1331" s="3"/>
      <c r="N1331" s="3"/>
      <c r="O1331" s="3"/>
      <c r="P1331" s="59"/>
      <c r="Q1331" s="21"/>
      <c r="R1331" s="21"/>
      <c r="S1331" s="3"/>
      <c r="T1331" s="3"/>
      <c r="U1331" s="3"/>
      <c r="V1331" s="3"/>
      <c r="W1331" s="3"/>
      <c r="X1331" s="3"/>
      <c r="Y1331" s="3"/>
      <c r="Z1331" s="53"/>
      <c r="AA1331" s="3"/>
      <c r="AB1331" s="59"/>
      <c r="AC1331" s="3"/>
      <c r="AD1331" s="53"/>
      <c r="AE1331" s="59"/>
    </row>
    <row r="1332" spans="1:31" customFormat="1" ht="15" x14ac:dyDescent="0.35">
      <c r="A1332" s="19"/>
      <c r="B1332" s="49"/>
      <c r="C1332" s="39"/>
      <c r="D1332" s="1"/>
      <c r="E1332" s="153"/>
      <c r="F1332" s="10"/>
      <c r="G1332" s="20"/>
      <c r="H1332" s="21"/>
      <c r="I1332" s="21"/>
      <c r="J1332" s="21"/>
      <c r="K1332" s="21"/>
      <c r="L1332" s="21"/>
      <c r="M1332" s="21"/>
      <c r="N1332" s="22"/>
      <c r="O1332" s="21"/>
      <c r="P1332" s="24"/>
      <c r="Q1332" s="21"/>
      <c r="R1332" s="21"/>
      <c r="S1332" s="21"/>
      <c r="T1332" s="21"/>
      <c r="U1332" s="21"/>
      <c r="V1332" s="22"/>
      <c r="W1332" s="21"/>
      <c r="X1332" s="22"/>
      <c r="Y1332" s="21"/>
      <c r="Z1332" s="20"/>
      <c r="AA1332" s="21"/>
      <c r="AB1332" s="25"/>
      <c r="AC1332" s="26"/>
      <c r="AD1332" s="27"/>
      <c r="AE1332" s="28"/>
    </row>
    <row r="1333" spans="1:31" customFormat="1" ht="15" x14ac:dyDescent="0.35">
      <c r="A1333" s="19"/>
      <c r="B1333" s="49"/>
      <c r="C1333" s="39"/>
      <c r="D1333" s="1"/>
      <c r="E1333" s="153"/>
      <c r="F1333" s="10"/>
      <c r="G1333" s="20"/>
      <c r="H1333" s="21"/>
      <c r="I1333" s="21"/>
      <c r="J1333" s="21"/>
      <c r="K1333" s="21"/>
      <c r="L1333" s="21"/>
      <c r="M1333" s="21"/>
      <c r="N1333" s="22"/>
      <c r="O1333" s="21"/>
      <c r="P1333" s="24"/>
      <c r="Q1333" s="21"/>
      <c r="R1333" s="21"/>
      <c r="S1333" s="21"/>
      <c r="T1333" s="21"/>
      <c r="U1333" s="21"/>
      <c r="V1333" s="22"/>
      <c r="W1333" s="21"/>
      <c r="X1333" s="22"/>
      <c r="Y1333" s="21"/>
      <c r="Z1333" s="20"/>
      <c r="AA1333" s="21"/>
      <c r="AB1333" s="25"/>
      <c r="AC1333" s="26"/>
      <c r="AD1333" s="27"/>
      <c r="AE1333" s="28"/>
    </row>
    <row r="1334" spans="1:31" customFormat="1" ht="15" x14ac:dyDescent="0.35">
      <c r="A1334" s="50"/>
      <c r="B1334" s="63"/>
      <c r="C1334" s="39"/>
      <c r="D1334" s="6"/>
      <c r="E1334" s="153"/>
      <c r="F1334" s="10"/>
      <c r="G1334" s="54"/>
      <c r="H1334" s="3"/>
      <c r="I1334" s="2"/>
      <c r="J1334" s="2"/>
      <c r="K1334" s="3"/>
      <c r="L1334" s="3"/>
      <c r="M1334" s="3"/>
      <c r="N1334" s="3"/>
      <c r="O1334" s="3"/>
      <c r="P1334" s="59"/>
      <c r="Q1334" s="3"/>
      <c r="R1334" s="3"/>
      <c r="S1334" s="3"/>
      <c r="T1334" s="3"/>
      <c r="U1334" s="3"/>
      <c r="V1334" s="3"/>
      <c r="W1334" s="3"/>
      <c r="X1334" s="3"/>
      <c r="Y1334" s="3"/>
      <c r="Z1334" s="53"/>
      <c r="AA1334" s="3"/>
      <c r="AB1334" s="59"/>
      <c r="AC1334" s="3"/>
      <c r="AD1334" s="53"/>
      <c r="AE1334" s="59"/>
    </row>
    <row r="1335" spans="1:31" customFormat="1" ht="15" x14ac:dyDescent="0.35">
      <c r="A1335" s="50"/>
      <c r="B1335" s="63"/>
      <c r="C1335" s="39"/>
      <c r="D1335" s="6"/>
      <c r="E1335" s="153"/>
      <c r="F1335" s="10"/>
      <c r="G1335" s="53"/>
      <c r="H1335" s="3"/>
      <c r="I1335" s="3"/>
      <c r="J1335" s="3"/>
      <c r="K1335" s="3"/>
      <c r="L1335" s="3"/>
      <c r="M1335" s="3"/>
      <c r="N1335" s="3"/>
      <c r="O1335" s="3"/>
      <c r="P1335" s="59"/>
      <c r="Q1335" s="21"/>
      <c r="R1335" s="21"/>
      <c r="S1335" s="3"/>
      <c r="T1335" s="3"/>
      <c r="U1335" s="3"/>
      <c r="V1335" s="3"/>
      <c r="W1335" s="3"/>
      <c r="X1335" s="3"/>
      <c r="Y1335" s="3"/>
      <c r="Z1335" s="53"/>
      <c r="AA1335" s="3"/>
      <c r="AB1335" s="59"/>
      <c r="AC1335" s="3"/>
      <c r="AD1335" s="53"/>
      <c r="AE1335" s="59"/>
    </row>
    <row r="1336" spans="1:31" customFormat="1" ht="15" x14ac:dyDescent="0.35">
      <c r="A1336" s="50"/>
      <c r="B1336" s="63"/>
      <c r="C1336" s="39"/>
      <c r="D1336" s="6"/>
      <c r="E1336" s="153"/>
      <c r="F1336" s="10"/>
      <c r="G1336" s="54"/>
      <c r="H1336" s="3"/>
      <c r="I1336" s="2"/>
      <c r="J1336" s="2"/>
      <c r="K1336" s="3"/>
      <c r="L1336" s="3"/>
      <c r="M1336" s="3"/>
      <c r="N1336" s="3"/>
      <c r="O1336" s="3"/>
      <c r="P1336" s="59"/>
      <c r="Q1336" s="3"/>
      <c r="R1336" s="3"/>
      <c r="S1336" s="3"/>
      <c r="T1336" s="3"/>
      <c r="U1336" s="3"/>
      <c r="V1336" s="3"/>
      <c r="W1336" s="3"/>
      <c r="X1336" s="3"/>
      <c r="Y1336" s="3"/>
      <c r="Z1336" s="53"/>
      <c r="AA1336" s="3"/>
      <c r="AB1336" s="59"/>
      <c r="AC1336" s="3"/>
      <c r="AD1336" s="53"/>
      <c r="AE1336" s="59"/>
    </row>
    <row r="1337" spans="1:31" customFormat="1" ht="15" x14ac:dyDescent="0.35">
      <c r="A1337" s="50"/>
      <c r="B1337" s="63"/>
      <c r="C1337" s="39"/>
      <c r="D1337" s="6"/>
      <c r="E1337" s="153"/>
      <c r="F1337" s="10"/>
      <c r="G1337" s="54"/>
      <c r="H1337" s="3"/>
      <c r="I1337" s="2"/>
      <c r="J1337" s="2"/>
      <c r="K1337" s="3"/>
      <c r="L1337" s="3"/>
      <c r="M1337" s="3"/>
      <c r="N1337" s="3"/>
      <c r="O1337" s="3"/>
      <c r="P1337" s="59"/>
      <c r="Q1337" s="3"/>
      <c r="R1337" s="3"/>
      <c r="S1337" s="3"/>
      <c r="T1337" s="3"/>
      <c r="U1337" s="3"/>
      <c r="V1337" s="3"/>
      <c r="W1337" s="3"/>
      <c r="X1337" s="3"/>
      <c r="Y1337" s="3"/>
      <c r="Z1337" s="53"/>
      <c r="AA1337" s="3"/>
      <c r="AB1337" s="59"/>
      <c r="AC1337" s="3"/>
      <c r="AD1337" s="53"/>
      <c r="AE1337" s="59"/>
    </row>
    <row r="1338" spans="1:31" customFormat="1" ht="15" x14ac:dyDescent="0.35">
      <c r="A1338" s="50"/>
      <c r="B1338" s="63"/>
      <c r="C1338" s="39"/>
      <c r="D1338" s="6"/>
      <c r="E1338" s="153"/>
      <c r="F1338" s="10"/>
      <c r="G1338" s="53"/>
      <c r="H1338" s="3"/>
      <c r="I1338" s="3"/>
      <c r="J1338" s="3"/>
      <c r="K1338" s="3"/>
      <c r="L1338" s="3"/>
      <c r="M1338" s="3"/>
      <c r="N1338" s="3"/>
      <c r="O1338" s="3"/>
      <c r="P1338" s="59"/>
      <c r="Q1338" s="21"/>
      <c r="R1338" s="21"/>
      <c r="S1338" s="3"/>
      <c r="T1338" s="3"/>
      <c r="U1338" s="3"/>
      <c r="V1338" s="3"/>
      <c r="W1338" s="3"/>
      <c r="X1338" s="3"/>
      <c r="Y1338" s="3"/>
      <c r="Z1338" s="53"/>
      <c r="AA1338" s="3"/>
      <c r="AB1338" s="59"/>
      <c r="AC1338" s="3"/>
      <c r="AD1338" s="53"/>
      <c r="AE1338" s="59"/>
    </row>
    <row r="1339" spans="1:31" customFormat="1" ht="15" x14ac:dyDescent="0.35">
      <c r="A1339" s="50"/>
      <c r="B1339" s="63"/>
      <c r="C1339" s="39"/>
      <c r="D1339" s="6"/>
      <c r="E1339" s="153"/>
      <c r="F1339" s="10"/>
      <c r="G1339" s="53"/>
      <c r="H1339" s="3"/>
      <c r="I1339" s="3"/>
      <c r="J1339" s="3"/>
      <c r="K1339" s="3"/>
      <c r="L1339" s="3"/>
      <c r="M1339" s="3"/>
      <c r="N1339" s="3"/>
      <c r="O1339" s="3"/>
      <c r="P1339" s="59"/>
      <c r="Q1339" s="21"/>
      <c r="R1339" s="21"/>
      <c r="S1339" s="3"/>
      <c r="T1339" s="3"/>
      <c r="U1339" s="3"/>
      <c r="V1339" s="3"/>
      <c r="W1339" s="3"/>
      <c r="X1339" s="3"/>
      <c r="Y1339" s="3"/>
      <c r="Z1339" s="53"/>
      <c r="AA1339" s="3"/>
      <c r="AB1339" s="59"/>
      <c r="AC1339" s="3"/>
      <c r="AD1339" s="53"/>
      <c r="AE1339" s="59"/>
    </row>
    <row r="1340" spans="1:31" customFormat="1" ht="15" x14ac:dyDescent="0.35">
      <c r="A1340" s="50"/>
      <c r="B1340" s="63"/>
      <c r="C1340" s="39"/>
      <c r="D1340" s="6"/>
      <c r="E1340" s="153"/>
      <c r="F1340" s="10"/>
      <c r="G1340" s="54"/>
      <c r="H1340" s="3"/>
      <c r="I1340" s="2"/>
      <c r="J1340" s="2"/>
      <c r="K1340" s="3"/>
      <c r="L1340" s="3"/>
      <c r="M1340" s="3"/>
      <c r="N1340" s="3"/>
      <c r="O1340" s="3"/>
      <c r="P1340" s="59"/>
      <c r="Q1340" s="3"/>
      <c r="R1340" s="3"/>
      <c r="S1340" s="3"/>
      <c r="T1340" s="3"/>
      <c r="U1340" s="3"/>
      <c r="V1340" s="3"/>
      <c r="W1340" s="3"/>
      <c r="X1340" s="3"/>
      <c r="Y1340" s="3"/>
      <c r="Z1340" s="53"/>
      <c r="AA1340" s="3"/>
      <c r="AB1340" s="59"/>
      <c r="AC1340" s="3"/>
      <c r="AD1340" s="53"/>
      <c r="AE1340" s="59"/>
    </row>
    <row r="1341" spans="1:31" customFormat="1" ht="15" x14ac:dyDescent="0.35">
      <c r="A1341" s="50"/>
      <c r="B1341" s="63"/>
      <c r="C1341" s="39"/>
      <c r="D1341" s="6"/>
      <c r="E1341" s="153"/>
      <c r="F1341" s="10"/>
      <c r="G1341" s="53"/>
      <c r="H1341" s="3"/>
      <c r="I1341" s="3"/>
      <c r="J1341" s="3"/>
      <c r="K1341" s="3"/>
      <c r="L1341" s="3"/>
      <c r="M1341" s="3"/>
      <c r="N1341" s="3"/>
      <c r="O1341" s="3"/>
      <c r="P1341" s="59"/>
      <c r="Q1341" s="21"/>
      <c r="R1341" s="21"/>
      <c r="S1341" s="3"/>
      <c r="T1341" s="3"/>
      <c r="U1341" s="3"/>
      <c r="V1341" s="3"/>
      <c r="W1341" s="3"/>
      <c r="X1341" s="3"/>
      <c r="Y1341" s="3"/>
      <c r="Z1341" s="53"/>
      <c r="AA1341" s="3"/>
      <c r="AB1341" s="59"/>
      <c r="AC1341" s="3"/>
      <c r="AD1341" s="53"/>
      <c r="AE1341" s="59"/>
    </row>
    <row r="1342" spans="1:31" customFormat="1" ht="15" x14ac:dyDescent="0.35">
      <c r="A1342" s="50"/>
      <c r="B1342" s="63"/>
      <c r="C1342" s="39"/>
      <c r="D1342" s="6"/>
      <c r="E1342" s="153"/>
      <c r="F1342" s="10"/>
      <c r="G1342" s="54"/>
      <c r="H1342" s="3"/>
      <c r="I1342" s="2"/>
      <c r="J1342" s="2"/>
      <c r="K1342" s="3"/>
      <c r="L1342" s="3"/>
      <c r="M1342" s="3"/>
      <c r="N1342" s="3"/>
      <c r="O1342" s="3"/>
      <c r="P1342" s="59"/>
      <c r="Q1342" s="3"/>
      <c r="R1342" s="3"/>
      <c r="S1342" s="3"/>
      <c r="T1342" s="3"/>
      <c r="U1342" s="3"/>
      <c r="V1342" s="3"/>
      <c r="W1342" s="3"/>
      <c r="X1342" s="3"/>
      <c r="Y1342" s="3"/>
      <c r="Z1342" s="53"/>
      <c r="AA1342" s="3"/>
      <c r="AB1342" s="59"/>
      <c r="AC1342" s="3"/>
      <c r="AD1342" s="53"/>
      <c r="AE1342" s="59"/>
    </row>
    <row r="1343" spans="1:31" customFormat="1" ht="15" x14ac:dyDescent="0.35">
      <c r="A1343" s="50"/>
      <c r="B1343" s="63"/>
      <c r="C1343" s="39"/>
      <c r="D1343" s="6"/>
      <c r="E1343" s="153"/>
      <c r="F1343" s="10"/>
      <c r="G1343" s="53"/>
      <c r="H1343" s="3"/>
      <c r="I1343" s="3"/>
      <c r="J1343" s="3"/>
      <c r="K1343" s="3"/>
      <c r="L1343" s="3"/>
      <c r="M1343" s="3"/>
      <c r="N1343" s="3"/>
      <c r="O1343" s="3"/>
      <c r="P1343" s="59"/>
      <c r="Q1343" s="21"/>
      <c r="R1343" s="21"/>
      <c r="S1343" s="3"/>
      <c r="T1343" s="3"/>
      <c r="U1343" s="3"/>
      <c r="V1343" s="3"/>
      <c r="W1343" s="3"/>
      <c r="X1343" s="3"/>
      <c r="Y1343" s="3"/>
      <c r="Z1343" s="53"/>
      <c r="AA1343" s="3"/>
      <c r="AB1343" s="59"/>
      <c r="AC1343" s="3"/>
      <c r="AD1343" s="53"/>
      <c r="AE1343" s="65"/>
    </row>
    <row r="1344" spans="1:31" customFormat="1" ht="15" x14ac:dyDescent="0.35">
      <c r="A1344" s="50"/>
      <c r="B1344" s="63"/>
      <c r="C1344" s="39"/>
      <c r="D1344" s="6"/>
      <c r="E1344" s="153"/>
      <c r="F1344" s="10"/>
      <c r="G1344" s="54"/>
      <c r="H1344" s="3"/>
      <c r="I1344" s="2"/>
      <c r="J1344" s="2"/>
      <c r="K1344" s="3"/>
      <c r="L1344" s="3"/>
      <c r="M1344" s="3"/>
      <c r="N1344" s="3"/>
      <c r="O1344" s="3"/>
      <c r="P1344" s="59"/>
      <c r="Q1344" s="3"/>
      <c r="R1344" s="3"/>
      <c r="S1344" s="3"/>
      <c r="T1344" s="3"/>
      <c r="U1344" s="3"/>
      <c r="V1344" s="3"/>
      <c r="W1344" s="3"/>
      <c r="X1344" s="3"/>
      <c r="Y1344" s="3"/>
      <c r="Z1344" s="53"/>
      <c r="AA1344" s="3"/>
      <c r="AB1344" s="59"/>
      <c r="AC1344" s="3"/>
      <c r="AD1344" s="53"/>
      <c r="AE1344" s="59"/>
    </row>
    <row r="1345" spans="1:31" customFormat="1" ht="15" x14ac:dyDescent="0.35">
      <c r="A1345" s="50"/>
      <c r="B1345" s="63"/>
      <c r="C1345" s="39"/>
      <c r="D1345" s="6"/>
      <c r="E1345" s="153"/>
      <c r="F1345" s="10"/>
      <c r="G1345" s="54"/>
      <c r="H1345" s="3"/>
      <c r="I1345" s="2"/>
      <c r="J1345" s="2"/>
      <c r="K1345" s="3"/>
      <c r="L1345" s="3"/>
      <c r="M1345" s="3"/>
      <c r="N1345" s="3"/>
      <c r="O1345" s="3"/>
      <c r="P1345" s="59"/>
      <c r="Q1345" s="21"/>
      <c r="R1345" s="21"/>
      <c r="S1345" s="3"/>
      <c r="T1345" s="3"/>
      <c r="U1345" s="3"/>
      <c r="V1345" s="3"/>
      <c r="W1345" s="3"/>
      <c r="X1345" s="3"/>
      <c r="Y1345" s="3"/>
      <c r="Z1345" s="53"/>
      <c r="AA1345" s="3"/>
      <c r="AB1345" s="59"/>
      <c r="AC1345" s="3"/>
      <c r="AD1345" s="53"/>
      <c r="AE1345" s="59"/>
    </row>
    <row r="1346" spans="1:31" customFormat="1" ht="15" x14ac:dyDescent="0.35">
      <c r="A1346" s="50"/>
      <c r="B1346" s="63"/>
      <c r="C1346" s="39"/>
      <c r="D1346" s="6"/>
      <c r="E1346" s="153"/>
      <c r="F1346" s="10"/>
      <c r="G1346" s="54"/>
      <c r="H1346" s="3"/>
      <c r="I1346" s="2"/>
      <c r="J1346" s="2"/>
      <c r="K1346" s="3"/>
      <c r="L1346" s="3"/>
      <c r="M1346" s="3"/>
      <c r="N1346" s="3"/>
      <c r="O1346" s="3"/>
      <c r="P1346" s="59"/>
      <c r="Q1346" s="3"/>
      <c r="R1346" s="3"/>
      <c r="S1346" s="3"/>
      <c r="T1346" s="3"/>
      <c r="U1346" s="3"/>
      <c r="V1346" s="3"/>
      <c r="W1346" s="3"/>
      <c r="X1346" s="3"/>
      <c r="Y1346" s="3"/>
      <c r="Z1346" s="53"/>
      <c r="AA1346" s="3"/>
      <c r="AB1346" s="59"/>
      <c r="AC1346" s="3"/>
      <c r="AD1346" s="53"/>
      <c r="AE1346" s="59"/>
    </row>
    <row r="1347" spans="1:31" customFormat="1" ht="15" x14ac:dyDescent="0.35">
      <c r="A1347" s="50"/>
      <c r="B1347" s="63"/>
      <c r="C1347" s="39"/>
      <c r="D1347" s="6"/>
      <c r="E1347" s="153"/>
      <c r="F1347" s="10"/>
      <c r="G1347" s="54"/>
      <c r="H1347" s="3"/>
      <c r="I1347" s="2"/>
      <c r="J1347" s="2"/>
      <c r="K1347" s="3"/>
      <c r="L1347" s="3"/>
      <c r="M1347" s="3"/>
      <c r="N1347" s="3"/>
      <c r="O1347" s="3"/>
      <c r="P1347" s="59"/>
      <c r="Q1347" s="3"/>
      <c r="R1347" s="3"/>
      <c r="S1347" s="3"/>
      <c r="T1347" s="3"/>
      <c r="U1347" s="3"/>
      <c r="V1347" s="3"/>
      <c r="W1347" s="3"/>
      <c r="X1347" s="3"/>
      <c r="Y1347" s="3"/>
      <c r="Z1347" s="53"/>
      <c r="AA1347" s="3"/>
      <c r="AB1347" s="59"/>
      <c r="AC1347" s="3"/>
      <c r="AD1347" s="53"/>
      <c r="AE1347" s="59"/>
    </row>
    <row r="1348" spans="1:31" customFormat="1" ht="15" x14ac:dyDescent="0.35">
      <c r="A1348" s="19"/>
      <c r="B1348" s="49"/>
      <c r="C1348" s="39"/>
      <c r="D1348" s="1"/>
      <c r="E1348" s="153"/>
      <c r="F1348" s="10"/>
      <c r="G1348" s="20"/>
      <c r="H1348" s="21"/>
      <c r="I1348" s="21"/>
      <c r="J1348" s="21"/>
      <c r="K1348" s="21"/>
      <c r="L1348" s="21"/>
      <c r="M1348" s="21"/>
      <c r="N1348" s="22"/>
      <c r="O1348" s="21"/>
      <c r="P1348" s="24"/>
      <c r="Q1348" s="21"/>
      <c r="R1348" s="21"/>
      <c r="S1348" s="21"/>
      <c r="T1348" s="21"/>
      <c r="U1348" s="21"/>
      <c r="V1348" s="22"/>
      <c r="W1348" s="21"/>
      <c r="X1348" s="22"/>
      <c r="Y1348" s="21"/>
      <c r="Z1348" s="20"/>
      <c r="AA1348" s="21"/>
      <c r="AB1348" s="25"/>
      <c r="AC1348" s="26"/>
      <c r="AD1348" s="27"/>
      <c r="AE1348" s="28"/>
    </row>
    <row r="1349" spans="1:31" customFormat="1" ht="15" x14ac:dyDescent="0.35">
      <c r="A1349" s="50"/>
      <c r="B1349" s="63"/>
      <c r="C1349" s="39"/>
      <c r="D1349" s="6"/>
      <c r="E1349" s="153"/>
      <c r="F1349" s="10"/>
      <c r="G1349" s="54"/>
      <c r="H1349" s="3"/>
      <c r="I1349" s="2"/>
      <c r="J1349" s="2"/>
      <c r="K1349" s="3"/>
      <c r="L1349" s="3"/>
      <c r="M1349" s="3"/>
      <c r="N1349" s="3"/>
      <c r="O1349" s="3"/>
      <c r="P1349" s="59"/>
      <c r="Q1349" s="3"/>
      <c r="R1349" s="3"/>
      <c r="S1349" s="3"/>
      <c r="T1349" s="3"/>
      <c r="U1349" s="3"/>
      <c r="V1349" s="3"/>
      <c r="W1349" s="3"/>
      <c r="X1349" s="3"/>
      <c r="Y1349" s="3"/>
      <c r="Z1349" s="53"/>
      <c r="AA1349" s="3"/>
      <c r="AB1349" s="59"/>
      <c r="AC1349" s="3"/>
      <c r="AD1349" s="53"/>
      <c r="AE1349" s="59"/>
    </row>
    <row r="1350" spans="1:31" customFormat="1" ht="15" x14ac:dyDescent="0.35">
      <c r="A1350" s="50"/>
      <c r="B1350" s="63"/>
      <c r="C1350" s="39"/>
      <c r="D1350" s="6"/>
      <c r="E1350" s="153"/>
      <c r="F1350" s="10"/>
      <c r="G1350" s="53"/>
      <c r="H1350" s="3"/>
      <c r="I1350" s="3"/>
      <c r="J1350" s="3"/>
      <c r="K1350" s="3"/>
      <c r="L1350" s="3"/>
      <c r="M1350" s="3"/>
      <c r="N1350" s="3"/>
      <c r="O1350" s="3"/>
      <c r="P1350" s="59"/>
      <c r="Q1350" s="21"/>
      <c r="R1350" s="21"/>
      <c r="S1350" s="3"/>
      <c r="T1350" s="3"/>
      <c r="U1350" s="3"/>
      <c r="V1350" s="3"/>
      <c r="W1350" s="3"/>
      <c r="X1350" s="3"/>
      <c r="Y1350" s="3"/>
      <c r="Z1350" s="53"/>
      <c r="AA1350" s="3"/>
      <c r="AB1350" s="59"/>
      <c r="AC1350" s="3"/>
      <c r="AD1350" s="53"/>
      <c r="AE1350" s="59"/>
    </row>
    <row r="1351" spans="1:31" customFormat="1" ht="15" x14ac:dyDescent="0.35">
      <c r="A1351" s="50"/>
      <c r="B1351" s="63"/>
      <c r="C1351" s="39"/>
      <c r="D1351" s="6"/>
      <c r="E1351" s="153"/>
      <c r="F1351" s="10"/>
      <c r="G1351" s="53"/>
      <c r="H1351" s="3"/>
      <c r="I1351" s="3"/>
      <c r="J1351" s="3"/>
      <c r="K1351" s="3"/>
      <c r="L1351" s="3"/>
      <c r="M1351" s="3"/>
      <c r="N1351" s="3"/>
      <c r="O1351" s="3"/>
      <c r="P1351" s="59"/>
      <c r="Q1351" s="21"/>
      <c r="R1351" s="21"/>
      <c r="S1351" s="3"/>
      <c r="T1351" s="3"/>
      <c r="U1351" s="3"/>
      <c r="V1351" s="3"/>
      <c r="W1351" s="3"/>
      <c r="X1351" s="3"/>
      <c r="Y1351" s="3"/>
      <c r="Z1351" s="53"/>
      <c r="AA1351" s="3"/>
      <c r="AB1351" s="59"/>
      <c r="AC1351" s="3"/>
      <c r="AD1351" s="53"/>
      <c r="AE1351" s="59"/>
    </row>
    <row r="1352" spans="1:31" customFormat="1" ht="15" x14ac:dyDescent="0.35">
      <c r="A1352" s="19"/>
      <c r="B1352" s="49"/>
      <c r="C1352" s="14"/>
      <c r="D1352" s="1"/>
      <c r="E1352" s="153"/>
      <c r="F1352" s="10"/>
      <c r="G1352" s="20"/>
      <c r="H1352" s="21"/>
      <c r="I1352" s="21"/>
      <c r="J1352" s="21"/>
      <c r="K1352" s="21"/>
      <c r="L1352" s="21"/>
      <c r="M1352" s="21"/>
      <c r="N1352" s="22"/>
      <c r="O1352" s="21"/>
      <c r="P1352" s="24"/>
      <c r="Q1352" s="21"/>
      <c r="R1352" s="21"/>
      <c r="S1352" s="21"/>
      <c r="T1352" s="21"/>
      <c r="U1352" s="21"/>
      <c r="V1352" s="22"/>
      <c r="W1352" s="21"/>
      <c r="X1352" s="22"/>
      <c r="Y1352" s="21"/>
      <c r="Z1352" s="20"/>
      <c r="AA1352" s="21"/>
      <c r="AB1352" s="25"/>
      <c r="AC1352" s="26"/>
      <c r="AD1352" s="27"/>
      <c r="AE1352" s="28"/>
    </row>
    <row r="1353" spans="1:31" customFormat="1" ht="15" x14ac:dyDescent="0.35">
      <c r="A1353" s="50"/>
      <c r="B1353" s="63"/>
      <c r="C1353" s="39"/>
      <c r="D1353" s="6"/>
      <c r="E1353" s="153"/>
      <c r="F1353" s="10"/>
      <c r="G1353" s="54"/>
      <c r="H1353" s="3"/>
      <c r="I1353" s="2"/>
      <c r="J1353" s="2"/>
      <c r="K1353" s="3"/>
      <c r="L1353" s="3"/>
      <c r="M1353" s="3"/>
      <c r="N1353" s="3"/>
      <c r="O1353" s="3"/>
      <c r="P1353" s="59"/>
      <c r="Q1353" s="3"/>
      <c r="R1353" s="3"/>
      <c r="S1353" s="3"/>
      <c r="T1353" s="3"/>
      <c r="U1353" s="3"/>
      <c r="V1353" s="3"/>
      <c r="W1353" s="3"/>
      <c r="X1353" s="3"/>
      <c r="Y1353" s="3"/>
      <c r="Z1353" s="53"/>
      <c r="AA1353" s="3"/>
      <c r="AB1353" s="59"/>
      <c r="AC1353" s="3"/>
      <c r="AD1353" s="53"/>
      <c r="AE1353" s="59"/>
    </row>
    <row r="1354" spans="1:31" customFormat="1" ht="15" x14ac:dyDescent="0.35">
      <c r="A1354" s="50"/>
      <c r="B1354" s="63"/>
      <c r="C1354" s="39"/>
      <c r="D1354" s="6"/>
      <c r="E1354" s="153"/>
      <c r="F1354" s="10"/>
      <c r="G1354" s="53"/>
      <c r="H1354" s="3"/>
      <c r="I1354" s="3"/>
      <c r="J1354" s="3"/>
      <c r="K1354" s="3"/>
      <c r="L1354" s="3"/>
      <c r="M1354" s="3"/>
      <c r="N1354" s="3"/>
      <c r="O1354" s="3"/>
      <c r="P1354" s="59"/>
      <c r="Q1354" s="21"/>
      <c r="R1354" s="21"/>
      <c r="S1354" s="3"/>
      <c r="T1354" s="3"/>
      <c r="U1354" s="3"/>
      <c r="V1354" s="3"/>
      <c r="W1354" s="3"/>
      <c r="X1354" s="3"/>
      <c r="Y1354" s="3"/>
      <c r="Z1354" s="53"/>
      <c r="AA1354" s="3"/>
      <c r="AB1354" s="59"/>
      <c r="AC1354" s="3"/>
      <c r="AD1354" s="53"/>
      <c r="AE1354" s="59"/>
    </row>
    <row r="1355" spans="1:31" customFormat="1" ht="15" x14ac:dyDescent="0.35">
      <c r="A1355" s="19"/>
      <c r="B1355" s="49"/>
      <c r="C1355" s="14"/>
      <c r="D1355" s="1"/>
      <c r="E1355" s="153"/>
      <c r="F1355" s="10"/>
      <c r="G1355" s="20"/>
      <c r="H1355" s="21"/>
      <c r="I1355" s="21"/>
      <c r="J1355" s="21"/>
      <c r="K1355" s="21"/>
      <c r="L1355" s="21"/>
      <c r="M1355" s="21"/>
      <c r="N1355" s="22"/>
      <c r="O1355" s="21"/>
      <c r="P1355" s="24"/>
      <c r="Q1355" s="21"/>
      <c r="R1355" s="21"/>
      <c r="S1355" s="21"/>
      <c r="T1355" s="21"/>
      <c r="U1355" s="21"/>
      <c r="V1355" s="22"/>
      <c r="W1355" s="21"/>
      <c r="X1355" s="22"/>
      <c r="Y1355" s="21"/>
      <c r="Z1355" s="20"/>
      <c r="AA1355" s="21"/>
      <c r="AB1355" s="25"/>
      <c r="AC1355" s="26"/>
      <c r="AD1355" s="27"/>
      <c r="AE1355" s="28"/>
    </row>
    <row r="1356" spans="1:31" customFormat="1" ht="15" x14ac:dyDescent="0.35">
      <c r="A1356" s="19"/>
      <c r="B1356" s="49"/>
      <c r="C1356" s="14"/>
      <c r="D1356" s="1"/>
      <c r="E1356" s="153"/>
      <c r="F1356" s="10"/>
      <c r="G1356" s="20"/>
      <c r="H1356" s="21"/>
      <c r="I1356" s="21"/>
      <c r="J1356" s="21"/>
      <c r="K1356" s="21"/>
      <c r="L1356" s="21"/>
      <c r="M1356" s="21"/>
      <c r="N1356" s="22"/>
      <c r="O1356" s="21"/>
      <c r="P1356" s="24"/>
      <c r="Q1356" s="21"/>
      <c r="R1356" s="21"/>
      <c r="S1356" s="21"/>
      <c r="T1356" s="21"/>
      <c r="U1356" s="21"/>
      <c r="V1356" s="22"/>
      <c r="W1356" s="21"/>
      <c r="X1356" s="22"/>
      <c r="Y1356" s="21"/>
      <c r="Z1356" s="20"/>
      <c r="AA1356" s="21"/>
      <c r="AB1356" s="25"/>
      <c r="AC1356" s="26"/>
      <c r="AD1356" s="27"/>
      <c r="AE1356" s="28"/>
    </row>
    <row r="1357" spans="1:31" customFormat="1" ht="15" x14ac:dyDescent="0.35">
      <c r="A1357" s="50"/>
      <c r="B1357" s="63"/>
      <c r="C1357" s="39"/>
      <c r="D1357" s="6"/>
      <c r="E1357" s="153"/>
      <c r="F1357" s="10"/>
      <c r="G1357" s="53"/>
      <c r="H1357" s="3"/>
      <c r="I1357" s="3"/>
      <c r="J1357" s="3"/>
      <c r="K1357" s="3"/>
      <c r="L1357" s="3"/>
      <c r="M1357" s="3"/>
      <c r="N1357" s="3"/>
      <c r="O1357" s="3"/>
      <c r="P1357" s="59"/>
      <c r="Q1357" s="21"/>
      <c r="R1357" s="21"/>
      <c r="S1357" s="3"/>
      <c r="T1357" s="3"/>
      <c r="U1357" s="3"/>
      <c r="V1357" s="3"/>
      <c r="W1357" s="3"/>
      <c r="X1357" s="3"/>
      <c r="Y1357" s="3"/>
      <c r="Z1357" s="53"/>
      <c r="AA1357" s="3"/>
      <c r="AB1357" s="59"/>
      <c r="AC1357" s="3"/>
      <c r="AD1357" s="53"/>
      <c r="AE1357" s="59"/>
    </row>
    <row r="1358" spans="1:31" customFormat="1" ht="15" x14ac:dyDescent="0.35">
      <c r="A1358" s="19"/>
      <c r="B1358" s="49"/>
      <c r="C1358" s="14"/>
      <c r="D1358" s="1"/>
      <c r="E1358" s="153"/>
      <c r="F1358" s="10"/>
      <c r="G1358" s="20"/>
      <c r="H1358" s="21"/>
      <c r="I1358" s="21"/>
      <c r="J1358" s="21"/>
      <c r="K1358" s="21"/>
      <c r="L1358" s="21"/>
      <c r="M1358" s="21"/>
      <c r="N1358" s="22"/>
      <c r="O1358" s="21"/>
      <c r="P1358" s="24"/>
      <c r="Q1358" s="21"/>
      <c r="R1358" s="21"/>
      <c r="S1358" s="21"/>
      <c r="T1358" s="21"/>
      <c r="U1358" s="21"/>
      <c r="V1358" s="22"/>
      <c r="W1358" s="21"/>
      <c r="X1358" s="22"/>
      <c r="Y1358" s="21"/>
      <c r="Z1358" s="20"/>
      <c r="AA1358" s="21"/>
      <c r="AB1358" s="25"/>
      <c r="AC1358" s="26"/>
      <c r="AD1358" s="27"/>
      <c r="AE1358" s="28"/>
    </row>
    <row r="1359" spans="1:31" customFormat="1" ht="15" x14ac:dyDescent="0.35">
      <c r="A1359" s="50"/>
      <c r="B1359" s="63"/>
      <c r="C1359" s="39"/>
      <c r="D1359" s="6"/>
      <c r="E1359" s="153"/>
      <c r="F1359" s="10"/>
      <c r="G1359" s="54"/>
      <c r="H1359" s="3"/>
      <c r="I1359" s="2"/>
      <c r="J1359" s="2"/>
      <c r="K1359" s="3"/>
      <c r="L1359" s="3"/>
      <c r="M1359" s="3"/>
      <c r="N1359" s="3"/>
      <c r="O1359" s="3"/>
      <c r="P1359" s="59"/>
      <c r="Q1359" s="3"/>
      <c r="R1359" s="3"/>
      <c r="S1359" s="3"/>
      <c r="T1359" s="3"/>
      <c r="U1359" s="3"/>
      <c r="V1359" s="12"/>
      <c r="W1359" s="3"/>
      <c r="X1359" s="3"/>
      <c r="Y1359" s="3"/>
      <c r="Z1359" s="53"/>
      <c r="AA1359" s="3"/>
      <c r="AB1359" s="59"/>
      <c r="AC1359" s="3"/>
      <c r="AD1359" s="53"/>
      <c r="AE1359" s="59"/>
    </row>
    <row r="1360" spans="1:31" customFormat="1" ht="15" x14ac:dyDescent="0.35">
      <c r="A1360" s="50"/>
      <c r="B1360" s="63"/>
      <c r="C1360" s="39"/>
      <c r="D1360" s="6"/>
      <c r="E1360" s="153"/>
      <c r="F1360" s="10"/>
      <c r="G1360" s="53"/>
      <c r="H1360" s="3"/>
      <c r="I1360" s="3"/>
      <c r="J1360" s="3"/>
      <c r="K1360" s="3"/>
      <c r="L1360" s="3"/>
      <c r="M1360" s="3"/>
      <c r="N1360" s="3"/>
      <c r="O1360" s="3"/>
      <c r="P1360" s="59"/>
      <c r="Q1360" s="21"/>
      <c r="R1360" s="21"/>
      <c r="S1360" s="3"/>
      <c r="T1360" s="3"/>
      <c r="U1360" s="3"/>
      <c r="V1360" s="3"/>
      <c r="W1360" s="3"/>
      <c r="X1360" s="3"/>
      <c r="Y1360" s="3"/>
      <c r="Z1360" s="53"/>
      <c r="AA1360" s="3"/>
      <c r="AB1360" s="59"/>
      <c r="AC1360" s="3"/>
      <c r="AD1360" s="53"/>
      <c r="AE1360" s="59"/>
    </row>
    <row r="1361" spans="1:31" customFormat="1" ht="15" x14ac:dyDescent="0.35">
      <c r="A1361" s="50"/>
      <c r="B1361" s="63"/>
      <c r="C1361" s="39"/>
      <c r="D1361" s="6"/>
      <c r="E1361" s="153"/>
      <c r="F1361" s="10"/>
      <c r="G1361" s="53"/>
      <c r="H1361" s="3"/>
      <c r="I1361" s="3"/>
      <c r="J1361" s="3"/>
      <c r="K1361" s="3"/>
      <c r="L1361" s="3"/>
      <c r="M1361" s="3"/>
      <c r="N1361" s="3"/>
      <c r="O1361" s="3"/>
      <c r="P1361" s="59"/>
      <c r="Q1361" s="21"/>
      <c r="R1361" s="21"/>
      <c r="S1361" s="3"/>
      <c r="T1361" s="3"/>
      <c r="U1361" s="3"/>
      <c r="V1361" s="3"/>
      <c r="W1361" s="3"/>
      <c r="X1361" s="3"/>
      <c r="Y1361" s="3"/>
      <c r="Z1361" s="53"/>
      <c r="AA1361" s="3"/>
      <c r="AB1361" s="59"/>
      <c r="AC1361" s="3"/>
      <c r="AD1361" s="53"/>
      <c r="AE1361" s="59"/>
    </row>
    <row r="1362" spans="1:31" customFormat="1" ht="15" x14ac:dyDescent="0.35">
      <c r="A1362" s="19"/>
      <c r="B1362" s="49"/>
      <c r="C1362" s="39"/>
      <c r="D1362" s="1"/>
      <c r="E1362" s="153"/>
      <c r="F1362" s="10"/>
      <c r="G1362" s="20"/>
      <c r="H1362" s="21"/>
      <c r="I1362" s="21"/>
      <c r="J1362" s="21"/>
      <c r="K1362" s="21"/>
      <c r="L1362" s="21"/>
      <c r="M1362" s="21"/>
      <c r="N1362" s="22"/>
      <c r="O1362" s="21"/>
      <c r="P1362" s="24"/>
      <c r="Q1362" s="21"/>
      <c r="R1362" s="21"/>
      <c r="S1362" s="21"/>
      <c r="T1362" s="21"/>
      <c r="U1362" s="21"/>
      <c r="V1362" s="22"/>
      <c r="W1362" s="21"/>
      <c r="X1362" s="22"/>
      <c r="Y1362" s="21"/>
      <c r="Z1362" s="20"/>
      <c r="AA1362" s="21"/>
      <c r="AB1362" s="25"/>
      <c r="AC1362" s="26"/>
      <c r="AD1362" s="27"/>
      <c r="AE1362" s="28"/>
    </row>
    <row r="1363" spans="1:31" customFormat="1" ht="15" x14ac:dyDescent="0.35">
      <c r="A1363" s="50"/>
      <c r="B1363" s="63"/>
      <c r="C1363" s="39"/>
      <c r="D1363" s="6"/>
      <c r="E1363" s="153"/>
      <c r="F1363" s="10"/>
      <c r="G1363" s="53"/>
      <c r="H1363" s="3"/>
      <c r="I1363" s="3"/>
      <c r="J1363" s="3"/>
      <c r="K1363" s="3"/>
      <c r="L1363" s="3"/>
      <c r="M1363" s="3"/>
      <c r="N1363" s="3"/>
      <c r="O1363" s="3"/>
      <c r="P1363" s="59"/>
      <c r="Q1363" s="21"/>
      <c r="R1363" s="21"/>
      <c r="S1363" s="3"/>
      <c r="T1363" s="3"/>
      <c r="U1363" s="3"/>
      <c r="V1363" s="3"/>
      <c r="W1363" s="3"/>
      <c r="X1363" s="3"/>
      <c r="Y1363" s="3"/>
      <c r="Z1363" s="53"/>
      <c r="AA1363" s="3"/>
      <c r="AB1363" s="59"/>
      <c r="AC1363" s="3"/>
      <c r="AD1363" s="53"/>
      <c r="AE1363" s="59"/>
    </row>
    <row r="1364" spans="1:31" customFormat="1" ht="15" x14ac:dyDescent="0.35">
      <c r="A1364" s="50"/>
      <c r="B1364" s="63"/>
      <c r="C1364" s="39"/>
      <c r="D1364" s="6"/>
      <c r="E1364" s="153"/>
      <c r="F1364" s="10"/>
      <c r="G1364" s="54"/>
      <c r="H1364" s="3"/>
      <c r="I1364" s="2"/>
      <c r="J1364" s="2"/>
      <c r="K1364" s="3"/>
      <c r="L1364" s="3"/>
      <c r="M1364" s="3"/>
      <c r="N1364" s="3"/>
      <c r="O1364" s="3"/>
      <c r="P1364" s="59"/>
      <c r="Q1364" s="3"/>
      <c r="R1364" s="3"/>
      <c r="S1364" s="3"/>
      <c r="T1364" s="3"/>
      <c r="U1364" s="3"/>
      <c r="V1364" s="3"/>
      <c r="W1364" s="3"/>
      <c r="X1364" s="3"/>
      <c r="Y1364" s="3"/>
      <c r="Z1364" s="53"/>
      <c r="AA1364" s="3"/>
      <c r="AB1364" s="59"/>
      <c r="AC1364" s="3"/>
      <c r="AD1364" s="53"/>
      <c r="AE1364" s="59"/>
    </row>
    <row r="1365" spans="1:31" customFormat="1" ht="15" x14ac:dyDescent="0.35">
      <c r="A1365" s="50"/>
      <c r="B1365" s="63"/>
      <c r="C1365" s="39"/>
      <c r="D1365" s="6"/>
      <c r="E1365" s="153"/>
      <c r="F1365" s="10"/>
      <c r="G1365" s="54"/>
      <c r="H1365" s="3"/>
      <c r="I1365" s="2"/>
      <c r="J1365" s="2"/>
      <c r="K1365" s="3"/>
      <c r="L1365" s="3"/>
      <c r="M1365" s="3"/>
      <c r="N1365" s="3"/>
      <c r="O1365" s="3"/>
      <c r="P1365" s="59"/>
      <c r="Q1365" s="3"/>
      <c r="R1365" s="3"/>
      <c r="S1365" s="3"/>
      <c r="T1365" s="3"/>
      <c r="U1365" s="3"/>
      <c r="V1365" s="3"/>
      <c r="W1365" s="3"/>
      <c r="X1365" s="3"/>
      <c r="Y1365" s="3"/>
      <c r="Z1365" s="53"/>
      <c r="AA1365" s="3"/>
      <c r="AB1365" s="59"/>
      <c r="AC1365" s="3"/>
      <c r="AD1365" s="53"/>
      <c r="AE1365" s="59"/>
    </row>
    <row r="1366" spans="1:31" customFormat="1" ht="15" x14ac:dyDescent="0.35">
      <c r="A1366" s="50"/>
      <c r="B1366" s="63"/>
      <c r="C1366" s="39"/>
      <c r="D1366" s="6"/>
      <c r="E1366" s="153"/>
      <c r="F1366" s="10"/>
      <c r="G1366" s="54"/>
      <c r="H1366" s="3"/>
      <c r="I1366" s="2"/>
      <c r="J1366" s="2"/>
      <c r="K1366" s="3"/>
      <c r="L1366" s="3"/>
      <c r="M1366" s="3"/>
      <c r="N1366" s="3"/>
      <c r="O1366" s="3"/>
      <c r="P1366" s="59"/>
      <c r="Q1366" s="3"/>
      <c r="R1366" s="3"/>
      <c r="S1366" s="3"/>
      <c r="T1366" s="3"/>
      <c r="U1366" s="3"/>
      <c r="V1366" s="3"/>
      <c r="W1366" s="3"/>
      <c r="X1366" s="3"/>
      <c r="Y1366" s="3"/>
      <c r="Z1366" s="53"/>
      <c r="AA1366" s="3"/>
      <c r="AB1366" s="59"/>
      <c r="AC1366" s="3"/>
      <c r="AD1366" s="53"/>
      <c r="AE1366" s="59"/>
    </row>
    <row r="1367" spans="1:31" customFormat="1" ht="15" x14ac:dyDescent="0.35">
      <c r="A1367" s="19"/>
      <c r="B1367" s="49"/>
      <c r="C1367" s="14"/>
      <c r="D1367" s="1"/>
      <c r="E1367" s="153"/>
      <c r="F1367" s="10"/>
      <c r="G1367" s="20"/>
      <c r="H1367" s="21"/>
      <c r="I1367" s="21"/>
      <c r="J1367" s="21"/>
      <c r="K1367" s="21"/>
      <c r="L1367" s="21"/>
      <c r="M1367" s="21"/>
      <c r="N1367" s="22"/>
      <c r="O1367" s="21"/>
      <c r="P1367" s="24"/>
      <c r="Q1367" s="21"/>
      <c r="R1367" s="21"/>
      <c r="S1367" s="21"/>
      <c r="T1367" s="21"/>
      <c r="U1367" s="21"/>
      <c r="V1367" s="22"/>
      <c r="W1367" s="21"/>
      <c r="X1367" s="22"/>
      <c r="Y1367" s="21"/>
      <c r="Z1367" s="20"/>
      <c r="AA1367" s="21"/>
      <c r="AB1367" s="25"/>
      <c r="AC1367" s="26"/>
      <c r="AD1367" s="27"/>
      <c r="AE1367" s="28"/>
    </row>
    <row r="1368" spans="1:31" customFormat="1" ht="15" x14ac:dyDescent="0.35">
      <c r="A1368" s="50"/>
      <c r="B1368" s="63"/>
      <c r="C1368" s="39"/>
      <c r="D1368" s="6"/>
      <c r="E1368" s="153"/>
      <c r="F1368" s="10"/>
      <c r="G1368" s="54"/>
      <c r="H1368" s="3"/>
      <c r="I1368" s="2"/>
      <c r="J1368" s="2"/>
      <c r="K1368" s="3"/>
      <c r="L1368" s="3"/>
      <c r="M1368" s="3"/>
      <c r="N1368" s="3"/>
      <c r="O1368" s="3"/>
      <c r="P1368" s="59"/>
      <c r="Q1368" s="3"/>
      <c r="R1368" s="3"/>
      <c r="S1368" s="3"/>
      <c r="T1368" s="3"/>
      <c r="U1368" s="3"/>
      <c r="V1368" s="3"/>
      <c r="W1368" s="3"/>
      <c r="X1368" s="3"/>
      <c r="Y1368" s="3"/>
      <c r="Z1368" s="53"/>
      <c r="AA1368" s="3"/>
      <c r="AB1368" s="59"/>
      <c r="AC1368" s="3"/>
      <c r="AD1368" s="53"/>
      <c r="AE1368" s="59"/>
    </row>
    <row r="1369" spans="1:31" customFormat="1" ht="15" x14ac:dyDescent="0.35">
      <c r="A1369" s="50"/>
      <c r="B1369" s="63"/>
      <c r="C1369" s="39"/>
      <c r="D1369" s="6"/>
      <c r="E1369" s="153"/>
      <c r="F1369" s="10"/>
      <c r="G1369" s="53"/>
      <c r="H1369" s="3"/>
      <c r="I1369" s="3"/>
      <c r="J1369" s="3"/>
      <c r="K1369" s="3"/>
      <c r="L1369" s="3"/>
      <c r="M1369" s="3"/>
      <c r="N1369" s="3"/>
      <c r="O1369" s="3"/>
      <c r="P1369" s="59"/>
      <c r="Q1369" s="21"/>
      <c r="R1369" s="21"/>
      <c r="S1369" s="3"/>
      <c r="T1369" s="3"/>
      <c r="U1369" s="3"/>
      <c r="V1369" s="3"/>
      <c r="W1369" s="3"/>
      <c r="X1369" s="3"/>
      <c r="Y1369" s="3"/>
      <c r="Z1369" s="53"/>
      <c r="AA1369" s="3"/>
      <c r="AB1369" s="59"/>
      <c r="AC1369" s="3"/>
      <c r="AD1369" s="53"/>
      <c r="AE1369" s="59"/>
    </row>
    <row r="1370" spans="1:31" customFormat="1" ht="15" x14ac:dyDescent="0.35">
      <c r="A1370" s="19"/>
      <c r="B1370" s="49"/>
      <c r="C1370" s="14"/>
      <c r="D1370" s="1"/>
      <c r="E1370" s="153"/>
      <c r="F1370" s="10"/>
      <c r="G1370" s="20"/>
      <c r="H1370" s="21"/>
      <c r="I1370" s="21"/>
      <c r="J1370" s="21"/>
      <c r="K1370" s="21"/>
      <c r="L1370" s="21"/>
      <c r="M1370" s="21"/>
      <c r="N1370" s="22"/>
      <c r="O1370" s="21"/>
      <c r="P1370" s="24"/>
      <c r="Q1370" s="21"/>
      <c r="R1370" s="21"/>
      <c r="S1370" s="21"/>
      <c r="T1370" s="21"/>
      <c r="U1370" s="21"/>
      <c r="V1370" s="22"/>
      <c r="W1370" s="21"/>
      <c r="X1370" s="22"/>
      <c r="Y1370" s="21"/>
      <c r="Z1370" s="20"/>
      <c r="AA1370" s="21"/>
      <c r="AB1370" s="25"/>
      <c r="AC1370" s="26"/>
      <c r="AD1370" s="27"/>
      <c r="AE1370" s="28"/>
    </row>
    <row r="1371" spans="1:31" customFormat="1" ht="15" x14ac:dyDescent="0.35">
      <c r="A1371" s="50"/>
      <c r="B1371" s="63"/>
      <c r="C1371" s="39"/>
      <c r="D1371" s="6"/>
      <c r="E1371" s="153"/>
      <c r="F1371" s="10"/>
      <c r="G1371" s="54"/>
      <c r="H1371" s="3"/>
      <c r="I1371" s="2"/>
      <c r="J1371" s="2"/>
      <c r="K1371" s="3"/>
      <c r="L1371" s="3"/>
      <c r="M1371" s="3"/>
      <c r="N1371" s="3"/>
      <c r="O1371" s="3"/>
      <c r="P1371" s="59"/>
      <c r="Q1371" s="3"/>
      <c r="R1371" s="3"/>
      <c r="S1371" s="3"/>
      <c r="T1371" s="3"/>
      <c r="U1371" s="3"/>
      <c r="V1371" s="3"/>
      <c r="W1371" s="3"/>
      <c r="X1371" s="3"/>
      <c r="Y1371" s="3"/>
      <c r="Z1371" s="53"/>
      <c r="AA1371" s="3"/>
      <c r="AB1371" s="59"/>
      <c r="AC1371" s="3"/>
      <c r="AD1371" s="53"/>
      <c r="AE1371" s="59"/>
    </row>
    <row r="1372" spans="1:31" customFormat="1" ht="15" x14ac:dyDescent="0.35">
      <c r="A1372" s="50"/>
      <c r="B1372" s="63"/>
      <c r="C1372" s="39"/>
      <c r="D1372" s="6"/>
      <c r="E1372" s="153"/>
      <c r="F1372" s="10"/>
      <c r="G1372" s="53"/>
      <c r="H1372" s="3"/>
      <c r="I1372" s="3"/>
      <c r="J1372" s="3"/>
      <c r="K1372" s="3"/>
      <c r="L1372" s="3"/>
      <c r="M1372" s="3"/>
      <c r="N1372" s="3"/>
      <c r="O1372" s="3"/>
      <c r="P1372" s="59"/>
      <c r="Q1372" s="21"/>
      <c r="R1372" s="21"/>
      <c r="S1372" s="3"/>
      <c r="T1372" s="3"/>
      <c r="U1372" s="3"/>
      <c r="V1372" s="3"/>
      <c r="W1372" s="3"/>
      <c r="X1372" s="3"/>
      <c r="Y1372" s="3"/>
      <c r="Z1372" s="53"/>
      <c r="AA1372" s="3"/>
      <c r="AB1372" s="59"/>
      <c r="AC1372" s="3"/>
      <c r="AD1372" s="53"/>
      <c r="AE1372" s="59"/>
    </row>
    <row r="1373" spans="1:31" customFormat="1" ht="15" x14ac:dyDescent="0.35">
      <c r="A1373" s="50"/>
      <c r="B1373" s="63"/>
      <c r="C1373" s="39"/>
      <c r="D1373" s="6"/>
      <c r="E1373" s="153"/>
      <c r="F1373" s="10"/>
      <c r="G1373" s="53"/>
      <c r="H1373" s="3"/>
      <c r="I1373" s="3"/>
      <c r="J1373" s="3"/>
      <c r="K1373" s="3"/>
      <c r="L1373" s="3"/>
      <c r="M1373" s="3"/>
      <c r="N1373" s="3"/>
      <c r="O1373" s="3"/>
      <c r="P1373" s="59"/>
      <c r="Q1373" s="21"/>
      <c r="R1373" s="21"/>
      <c r="S1373" s="3"/>
      <c r="T1373" s="3"/>
      <c r="U1373" s="3"/>
      <c r="V1373" s="3"/>
      <c r="W1373" s="3"/>
      <c r="X1373" s="3"/>
      <c r="Y1373" s="3"/>
      <c r="Z1373" s="53"/>
      <c r="AA1373" s="3"/>
      <c r="AB1373" s="59"/>
      <c r="AC1373" s="3"/>
      <c r="AD1373" s="53"/>
      <c r="AE1373" s="59"/>
    </row>
    <row r="1374" spans="1:31" customFormat="1" ht="15" x14ac:dyDescent="0.35">
      <c r="A1374" s="19"/>
      <c r="B1374" s="49"/>
      <c r="C1374" s="14"/>
      <c r="D1374" s="1"/>
      <c r="E1374" s="153"/>
      <c r="F1374" s="10"/>
      <c r="G1374" s="20"/>
      <c r="H1374" s="21"/>
      <c r="I1374" s="21"/>
      <c r="J1374" s="21"/>
      <c r="K1374" s="21"/>
      <c r="L1374" s="21"/>
      <c r="M1374" s="21"/>
      <c r="N1374" s="22"/>
      <c r="O1374" s="21"/>
      <c r="P1374" s="24"/>
      <c r="Q1374" s="21"/>
      <c r="R1374" s="21"/>
      <c r="S1374" s="21"/>
      <c r="T1374" s="21"/>
      <c r="U1374" s="21"/>
      <c r="V1374" s="22"/>
      <c r="W1374" s="21"/>
      <c r="X1374" s="22"/>
      <c r="Y1374" s="21"/>
      <c r="Z1374" s="20"/>
      <c r="AA1374" s="21"/>
      <c r="AB1374" s="25"/>
      <c r="AC1374" s="26"/>
      <c r="AD1374" s="27"/>
      <c r="AE1374" s="28"/>
    </row>
    <row r="1375" spans="1:31" customFormat="1" ht="15" x14ac:dyDescent="0.35">
      <c r="A1375" s="50"/>
      <c r="B1375" s="63"/>
      <c r="C1375" s="39"/>
      <c r="D1375" s="6"/>
      <c r="E1375" s="153"/>
      <c r="F1375" s="10"/>
      <c r="G1375" s="53"/>
      <c r="H1375" s="3"/>
      <c r="I1375" s="3"/>
      <c r="J1375" s="3"/>
      <c r="K1375" s="3"/>
      <c r="L1375" s="3"/>
      <c r="M1375" s="3"/>
      <c r="N1375" s="3"/>
      <c r="O1375" s="3"/>
      <c r="P1375" s="59"/>
      <c r="Q1375" s="21"/>
      <c r="R1375" s="21"/>
      <c r="S1375" s="3"/>
      <c r="T1375" s="3"/>
      <c r="U1375" s="3"/>
      <c r="V1375" s="3"/>
      <c r="W1375" s="3"/>
      <c r="X1375" s="3"/>
      <c r="Y1375" s="3"/>
      <c r="Z1375" s="53"/>
      <c r="AA1375" s="3"/>
      <c r="AB1375" s="59"/>
      <c r="AC1375" s="3"/>
      <c r="AD1375" s="53"/>
      <c r="AE1375" s="59"/>
    </row>
    <row r="1376" spans="1:31" customFormat="1" ht="15" x14ac:dyDescent="0.35">
      <c r="A1376" s="50"/>
      <c r="B1376" s="63"/>
      <c r="C1376" s="39"/>
      <c r="D1376" s="6"/>
      <c r="E1376" s="153"/>
      <c r="F1376" s="10"/>
      <c r="G1376" s="53"/>
      <c r="H1376" s="3"/>
      <c r="I1376" s="3"/>
      <c r="J1376" s="3"/>
      <c r="K1376" s="3"/>
      <c r="L1376" s="3"/>
      <c r="M1376" s="3"/>
      <c r="N1376" s="3"/>
      <c r="O1376" s="3"/>
      <c r="P1376" s="59"/>
      <c r="Q1376" s="3"/>
      <c r="R1376" s="3"/>
      <c r="S1376" s="3"/>
      <c r="T1376" s="3"/>
      <c r="U1376" s="3"/>
      <c r="V1376" s="3"/>
      <c r="W1376" s="3"/>
      <c r="X1376" s="3"/>
      <c r="Y1376" s="3"/>
      <c r="Z1376" s="53"/>
      <c r="AA1376" s="3"/>
      <c r="AB1376" s="59"/>
      <c r="AC1376" s="3"/>
      <c r="AD1376" s="53"/>
      <c r="AE1376" s="59"/>
    </row>
    <row r="1377" spans="1:31" customFormat="1" ht="15" x14ac:dyDescent="0.35">
      <c r="A1377" s="19"/>
      <c r="B1377" s="49"/>
      <c r="C1377" s="39"/>
      <c r="D1377" s="1"/>
      <c r="E1377" s="153"/>
      <c r="F1377" s="10"/>
      <c r="G1377" s="20"/>
      <c r="H1377" s="21"/>
      <c r="I1377" s="21"/>
      <c r="J1377" s="21"/>
      <c r="K1377" s="21"/>
      <c r="L1377" s="21"/>
      <c r="M1377" s="21"/>
      <c r="N1377" s="22"/>
      <c r="O1377" s="21"/>
      <c r="P1377" s="24"/>
      <c r="Q1377" s="21"/>
      <c r="R1377" s="21"/>
      <c r="S1377" s="21"/>
      <c r="T1377" s="21"/>
      <c r="U1377" s="21"/>
      <c r="V1377" s="22"/>
      <c r="W1377" s="21"/>
      <c r="X1377" s="22"/>
      <c r="Y1377" s="21"/>
      <c r="Z1377" s="20"/>
      <c r="AA1377" s="21"/>
      <c r="AB1377" s="25"/>
      <c r="AC1377" s="26"/>
      <c r="AD1377" s="27"/>
      <c r="AE1377" s="28"/>
    </row>
    <row r="1378" spans="1:31" customFormat="1" ht="15" x14ac:dyDescent="0.35">
      <c r="A1378" s="50"/>
      <c r="B1378" s="63"/>
      <c r="C1378" s="39"/>
      <c r="D1378" s="6"/>
      <c r="E1378" s="153"/>
      <c r="F1378" s="10"/>
      <c r="G1378" s="54"/>
      <c r="H1378" s="3"/>
      <c r="I1378" s="2"/>
      <c r="J1378" s="2"/>
      <c r="K1378" s="3"/>
      <c r="L1378" s="3"/>
      <c r="M1378" s="3"/>
      <c r="N1378" s="3"/>
      <c r="O1378" s="3"/>
      <c r="P1378" s="59"/>
      <c r="Q1378" s="3"/>
      <c r="R1378" s="3"/>
      <c r="S1378" s="3"/>
      <c r="T1378" s="3"/>
      <c r="U1378" s="3"/>
      <c r="V1378" s="3"/>
      <c r="W1378" s="3"/>
      <c r="X1378" s="3"/>
      <c r="Y1378" s="3"/>
      <c r="Z1378" s="53"/>
      <c r="AA1378" s="3"/>
      <c r="AB1378" s="59"/>
      <c r="AC1378" s="3"/>
      <c r="AD1378" s="53"/>
      <c r="AE1378" s="59"/>
    </row>
    <row r="1379" spans="1:31" customFormat="1" ht="15" x14ac:dyDescent="0.35">
      <c r="A1379" s="50"/>
      <c r="B1379" s="63"/>
      <c r="C1379" s="39"/>
      <c r="D1379" s="6"/>
      <c r="E1379" s="153"/>
      <c r="F1379" s="10"/>
      <c r="G1379" s="53"/>
      <c r="H1379" s="3"/>
      <c r="I1379" s="3"/>
      <c r="J1379" s="3"/>
      <c r="K1379" s="3"/>
      <c r="L1379" s="3"/>
      <c r="M1379" s="3"/>
      <c r="N1379" s="3"/>
      <c r="O1379" s="3"/>
      <c r="P1379" s="59"/>
      <c r="Q1379" s="21"/>
      <c r="R1379" s="21"/>
      <c r="S1379" s="3"/>
      <c r="T1379" s="3"/>
      <c r="U1379" s="3"/>
      <c r="V1379" s="3"/>
      <c r="W1379" s="3"/>
      <c r="X1379" s="3"/>
      <c r="Y1379" s="3"/>
      <c r="Z1379" s="53"/>
      <c r="AA1379" s="3"/>
      <c r="AB1379" s="59"/>
      <c r="AC1379" s="3"/>
      <c r="AD1379" s="53"/>
      <c r="AE1379" s="59"/>
    </row>
    <row r="1380" spans="1:31" customFormat="1" ht="15" x14ac:dyDescent="0.35">
      <c r="A1380" s="50"/>
      <c r="B1380" s="63"/>
      <c r="C1380" s="39"/>
      <c r="D1380" s="6"/>
      <c r="E1380" s="153"/>
      <c r="F1380" s="10"/>
      <c r="G1380" s="53"/>
      <c r="H1380" s="3"/>
      <c r="I1380" s="3"/>
      <c r="J1380" s="3"/>
      <c r="K1380" s="3"/>
      <c r="L1380" s="3"/>
      <c r="M1380" s="3"/>
      <c r="N1380" s="3"/>
      <c r="O1380" s="3"/>
      <c r="P1380" s="59"/>
      <c r="Q1380" s="21"/>
      <c r="R1380" s="21"/>
      <c r="S1380" s="3"/>
      <c r="T1380" s="3"/>
      <c r="U1380" s="3"/>
      <c r="V1380" s="3"/>
      <c r="W1380" s="3"/>
      <c r="X1380" s="3"/>
      <c r="Y1380" s="3"/>
      <c r="Z1380" s="53"/>
      <c r="AA1380" s="3"/>
      <c r="AB1380" s="59"/>
      <c r="AC1380" s="3"/>
      <c r="AD1380" s="53"/>
      <c r="AE1380" s="59"/>
    </row>
    <row r="1381" spans="1:31" customFormat="1" ht="15" x14ac:dyDescent="0.35">
      <c r="A1381" s="50"/>
      <c r="B1381" s="63"/>
      <c r="C1381" s="39"/>
      <c r="D1381" s="6"/>
      <c r="E1381" s="153"/>
      <c r="F1381" s="10"/>
      <c r="G1381" s="53"/>
      <c r="H1381" s="3"/>
      <c r="I1381" s="3"/>
      <c r="J1381" s="3"/>
      <c r="K1381" s="3"/>
      <c r="L1381" s="3"/>
      <c r="M1381" s="3"/>
      <c r="N1381" s="3"/>
      <c r="O1381" s="3"/>
      <c r="P1381" s="59"/>
      <c r="Q1381" s="21"/>
      <c r="R1381" s="21"/>
      <c r="S1381" s="3"/>
      <c r="T1381" s="3"/>
      <c r="U1381" s="3"/>
      <c r="V1381" s="3"/>
      <c r="W1381" s="3"/>
      <c r="X1381" s="3"/>
      <c r="Y1381" s="3"/>
      <c r="Z1381" s="53"/>
      <c r="AA1381" s="3"/>
      <c r="AB1381" s="59"/>
      <c r="AC1381" s="3"/>
      <c r="AD1381" s="53"/>
      <c r="AE1381" s="59"/>
    </row>
    <row r="1382" spans="1:31" customFormat="1" ht="15" x14ac:dyDescent="0.35">
      <c r="A1382" s="50"/>
      <c r="B1382" s="63"/>
      <c r="C1382" s="39"/>
      <c r="D1382" s="6"/>
      <c r="E1382" s="153"/>
      <c r="F1382" s="10"/>
      <c r="G1382" s="54"/>
      <c r="H1382" s="3"/>
      <c r="I1382" s="2"/>
      <c r="J1382" s="2"/>
      <c r="K1382" s="3"/>
      <c r="L1382" s="3"/>
      <c r="M1382" s="3"/>
      <c r="N1382" s="3"/>
      <c r="O1382" s="3"/>
      <c r="P1382" s="59"/>
      <c r="Q1382" s="3"/>
      <c r="R1382" s="3"/>
      <c r="S1382" s="3"/>
      <c r="T1382" s="3"/>
      <c r="U1382" s="3"/>
      <c r="V1382" s="3"/>
      <c r="W1382" s="3"/>
      <c r="X1382" s="3"/>
      <c r="Y1382" s="3"/>
      <c r="Z1382" s="53"/>
      <c r="AA1382" s="3"/>
      <c r="AB1382" s="59"/>
      <c r="AC1382" s="3"/>
      <c r="AD1382" s="53"/>
      <c r="AE1382" s="59"/>
    </row>
    <row r="1383" spans="1:31" customFormat="1" ht="15" x14ac:dyDescent="0.35">
      <c r="A1383" s="50"/>
      <c r="B1383" s="63"/>
      <c r="C1383" s="39"/>
      <c r="D1383" s="6"/>
      <c r="E1383" s="153"/>
      <c r="F1383" s="10"/>
      <c r="G1383" s="54"/>
      <c r="H1383" s="3"/>
      <c r="I1383" s="2"/>
      <c r="J1383" s="2"/>
      <c r="K1383" s="3"/>
      <c r="L1383" s="3"/>
      <c r="M1383" s="3"/>
      <c r="N1383" s="3"/>
      <c r="O1383" s="3"/>
      <c r="P1383" s="59"/>
      <c r="Q1383" s="3"/>
      <c r="R1383" s="3"/>
      <c r="S1383" s="3"/>
      <c r="T1383" s="3"/>
      <c r="U1383" s="3"/>
      <c r="V1383" s="3"/>
      <c r="W1383" s="3"/>
      <c r="X1383" s="3"/>
      <c r="Y1383" s="3"/>
      <c r="Z1383" s="53"/>
      <c r="AA1383" s="3"/>
      <c r="AB1383" s="59"/>
      <c r="AC1383" s="3"/>
      <c r="AD1383" s="53"/>
      <c r="AE1383" s="59"/>
    </row>
    <row r="1384" spans="1:31" customFormat="1" ht="15" x14ac:dyDescent="0.35">
      <c r="A1384" s="19"/>
      <c r="B1384" s="49"/>
      <c r="C1384" s="39"/>
      <c r="D1384" s="1"/>
      <c r="E1384" s="153"/>
      <c r="F1384" s="10"/>
      <c r="G1384" s="20"/>
      <c r="H1384" s="21"/>
      <c r="I1384" s="21"/>
      <c r="J1384" s="21"/>
      <c r="K1384" s="21"/>
      <c r="L1384" s="21"/>
      <c r="M1384" s="21"/>
      <c r="N1384" s="22"/>
      <c r="O1384" s="21"/>
      <c r="P1384" s="24"/>
      <c r="Q1384" s="21"/>
      <c r="R1384" s="21"/>
      <c r="S1384" s="21"/>
      <c r="T1384" s="21"/>
      <c r="U1384" s="21"/>
      <c r="V1384" s="22"/>
      <c r="W1384" s="21"/>
      <c r="X1384" s="22"/>
      <c r="Y1384" s="21"/>
      <c r="Z1384" s="20"/>
      <c r="AA1384" s="21"/>
      <c r="AB1384" s="25"/>
      <c r="AC1384" s="26"/>
      <c r="AD1384" s="27"/>
      <c r="AE1384" s="28"/>
    </row>
    <row r="1385" spans="1:31" customFormat="1" ht="15" x14ac:dyDescent="0.35">
      <c r="A1385" s="50"/>
      <c r="B1385" s="63"/>
      <c r="C1385" s="39"/>
      <c r="D1385" s="6"/>
      <c r="E1385" s="153"/>
      <c r="F1385" s="10"/>
      <c r="G1385" s="54"/>
      <c r="H1385" s="3"/>
      <c r="I1385" s="2"/>
      <c r="J1385" s="2"/>
      <c r="K1385" s="3"/>
      <c r="L1385" s="3"/>
      <c r="M1385" s="3"/>
      <c r="N1385" s="3"/>
      <c r="O1385" s="3"/>
      <c r="P1385" s="59"/>
      <c r="Q1385" s="3"/>
      <c r="R1385" s="3"/>
      <c r="S1385" s="3"/>
      <c r="T1385" s="3"/>
      <c r="U1385" s="3"/>
      <c r="V1385" s="3"/>
      <c r="W1385" s="3"/>
      <c r="X1385" s="3"/>
      <c r="Y1385" s="3"/>
      <c r="Z1385" s="53"/>
      <c r="AA1385" s="3"/>
      <c r="AB1385" s="59"/>
      <c r="AC1385" s="3"/>
      <c r="AD1385" s="53"/>
      <c r="AE1385" s="59"/>
    </row>
    <row r="1386" spans="1:31" customFormat="1" ht="15" x14ac:dyDescent="0.35">
      <c r="A1386" s="50"/>
      <c r="B1386" s="63"/>
      <c r="C1386" s="39"/>
      <c r="D1386" s="6"/>
      <c r="E1386" s="153"/>
      <c r="F1386" s="10"/>
      <c r="G1386" s="53"/>
      <c r="H1386" s="3"/>
      <c r="I1386" s="3"/>
      <c r="J1386" s="3"/>
      <c r="K1386" s="3"/>
      <c r="L1386" s="3"/>
      <c r="M1386" s="3"/>
      <c r="N1386" s="3"/>
      <c r="O1386" s="3"/>
      <c r="P1386" s="59"/>
      <c r="Q1386" s="21"/>
      <c r="R1386" s="21"/>
      <c r="S1386" s="3"/>
      <c r="T1386" s="3"/>
      <c r="U1386" s="3"/>
      <c r="V1386" s="3"/>
      <c r="W1386" s="3"/>
      <c r="X1386" s="3"/>
      <c r="Y1386" s="3"/>
      <c r="Z1386" s="53"/>
      <c r="AA1386" s="3"/>
      <c r="AB1386" s="59"/>
      <c r="AC1386" s="3"/>
      <c r="AD1386" s="53"/>
      <c r="AE1386" s="59"/>
    </row>
    <row r="1387" spans="1:31" customFormat="1" ht="15" x14ac:dyDescent="0.35">
      <c r="A1387" s="50"/>
      <c r="B1387" s="63"/>
      <c r="C1387" s="39"/>
      <c r="D1387" s="6"/>
      <c r="E1387" s="153"/>
      <c r="F1387" s="10"/>
      <c r="G1387" s="54"/>
      <c r="H1387" s="3"/>
      <c r="I1387" s="2"/>
      <c r="J1387" s="2"/>
      <c r="K1387" s="3"/>
      <c r="L1387" s="3"/>
      <c r="M1387" s="3"/>
      <c r="N1387" s="3"/>
      <c r="O1387" s="3"/>
      <c r="P1387" s="59"/>
      <c r="Q1387" s="3"/>
      <c r="R1387" s="3"/>
      <c r="S1387" s="3"/>
      <c r="T1387" s="3"/>
      <c r="U1387" s="3"/>
      <c r="V1387" s="3"/>
      <c r="W1387" s="3"/>
      <c r="X1387" s="3"/>
      <c r="Y1387" s="3"/>
      <c r="Z1387" s="53"/>
      <c r="AA1387" s="3"/>
      <c r="AB1387" s="59"/>
      <c r="AC1387" s="3"/>
      <c r="AD1387" s="53"/>
      <c r="AE1387" s="59"/>
    </row>
    <row r="1388" spans="1:31" customFormat="1" ht="15" x14ac:dyDescent="0.35">
      <c r="A1388" s="19"/>
      <c r="B1388" s="49"/>
      <c r="C1388" s="14"/>
      <c r="D1388" s="1"/>
      <c r="E1388" s="153"/>
      <c r="F1388" s="10"/>
      <c r="G1388" s="20"/>
      <c r="H1388" s="21"/>
      <c r="I1388" s="21"/>
      <c r="J1388" s="21"/>
      <c r="K1388" s="21"/>
      <c r="L1388" s="21"/>
      <c r="M1388" s="21"/>
      <c r="N1388" s="22"/>
      <c r="O1388" s="21"/>
      <c r="P1388" s="24"/>
      <c r="Q1388" s="21"/>
      <c r="R1388" s="21"/>
      <c r="S1388" s="21"/>
      <c r="T1388" s="21"/>
      <c r="U1388" s="21"/>
      <c r="V1388" s="22"/>
      <c r="W1388" s="21"/>
      <c r="X1388" s="22"/>
      <c r="Y1388" s="21"/>
      <c r="Z1388" s="20"/>
      <c r="AA1388" s="21"/>
      <c r="AB1388" s="25"/>
      <c r="AC1388" s="26"/>
      <c r="AD1388" s="27"/>
      <c r="AE1388" s="28"/>
    </row>
    <row r="1389" spans="1:31" customFormat="1" ht="15" x14ac:dyDescent="0.35">
      <c r="A1389" s="19"/>
      <c r="B1389" s="49"/>
      <c r="C1389" s="14"/>
      <c r="D1389" s="1"/>
      <c r="E1389" s="153"/>
      <c r="F1389" s="10"/>
      <c r="G1389" s="20"/>
      <c r="H1389" s="21"/>
      <c r="I1389" s="21"/>
      <c r="J1389" s="21"/>
      <c r="K1389" s="21"/>
      <c r="L1389" s="21"/>
      <c r="M1389" s="21"/>
      <c r="N1389" s="22"/>
      <c r="O1389" s="21"/>
      <c r="P1389" s="24"/>
      <c r="Q1389" s="21"/>
      <c r="R1389" s="21"/>
      <c r="S1389" s="21"/>
      <c r="T1389" s="21"/>
      <c r="U1389" s="21"/>
      <c r="V1389" s="22"/>
      <c r="W1389" s="21"/>
      <c r="X1389" s="22"/>
      <c r="Y1389" s="21"/>
      <c r="Z1389" s="20"/>
      <c r="AA1389" s="21"/>
      <c r="AB1389" s="25"/>
      <c r="AC1389" s="26"/>
      <c r="AD1389" s="27"/>
      <c r="AE1389" s="28"/>
    </row>
    <row r="1390" spans="1:31" customFormat="1" ht="15" x14ac:dyDescent="0.35">
      <c r="A1390" s="50"/>
      <c r="B1390" s="63"/>
      <c r="C1390" s="39"/>
      <c r="D1390" s="6"/>
      <c r="E1390" s="153"/>
      <c r="F1390" s="10"/>
      <c r="G1390" s="53"/>
      <c r="H1390" s="3"/>
      <c r="I1390" s="3"/>
      <c r="J1390" s="3"/>
      <c r="K1390" s="3"/>
      <c r="L1390" s="3"/>
      <c r="M1390" s="3"/>
      <c r="N1390" s="3"/>
      <c r="O1390" s="3"/>
      <c r="P1390" s="59"/>
      <c r="Q1390" s="21"/>
      <c r="R1390" s="21"/>
      <c r="S1390" s="3"/>
      <c r="T1390" s="3"/>
      <c r="U1390" s="3"/>
      <c r="V1390" s="3"/>
      <c r="W1390" s="3"/>
      <c r="X1390" s="3"/>
      <c r="Y1390" s="3"/>
      <c r="Z1390" s="53"/>
      <c r="AA1390" s="3"/>
      <c r="AB1390" s="59"/>
      <c r="AC1390" s="3"/>
      <c r="AD1390" s="53"/>
      <c r="AE1390" s="59"/>
    </row>
    <row r="1391" spans="1:31" customFormat="1" ht="15" x14ac:dyDescent="0.35">
      <c r="A1391" s="50"/>
      <c r="B1391" s="63"/>
      <c r="C1391" s="39"/>
      <c r="D1391" s="6"/>
      <c r="E1391" s="153"/>
      <c r="F1391" s="10"/>
      <c r="G1391" s="53"/>
      <c r="H1391" s="3"/>
      <c r="I1391" s="3"/>
      <c r="J1391" s="3"/>
      <c r="K1391" s="3"/>
      <c r="L1391" s="3"/>
      <c r="M1391" s="3"/>
      <c r="N1391" s="3"/>
      <c r="O1391" s="3"/>
      <c r="P1391" s="59"/>
      <c r="Q1391" s="21"/>
      <c r="R1391" s="21"/>
      <c r="S1391" s="3"/>
      <c r="T1391" s="3"/>
      <c r="U1391" s="3"/>
      <c r="V1391" s="3"/>
      <c r="W1391" s="3"/>
      <c r="X1391" s="3"/>
      <c r="Y1391" s="3"/>
      <c r="Z1391" s="53"/>
      <c r="AA1391" s="3"/>
      <c r="AB1391" s="59"/>
      <c r="AC1391" s="3"/>
      <c r="AD1391" s="53"/>
      <c r="AE1391" s="59"/>
    </row>
    <row r="1392" spans="1:31" customFormat="1" ht="15" x14ac:dyDescent="0.35">
      <c r="A1392" s="19"/>
      <c r="B1392" s="49"/>
      <c r="C1392" s="39"/>
      <c r="D1392" s="1"/>
      <c r="E1392" s="153"/>
      <c r="F1392" s="10"/>
      <c r="G1392" s="20"/>
      <c r="H1392" s="21"/>
      <c r="I1392" s="21"/>
      <c r="J1392" s="21"/>
      <c r="K1392" s="21"/>
      <c r="L1392" s="21"/>
      <c r="M1392" s="21"/>
      <c r="N1392" s="22"/>
      <c r="O1392" s="21"/>
      <c r="P1392" s="24"/>
      <c r="Q1392" s="21"/>
      <c r="R1392" s="21"/>
      <c r="S1392" s="21"/>
      <c r="T1392" s="21"/>
      <c r="U1392" s="21"/>
      <c r="V1392" s="22"/>
      <c r="W1392" s="21"/>
      <c r="X1392" s="22"/>
      <c r="Y1392" s="21"/>
      <c r="Z1392" s="20"/>
      <c r="AA1392" s="21"/>
      <c r="AB1392" s="25"/>
      <c r="AC1392" s="26"/>
      <c r="AD1392" s="27"/>
      <c r="AE1392" s="28"/>
    </row>
    <row r="1393" spans="1:31" customFormat="1" ht="15" x14ac:dyDescent="0.35">
      <c r="A1393" s="50"/>
      <c r="B1393" s="63"/>
      <c r="C1393" s="39"/>
      <c r="D1393" s="6"/>
      <c r="E1393" s="153"/>
      <c r="F1393" s="10"/>
      <c r="G1393" s="53"/>
      <c r="H1393" s="3"/>
      <c r="I1393" s="3"/>
      <c r="J1393" s="3"/>
      <c r="K1393" s="3"/>
      <c r="L1393" s="3"/>
      <c r="M1393" s="3"/>
      <c r="N1393" s="3"/>
      <c r="O1393" s="3"/>
      <c r="P1393" s="59"/>
      <c r="Q1393" s="21"/>
      <c r="R1393" s="21"/>
      <c r="S1393" s="3"/>
      <c r="T1393" s="3"/>
      <c r="U1393" s="3"/>
      <c r="V1393" s="3"/>
      <c r="W1393" s="3"/>
      <c r="X1393" s="3"/>
      <c r="Y1393" s="3"/>
      <c r="Z1393" s="53"/>
      <c r="AA1393" s="3"/>
      <c r="AB1393" s="59"/>
      <c r="AC1393" s="3"/>
      <c r="AD1393" s="53"/>
      <c r="AE1393" s="59"/>
    </row>
    <row r="1394" spans="1:31" customFormat="1" ht="15" x14ac:dyDescent="0.35">
      <c r="A1394" s="50"/>
      <c r="B1394" s="63"/>
      <c r="C1394" s="39"/>
      <c r="D1394" s="6"/>
      <c r="E1394" s="153"/>
      <c r="F1394" s="10"/>
      <c r="G1394" s="53"/>
      <c r="H1394" s="3"/>
      <c r="I1394" s="3"/>
      <c r="J1394" s="3"/>
      <c r="K1394" s="3"/>
      <c r="L1394" s="3"/>
      <c r="M1394" s="3"/>
      <c r="N1394" s="3"/>
      <c r="O1394" s="3"/>
      <c r="P1394" s="59"/>
      <c r="Q1394" s="21"/>
      <c r="R1394" s="21"/>
      <c r="S1394" s="3"/>
      <c r="T1394" s="3"/>
      <c r="U1394" s="3"/>
      <c r="V1394" s="3"/>
      <c r="W1394" s="3"/>
      <c r="X1394" s="3"/>
      <c r="Y1394" s="3"/>
      <c r="Z1394" s="53"/>
      <c r="AA1394" s="3"/>
      <c r="AB1394" s="59"/>
      <c r="AC1394" s="3"/>
      <c r="AD1394" s="53"/>
      <c r="AE1394" s="59"/>
    </row>
    <row r="1395" spans="1:31" customFormat="1" ht="15" x14ac:dyDescent="0.35">
      <c r="A1395" s="50"/>
      <c r="B1395" s="63"/>
      <c r="C1395" s="39"/>
      <c r="D1395" s="6"/>
      <c r="E1395" s="153"/>
      <c r="F1395" s="10"/>
      <c r="G1395" s="54"/>
      <c r="H1395" s="3"/>
      <c r="I1395" s="2"/>
      <c r="J1395" s="2"/>
      <c r="K1395" s="3"/>
      <c r="L1395" s="3"/>
      <c r="M1395" s="3"/>
      <c r="N1395" s="3"/>
      <c r="O1395" s="3"/>
      <c r="P1395" s="59"/>
      <c r="Q1395" s="3"/>
      <c r="R1395" s="3"/>
      <c r="S1395" s="3"/>
      <c r="T1395" s="3"/>
      <c r="U1395" s="3"/>
      <c r="V1395" s="3"/>
      <c r="W1395" s="3"/>
      <c r="X1395" s="3"/>
      <c r="Y1395" s="3"/>
      <c r="Z1395" s="53"/>
      <c r="AA1395" s="3"/>
      <c r="AB1395" s="59"/>
      <c r="AC1395" s="3"/>
      <c r="AD1395" s="53"/>
      <c r="AE1395" s="59"/>
    </row>
    <row r="1396" spans="1:31" customFormat="1" ht="15" x14ac:dyDescent="0.35">
      <c r="A1396" s="50"/>
      <c r="B1396" s="63"/>
      <c r="C1396" s="39"/>
      <c r="D1396" s="6"/>
      <c r="E1396" s="153"/>
      <c r="F1396" s="10"/>
      <c r="G1396" s="54"/>
      <c r="H1396" s="3"/>
      <c r="I1396" s="2"/>
      <c r="J1396" s="2"/>
      <c r="K1396" s="3"/>
      <c r="L1396" s="3"/>
      <c r="M1396" s="3"/>
      <c r="N1396" s="3"/>
      <c r="O1396" s="3"/>
      <c r="P1396" s="59"/>
      <c r="Q1396" s="3"/>
      <c r="R1396" s="3"/>
      <c r="S1396" s="3"/>
      <c r="T1396" s="3"/>
      <c r="U1396" s="3"/>
      <c r="V1396" s="3"/>
      <c r="W1396" s="3"/>
      <c r="X1396" s="3"/>
      <c r="Y1396" s="3"/>
      <c r="Z1396" s="53"/>
      <c r="AA1396" s="3"/>
      <c r="AB1396" s="59"/>
      <c r="AC1396" s="3"/>
      <c r="AD1396" s="53"/>
      <c r="AE1396" s="59"/>
    </row>
    <row r="1397" spans="1:31" customFormat="1" ht="15" x14ac:dyDescent="0.35">
      <c r="A1397" s="50"/>
      <c r="B1397" s="63"/>
      <c r="C1397" s="39"/>
      <c r="D1397" s="6"/>
      <c r="E1397" s="153"/>
      <c r="F1397" s="10"/>
      <c r="G1397" s="53"/>
      <c r="H1397" s="3"/>
      <c r="I1397" s="3"/>
      <c r="J1397" s="3"/>
      <c r="K1397" s="3"/>
      <c r="L1397" s="3"/>
      <c r="M1397" s="3"/>
      <c r="N1397" s="3"/>
      <c r="O1397" s="3"/>
      <c r="P1397" s="59"/>
      <c r="Q1397" s="21"/>
      <c r="R1397" s="21"/>
      <c r="S1397" s="3"/>
      <c r="T1397" s="3"/>
      <c r="U1397" s="3"/>
      <c r="V1397" s="3"/>
      <c r="W1397" s="3"/>
      <c r="X1397" s="3"/>
      <c r="Y1397" s="3"/>
      <c r="Z1397" s="53"/>
      <c r="AA1397" s="3"/>
      <c r="AB1397" s="59"/>
      <c r="AC1397" s="3"/>
      <c r="AD1397" s="53"/>
      <c r="AE1397" s="59"/>
    </row>
    <row r="1398" spans="1:31" customFormat="1" ht="15" x14ac:dyDescent="0.35">
      <c r="A1398" s="50"/>
      <c r="B1398" s="63"/>
      <c r="C1398" s="39"/>
      <c r="D1398" s="6"/>
      <c r="E1398" s="153"/>
      <c r="F1398" s="10"/>
      <c r="G1398" s="54"/>
      <c r="H1398" s="3"/>
      <c r="I1398" s="2"/>
      <c r="J1398" s="2"/>
      <c r="K1398" s="3"/>
      <c r="L1398" s="3"/>
      <c r="M1398" s="3"/>
      <c r="N1398" s="3"/>
      <c r="O1398" s="3"/>
      <c r="P1398" s="59"/>
      <c r="Q1398" s="3"/>
      <c r="R1398" s="3"/>
      <c r="S1398" s="3"/>
      <c r="T1398" s="3"/>
      <c r="U1398" s="3"/>
      <c r="V1398" s="3"/>
      <c r="W1398" s="3"/>
      <c r="X1398" s="3"/>
      <c r="Y1398" s="3"/>
      <c r="Z1398" s="53"/>
      <c r="AA1398" s="3"/>
      <c r="AB1398" s="59"/>
      <c r="AC1398" s="3"/>
      <c r="AD1398" s="53"/>
      <c r="AE1398" s="59"/>
    </row>
    <row r="1399" spans="1:31" customFormat="1" ht="15" x14ac:dyDescent="0.35">
      <c r="A1399" s="50"/>
      <c r="B1399" s="63"/>
      <c r="C1399" s="39"/>
      <c r="D1399" s="6"/>
      <c r="E1399" s="153"/>
      <c r="F1399" s="10"/>
      <c r="G1399" s="53"/>
      <c r="H1399" s="3"/>
      <c r="I1399" s="3"/>
      <c r="J1399" s="3"/>
      <c r="K1399" s="3"/>
      <c r="L1399" s="3"/>
      <c r="M1399" s="3"/>
      <c r="N1399" s="3"/>
      <c r="O1399" s="3"/>
      <c r="P1399" s="59"/>
      <c r="Q1399" s="21"/>
      <c r="R1399" s="21"/>
      <c r="S1399" s="3"/>
      <c r="T1399" s="3"/>
      <c r="U1399" s="3"/>
      <c r="V1399" s="3"/>
      <c r="W1399" s="3"/>
      <c r="X1399" s="3"/>
      <c r="Y1399" s="3"/>
      <c r="Z1399" s="53"/>
      <c r="AA1399" s="3"/>
      <c r="AB1399" s="59"/>
      <c r="AC1399" s="3"/>
      <c r="AD1399" s="53"/>
      <c r="AE1399" s="59"/>
    </row>
    <row r="1400" spans="1:31" customFormat="1" ht="15" x14ac:dyDescent="0.35">
      <c r="A1400" s="50"/>
      <c r="B1400" s="63"/>
      <c r="C1400" s="39"/>
      <c r="D1400" s="6"/>
      <c r="E1400" s="153"/>
      <c r="F1400" s="10"/>
      <c r="G1400" s="54"/>
      <c r="H1400" s="3"/>
      <c r="I1400" s="2"/>
      <c r="J1400" s="2"/>
      <c r="K1400" s="3"/>
      <c r="L1400" s="3"/>
      <c r="M1400" s="3"/>
      <c r="N1400" s="3"/>
      <c r="O1400" s="3"/>
      <c r="P1400" s="59"/>
      <c r="Q1400" s="3"/>
      <c r="R1400" s="3"/>
      <c r="S1400" s="3"/>
      <c r="T1400" s="3"/>
      <c r="U1400" s="3"/>
      <c r="V1400" s="3"/>
      <c r="W1400" s="3"/>
      <c r="X1400" s="3"/>
      <c r="Y1400" s="3"/>
      <c r="Z1400" s="53"/>
      <c r="AA1400" s="3"/>
      <c r="AB1400" s="59"/>
      <c r="AC1400" s="3"/>
      <c r="AD1400" s="53"/>
      <c r="AE1400" s="59"/>
    </row>
    <row r="1401" spans="1:31" customFormat="1" ht="15" x14ac:dyDescent="0.35">
      <c r="A1401" s="19"/>
      <c r="B1401" s="49"/>
      <c r="C1401" s="14"/>
      <c r="D1401" s="1"/>
      <c r="E1401" s="153"/>
      <c r="F1401" s="10"/>
      <c r="G1401" s="20"/>
      <c r="H1401" s="21"/>
      <c r="I1401" s="21"/>
      <c r="J1401" s="21"/>
      <c r="K1401" s="21"/>
      <c r="L1401" s="21"/>
      <c r="M1401" s="21"/>
      <c r="N1401" s="22"/>
      <c r="O1401" s="21"/>
      <c r="P1401" s="24"/>
      <c r="Q1401" s="21"/>
      <c r="R1401" s="21"/>
      <c r="S1401" s="21"/>
      <c r="T1401" s="21"/>
      <c r="U1401" s="21"/>
      <c r="V1401" s="22"/>
      <c r="W1401" s="21"/>
      <c r="X1401" s="22"/>
      <c r="Y1401" s="21"/>
      <c r="Z1401" s="20"/>
      <c r="AA1401" s="21"/>
      <c r="AB1401" s="25"/>
      <c r="AC1401" s="26"/>
      <c r="AD1401" s="27"/>
      <c r="AE1401" s="28"/>
    </row>
    <row r="1402" spans="1:31" customFormat="1" ht="15" x14ac:dyDescent="0.35">
      <c r="A1402" s="50"/>
      <c r="B1402" s="63"/>
      <c r="C1402" s="39"/>
      <c r="D1402" s="6"/>
      <c r="E1402" s="153"/>
      <c r="F1402" s="10"/>
      <c r="G1402" s="53"/>
      <c r="H1402" s="3"/>
      <c r="I1402" s="3"/>
      <c r="J1402" s="3"/>
      <c r="K1402" s="3"/>
      <c r="L1402" s="3"/>
      <c r="M1402" s="3"/>
      <c r="N1402" s="3"/>
      <c r="O1402" s="3"/>
      <c r="P1402" s="59"/>
      <c r="Q1402" s="21"/>
      <c r="R1402" s="21"/>
      <c r="S1402" s="3"/>
      <c r="T1402" s="3"/>
      <c r="U1402" s="3"/>
      <c r="V1402" s="3"/>
      <c r="W1402" s="3"/>
      <c r="X1402" s="3"/>
      <c r="Y1402" s="3"/>
      <c r="Z1402" s="53"/>
      <c r="AA1402" s="3"/>
      <c r="AB1402" s="59"/>
      <c r="AC1402" s="3"/>
      <c r="AD1402" s="53"/>
      <c r="AE1402" s="59"/>
    </row>
    <row r="1403" spans="1:31" customFormat="1" ht="15" x14ac:dyDescent="0.35">
      <c r="A1403" s="50"/>
      <c r="B1403" s="63"/>
      <c r="C1403" s="39"/>
      <c r="D1403" s="6"/>
      <c r="E1403" s="153"/>
      <c r="F1403" s="10"/>
      <c r="G1403" s="53"/>
      <c r="H1403" s="3"/>
      <c r="I1403" s="3"/>
      <c r="J1403" s="3"/>
      <c r="K1403" s="3"/>
      <c r="L1403" s="3"/>
      <c r="M1403" s="3"/>
      <c r="N1403" s="3"/>
      <c r="O1403" s="3"/>
      <c r="P1403" s="59"/>
      <c r="Q1403" s="21"/>
      <c r="R1403" s="21"/>
      <c r="S1403" s="3"/>
      <c r="T1403" s="3"/>
      <c r="U1403" s="3"/>
      <c r="V1403" s="3"/>
      <c r="W1403" s="3"/>
      <c r="X1403" s="3"/>
      <c r="Y1403" s="3"/>
      <c r="Z1403" s="53"/>
      <c r="AA1403" s="3"/>
      <c r="AB1403" s="59"/>
      <c r="AC1403" s="3"/>
      <c r="AD1403" s="53"/>
      <c r="AE1403" s="59"/>
    </row>
    <row r="1404" spans="1:31" customFormat="1" ht="15" x14ac:dyDescent="0.35">
      <c r="A1404" s="50"/>
      <c r="B1404" s="63"/>
      <c r="C1404" s="39"/>
      <c r="D1404" s="6"/>
      <c r="E1404" s="153"/>
      <c r="F1404" s="10"/>
      <c r="G1404" s="53"/>
      <c r="H1404" s="3"/>
      <c r="I1404" s="3"/>
      <c r="J1404" s="3"/>
      <c r="K1404" s="3"/>
      <c r="L1404" s="3"/>
      <c r="M1404" s="3"/>
      <c r="N1404" s="3"/>
      <c r="O1404" s="3"/>
      <c r="P1404" s="59"/>
      <c r="Q1404" s="21"/>
      <c r="R1404" s="21"/>
      <c r="S1404" s="3"/>
      <c r="T1404" s="3"/>
      <c r="U1404" s="3"/>
      <c r="V1404" s="3"/>
      <c r="W1404" s="3"/>
      <c r="X1404" s="3"/>
      <c r="Y1404" s="3"/>
      <c r="Z1404" s="53"/>
      <c r="AA1404" s="3"/>
      <c r="AB1404" s="59"/>
      <c r="AC1404" s="3"/>
      <c r="AD1404" s="53"/>
      <c r="AE1404" s="59"/>
    </row>
    <row r="1405" spans="1:31" customFormat="1" ht="15" x14ac:dyDescent="0.35">
      <c r="A1405" s="19"/>
      <c r="B1405" s="49"/>
      <c r="C1405" s="39"/>
      <c r="D1405" s="1"/>
      <c r="E1405" s="153"/>
      <c r="F1405" s="10"/>
      <c r="G1405" s="20"/>
      <c r="H1405" s="21"/>
      <c r="I1405" s="21"/>
      <c r="J1405" s="21"/>
      <c r="K1405" s="21"/>
      <c r="L1405" s="21"/>
      <c r="M1405" s="21"/>
      <c r="N1405" s="22"/>
      <c r="O1405" s="21"/>
      <c r="P1405" s="24"/>
      <c r="Q1405" s="21"/>
      <c r="R1405" s="21"/>
      <c r="S1405" s="21"/>
      <c r="T1405" s="21"/>
      <c r="U1405" s="21"/>
      <c r="V1405" s="22"/>
      <c r="W1405" s="21"/>
      <c r="X1405" s="22"/>
      <c r="Y1405" s="21"/>
      <c r="Z1405" s="20"/>
      <c r="AA1405" s="21"/>
      <c r="AB1405" s="25"/>
      <c r="AC1405" s="26"/>
      <c r="AD1405" s="27"/>
      <c r="AE1405" s="28"/>
    </row>
    <row r="1406" spans="1:31" customFormat="1" ht="15" x14ac:dyDescent="0.35">
      <c r="A1406" s="50"/>
      <c r="B1406" s="63"/>
      <c r="C1406" s="39"/>
      <c r="D1406" s="6"/>
      <c r="E1406" s="153"/>
      <c r="F1406" s="10"/>
      <c r="G1406" s="54"/>
      <c r="H1406" s="3"/>
      <c r="I1406" s="2"/>
      <c r="J1406" s="2"/>
      <c r="K1406" s="3"/>
      <c r="L1406" s="3"/>
      <c r="M1406" s="3"/>
      <c r="N1406" s="3"/>
      <c r="O1406" s="3"/>
      <c r="P1406" s="59"/>
      <c r="Q1406" s="21"/>
      <c r="R1406" s="21"/>
      <c r="S1406" s="3"/>
      <c r="T1406" s="3"/>
      <c r="U1406" s="3"/>
      <c r="V1406" s="3"/>
      <c r="W1406" s="3"/>
      <c r="X1406" s="3"/>
      <c r="Y1406" s="3"/>
      <c r="Z1406" s="53"/>
      <c r="AA1406" s="3"/>
      <c r="AB1406" s="59"/>
      <c r="AC1406" s="3"/>
      <c r="AD1406" s="53"/>
      <c r="AE1406" s="59"/>
    </row>
    <row r="1407" spans="1:31" customFormat="1" ht="15" x14ac:dyDescent="0.35">
      <c r="A1407" s="50"/>
      <c r="B1407" s="63"/>
      <c r="C1407" s="39"/>
      <c r="D1407" s="6"/>
      <c r="E1407" s="153"/>
      <c r="F1407" s="10"/>
      <c r="G1407" s="54"/>
      <c r="H1407" s="3"/>
      <c r="I1407" s="2"/>
      <c r="J1407" s="2"/>
      <c r="K1407" s="3"/>
      <c r="L1407" s="3"/>
      <c r="M1407" s="3"/>
      <c r="N1407" s="3"/>
      <c r="O1407" s="3"/>
      <c r="P1407" s="59"/>
      <c r="Q1407" s="3"/>
      <c r="R1407" s="3"/>
      <c r="S1407" s="3"/>
      <c r="T1407" s="3"/>
      <c r="U1407" s="3"/>
      <c r="V1407" s="3"/>
      <c r="W1407" s="3"/>
      <c r="X1407" s="3"/>
      <c r="Y1407" s="3"/>
      <c r="Z1407" s="53"/>
      <c r="AA1407" s="3"/>
      <c r="AB1407" s="59"/>
      <c r="AC1407" s="3"/>
      <c r="AD1407" s="53"/>
      <c r="AE1407" s="59"/>
    </row>
    <row r="1408" spans="1:31" customFormat="1" ht="15" x14ac:dyDescent="0.35">
      <c r="A1408" s="50"/>
      <c r="B1408" s="63"/>
      <c r="C1408" s="39"/>
      <c r="D1408" s="6"/>
      <c r="E1408" s="153"/>
      <c r="F1408" s="10"/>
      <c r="G1408" s="54"/>
      <c r="H1408" s="3"/>
      <c r="I1408" s="2"/>
      <c r="J1408" s="2"/>
      <c r="K1408" s="3"/>
      <c r="L1408" s="3"/>
      <c r="M1408" s="3"/>
      <c r="N1408" s="3"/>
      <c r="O1408" s="3"/>
      <c r="P1408" s="59"/>
      <c r="Q1408" s="3"/>
      <c r="R1408" s="3"/>
      <c r="S1408" s="3"/>
      <c r="T1408" s="3"/>
      <c r="U1408" s="3"/>
      <c r="V1408" s="3"/>
      <c r="W1408" s="3"/>
      <c r="X1408" s="3"/>
      <c r="Y1408" s="3"/>
      <c r="Z1408" s="53"/>
      <c r="AA1408" s="3"/>
      <c r="AB1408" s="59"/>
      <c r="AC1408" s="3"/>
      <c r="AD1408" s="53"/>
      <c r="AE1408" s="59"/>
    </row>
    <row r="1409" spans="1:31" customFormat="1" ht="15" x14ac:dyDescent="0.35">
      <c r="A1409" s="50"/>
      <c r="B1409" s="63"/>
      <c r="C1409" s="39"/>
      <c r="D1409" s="6"/>
      <c r="E1409" s="153"/>
      <c r="F1409" s="10"/>
      <c r="G1409" s="53"/>
      <c r="H1409" s="3"/>
      <c r="I1409" s="3"/>
      <c r="J1409" s="3"/>
      <c r="K1409" s="3"/>
      <c r="L1409" s="3"/>
      <c r="M1409" s="3"/>
      <c r="N1409" s="3"/>
      <c r="O1409" s="3"/>
      <c r="P1409" s="59"/>
      <c r="Q1409" s="3"/>
      <c r="R1409" s="3"/>
      <c r="S1409" s="3"/>
      <c r="T1409" s="3"/>
      <c r="U1409" s="3"/>
      <c r="V1409" s="3"/>
      <c r="W1409" s="3"/>
      <c r="X1409" s="3"/>
      <c r="Y1409" s="3"/>
      <c r="Z1409" s="53"/>
      <c r="AA1409" s="3"/>
      <c r="AB1409" s="59"/>
      <c r="AC1409" s="3"/>
      <c r="AD1409" s="53"/>
      <c r="AE1409" s="59"/>
    </row>
    <row r="1410" spans="1:31" customFormat="1" ht="15" x14ac:dyDescent="0.35">
      <c r="A1410" s="50"/>
      <c r="B1410" s="63"/>
      <c r="C1410" s="39"/>
      <c r="D1410" s="6"/>
      <c r="E1410" s="153"/>
      <c r="F1410" s="10"/>
      <c r="G1410" s="54"/>
      <c r="H1410" s="3"/>
      <c r="I1410" s="2"/>
      <c r="J1410" s="2"/>
      <c r="K1410" s="3"/>
      <c r="L1410" s="3"/>
      <c r="M1410" s="3"/>
      <c r="N1410" s="3"/>
      <c r="O1410" s="3"/>
      <c r="P1410" s="59"/>
      <c r="Q1410" s="3"/>
      <c r="R1410" s="3"/>
      <c r="S1410" s="3"/>
      <c r="T1410" s="3"/>
      <c r="U1410" s="3"/>
      <c r="V1410" s="3"/>
      <c r="W1410" s="3"/>
      <c r="X1410" s="3"/>
      <c r="Y1410" s="3"/>
      <c r="Z1410" s="53"/>
      <c r="AA1410" s="3"/>
      <c r="AB1410" s="59"/>
      <c r="AC1410" s="3"/>
      <c r="AD1410" s="53"/>
      <c r="AE1410" s="59"/>
    </row>
    <row r="1411" spans="1:31" customFormat="1" ht="15" x14ac:dyDescent="0.35">
      <c r="A1411" s="50"/>
      <c r="B1411" s="63"/>
      <c r="C1411" s="39"/>
      <c r="D1411" s="6"/>
      <c r="E1411" s="153"/>
      <c r="F1411" s="10"/>
      <c r="G1411" s="54"/>
      <c r="H1411" s="3"/>
      <c r="I1411" s="2"/>
      <c r="J1411" s="2"/>
      <c r="K1411" s="3"/>
      <c r="L1411" s="3"/>
      <c r="M1411" s="3"/>
      <c r="N1411" s="3"/>
      <c r="O1411" s="3"/>
      <c r="P1411" s="59"/>
      <c r="Q1411" s="3"/>
      <c r="R1411" s="3"/>
      <c r="S1411" s="3"/>
      <c r="T1411" s="3"/>
      <c r="U1411" s="3"/>
      <c r="V1411" s="3"/>
      <c r="W1411" s="3"/>
      <c r="X1411" s="3"/>
      <c r="Y1411" s="3"/>
      <c r="Z1411" s="53"/>
      <c r="AA1411" s="3"/>
      <c r="AB1411" s="59"/>
      <c r="AC1411" s="3"/>
      <c r="AD1411" s="53"/>
      <c r="AE1411" s="59"/>
    </row>
    <row r="1412" spans="1:31" customFormat="1" ht="15" x14ac:dyDescent="0.35">
      <c r="A1412" s="50"/>
      <c r="B1412" s="63"/>
      <c r="C1412" s="39"/>
      <c r="D1412" s="6"/>
      <c r="E1412" s="153"/>
      <c r="F1412" s="10"/>
      <c r="G1412" s="54"/>
      <c r="H1412" s="3"/>
      <c r="I1412" s="2"/>
      <c r="J1412" s="2"/>
      <c r="K1412" s="3"/>
      <c r="L1412" s="3"/>
      <c r="M1412" s="3"/>
      <c r="N1412" s="3"/>
      <c r="O1412" s="3"/>
      <c r="P1412" s="59"/>
      <c r="Q1412" s="21"/>
      <c r="R1412" s="21"/>
      <c r="S1412" s="3"/>
      <c r="T1412" s="3"/>
      <c r="U1412" s="3"/>
      <c r="V1412" s="3"/>
      <c r="W1412" s="3"/>
      <c r="X1412" s="3"/>
      <c r="Y1412" s="3"/>
      <c r="Z1412" s="53"/>
      <c r="AA1412" s="3"/>
      <c r="AB1412" s="59"/>
      <c r="AC1412" s="3"/>
      <c r="AD1412" s="53"/>
      <c r="AE1412" s="59"/>
    </row>
    <row r="1413" spans="1:31" customFormat="1" ht="15" x14ac:dyDescent="0.35">
      <c r="A1413" s="19"/>
      <c r="B1413" s="49"/>
      <c r="C1413" s="39"/>
      <c r="D1413" s="1"/>
      <c r="E1413" s="153"/>
      <c r="F1413" s="10"/>
      <c r="G1413" s="20"/>
      <c r="H1413" s="21"/>
      <c r="I1413" s="21"/>
      <c r="J1413" s="21"/>
      <c r="K1413" s="21"/>
      <c r="L1413" s="21"/>
      <c r="M1413" s="21"/>
      <c r="N1413" s="22"/>
      <c r="O1413" s="21"/>
      <c r="P1413" s="24"/>
      <c r="Q1413" s="21"/>
      <c r="R1413" s="21"/>
      <c r="S1413" s="21"/>
      <c r="T1413" s="21"/>
      <c r="U1413" s="21"/>
      <c r="V1413" s="22"/>
      <c r="W1413" s="21"/>
      <c r="X1413" s="22"/>
      <c r="Y1413" s="21"/>
      <c r="Z1413" s="20"/>
      <c r="AA1413" s="21"/>
      <c r="AB1413" s="25"/>
      <c r="AC1413" s="26"/>
      <c r="AD1413" s="27"/>
      <c r="AE1413" s="28"/>
    </row>
    <row r="1414" spans="1:31" customFormat="1" ht="15" x14ac:dyDescent="0.35">
      <c r="A1414" s="19"/>
      <c r="B1414" s="49"/>
      <c r="C1414" s="39"/>
      <c r="D1414" s="1"/>
      <c r="E1414" s="153"/>
      <c r="F1414" s="10"/>
      <c r="G1414" s="20"/>
      <c r="H1414" s="21"/>
      <c r="I1414" s="21"/>
      <c r="J1414" s="21"/>
      <c r="K1414" s="21"/>
      <c r="L1414" s="21"/>
      <c r="M1414" s="21"/>
      <c r="N1414" s="22"/>
      <c r="O1414" s="21"/>
      <c r="P1414" s="24"/>
      <c r="Q1414" s="21"/>
      <c r="R1414" s="21"/>
      <c r="S1414" s="21"/>
      <c r="T1414" s="21"/>
      <c r="U1414" s="21"/>
      <c r="V1414" s="22"/>
      <c r="W1414" s="21"/>
      <c r="X1414" s="22"/>
      <c r="Y1414" s="21"/>
      <c r="Z1414" s="20"/>
      <c r="AA1414" s="21"/>
      <c r="AB1414" s="25"/>
      <c r="AC1414" s="26"/>
      <c r="AD1414" s="27"/>
      <c r="AE1414" s="65"/>
    </row>
    <row r="1415" spans="1:31" customFormat="1" ht="15" x14ac:dyDescent="0.35">
      <c r="A1415" s="19"/>
      <c r="B1415" s="49"/>
      <c r="C1415" s="14"/>
      <c r="D1415" s="1"/>
      <c r="E1415" s="153"/>
      <c r="F1415" s="10"/>
      <c r="G1415" s="20"/>
      <c r="H1415" s="21"/>
      <c r="I1415" s="21"/>
      <c r="J1415" s="21"/>
      <c r="K1415" s="21"/>
      <c r="L1415" s="21"/>
      <c r="M1415" s="21"/>
      <c r="N1415" s="22"/>
      <c r="O1415" s="21"/>
      <c r="P1415" s="24"/>
      <c r="Q1415" s="21"/>
      <c r="R1415" s="21"/>
      <c r="S1415" s="21"/>
      <c r="T1415" s="21"/>
      <c r="U1415" s="21"/>
      <c r="V1415" s="22"/>
      <c r="W1415" s="21"/>
      <c r="X1415" s="22"/>
      <c r="Y1415" s="21"/>
      <c r="Z1415" s="20"/>
      <c r="AA1415" s="21"/>
      <c r="AB1415" s="25"/>
      <c r="AC1415" s="26"/>
      <c r="AD1415" s="27"/>
      <c r="AE1415" s="28"/>
    </row>
    <row r="1416" spans="1:31" customFormat="1" ht="15" x14ac:dyDescent="0.35">
      <c r="A1416" s="50"/>
      <c r="B1416" s="63"/>
      <c r="C1416" s="39"/>
      <c r="D1416" s="6"/>
      <c r="E1416" s="153"/>
      <c r="F1416" s="10"/>
      <c r="G1416" s="53"/>
      <c r="H1416" s="3"/>
      <c r="I1416" s="3"/>
      <c r="J1416" s="3"/>
      <c r="K1416" s="3"/>
      <c r="L1416" s="3"/>
      <c r="M1416" s="3"/>
      <c r="N1416" s="3"/>
      <c r="O1416" s="3"/>
      <c r="P1416" s="59"/>
      <c r="Q1416" s="3"/>
      <c r="R1416" s="3"/>
      <c r="S1416" s="3"/>
      <c r="T1416" s="3"/>
      <c r="U1416" s="3"/>
      <c r="V1416" s="3"/>
      <c r="W1416" s="3"/>
      <c r="X1416" s="3"/>
      <c r="Y1416" s="3"/>
      <c r="Z1416" s="53"/>
      <c r="AA1416" s="3"/>
      <c r="AB1416" s="59"/>
      <c r="AC1416" s="3"/>
      <c r="AD1416" s="53"/>
      <c r="AE1416" s="59"/>
    </row>
    <row r="1417" spans="1:31" customFormat="1" ht="15" x14ac:dyDescent="0.35">
      <c r="A1417" s="50"/>
      <c r="B1417" s="63"/>
      <c r="C1417" s="39"/>
      <c r="D1417" s="6"/>
      <c r="E1417" s="153"/>
      <c r="F1417" s="10"/>
      <c r="G1417" s="54"/>
      <c r="H1417" s="3"/>
      <c r="I1417" s="2"/>
      <c r="J1417" s="2"/>
      <c r="K1417" s="3"/>
      <c r="L1417" s="3"/>
      <c r="M1417" s="3"/>
      <c r="N1417" s="3"/>
      <c r="O1417" s="3"/>
      <c r="P1417" s="59"/>
      <c r="Q1417" s="3"/>
      <c r="R1417" s="3"/>
      <c r="S1417" s="3"/>
      <c r="T1417" s="3"/>
      <c r="U1417" s="3"/>
      <c r="V1417" s="3"/>
      <c r="W1417" s="3"/>
      <c r="X1417" s="3"/>
      <c r="Y1417" s="3"/>
      <c r="Z1417" s="53"/>
      <c r="AA1417" s="3"/>
      <c r="AB1417" s="59"/>
      <c r="AC1417" s="3"/>
      <c r="AD1417" s="53"/>
      <c r="AE1417" s="59"/>
    </row>
    <row r="1418" spans="1:31" customFormat="1" ht="15" x14ac:dyDescent="0.35">
      <c r="A1418" s="50"/>
      <c r="B1418" s="63"/>
      <c r="C1418" s="39"/>
      <c r="D1418" s="6"/>
      <c r="E1418" s="153"/>
      <c r="F1418" s="10"/>
      <c r="G1418" s="54"/>
      <c r="H1418" s="3"/>
      <c r="I1418" s="2"/>
      <c r="J1418" s="2"/>
      <c r="K1418" s="3"/>
      <c r="L1418" s="3"/>
      <c r="M1418" s="3"/>
      <c r="N1418" s="3"/>
      <c r="O1418" s="3"/>
      <c r="P1418" s="59"/>
      <c r="Q1418" s="3"/>
      <c r="R1418" s="3"/>
      <c r="S1418" s="3"/>
      <c r="T1418" s="3"/>
      <c r="U1418" s="3"/>
      <c r="V1418" s="3"/>
      <c r="W1418" s="3"/>
      <c r="X1418" s="3"/>
      <c r="Y1418" s="3"/>
      <c r="Z1418" s="53"/>
      <c r="AA1418" s="3"/>
      <c r="AB1418" s="59"/>
      <c r="AC1418" s="3"/>
      <c r="AD1418" s="53"/>
      <c r="AE1418" s="59"/>
    </row>
    <row r="1419" spans="1:31" customFormat="1" ht="15" x14ac:dyDescent="0.35">
      <c r="A1419" s="50"/>
      <c r="B1419" s="63"/>
      <c r="C1419" s="39"/>
      <c r="D1419" s="6"/>
      <c r="E1419" s="153"/>
      <c r="F1419" s="10"/>
      <c r="G1419" s="54"/>
      <c r="H1419" s="3"/>
      <c r="I1419" s="2"/>
      <c r="J1419" s="2"/>
      <c r="K1419" s="3"/>
      <c r="L1419" s="3"/>
      <c r="M1419" s="3"/>
      <c r="N1419" s="3"/>
      <c r="O1419" s="3"/>
      <c r="P1419" s="59"/>
      <c r="Q1419" s="3"/>
      <c r="R1419" s="3"/>
      <c r="S1419" s="3"/>
      <c r="T1419" s="3"/>
      <c r="U1419" s="3"/>
      <c r="V1419" s="3"/>
      <c r="W1419" s="3"/>
      <c r="X1419" s="3"/>
      <c r="Y1419" s="3"/>
      <c r="Z1419" s="53"/>
      <c r="AA1419" s="3"/>
      <c r="AB1419" s="59"/>
      <c r="AC1419" s="3"/>
      <c r="AD1419" s="53"/>
      <c r="AE1419" s="59"/>
    </row>
    <row r="1420" spans="1:31" customFormat="1" ht="15" x14ac:dyDescent="0.35">
      <c r="A1420" s="50"/>
      <c r="B1420" s="63"/>
      <c r="C1420" s="39"/>
      <c r="D1420" s="6"/>
      <c r="E1420" s="153"/>
      <c r="F1420" s="10"/>
      <c r="G1420" s="54"/>
      <c r="H1420" s="3"/>
      <c r="I1420" s="2"/>
      <c r="J1420" s="2"/>
      <c r="K1420" s="3"/>
      <c r="L1420" s="3"/>
      <c r="M1420" s="3"/>
      <c r="N1420" s="3"/>
      <c r="O1420" s="3"/>
      <c r="P1420" s="59"/>
      <c r="Q1420" s="21"/>
      <c r="R1420" s="21"/>
      <c r="S1420" s="3"/>
      <c r="T1420" s="3"/>
      <c r="U1420" s="3"/>
      <c r="V1420" s="3"/>
      <c r="W1420" s="3"/>
      <c r="X1420" s="3"/>
      <c r="Y1420" s="3"/>
      <c r="Z1420" s="53"/>
      <c r="AA1420" s="3"/>
      <c r="AB1420" s="59"/>
      <c r="AC1420" s="3"/>
      <c r="AD1420" s="53"/>
      <c r="AE1420" s="59"/>
    </row>
    <row r="1421" spans="1:31" customFormat="1" ht="15" x14ac:dyDescent="0.35">
      <c r="A1421" s="19"/>
      <c r="B1421" s="49"/>
      <c r="C1421" s="14"/>
      <c r="D1421" s="1"/>
      <c r="E1421" s="153"/>
      <c r="F1421" s="10"/>
      <c r="G1421" s="20"/>
      <c r="H1421" s="21"/>
      <c r="I1421" s="21"/>
      <c r="J1421" s="21"/>
      <c r="K1421" s="21"/>
      <c r="L1421" s="21"/>
      <c r="M1421" s="21"/>
      <c r="N1421" s="22"/>
      <c r="O1421" s="21"/>
      <c r="P1421" s="24"/>
      <c r="Q1421" s="21"/>
      <c r="R1421" s="21"/>
      <c r="S1421" s="21"/>
      <c r="T1421" s="21"/>
      <c r="U1421" s="21"/>
      <c r="V1421" s="22"/>
      <c r="W1421" s="21"/>
      <c r="X1421" s="22"/>
      <c r="Y1421" s="21"/>
      <c r="Z1421" s="20"/>
      <c r="AA1421" s="21"/>
      <c r="AB1421" s="25"/>
      <c r="AC1421" s="26"/>
      <c r="AD1421" s="27"/>
      <c r="AE1421" s="28"/>
    </row>
    <row r="1422" spans="1:31" customFormat="1" ht="15" x14ac:dyDescent="0.35">
      <c r="A1422" s="50"/>
      <c r="B1422" s="63"/>
      <c r="C1422" s="39"/>
      <c r="D1422" s="6"/>
      <c r="E1422" s="153"/>
      <c r="F1422" s="10"/>
      <c r="G1422" s="54"/>
      <c r="H1422" s="3"/>
      <c r="I1422" s="2"/>
      <c r="J1422" s="2"/>
      <c r="K1422" s="3"/>
      <c r="L1422" s="3"/>
      <c r="M1422" s="3"/>
      <c r="N1422" s="3"/>
      <c r="O1422" s="3"/>
      <c r="P1422" s="59"/>
      <c r="Q1422" s="3"/>
      <c r="R1422" s="3"/>
      <c r="S1422" s="3"/>
      <c r="T1422" s="3"/>
      <c r="U1422" s="3"/>
      <c r="V1422" s="3"/>
      <c r="W1422" s="3"/>
      <c r="X1422" s="3"/>
      <c r="Y1422" s="3"/>
      <c r="Z1422" s="53"/>
      <c r="AA1422" s="3"/>
      <c r="AB1422" s="59"/>
      <c r="AC1422" s="3"/>
      <c r="AD1422" s="53"/>
      <c r="AE1422" s="59"/>
    </row>
    <row r="1423" spans="1:31" customFormat="1" ht="15" x14ac:dyDescent="0.35">
      <c r="A1423" s="19"/>
      <c r="B1423" s="49"/>
      <c r="C1423" s="39"/>
      <c r="D1423" s="1"/>
      <c r="E1423" s="153"/>
      <c r="F1423" s="10"/>
      <c r="G1423" s="20"/>
      <c r="H1423" s="21"/>
      <c r="I1423" s="21"/>
      <c r="J1423" s="21"/>
      <c r="K1423" s="21"/>
      <c r="L1423" s="21"/>
      <c r="M1423" s="21"/>
      <c r="N1423" s="22"/>
      <c r="O1423" s="21"/>
      <c r="P1423" s="24"/>
      <c r="Q1423" s="21"/>
      <c r="R1423" s="21"/>
      <c r="S1423" s="21"/>
      <c r="T1423" s="21"/>
      <c r="U1423" s="21"/>
      <c r="V1423" s="22"/>
      <c r="W1423" s="21"/>
      <c r="X1423" s="22"/>
      <c r="Y1423" s="21"/>
      <c r="Z1423" s="20"/>
      <c r="AA1423" s="21"/>
      <c r="AB1423" s="25"/>
      <c r="AC1423" s="26"/>
      <c r="AD1423" s="27"/>
      <c r="AE1423" s="28"/>
    </row>
    <row r="1424" spans="1:31" customFormat="1" ht="15" x14ac:dyDescent="0.35">
      <c r="A1424" s="19"/>
      <c r="B1424" s="49"/>
      <c r="C1424" s="14"/>
      <c r="D1424" s="1"/>
      <c r="E1424" s="153"/>
      <c r="F1424" s="10"/>
      <c r="G1424" s="20"/>
      <c r="H1424" s="21"/>
      <c r="I1424" s="21"/>
      <c r="J1424" s="21"/>
      <c r="K1424" s="21"/>
      <c r="L1424" s="21"/>
      <c r="M1424" s="21"/>
      <c r="N1424" s="22"/>
      <c r="O1424" s="21"/>
      <c r="P1424" s="24"/>
      <c r="Q1424" s="21"/>
      <c r="R1424" s="21"/>
      <c r="S1424" s="21"/>
      <c r="T1424" s="21"/>
      <c r="U1424" s="21"/>
      <c r="V1424" s="22"/>
      <c r="W1424" s="21"/>
      <c r="X1424" s="22"/>
      <c r="Y1424" s="21"/>
      <c r="Z1424" s="20"/>
      <c r="AA1424" s="21"/>
      <c r="AB1424" s="25"/>
      <c r="AC1424" s="26"/>
      <c r="AD1424" s="27"/>
      <c r="AE1424" s="28"/>
    </row>
    <row r="1425" spans="1:31" customFormat="1" ht="15" x14ac:dyDescent="0.35">
      <c r="A1425" s="19"/>
      <c r="B1425" s="49"/>
      <c r="C1425" s="14"/>
      <c r="D1425" s="1"/>
      <c r="E1425" s="153"/>
      <c r="F1425" s="10"/>
      <c r="G1425" s="20"/>
      <c r="H1425" s="21"/>
      <c r="I1425" s="21"/>
      <c r="J1425" s="21"/>
      <c r="K1425" s="21"/>
      <c r="L1425" s="21"/>
      <c r="M1425" s="21"/>
      <c r="N1425" s="22"/>
      <c r="O1425" s="21"/>
      <c r="P1425" s="24"/>
      <c r="Q1425" s="21"/>
      <c r="R1425" s="21"/>
      <c r="S1425" s="21"/>
      <c r="T1425" s="21"/>
      <c r="U1425" s="21"/>
      <c r="V1425" s="22"/>
      <c r="W1425" s="21"/>
      <c r="X1425" s="22"/>
      <c r="Y1425" s="21"/>
      <c r="Z1425" s="20"/>
      <c r="AA1425" s="21"/>
      <c r="AB1425" s="25"/>
      <c r="AC1425" s="26"/>
      <c r="AD1425" s="27"/>
      <c r="AE1425" s="65"/>
    </row>
    <row r="1426" spans="1:31" customFormat="1" ht="15" x14ac:dyDescent="0.35">
      <c r="A1426" s="50"/>
      <c r="B1426" s="63"/>
      <c r="C1426" s="39"/>
      <c r="D1426" s="6"/>
      <c r="E1426" s="153"/>
      <c r="F1426" s="10"/>
      <c r="G1426" s="54"/>
      <c r="H1426" s="3"/>
      <c r="I1426" s="2"/>
      <c r="J1426" s="2"/>
      <c r="K1426" s="3"/>
      <c r="L1426" s="3"/>
      <c r="M1426" s="3"/>
      <c r="N1426" s="3"/>
      <c r="O1426" s="3"/>
      <c r="P1426" s="59"/>
      <c r="Q1426" s="21"/>
      <c r="R1426" s="21"/>
      <c r="S1426" s="3"/>
      <c r="T1426" s="3"/>
      <c r="U1426" s="3"/>
      <c r="V1426" s="3"/>
      <c r="W1426" s="3"/>
      <c r="X1426" s="3"/>
      <c r="Y1426" s="3"/>
      <c r="Z1426" s="53"/>
      <c r="AA1426" s="3"/>
      <c r="AB1426" s="59"/>
      <c r="AC1426" s="3"/>
      <c r="AD1426" s="53"/>
      <c r="AE1426" s="59"/>
    </row>
    <row r="1427" spans="1:31" customFormat="1" ht="15" x14ac:dyDescent="0.35">
      <c r="A1427" s="50"/>
      <c r="B1427" s="63"/>
      <c r="C1427" s="39"/>
      <c r="D1427" s="6"/>
      <c r="E1427" s="153"/>
      <c r="F1427" s="10"/>
      <c r="G1427" s="53"/>
      <c r="H1427" s="3"/>
      <c r="I1427" s="3"/>
      <c r="J1427" s="3"/>
      <c r="K1427" s="3"/>
      <c r="L1427" s="3"/>
      <c r="M1427" s="3"/>
      <c r="N1427" s="3"/>
      <c r="O1427" s="3"/>
      <c r="P1427" s="59"/>
      <c r="Q1427" s="21"/>
      <c r="R1427" s="21"/>
      <c r="S1427" s="3"/>
      <c r="T1427" s="3"/>
      <c r="U1427" s="3"/>
      <c r="V1427" s="3"/>
      <c r="W1427" s="3"/>
      <c r="X1427" s="3"/>
      <c r="Y1427" s="3"/>
      <c r="Z1427" s="53"/>
      <c r="AA1427" s="3"/>
      <c r="AB1427" s="59"/>
      <c r="AC1427" s="3"/>
      <c r="AD1427" s="53"/>
      <c r="AE1427" s="59"/>
    </row>
    <row r="1428" spans="1:31" customFormat="1" ht="15" x14ac:dyDescent="0.35">
      <c r="A1428" s="50"/>
      <c r="B1428" s="63"/>
      <c r="C1428" s="39"/>
      <c r="D1428" s="6"/>
      <c r="E1428" s="153"/>
      <c r="F1428" s="10"/>
      <c r="G1428" s="53"/>
      <c r="H1428" s="3"/>
      <c r="I1428" s="3"/>
      <c r="J1428" s="3"/>
      <c r="K1428" s="3"/>
      <c r="L1428" s="3"/>
      <c r="M1428" s="3"/>
      <c r="N1428" s="3"/>
      <c r="O1428" s="3"/>
      <c r="P1428" s="59"/>
      <c r="Q1428" s="21"/>
      <c r="R1428" s="21"/>
      <c r="S1428" s="3"/>
      <c r="T1428" s="3"/>
      <c r="U1428" s="3"/>
      <c r="V1428" s="3"/>
      <c r="W1428" s="3"/>
      <c r="X1428" s="3"/>
      <c r="Y1428" s="3"/>
      <c r="Z1428" s="53"/>
      <c r="AA1428" s="3"/>
      <c r="AB1428" s="59"/>
      <c r="AC1428" s="3"/>
      <c r="AD1428" s="53"/>
      <c r="AE1428" s="59"/>
    </row>
    <row r="1429" spans="1:31" customFormat="1" ht="15" x14ac:dyDescent="0.35">
      <c r="A1429" s="19"/>
      <c r="B1429" s="49"/>
      <c r="C1429" s="14"/>
      <c r="D1429" s="1"/>
      <c r="E1429" s="153"/>
      <c r="F1429" s="10"/>
      <c r="G1429" s="20"/>
      <c r="H1429" s="21"/>
      <c r="I1429" s="21"/>
      <c r="J1429" s="21"/>
      <c r="K1429" s="21"/>
      <c r="L1429" s="21"/>
      <c r="M1429" s="21"/>
      <c r="N1429" s="22"/>
      <c r="O1429" s="21"/>
      <c r="P1429" s="24"/>
      <c r="Q1429" s="21"/>
      <c r="R1429" s="21"/>
      <c r="S1429" s="21"/>
      <c r="T1429" s="21"/>
      <c r="U1429" s="21"/>
      <c r="V1429" s="22"/>
      <c r="W1429" s="21"/>
      <c r="X1429" s="22"/>
      <c r="Y1429" s="21"/>
      <c r="Z1429" s="20"/>
      <c r="AA1429" s="21"/>
      <c r="AB1429" s="25"/>
      <c r="AC1429" s="26"/>
      <c r="AD1429" s="27"/>
      <c r="AE1429" s="28"/>
    </row>
    <row r="1430" spans="1:31" customFormat="1" ht="15" x14ac:dyDescent="0.35">
      <c r="A1430" s="50"/>
      <c r="B1430" s="63"/>
      <c r="C1430" s="39"/>
      <c r="D1430" s="6"/>
      <c r="E1430" s="153"/>
      <c r="F1430" s="10"/>
      <c r="G1430" s="53"/>
      <c r="H1430" s="3"/>
      <c r="I1430" s="3"/>
      <c r="J1430" s="3"/>
      <c r="K1430" s="3"/>
      <c r="L1430" s="3"/>
      <c r="M1430" s="3"/>
      <c r="N1430" s="3"/>
      <c r="O1430" s="3"/>
      <c r="P1430" s="59"/>
      <c r="Q1430" s="21"/>
      <c r="R1430" s="21"/>
      <c r="S1430" s="3"/>
      <c r="T1430" s="3"/>
      <c r="U1430" s="3"/>
      <c r="V1430" s="3"/>
      <c r="W1430" s="3"/>
      <c r="X1430" s="3"/>
      <c r="Y1430" s="3"/>
      <c r="Z1430" s="53"/>
      <c r="AA1430" s="3"/>
      <c r="AB1430" s="59"/>
      <c r="AC1430" s="3"/>
      <c r="AD1430" s="53"/>
      <c r="AE1430" s="59"/>
    </row>
    <row r="1431" spans="1:31" customFormat="1" ht="15" x14ac:dyDescent="0.35">
      <c r="A1431" s="19"/>
      <c r="B1431" s="49"/>
      <c r="C1431" s="14"/>
      <c r="D1431" s="1"/>
      <c r="E1431" s="153"/>
      <c r="F1431" s="10"/>
      <c r="G1431" s="20"/>
      <c r="H1431" s="21"/>
      <c r="I1431" s="21"/>
      <c r="J1431" s="21"/>
      <c r="K1431" s="21"/>
      <c r="L1431" s="21"/>
      <c r="M1431" s="21"/>
      <c r="N1431" s="22"/>
      <c r="O1431" s="21"/>
      <c r="P1431" s="24"/>
      <c r="Q1431" s="21"/>
      <c r="R1431" s="21"/>
      <c r="S1431" s="21"/>
      <c r="T1431" s="21"/>
      <c r="U1431" s="21"/>
      <c r="V1431" s="22"/>
      <c r="W1431" s="21"/>
      <c r="X1431" s="22"/>
      <c r="Y1431" s="21"/>
      <c r="Z1431" s="20"/>
      <c r="AA1431" s="21"/>
      <c r="AB1431" s="25"/>
      <c r="AC1431" s="26"/>
      <c r="AD1431" s="27"/>
      <c r="AE1431" s="28"/>
    </row>
    <row r="1432" spans="1:31" customFormat="1" ht="15" x14ac:dyDescent="0.35">
      <c r="A1432" s="50"/>
      <c r="B1432" s="63"/>
      <c r="C1432" s="39"/>
      <c r="D1432" s="6"/>
      <c r="E1432" s="153"/>
      <c r="F1432" s="10"/>
      <c r="G1432" s="53"/>
      <c r="H1432" s="3"/>
      <c r="I1432" s="3"/>
      <c r="J1432" s="3"/>
      <c r="K1432" s="3"/>
      <c r="L1432" s="3"/>
      <c r="M1432" s="3"/>
      <c r="N1432" s="3"/>
      <c r="O1432" s="3"/>
      <c r="P1432" s="59"/>
      <c r="Q1432" s="21"/>
      <c r="R1432" s="21"/>
      <c r="S1432" s="3"/>
      <c r="T1432" s="3"/>
      <c r="U1432" s="3"/>
      <c r="V1432" s="3"/>
      <c r="W1432" s="3"/>
      <c r="X1432" s="3"/>
      <c r="Y1432" s="3"/>
      <c r="Z1432" s="53"/>
      <c r="AA1432" s="3"/>
      <c r="AB1432" s="59"/>
      <c r="AC1432" s="3"/>
      <c r="AD1432" s="53"/>
      <c r="AE1432" s="59"/>
    </row>
    <row r="1433" spans="1:31" customFormat="1" ht="15" x14ac:dyDescent="0.35">
      <c r="A1433" s="19"/>
      <c r="B1433" s="49"/>
      <c r="C1433" s="39"/>
      <c r="D1433" s="1"/>
      <c r="E1433" s="153"/>
      <c r="F1433" s="10"/>
      <c r="G1433" s="20"/>
      <c r="H1433" s="21"/>
      <c r="I1433" s="21"/>
      <c r="J1433" s="21"/>
      <c r="K1433" s="21"/>
      <c r="L1433" s="21"/>
      <c r="M1433" s="21"/>
      <c r="N1433" s="22"/>
      <c r="O1433" s="21"/>
      <c r="P1433" s="24"/>
      <c r="Q1433" s="21"/>
      <c r="R1433" s="21"/>
      <c r="S1433" s="21"/>
      <c r="T1433" s="21"/>
      <c r="U1433" s="21"/>
      <c r="V1433" s="22"/>
      <c r="W1433" s="21"/>
      <c r="X1433" s="22"/>
      <c r="Y1433" s="21"/>
      <c r="Z1433" s="20"/>
      <c r="AA1433" s="21"/>
      <c r="AB1433" s="25"/>
      <c r="AC1433" s="26"/>
      <c r="AD1433" s="27"/>
      <c r="AE1433" s="28"/>
    </row>
    <row r="1434" spans="1:31" customFormat="1" ht="15" x14ac:dyDescent="0.35">
      <c r="A1434" s="50"/>
      <c r="B1434" s="63"/>
      <c r="C1434" s="39"/>
      <c r="D1434" s="6"/>
      <c r="E1434" s="153"/>
      <c r="F1434" s="10"/>
      <c r="G1434" s="54"/>
      <c r="H1434" s="3"/>
      <c r="I1434" s="2"/>
      <c r="J1434" s="2"/>
      <c r="K1434" s="3"/>
      <c r="L1434" s="3"/>
      <c r="M1434" s="3"/>
      <c r="N1434" s="3"/>
      <c r="O1434" s="3"/>
      <c r="P1434" s="59"/>
      <c r="Q1434" s="3"/>
      <c r="R1434" s="3"/>
      <c r="S1434" s="3"/>
      <c r="T1434" s="3"/>
      <c r="U1434" s="3"/>
      <c r="V1434" s="3"/>
      <c r="W1434" s="3"/>
      <c r="X1434" s="3"/>
      <c r="Y1434" s="3"/>
      <c r="Z1434" s="53"/>
      <c r="AA1434" s="3"/>
      <c r="AB1434" s="59"/>
      <c r="AC1434" s="3"/>
      <c r="AD1434" s="53"/>
      <c r="AE1434" s="59"/>
    </row>
    <row r="1435" spans="1:31" customFormat="1" ht="15" x14ac:dyDescent="0.35">
      <c r="A1435" s="50"/>
      <c r="B1435" s="63"/>
      <c r="C1435" s="39"/>
      <c r="D1435" s="6"/>
      <c r="E1435" s="153"/>
      <c r="F1435" s="10"/>
      <c r="G1435" s="53"/>
      <c r="H1435" s="3"/>
      <c r="I1435" s="3"/>
      <c r="J1435" s="3"/>
      <c r="K1435" s="3"/>
      <c r="L1435" s="3"/>
      <c r="M1435" s="3"/>
      <c r="N1435" s="3"/>
      <c r="O1435" s="3"/>
      <c r="P1435" s="59"/>
      <c r="Q1435" s="21"/>
      <c r="R1435" s="21"/>
      <c r="S1435" s="3"/>
      <c r="T1435" s="3"/>
      <c r="U1435" s="3"/>
      <c r="V1435" s="3"/>
      <c r="W1435" s="3"/>
      <c r="X1435" s="3"/>
      <c r="Y1435" s="3"/>
      <c r="Z1435" s="53"/>
      <c r="AA1435" s="3"/>
      <c r="AB1435" s="59"/>
      <c r="AC1435" s="3"/>
      <c r="AD1435" s="53"/>
      <c r="AE1435" s="59"/>
    </row>
    <row r="1436" spans="1:31" customFormat="1" ht="15" x14ac:dyDescent="0.35">
      <c r="A1436" s="50"/>
      <c r="B1436" s="63"/>
      <c r="C1436" s="39"/>
      <c r="D1436" s="6"/>
      <c r="E1436" s="153"/>
      <c r="F1436" s="10"/>
      <c r="G1436" s="53"/>
      <c r="H1436" s="3"/>
      <c r="I1436" s="3"/>
      <c r="J1436" s="3"/>
      <c r="K1436" s="3"/>
      <c r="L1436" s="3"/>
      <c r="M1436" s="3"/>
      <c r="N1436" s="3"/>
      <c r="O1436" s="3"/>
      <c r="P1436" s="59"/>
      <c r="Q1436" s="21"/>
      <c r="R1436" s="21"/>
      <c r="S1436" s="3"/>
      <c r="T1436" s="3"/>
      <c r="U1436" s="3"/>
      <c r="V1436" s="3"/>
      <c r="W1436" s="3"/>
      <c r="X1436" s="3"/>
      <c r="Y1436" s="3"/>
      <c r="Z1436" s="53"/>
      <c r="AA1436" s="3"/>
      <c r="AB1436" s="59"/>
      <c r="AC1436" s="3"/>
      <c r="AD1436" s="53"/>
      <c r="AE1436" s="59"/>
    </row>
    <row r="1437" spans="1:31" customFormat="1" ht="15" x14ac:dyDescent="0.35">
      <c r="A1437" s="50"/>
      <c r="B1437" s="63"/>
      <c r="C1437" s="39"/>
      <c r="D1437" s="6"/>
      <c r="E1437" s="153"/>
      <c r="F1437" s="10"/>
      <c r="G1437" s="54"/>
      <c r="H1437" s="3"/>
      <c r="I1437" s="2"/>
      <c r="J1437" s="2"/>
      <c r="K1437" s="3"/>
      <c r="L1437" s="3"/>
      <c r="M1437" s="3"/>
      <c r="N1437" s="3"/>
      <c r="O1437" s="3"/>
      <c r="P1437" s="59"/>
      <c r="Q1437" s="3"/>
      <c r="R1437" s="3"/>
      <c r="S1437" s="3"/>
      <c r="T1437" s="3"/>
      <c r="U1437" s="3"/>
      <c r="V1437" s="3"/>
      <c r="W1437" s="3"/>
      <c r="X1437" s="3"/>
      <c r="Y1437" s="3"/>
      <c r="Z1437" s="53"/>
      <c r="AA1437" s="3"/>
      <c r="AB1437" s="59"/>
      <c r="AC1437" s="3"/>
      <c r="AD1437" s="53"/>
      <c r="AE1437" s="59"/>
    </row>
    <row r="1438" spans="1:31" customFormat="1" ht="15" x14ac:dyDescent="0.35">
      <c r="A1438" s="19"/>
      <c r="B1438" s="49"/>
      <c r="C1438" s="14"/>
      <c r="D1438" s="1"/>
      <c r="E1438" s="153"/>
      <c r="F1438" s="10"/>
      <c r="G1438" s="20"/>
      <c r="H1438" s="21"/>
      <c r="I1438" s="21"/>
      <c r="J1438" s="21"/>
      <c r="K1438" s="21"/>
      <c r="L1438" s="21"/>
      <c r="M1438" s="21"/>
      <c r="N1438" s="22"/>
      <c r="O1438" s="21"/>
      <c r="P1438" s="24"/>
      <c r="Q1438" s="21"/>
      <c r="R1438" s="21"/>
      <c r="S1438" s="21"/>
      <c r="T1438" s="21"/>
      <c r="U1438" s="21"/>
      <c r="V1438" s="22"/>
      <c r="W1438" s="21"/>
      <c r="X1438" s="22"/>
      <c r="Y1438" s="21"/>
      <c r="Z1438" s="20"/>
      <c r="AA1438" s="21"/>
      <c r="AB1438" s="25"/>
      <c r="AC1438" s="26"/>
      <c r="AD1438" s="27"/>
      <c r="AE1438" s="28"/>
    </row>
    <row r="1439" spans="1:31" customFormat="1" ht="15" x14ac:dyDescent="0.35">
      <c r="A1439" s="50"/>
      <c r="B1439" s="63"/>
      <c r="C1439" s="39"/>
      <c r="D1439" s="6"/>
      <c r="E1439" s="153"/>
      <c r="F1439" s="10"/>
      <c r="G1439" s="54"/>
      <c r="H1439" s="3"/>
      <c r="I1439" s="2"/>
      <c r="J1439" s="2"/>
      <c r="K1439" s="3"/>
      <c r="L1439" s="3"/>
      <c r="M1439" s="3"/>
      <c r="N1439" s="3"/>
      <c r="O1439" s="3"/>
      <c r="P1439" s="59"/>
      <c r="Q1439" s="3"/>
      <c r="R1439" s="3"/>
      <c r="S1439" s="3"/>
      <c r="T1439" s="3"/>
      <c r="U1439" s="3"/>
      <c r="V1439" s="3"/>
      <c r="W1439" s="3"/>
      <c r="X1439" s="3"/>
      <c r="Y1439" s="3"/>
      <c r="Z1439" s="53"/>
      <c r="AA1439" s="3"/>
      <c r="AB1439" s="59"/>
      <c r="AC1439" s="3"/>
      <c r="AD1439" s="53"/>
      <c r="AE1439" s="59"/>
    </row>
    <row r="1440" spans="1:31" customFormat="1" ht="15" x14ac:dyDescent="0.35">
      <c r="A1440" s="19"/>
      <c r="B1440" s="49"/>
      <c r="C1440" s="14"/>
      <c r="D1440" s="1"/>
      <c r="E1440" s="153"/>
      <c r="F1440" s="10"/>
      <c r="G1440" s="20"/>
      <c r="H1440" s="21"/>
      <c r="I1440" s="21"/>
      <c r="J1440" s="21"/>
      <c r="K1440" s="21"/>
      <c r="L1440" s="21"/>
      <c r="M1440" s="21"/>
      <c r="N1440" s="22"/>
      <c r="O1440" s="21"/>
      <c r="P1440" s="24"/>
      <c r="Q1440" s="21"/>
      <c r="R1440" s="21"/>
      <c r="S1440" s="21"/>
      <c r="T1440" s="21"/>
      <c r="U1440" s="21"/>
      <c r="V1440" s="22"/>
      <c r="W1440" s="21"/>
      <c r="X1440" s="22"/>
      <c r="Y1440" s="21"/>
      <c r="Z1440" s="20"/>
      <c r="AA1440" s="21"/>
      <c r="AB1440" s="25"/>
      <c r="AC1440" s="26"/>
      <c r="AD1440" s="27"/>
      <c r="AE1440" s="28"/>
    </row>
    <row r="1441" spans="1:31" customFormat="1" ht="15" x14ac:dyDescent="0.35">
      <c r="A1441" s="19"/>
      <c r="B1441" s="49"/>
      <c r="C1441" s="14"/>
      <c r="D1441" s="1"/>
      <c r="E1441" s="153"/>
      <c r="F1441" s="10"/>
      <c r="G1441" s="20"/>
      <c r="H1441" s="21"/>
      <c r="I1441" s="21"/>
      <c r="J1441" s="21"/>
      <c r="K1441" s="21"/>
      <c r="L1441" s="21"/>
      <c r="M1441" s="21"/>
      <c r="N1441" s="22"/>
      <c r="O1441" s="21"/>
      <c r="P1441" s="24"/>
      <c r="Q1441" s="21"/>
      <c r="R1441" s="21"/>
      <c r="S1441" s="21"/>
      <c r="T1441" s="21"/>
      <c r="U1441" s="21"/>
      <c r="V1441" s="22"/>
      <c r="W1441" s="21"/>
      <c r="X1441" s="22"/>
      <c r="Y1441" s="21"/>
      <c r="Z1441" s="20"/>
      <c r="AA1441" s="21"/>
      <c r="AB1441" s="25"/>
      <c r="AC1441" s="26"/>
      <c r="AD1441" s="27"/>
      <c r="AE1441" s="28"/>
    </row>
    <row r="1442" spans="1:31" customFormat="1" ht="15" x14ac:dyDescent="0.35">
      <c r="A1442" s="19"/>
      <c r="B1442" s="49"/>
      <c r="C1442" s="14"/>
      <c r="D1442" s="1"/>
      <c r="E1442" s="153"/>
      <c r="F1442" s="10"/>
      <c r="G1442" s="20"/>
      <c r="H1442" s="21"/>
      <c r="I1442" s="21"/>
      <c r="J1442" s="21"/>
      <c r="K1442" s="21"/>
      <c r="L1442" s="21"/>
      <c r="M1442" s="21"/>
      <c r="N1442" s="22"/>
      <c r="O1442" s="21"/>
      <c r="P1442" s="24"/>
      <c r="Q1442" s="21"/>
      <c r="R1442" s="21"/>
      <c r="S1442" s="21"/>
      <c r="T1442" s="21"/>
      <c r="U1442" s="21"/>
      <c r="V1442" s="22"/>
      <c r="W1442" s="21"/>
      <c r="X1442" s="22"/>
      <c r="Y1442" s="21"/>
      <c r="Z1442" s="20"/>
      <c r="AA1442" s="21"/>
      <c r="AB1442" s="25"/>
      <c r="AC1442" s="26"/>
      <c r="AD1442" s="27"/>
      <c r="AE1442" s="28"/>
    </row>
    <row r="1443" spans="1:31" customFormat="1" ht="15" x14ac:dyDescent="0.35">
      <c r="A1443" s="50"/>
      <c r="B1443" s="63"/>
      <c r="C1443" s="39"/>
      <c r="D1443" s="6"/>
      <c r="E1443" s="153"/>
      <c r="F1443" s="10"/>
      <c r="G1443" s="54"/>
      <c r="H1443" s="3"/>
      <c r="I1443" s="2"/>
      <c r="J1443" s="2"/>
      <c r="K1443" s="3"/>
      <c r="L1443" s="3"/>
      <c r="M1443" s="3"/>
      <c r="N1443" s="3"/>
      <c r="O1443" s="3"/>
      <c r="P1443" s="59"/>
      <c r="Q1443" s="21"/>
      <c r="R1443" s="21"/>
      <c r="S1443" s="3"/>
      <c r="T1443" s="3"/>
      <c r="U1443" s="3"/>
      <c r="V1443" s="3"/>
      <c r="W1443" s="3"/>
      <c r="X1443" s="3"/>
      <c r="Y1443" s="3"/>
      <c r="Z1443" s="53"/>
      <c r="AA1443" s="3"/>
      <c r="AB1443" s="59"/>
      <c r="AC1443" s="3"/>
      <c r="AD1443" s="53"/>
      <c r="AE1443" s="59"/>
    </row>
    <row r="1444" spans="1:31" customFormat="1" ht="15" x14ac:dyDescent="0.35">
      <c r="A1444" s="19"/>
      <c r="B1444" s="49"/>
      <c r="C1444" s="14"/>
      <c r="D1444" s="1"/>
      <c r="E1444" s="153"/>
      <c r="F1444" s="10"/>
      <c r="G1444" s="20"/>
      <c r="H1444" s="21"/>
      <c r="I1444" s="21"/>
      <c r="J1444" s="21"/>
      <c r="K1444" s="21"/>
      <c r="L1444" s="21"/>
      <c r="M1444" s="21"/>
      <c r="N1444" s="22"/>
      <c r="O1444" s="21"/>
      <c r="P1444" s="24"/>
      <c r="Q1444" s="21"/>
      <c r="R1444" s="21"/>
      <c r="S1444" s="21"/>
      <c r="T1444" s="21"/>
      <c r="U1444" s="21"/>
      <c r="V1444" s="22"/>
      <c r="W1444" s="21"/>
      <c r="X1444" s="22"/>
      <c r="Y1444" s="21"/>
      <c r="Z1444" s="20"/>
      <c r="AA1444" s="21"/>
      <c r="AB1444" s="25"/>
      <c r="AC1444" s="26"/>
      <c r="AD1444" s="27"/>
      <c r="AE1444" s="28"/>
    </row>
    <row r="1445" spans="1:31" customFormat="1" ht="15" x14ac:dyDescent="0.35">
      <c r="A1445" s="50"/>
      <c r="B1445" s="63"/>
      <c r="C1445" s="39"/>
      <c r="D1445" s="6"/>
      <c r="E1445" s="153"/>
      <c r="F1445" s="10"/>
      <c r="G1445" s="54"/>
      <c r="H1445" s="3"/>
      <c r="I1445" s="2"/>
      <c r="J1445" s="2"/>
      <c r="K1445" s="3"/>
      <c r="L1445" s="3"/>
      <c r="M1445" s="3"/>
      <c r="N1445" s="3"/>
      <c r="O1445" s="3"/>
      <c r="P1445" s="59"/>
      <c r="Q1445" s="3"/>
      <c r="R1445" s="3"/>
      <c r="S1445" s="3"/>
      <c r="T1445" s="3"/>
      <c r="U1445" s="3"/>
      <c r="V1445" s="3"/>
      <c r="W1445" s="3"/>
      <c r="X1445" s="3"/>
      <c r="Y1445" s="3"/>
      <c r="Z1445" s="53"/>
      <c r="AA1445" s="3"/>
      <c r="AB1445" s="59"/>
      <c r="AC1445" s="3"/>
      <c r="AD1445" s="53"/>
      <c r="AE1445" s="59"/>
    </row>
    <row r="1446" spans="1:31" customFormat="1" ht="15" x14ac:dyDescent="0.35">
      <c r="A1446" s="50"/>
      <c r="B1446" s="63"/>
      <c r="C1446" s="39"/>
      <c r="D1446" s="6"/>
      <c r="E1446" s="153"/>
      <c r="F1446" s="10"/>
      <c r="G1446" s="53"/>
      <c r="H1446" s="3"/>
      <c r="I1446" s="3"/>
      <c r="J1446" s="3"/>
      <c r="K1446" s="3"/>
      <c r="L1446" s="3"/>
      <c r="M1446" s="3"/>
      <c r="N1446" s="3"/>
      <c r="O1446" s="3"/>
      <c r="P1446" s="59"/>
      <c r="Q1446" s="21"/>
      <c r="R1446" s="21"/>
      <c r="S1446" s="3"/>
      <c r="T1446" s="3"/>
      <c r="U1446" s="3"/>
      <c r="V1446" s="3"/>
      <c r="W1446" s="3"/>
      <c r="X1446" s="3"/>
      <c r="Y1446" s="3"/>
      <c r="Z1446" s="53"/>
      <c r="AA1446" s="3"/>
      <c r="AB1446" s="59"/>
      <c r="AC1446" s="3"/>
      <c r="AD1446" s="53"/>
      <c r="AE1446" s="65"/>
    </row>
    <row r="1447" spans="1:31" customFormat="1" ht="15" x14ac:dyDescent="0.35">
      <c r="A1447" s="50"/>
      <c r="B1447" s="63"/>
      <c r="C1447" s="39"/>
      <c r="D1447" s="6"/>
      <c r="E1447" s="153"/>
      <c r="F1447" s="10"/>
      <c r="G1447" s="54"/>
      <c r="H1447" s="3"/>
      <c r="I1447" s="2"/>
      <c r="J1447" s="2"/>
      <c r="K1447" s="3"/>
      <c r="L1447" s="3"/>
      <c r="M1447" s="3"/>
      <c r="N1447" s="3"/>
      <c r="O1447" s="3"/>
      <c r="P1447" s="59"/>
      <c r="Q1447" s="3"/>
      <c r="R1447" s="3"/>
      <c r="S1447" s="3"/>
      <c r="T1447" s="3"/>
      <c r="U1447" s="3"/>
      <c r="V1447" s="3"/>
      <c r="W1447" s="3"/>
      <c r="X1447" s="3"/>
      <c r="Y1447" s="3"/>
      <c r="Z1447" s="53"/>
      <c r="AA1447" s="3"/>
      <c r="AB1447" s="59"/>
      <c r="AC1447" s="3"/>
      <c r="AD1447" s="53"/>
      <c r="AE1447" s="59"/>
    </row>
    <row r="1448" spans="1:31" customFormat="1" ht="15" x14ac:dyDescent="0.35">
      <c r="A1448" s="50"/>
      <c r="B1448" s="63"/>
      <c r="C1448" s="39"/>
      <c r="D1448" s="6"/>
      <c r="E1448" s="153"/>
      <c r="F1448" s="10"/>
      <c r="G1448" s="53"/>
      <c r="H1448" s="3"/>
      <c r="I1448" s="3"/>
      <c r="J1448" s="3"/>
      <c r="K1448" s="3"/>
      <c r="L1448" s="3"/>
      <c r="M1448" s="3"/>
      <c r="N1448" s="3"/>
      <c r="O1448" s="3"/>
      <c r="P1448" s="59"/>
      <c r="Q1448" s="21"/>
      <c r="R1448" s="21"/>
      <c r="S1448" s="3"/>
      <c r="T1448" s="3"/>
      <c r="U1448" s="3"/>
      <c r="V1448" s="3"/>
      <c r="W1448" s="3"/>
      <c r="X1448" s="3"/>
      <c r="Y1448" s="3"/>
      <c r="Z1448" s="53"/>
      <c r="AA1448" s="3"/>
      <c r="AB1448" s="59"/>
      <c r="AC1448" s="3"/>
      <c r="AD1448" s="53"/>
      <c r="AE1448" s="59"/>
    </row>
    <row r="1449" spans="1:31" customFormat="1" ht="15" x14ac:dyDescent="0.35">
      <c r="A1449" s="50"/>
      <c r="B1449" s="63"/>
      <c r="C1449" s="39"/>
      <c r="D1449" s="6"/>
      <c r="E1449" s="153"/>
      <c r="F1449" s="10"/>
      <c r="G1449" s="54"/>
      <c r="H1449" s="3"/>
      <c r="I1449" s="2"/>
      <c r="J1449" s="2"/>
      <c r="K1449" s="3"/>
      <c r="L1449" s="3"/>
      <c r="M1449" s="3"/>
      <c r="N1449" s="3"/>
      <c r="O1449" s="3"/>
      <c r="P1449" s="59"/>
      <c r="Q1449" s="21"/>
      <c r="R1449" s="21"/>
      <c r="S1449" s="3"/>
      <c r="T1449" s="3"/>
      <c r="U1449" s="3"/>
      <c r="V1449" s="3"/>
      <c r="W1449" s="3"/>
      <c r="X1449" s="3"/>
      <c r="Y1449" s="3"/>
      <c r="Z1449" s="53"/>
      <c r="AA1449" s="3"/>
      <c r="AB1449" s="59"/>
      <c r="AC1449" s="3"/>
      <c r="AD1449" s="53"/>
      <c r="AE1449" s="59"/>
    </row>
    <row r="1450" spans="1:31" customFormat="1" ht="15" x14ac:dyDescent="0.35">
      <c r="A1450" s="50"/>
      <c r="B1450" s="63"/>
      <c r="C1450" s="39"/>
      <c r="D1450" s="6"/>
      <c r="E1450" s="153"/>
      <c r="F1450" s="10"/>
      <c r="G1450" s="54"/>
      <c r="H1450" s="3"/>
      <c r="I1450" s="2"/>
      <c r="J1450" s="2"/>
      <c r="K1450" s="3"/>
      <c r="L1450" s="3"/>
      <c r="M1450" s="3"/>
      <c r="N1450" s="3"/>
      <c r="O1450" s="3"/>
      <c r="P1450" s="59"/>
      <c r="Q1450" s="3"/>
      <c r="R1450" s="3"/>
      <c r="S1450" s="3"/>
      <c r="T1450" s="3"/>
      <c r="U1450" s="3"/>
      <c r="V1450" s="3"/>
      <c r="W1450" s="3"/>
      <c r="X1450" s="3"/>
      <c r="Y1450" s="3"/>
      <c r="Z1450" s="53"/>
      <c r="AA1450" s="3"/>
      <c r="AB1450" s="59"/>
      <c r="AC1450" s="3"/>
      <c r="AD1450" s="53"/>
      <c r="AE1450" s="59"/>
    </row>
    <row r="1451" spans="1:31" customFormat="1" ht="15" x14ac:dyDescent="0.35">
      <c r="A1451" s="50"/>
      <c r="B1451" s="63"/>
      <c r="C1451" s="39"/>
      <c r="D1451" s="6"/>
      <c r="E1451" s="153"/>
      <c r="F1451" s="10"/>
      <c r="G1451" s="53"/>
      <c r="H1451" s="3"/>
      <c r="I1451" s="3"/>
      <c r="J1451" s="3"/>
      <c r="K1451" s="3"/>
      <c r="L1451" s="3"/>
      <c r="M1451" s="3"/>
      <c r="N1451" s="3"/>
      <c r="O1451" s="3"/>
      <c r="P1451" s="59"/>
      <c r="Q1451" s="21"/>
      <c r="R1451" s="21"/>
      <c r="S1451" s="3"/>
      <c r="T1451" s="3"/>
      <c r="U1451" s="3"/>
      <c r="V1451" s="3"/>
      <c r="W1451" s="3"/>
      <c r="X1451" s="3"/>
      <c r="Y1451" s="3"/>
      <c r="Z1451" s="53"/>
      <c r="AA1451" s="3"/>
      <c r="AB1451" s="59"/>
      <c r="AC1451" s="3"/>
      <c r="AD1451" s="53"/>
      <c r="AE1451" s="59"/>
    </row>
    <row r="1452" spans="1:31" customFormat="1" ht="15" x14ac:dyDescent="0.35">
      <c r="A1452" s="50"/>
      <c r="B1452" s="63"/>
      <c r="C1452" s="39"/>
      <c r="D1452" s="6"/>
      <c r="E1452" s="153"/>
      <c r="F1452" s="10"/>
      <c r="G1452" s="53"/>
      <c r="H1452" s="3"/>
      <c r="I1452" s="3"/>
      <c r="J1452" s="3"/>
      <c r="K1452" s="3"/>
      <c r="L1452" s="3"/>
      <c r="M1452" s="3"/>
      <c r="N1452" s="3"/>
      <c r="O1452" s="3"/>
      <c r="P1452" s="59"/>
      <c r="Q1452" s="21"/>
      <c r="R1452" s="21"/>
      <c r="S1452" s="3"/>
      <c r="T1452" s="3"/>
      <c r="U1452" s="3"/>
      <c r="V1452" s="3"/>
      <c r="W1452" s="3"/>
      <c r="X1452" s="3"/>
      <c r="Y1452" s="3"/>
      <c r="Z1452" s="53"/>
      <c r="AA1452" s="3"/>
      <c r="AB1452" s="59"/>
      <c r="AC1452" s="3"/>
      <c r="AD1452" s="53"/>
      <c r="AE1452" s="59"/>
    </row>
    <row r="1453" spans="1:31" customFormat="1" ht="15" x14ac:dyDescent="0.35">
      <c r="A1453" s="50"/>
      <c r="B1453" s="63"/>
      <c r="C1453" s="39"/>
      <c r="D1453" s="6"/>
      <c r="E1453" s="153"/>
      <c r="F1453" s="10"/>
      <c r="G1453" s="54"/>
      <c r="H1453" s="3"/>
      <c r="I1453" s="2"/>
      <c r="J1453" s="2"/>
      <c r="K1453" s="3"/>
      <c r="L1453" s="3"/>
      <c r="M1453" s="3"/>
      <c r="N1453" s="3"/>
      <c r="O1453" s="3"/>
      <c r="P1453" s="59"/>
      <c r="Q1453" s="3"/>
      <c r="R1453" s="3"/>
      <c r="S1453" s="3"/>
      <c r="T1453" s="3"/>
      <c r="U1453" s="3"/>
      <c r="V1453" s="3"/>
      <c r="W1453" s="3"/>
      <c r="X1453" s="3"/>
      <c r="Y1453" s="3"/>
      <c r="Z1453" s="53"/>
      <c r="AA1453" s="3"/>
      <c r="AB1453" s="59"/>
      <c r="AC1453" s="3"/>
      <c r="AD1453" s="53"/>
      <c r="AE1453" s="59"/>
    </row>
    <row r="1454" spans="1:31" customFormat="1" ht="15" x14ac:dyDescent="0.35">
      <c r="A1454" s="50"/>
      <c r="B1454" s="63"/>
      <c r="C1454" s="39"/>
      <c r="D1454" s="6"/>
      <c r="E1454" s="153"/>
      <c r="F1454" s="10"/>
      <c r="G1454" s="54"/>
      <c r="H1454" s="3"/>
      <c r="I1454" s="2"/>
      <c r="J1454" s="2"/>
      <c r="K1454" s="3"/>
      <c r="L1454" s="3"/>
      <c r="M1454" s="3"/>
      <c r="N1454" s="3"/>
      <c r="O1454" s="3"/>
      <c r="P1454" s="59"/>
      <c r="Q1454" s="3"/>
      <c r="R1454" s="3"/>
      <c r="S1454" s="3"/>
      <c r="T1454" s="3"/>
      <c r="U1454" s="3"/>
      <c r="V1454" s="3"/>
      <c r="W1454" s="3"/>
      <c r="X1454" s="3"/>
      <c r="Y1454" s="3"/>
      <c r="Z1454" s="53"/>
      <c r="AA1454" s="3"/>
      <c r="AB1454" s="59"/>
      <c r="AC1454" s="3"/>
      <c r="AD1454" s="53"/>
      <c r="AE1454" s="59"/>
    </row>
    <row r="1455" spans="1:31" customFormat="1" ht="15" x14ac:dyDescent="0.35">
      <c r="A1455" s="50"/>
      <c r="B1455" s="63"/>
      <c r="C1455" s="39"/>
      <c r="D1455" s="6"/>
      <c r="E1455" s="153"/>
      <c r="F1455" s="10"/>
      <c r="G1455" s="54"/>
      <c r="H1455" s="3"/>
      <c r="I1455" s="2"/>
      <c r="J1455" s="2"/>
      <c r="K1455" s="3"/>
      <c r="L1455" s="3"/>
      <c r="M1455" s="3"/>
      <c r="N1455" s="3"/>
      <c r="O1455" s="3"/>
      <c r="P1455" s="59"/>
      <c r="Q1455" s="3"/>
      <c r="R1455" s="3"/>
      <c r="S1455" s="3"/>
      <c r="T1455" s="3"/>
      <c r="U1455" s="3"/>
      <c r="V1455" s="3"/>
      <c r="W1455" s="3"/>
      <c r="X1455" s="3"/>
      <c r="Y1455" s="3"/>
      <c r="Z1455" s="53"/>
      <c r="AA1455" s="3"/>
      <c r="AB1455" s="59"/>
      <c r="AC1455" s="3"/>
      <c r="AD1455" s="53"/>
      <c r="AE1455" s="59"/>
    </row>
    <row r="1456" spans="1:31" customFormat="1" ht="15" x14ac:dyDescent="0.35">
      <c r="A1456" s="50"/>
      <c r="B1456" s="63"/>
      <c r="C1456" s="39"/>
      <c r="D1456" s="6"/>
      <c r="E1456" s="153"/>
      <c r="F1456" s="10"/>
      <c r="G1456" s="53"/>
      <c r="H1456" s="3"/>
      <c r="I1456" s="3"/>
      <c r="J1456" s="3"/>
      <c r="K1456" s="3"/>
      <c r="L1456" s="3"/>
      <c r="M1456" s="3"/>
      <c r="N1456" s="3"/>
      <c r="O1456" s="3"/>
      <c r="P1456" s="59"/>
      <c r="Q1456" s="21"/>
      <c r="R1456" s="21"/>
      <c r="S1456" s="3"/>
      <c r="T1456" s="3"/>
      <c r="U1456" s="3"/>
      <c r="V1456" s="3"/>
      <c r="W1456" s="3"/>
      <c r="X1456" s="3"/>
      <c r="Y1456" s="3"/>
      <c r="Z1456" s="53"/>
      <c r="AA1456" s="3"/>
      <c r="AB1456" s="59"/>
      <c r="AC1456" s="3"/>
      <c r="AD1456" s="53"/>
      <c r="AE1456" s="59"/>
    </row>
    <row r="1457" spans="1:31" customFormat="1" ht="15" x14ac:dyDescent="0.35">
      <c r="A1457" s="19"/>
      <c r="B1457" s="49"/>
      <c r="C1457" s="14"/>
      <c r="D1457" s="1"/>
      <c r="E1457" s="153"/>
      <c r="F1457" s="10"/>
      <c r="G1457" s="20"/>
      <c r="H1457" s="21"/>
      <c r="I1457" s="21"/>
      <c r="J1457" s="21"/>
      <c r="K1457" s="21"/>
      <c r="L1457" s="21"/>
      <c r="M1457" s="21"/>
      <c r="N1457" s="22"/>
      <c r="O1457" s="21"/>
      <c r="P1457" s="24"/>
      <c r="Q1457" s="21"/>
      <c r="R1457" s="21"/>
      <c r="S1457" s="21"/>
      <c r="T1457" s="21"/>
      <c r="U1457" s="21"/>
      <c r="V1457" s="22"/>
      <c r="W1457" s="21"/>
      <c r="X1457" s="22"/>
      <c r="Y1457" s="21"/>
      <c r="Z1457" s="20"/>
      <c r="AA1457" s="21"/>
      <c r="AB1457" s="25"/>
      <c r="AC1457" s="26"/>
      <c r="AD1457" s="27"/>
      <c r="AE1457" s="28"/>
    </row>
    <row r="1458" spans="1:31" customFormat="1" ht="15" x14ac:dyDescent="0.35">
      <c r="A1458" s="50"/>
      <c r="B1458" s="63"/>
      <c r="C1458" s="39"/>
      <c r="D1458" s="6"/>
      <c r="E1458" s="153"/>
      <c r="F1458" s="10"/>
      <c r="G1458" s="54"/>
      <c r="H1458" s="3"/>
      <c r="I1458" s="2"/>
      <c r="J1458" s="2"/>
      <c r="K1458" s="3"/>
      <c r="L1458" s="3"/>
      <c r="M1458" s="3"/>
      <c r="N1458" s="3"/>
      <c r="O1458" s="3"/>
      <c r="P1458" s="59"/>
      <c r="Q1458" s="3"/>
      <c r="R1458" s="3"/>
      <c r="S1458" s="3"/>
      <c r="T1458" s="3"/>
      <c r="U1458" s="3"/>
      <c r="V1458" s="3"/>
      <c r="W1458" s="3"/>
      <c r="X1458" s="3"/>
      <c r="Y1458" s="3"/>
      <c r="Z1458" s="53"/>
      <c r="AA1458" s="3"/>
      <c r="AB1458" s="59"/>
      <c r="AC1458" s="3"/>
      <c r="AD1458" s="53"/>
      <c r="AE1458" s="59"/>
    </row>
    <row r="1459" spans="1:31" customFormat="1" ht="15" x14ac:dyDescent="0.35">
      <c r="A1459" s="50"/>
      <c r="B1459" s="63"/>
      <c r="C1459" s="39"/>
      <c r="D1459" s="6"/>
      <c r="E1459" s="153"/>
      <c r="F1459" s="10"/>
      <c r="G1459" s="53"/>
      <c r="H1459" s="3"/>
      <c r="I1459" s="3"/>
      <c r="J1459" s="3"/>
      <c r="K1459" s="3"/>
      <c r="L1459" s="3"/>
      <c r="M1459" s="3"/>
      <c r="N1459" s="3"/>
      <c r="O1459" s="3"/>
      <c r="P1459" s="59"/>
      <c r="Q1459" s="21"/>
      <c r="R1459" s="21"/>
      <c r="S1459" s="3"/>
      <c r="T1459" s="3"/>
      <c r="U1459" s="3"/>
      <c r="V1459" s="3"/>
      <c r="W1459" s="3"/>
      <c r="X1459" s="3"/>
      <c r="Y1459" s="3"/>
      <c r="Z1459" s="53"/>
      <c r="AA1459" s="3"/>
      <c r="AB1459" s="59"/>
      <c r="AC1459" s="3"/>
      <c r="AD1459" s="53"/>
      <c r="AE1459" s="59"/>
    </row>
    <row r="1460" spans="1:31" customFormat="1" ht="15" x14ac:dyDescent="0.35">
      <c r="A1460" s="50"/>
      <c r="B1460" s="63"/>
      <c r="C1460" s="39"/>
      <c r="D1460" s="6"/>
      <c r="E1460" s="153"/>
      <c r="F1460" s="10"/>
      <c r="G1460" s="54"/>
      <c r="H1460" s="3"/>
      <c r="I1460" s="2"/>
      <c r="J1460" s="2"/>
      <c r="K1460" s="3"/>
      <c r="L1460" s="3"/>
      <c r="M1460" s="3"/>
      <c r="N1460" s="3"/>
      <c r="O1460" s="3"/>
      <c r="P1460" s="59"/>
      <c r="Q1460" s="3"/>
      <c r="R1460" s="3"/>
      <c r="S1460" s="3"/>
      <c r="T1460" s="3"/>
      <c r="U1460" s="3"/>
      <c r="V1460" s="3"/>
      <c r="W1460" s="3"/>
      <c r="X1460" s="3"/>
      <c r="Y1460" s="3"/>
      <c r="Z1460" s="53"/>
      <c r="AA1460" s="3"/>
      <c r="AB1460" s="59"/>
      <c r="AC1460" s="3"/>
      <c r="AD1460" s="53"/>
      <c r="AE1460" s="59"/>
    </row>
    <row r="1461" spans="1:31" customFormat="1" ht="15" x14ac:dyDescent="0.35">
      <c r="A1461" s="50"/>
      <c r="B1461" s="63"/>
      <c r="C1461" s="39"/>
      <c r="D1461" s="6"/>
      <c r="E1461" s="153"/>
      <c r="F1461" s="10"/>
      <c r="G1461" s="54"/>
      <c r="H1461" s="3"/>
      <c r="I1461" s="2"/>
      <c r="J1461" s="2"/>
      <c r="K1461" s="3"/>
      <c r="L1461" s="3"/>
      <c r="M1461" s="3"/>
      <c r="N1461" s="3"/>
      <c r="O1461" s="3"/>
      <c r="P1461" s="59"/>
      <c r="Q1461" s="3"/>
      <c r="R1461" s="3"/>
      <c r="S1461" s="3"/>
      <c r="T1461" s="3"/>
      <c r="U1461" s="3"/>
      <c r="V1461" s="3"/>
      <c r="W1461" s="3"/>
      <c r="X1461" s="3"/>
      <c r="Y1461" s="3"/>
      <c r="Z1461" s="53"/>
      <c r="AA1461" s="3"/>
      <c r="AB1461" s="59"/>
      <c r="AC1461" s="3"/>
      <c r="AD1461" s="53"/>
      <c r="AE1461" s="59"/>
    </row>
    <row r="1462" spans="1:31" customFormat="1" ht="15" x14ac:dyDescent="0.35">
      <c r="A1462" s="50"/>
      <c r="B1462" s="63"/>
      <c r="C1462" s="39"/>
      <c r="D1462" s="6"/>
      <c r="E1462" s="153"/>
      <c r="F1462" s="10"/>
      <c r="G1462" s="53"/>
      <c r="H1462" s="3"/>
      <c r="I1462" s="3"/>
      <c r="J1462" s="3"/>
      <c r="K1462" s="3"/>
      <c r="L1462" s="3"/>
      <c r="M1462" s="3"/>
      <c r="N1462" s="3"/>
      <c r="O1462" s="3"/>
      <c r="P1462" s="59"/>
      <c r="Q1462" s="21"/>
      <c r="R1462" s="21"/>
      <c r="S1462" s="3"/>
      <c r="T1462" s="3"/>
      <c r="U1462" s="3"/>
      <c r="V1462" s="3"/>
      <c r="W1462" s="3"/>
      <c r="X1462" s="3"/>
      <c r="Y1462" s="3"/>
      <c r="Z1462" s="53"/>
      <c r="AA1462" s="3"/>
      <c r="AB1462" s="59"/>
      <c r="AC1462" s="3"/>
      <c r="AD1462" s="53"/>
      <c r="AE1462" s="59"/>
    </row>
    <row r="1463" spans="1:31" customFormat="1" ht="15" x14ac:dyDescent="0.35">
      <c r="A1463" s="19"/>
      <c r="B1463" s="49"/>
      <c r="C1463" s="39"/>
      <c r="D1463" s="1"/>
      <c r="E1463" s="153"/>
      <c r="F1463" s="10"/>
      <c r="G1463" s="20"/>
      <c r="H1463" s="21"/>
      <c r="I1463" s="21"/>
      <c r="J1463" s="21"/>
      <c r="K1463" s="21"/>
      <c r="L1463" s="21"/>
      <c r="M1463" s="21"/>
      <c r="N1463" s="22"/>
      <c r="O1463" s="21"/>
      <c r="P1463" s="24"/>
      <c r="Q1463" s="21"/>
      <c r="R1463" s="21"/>
      <c r="S1463" s="21"/>
      <c r="T1463" s="21"/>
      <c r="U1463" s="21"/>
      <c r="V1463" s="22"/>
      <c r="W1463" s="21"/>
      <c r="X1463" s="22"/>
      <c r="Y1463" s="21"/>
      <c r="Z1463" s="20"/>
      <c r="AA1463" s="21"/>
      <c r="AB1463" s="25"/>
      <c r="AC1463" s="26"/>
      <c r="AD1463" s="27"/>
      <c r="AE1463" s="28"/>
    </row>
    <row r="1464" spans="1:31" customFormat="1" ht="15" x14ac:dyDescent="0.35">
      <c r="A1464" s="19"/>
      <c r="B1464" s="49"/>
      <c r="C1464" s="14"/>
      <c r="D1464" s="1"/>
      <c r="E1464" s="153"/>
      <c r="F1464" s="10"/>
      <c r="G1464" s="20"/>
      <c r="H1464" s="21"/>
      <c r="I1464" s="21"/>
      <c r="J1464" s="21"/>
      <c r="K1464" s="21"/>
      <c r="L1464" s="21"/>
      <c r="M1464" s="21"/>
      <c r="N1464" s="22"/>
      <c r="O1464" s="21"/>
      <c r="P1464" s="24"/>
      <c r="Q1464" s="21"/>
      <c r="R1464" s="21"/>
      <c r="S1464" s="21"/>
      <c r="T1464" s="21"/>
      <c r="U1464" s="21"/>
      <c r="V1464" s="22"/>
      <c r="W1464" s="21"/>
      <c r="X1464" s="22"/>
      <c r="Y1464" s="21"/>
      <c r="Z1464" s="20"/>
      <c r="AA1464" s="21"/>
      <c r="AB1464" s="25"/>
      <c r="AC1464" s="26"/>
      <c r="AD1464" s="27"/>
      <c r="AE1464" s="28"/>
    </row>
    <row r="1465" spans="1:31" customFormat="1" ht="15" x14ac:dyDescent="0.35">
      <c r="A1465" s="50"/>
      <c r="B1465" s="63"/>
      <c r="C1465" s="39"/>
      <c r="D1465" s="6"/>
      <c r="E1465" s="153"/>
      <c r="F1465" s="10"/>
      <c r="G1465" s="53"/>
      <c r="H1465" s="3"/>
      <c r="I1465" s="3"/>
      <c r="J1465" s="3"/>
      <c r="K1465" s="3"/>
      <c r="L1465" s="3"/>
      <c r="M1465" s="3"/>
      <c r="N1465" s="3"/>
      <c r="O1465" s="3"/>
      <c r="P1465" s="59"/>
      <c r="Q1465" s="3"/>
      <c r="R1465" s="3"/>
      <c r="S1465" s="3"/>
      <c r="T1465" s="3"/>
      <c r="U1465" s="3"/>
      <c r="V1465" s="3"/>
      <c r="W1465" s="3"/>
      <c r="X1465" s="3"/>
      <c r="Y1465" s="3"/>
      <c r="Z1465" s="53"/>
      <c r="AA1465" s="3"/>
      <c r="AB1465" s="59"/>
      <c r="AC1465" s="3"/>
      <c r="AD1465" s="53"/>
      <c r="AE1465" s="59"/>
    </row>
    <row r="1466" spans="1:31" customFormat="1" ht="15" x14ac:dyDescent="0.35">
      <c r="A1466" s="19"/>
      <c r="B1466" s="49"/>
      <c r="C1466" s="14"/>
      <c r="D1466" s="1"/>
      <c r="E1466" s="153"/>
      <c r="F1466" s="10"/>
      <c r="G1466" s="20"/>
      <c r="H1466" s="21"/>
      <c r="I1466" s="21"/>
      <c r="J1466" s="21"/>
      <c r="K1466" s="21"/>
      <c r="L1466" s="21"/>
      <c r="M1466" s="21"/>
      <c r="N1466" s="22"/>
      <c r="O1466" s="21"/>
      <c r="P1466" s="24"/>
      <c r="Q1466" s="21"/>
      <c r="R1466" s="21"/>
      <c r="S1466" s="21"/>
      <c r="T1466" s="21"/>
      <c r="U1466" s="21"/>
      <c r="V1466" s="22"/>
      <c r="W1466" s="21"/>
      <c r="X1466" s="22"/>
      <c r="Y1466" s="21"/>
      <c r="Z1466" s="20"/>
      <c r="AA1466" s="21"/>
      <c r="AB1466" s="25"/>
      <c r="AC1466" s="26"/>
      <c r="AD1466" s="27"/>
      <c r="AE1466" s="28"/>
    </row>
    <row r="1467" spans="1:31" customFormat="1" ht="15" x14ac:dyDescent="0.35">
      <c r="A1467" s="50"/>
      <c r="B1467" s="63"/>
      <c r="C1467" s="39"/>
      <c r="D1467" s="6"/>
      <c r="E1467" s="153"/>
      <c r="F1467" s="10"/>
      <c r="G1467" s="54"/>
      <c r="H1467" s="3"/>
      <c r="I1467" s="2"/>
      <c r="J1467" s="2"/>
      <c r="K1467" s="3"/>
      <c r="L1467" s="3"/>
      <c r="M1467" s="3"/>
      <c r="N1467" s="3"/>
      <c r="O1467" s="3"/>
      <c r="P1467" s="59"/>
      <c r="Q1467" s="3"/>
      <c r="R1467" s="3"/>
      <c r="S1467" s="3"/>
      <c r="T1467" s="3"/>
      <c r="U1467" s="3"/>
      <c r="V1467" s="3"/>
      <c r="W1467" s="3"/>
      <c r="X1467" s="3"/>
      <c r="Y1467" s="3"/>
      <c r="Z1467" s="53"/>
      <c r="AA1467" s="3"/>
      <c r="AB1467" s="59"/>
      <c r="AC1467" s="3"/>
      <c r="AD1467" s="53"/>
      <c r="AE1467" s="59"/>
    </row>
    <row r="1468" spans="1:31" customFormat="1" ht="15" x14ac:dyDescent="0.35">
      <c r="A1468" s="50"/>
      <c r="B1468" s="63"/>
      <c r="C1468" s="39"/>
      <c r="D1468" s="6"/>
      <c r="E1468" s="153"/>
      <c r="F1468" s="10"/>
      <c r="G1468" s="54"/>
      <c r="H1468" s="3"/>
      <c r="I1468" s="2"/>
      <c r="J1468" s="2"/>
      <c r="K1468" s="3"/>
      <c r="L1468" s="3"/>
      <c r="M1468" s="3"/>
      <c r="N1468" s="3"/>
      <c r="O1468" s="3"/>
      <c r="P1468" s="59"/>
      <c r="Q1468" s="3"/>
      <c r="R1468" s="3"/>
      <c r="S1468" s="3"/>
      <c r="T1468" s="3"/>
      <c r="U1468" s="3"/>
      <c r="V1468" s="3"/>
      <c r="W1468" s="3"/>
      <c r="X1468" s="3"/>
      <c r="Y1468" s="3"/>
      <c r="Z1468" s="53"/>
      <c r="AA1468" s="3"/>
      <c r="AB1468" s="59"/>
      <c r="AC1468" s="3"/>
      <c r="AD1468" s="53"/>
      <c r="AE1468" s="59"/>
    </row>
    <row r="1469" spans="1:31" customFormat="1" ht="15" x14ac:dyDescent="0.35">
      <c r="A1469" s="50"/>
      <c r="B1469" s="63"/>
      <c r="C1469" s="39"/>
      <c r="D1469" s="6"/>
      <c r="E1469" s="153"/>
      <c r="F1469" s="10"/>
      <c r="G1469" s="53"/>
      <c r="H1469" s="3"/>
      <c r="I1469" s="3"/>
      <c r="J1469" s="3"/>
      <c r="K1469" s="3"/>
      <c r="L1469" s="3"/>
      <c r="M1469" s="3"/>
      <c r="N1469" s="3"/>
      <c r="O1469" s="3"/>
      <c r="P1469" s="59"/>
      <c r="Q1469" s="21"/>
      <c r="R1469" s="21"/>
      <c r="S1469" s="3"/>
      <c r="T1469" s="3"/>
      <c r="U1469" s="3"/>
      <c r="V1469" s="3"/>
      <c r="W1469" s="3"/>
      <c r="X1469" s="3"/>
      <c r="Y1469" s="3"/>
      <c r="Z1469" s="53"/>
      <c r="AA1469" s="3"/>
      <c r="AB1469" s="59"/>
      <c r="AC1469" s="3"/>
      <c r="AD1469" s="53"/>
      <c r="AE1469" s="59"/>
    </row>
    <row r="1470" spans="1:31" customFormat="1" ht="15" x14ac:dyDescent="0.35">
      <c r="A1470" s="50"/>
      <c r="B1470" s="63"/>
      <c r="C1470" s="39"/>
      <c r="D1470" s="6"/>
      <c r="E1470" s="153"/>
      <c r="F1470" s="10"/>
      <c r="G1470" s="54"/>
      <c r="H1470" s="3"/>
      <c r="I1470" s="2"/>
      <c r="J1470" s="2"/>
      <c r="K1470" s="3"/>
      <c r="L1470" s="3"/>
      <c r="M1470" s="3"/>
      <c r="N1470" s="3"/>
      <c r="O1470" s="3"/>
      <c r="P1470" s="59"/>
      <c r="Q1470" s="21"/>
      <c r="R1470" s="21"/>
      <c r="S1470" s="3"/>
      <c r="T1470" s="3"/>
      <c r="U1470" s="3"/>
      <c r="V1470" s="12"/>
      <c r="W1470" s="3"/>
      <c r="X1470" s="3"/>
      <c r="Y1470" s="3"/>
      <c r="Z1470" s="53"/>
      <c r="AA1470" s="3"/>
      <c r="AB1470" s="59"/>
      <c r="AC1470" s="3"/>
      <c r="AD1470" s="53"/>
      <c r="AE1470" s="59"/>
    </row>
    <row r="1471" spans="1:31" customFormat="1" ht="15" x14ac:dyDescent="0.35">
      <c r="A1471" s="50"/>
      <c r="B1471" s="63"/>
      <c r="C1471" s="39"/>
      <c r="D1471" s="6"/>
      <c r="E1471" s="153"/>
      <c r="F1471" s="10"/>
      <c r="G1471" s="53"/>
      <c r="H1471" s="3"/>
      <c r="I1471" s="3"/>
      <c r="J1471" s="3"/>
      <c r="K1471" s="3"/>
      <c r="L1471" s="3"/>
      <c r="M1471" s="3"/>
      <c r="N1471" s="3"/>
      <c r="O1471" s="3"/>
      <c r="P1471" s="59"/>
      <c r="Q1471" s="21"/>
      <c r="R1471" s="21"/>
      <c r="S1471" s="3"/>
      <c r="T1471" s="3"/>
      <c r="U1471" s="3"/>
      <c r="V1471" s="3"/>
      <c r="W1471" s="3"/>
      <c r="X1471" s="3"/>
      <c r="Y1471" s="3"/>
      <c r="Z1471" s="53"/>
      <c r="AA1471" s="3"/>
      <c r="AB1471" s="59"/>
      <c r="AC1471" s="3"/>
      <c r="AD1471" s="53"/>
      <c r="AE1471" s="59"/>
    </row>
    <row r="1472" spans="1:31" customFormat="1" ht="15" x14ac:dyDescent="0.35">
      <c r="A1472" s="19"/>
      <c r="B1472" s="49"/>
      <c r="C1472" s="14"/>
      <c r="D1472" s="1"/>
      <c r="E1472" s="153"/>
      <c r="F1472" s="10"/>
      <c r="G1472" s="20"/>
      <c r="H1472" s="21"/>
      <c r="I1472" s="21"/>
      <c r="J1472" s="21"/>
      <c r="K1472" s="21"/>
      <c r="L1472" s="21"/>
      <c r="M1472" s="21"/>
      <c r="N1472" s="22"/>
      <c r="O1472" s="21"/>
      <c r="P1472" s="24"/>
      <c r="Q1472" s="21"/>
      <c r="R1472" s="21"/>
      <c r="S1472" s="21"/>
      <c r="T1472" s="21"/>
      <c r="U1472" s="21"/>
      <c r="V1472" s="22"/>
      <c r="W1472" s="21"/>
      <c r="X1472" s="22"/>
      <c r="Y1472" s="21"/>
      <c r="Z1472" s="20"/>
      <c r="AA1472" s="21"/>
      <c r="AB1472" s="25"/>
      <c r="AC1472" s="26"/>
      <c r="AD1472" s="27"/>
      <c r="AE1472" s="28"/>
    </row>
    <row r="1473" spans="1:31" customFormat="1" ht="15" x14ac:dyDescent="0.35">
      <c r="A1473" s="50"/>
      <c r="B1473" s="63"/>
      <c r="C1473" s="39"/>
      <c r="D1473" s="6"/>
      <c r="E1473" s="153"/>
      <c r="F1473" s="10"/>
      <c r="G1473" s="53"/>
      <c r="H1473" s="3"/>
      <c r="I1473" s="3"/>
      <c r="J1473" s="3"/>
      <c r="K1473" s="3"/>
      <c r="L1473" s="3"/>
      <c r="M1473" s="3"/>
      <c r="N1473" s="3"/>
      <c r="O1473" s="3"/>
      <c r="P1473" s="59"/>
      <c r="Q1473" s="21"/>
      <c r="R1473" s="21"/>
      <c r="S1473" s="3"/>
      <c r="T1473" s="3"/>
      <c r="U1473" s="3"/>
      <c r="V1473" s="3"/>
      <c r="W1473" s="3"/>
      <c r="X1473" s="3"/>
      <c r="Y1473" s="3"/>
      <c r="Z1473" s="53"/>
      <c r="AA1473" s="3"/>
      <c r="AB1473" s="59"/>
      <c r="AC1473" s="3"/>
      <c r="AD1473" s="53"/>
      <c r="AE1473" s="59"/>
    </row>
    <row r="1474" spans="1:31" customFormat="1" ht="15" x14ac:dyDescent="0.35">
      <c r="A1474" s="50"/>
      <c r="B1474" s="63"/>
      <c r="C1474" s="39"/>
      <c r="D1474" s="6"/>
      <c r="E1474" s="153"/>
      <c r="F1474" s="10"/>
      <c r="G1474" s="54"/>
      <c r="H1474" s="3"/>
      <c r="I1474" s="2"/>
      <c r="J1474" s="2"/>
      <c r="K1474" s="3"/>
      <c r="L1474" s="3"/>
      <c r="M1474" s="3"/>
      <c r="N1474" s="3"/>
      <c r="O1474" s="3"/>
      <c r="P1474" s="59"/>
      <c r="Q1474" s="3"/>
      <c r="R1474" s="3"/>
      <c r="S1474" s="3"/>
      <c r="T1474" s="3"/>
      <c r="U1474" s="3"/>
      <c r="V1474" s="3"/>
      <c r="W1474" s="3"/>
      <c r="X1474" s="3"/>
      <c r="Y1474" s="3"/>
      <c r="Z1474" s="53"/>
      <c r="AA1474" s="3"/>
      <c r="AB1474" s="59"/>
      <c r="AC1474" s="3"/>
      <c r="AD1474" s="53"/>
      <c r="AE1474" s="59"/>
    </row>
    <row r="1475" spans="1:31" customFormat="1" ht="15" x14ac:dyDescent="0.35">
      <c r="A1475" s="50"/>
      <c r="B1475" s="63"/>
      <c r="C1475" s="39"/>
      <c r="D1475" s="6"/>
      <c r="E1475" s="153"/>
      <c r="F1475" s="10"/>
      <c r="G1475" s="54"/>
      <c r="H1475" s="3"/>
      <c r="I1475" s="2"/>
      <c r="J1475" s="2"/>
      <c r="K1475" s="3"/>
      <c r="L1475" s="3"/>
      <c r="M1475" s="3"/>
      <c r="N1475" s="3"/>
      <c r="O1475" s="3"/>
      <c r="P1475" s="59"/>
      <c r="Q1475" s="3"/>
      <c r="R1475" s="3"/>
      <c r="S1475" s="3"/>
      <c r="T1475" s="3"/>
      <c r="U1475" s="3"/>
      <c r="V1475" s="3"/>
      <c r="W1475" s="3"/>
      <c r="X1475" s="3"/>
      <c r="Y1475" s="3"/>
      <c r="Z1475" s="53"/>
      <c r="AA1475" s="3"/>
      <c r="AB1475" s="59"/>
      <c r="AC1475" s="3"/>
      <c r="AD1475" s="53"/>
      <c r="AE1475" s="59"/>
    </row>
    <row r="1476" spans="1:31" customFormat="1" ht="15" x14ac:dyDescent="0.35">
      <c r="A1476" s="50"/>
      <c r="B1476" s="63"/>
      <c r="C1476" s="39"/>
      <c r="D1476" s="6"/>
      <c r="E1476" s="153"/>
      <c r="F1476" s="10"/>
      <c r="G1476" s="54"/>
      <c r="H1476" s="3"/>
      <c r="I1476" s="2"/>
      <c r="J1476" s="2"/>
      <c r="K1476" s="3"/>
      <c r="L1476" s="3"/>
      <c r="M1476" s="3"/>
      <c r="N1476" s="3"/>
      <c r="O1476" s="3"/>
      <c r="P1476" s="59"/>
      <c r="Q1476" s="3"/>
      <c r="R1476" s="3"/>
      <c r="S1476" s="3"/>
      <c r="T1476" s="3"/>
      <c r="U1476" s="3"/>
      <c r="V1476" s="3"/>
      <c r="W1476" s="3"/>
      <c r="X1476" s="3"/>
      <c r="Y1476" s="3"/>
      <c r="Z1476" s="53"/>
      <c r="AA1476" s="3"/>
      <c r="AB1476" s="59"/>
      <c r="AC1476" s="3"/>
      <c r="AD1476" s="53"/>
      <c r="AE1476" s="59"/>
    </row>
    <row r="1477" spans="1:31" customFormat="1" ht="15" x14ac:dyDescent="0.35">
      <c r="A1477" s="50"/>
      <c r="B1477" s="63"/>
      <c r="C1477" s="39"/>
      <c r="D1477" s="6"/>
      <c r="E1477" s="153"/>
      <c r="F1477" s="10"/>
      <c r="G1477" s="53"/>
      <c r="H1477" s="3"/>
      <c r="I1477" s="3"/>
      <c r="J1477" s="3"/>
      <c r="K1477" s="3"/>
      <c r="L1477" s="3"/>
      <c r="M1477" s="3"/>
      <c r="N1477" s="3"/>
      <c r="O1477" s="3"/>
      <c r="P1477" s="59"/>
      <c r="Q1477" s="21"/>
      <c r="R1477" s="21"/>
      <c r="S1477" s="3"/>
      <c r="T1477" s="3"/>
      <c r="U1477" s="3"/>
      <c r="V1477" s="3"/>
      <c r="W1477" s="3"/>
      <c r="X1477" s="3"/>
      <c r="Y1477" s="3"/>
      <c r="Z1477" s="53"/>
      <c r="AA1477" s="3"/>
      <c r="AB1477" s="59"/>
      <c r="AC1477" s="3"/>
      <c r="AD1477" s="53"/>
      <c r="AE1477" s="59"/>
    </row>
    <row r="1478" spans="1:31" customFormat="1" ht="15" x14ac:dyDescent="0.35">
      <c r="A1478" s="50"/>
      <c r="B1478" s="63"/>
      <c r="C1478" s="39"/>
      <c r="D1478" s="6"/>
      <c r="E1478" s="153"/>
      <c r="F1478" s="10"/>
      <c r="G1478" s="54"/>
      <c r="H1478" s="3"/>
      <c r="I1478" s="2"/>
      <c r="J1478" s="2"/>
      <c r="K1478" s="3"/>
      <c r="L1478" s="3"/>
      <c r="M1478" s="3"/>
      <c r="N1478" s="3"/>
      <c r="O1478" s="3"/>
      <c r="P1478" s="59"/>
      <c r="Q1478" s="3"/>
      <c r="R1478" s="3"/>
      <c r="S1478" s="3"/>
      <c r="T1478" s="3"/>
      <c r="U1478" s="3"/>
      <c r="V1478" s="3"/>
      <c r="W1478" s="3"/>
      <c r="X1478" s="3"/>
      <c r="Y1478" s="3"/>
      <c r="Z1478" s="53"/>
      <c r="AA1478" s="3"/>
      <c r="AB1478" s="59"/>
      <c r="AC1478" s="3"/>
      <c r="AD1478" s="53"/>
      <c r="AE1478" s="59"/>
    </row>
    <row r="1479" spans="1:31" customFormat="1" ht="15" x14ac:dyDescent="0.35">
      <c r="A1479" s="50"/>
      <c r="B1479" s="63"/>
      <c r="C1479" s="39"/>
      <c r="D1479" s="6"/>
      <c r="E1479" s="153"/>
      <c r="F1479" s="10"/>
      <c r="G1479" s="53"/>
      <c r="H1479" s="3"/>
      <c r="I1479" s="3"/>
      <c r="J1479" s="3"/>
      <c r="K1479" s="3"/>
      <c r="L1479" s="3"/>
      <c r="M1479" s="3"/>
      <c r="N1479" s="3"/>
      <c r="O1479" s="3"/>
      <c r="P1479" s="59"/>
      <c r="Q1479" s="21"/>
      <c r="R1479" s="21"/>
      <c r="S1479" s="3"/>
      <c r="T1479" s="3"/>
      <c r="U1479" s="3"/>
      <c r="V1479" s="3"/>
      <c r="W1479" s="3"/>
      <c r="X1479" s="3"/>
      <c r="Y1479" s="3"/>
      <c r="Z1479" s="53"/>
      <c r="AA1479" s="3"/>
      <c r="AB1479" s="59"/>
      <c r="AC1479" s="3"/>
      <c r="AD1479" s="53"/>
      <c r="AE1479" s="59"/>
    </row>
    <row r="1480" spans="1:31" customFormat="1" ht="15" x14ac:dyDescent="0.35">
      <c r="A1480" s="50"/>
      <c r="B1480" s="63"/>
      <c r="C1480" s="39"/>
      <c r="D1480" s="6"/>
      <c r="E1480" s="153"/>
      <c r="F1480" s="10"/>
      <c r="G1480" s="54"/>
      <c r="H1480" s="3"/>
      <c r="I1480" s="2"/>
      <c r="J1480" s="2"/>
      <c r="K1480" s="3"/>
      <c r="L1480" s="3"/>
      <c r="M1480" s="3"/>
      <c r="N1480" s="3"/>
      <c r="O1480" s="3"/>
      <c r="P1480" s="59"/>
      <c r="Q1480" s="3"/>
      <c r="R1480" s="3"/>
      <c r="S1480" s="3"/>
      <c r="T1480" s="3"/>
      <c r="U1480" s="3"/>
      <c r="V1480" s="3"/>
      <c r="W1480" s="3"/>
      <c r="X1480" s="3"/>
      <c r="Y1480" s="3"/>
      <c r="Z1480" s="53"/>
      <c r="AA1480" s="3"/>
      <c r="AB1480" s="59"/>
      <c r="AC1480" s="3"/>
      <c r="AD1480" s="53"/>
      <c r="AE1480" s="59"/>
    </row>
    <row r="1481" spans="1:31" customFormat="1" ht="15" x14ac:dyDescent="0.35">
      <c r="A1481" s="50"/>
      <c r="B1481" s="63"/>
      <c r="C1481" s="39"/>
      <c r="D1481" s="6"/>
      <c r="E1481" s="153"/>
      <c r="F1481" s="10"/>
      <c r="G1481" s="54"/>
      <c r="H1481" s="3"/>
      <c r="I1481" s="2"/>
      <c r="J1481" s="2"/>
      <c r="K1481" s="3"/>
      <c r="L1481" s="3"/>
      <c r="M1481" s="3"/>
      <c r="N1481" s="3"/>
      <c r="O1481" s="3"/>
      <c r="P1481" s="59"/>
      <c r="Q1481" s="3"/>
      <c r="R1481" s="3"/>
      <c r="S1481" s="3"/>
      <c r="T1481" s="3"/>
      <c r="U1481" s="3"/>
      <c r="V1481" s="3"/>
      <c r="W1481" s="3"/>
      <c r="X1481" s="3"/>
      <c r="Y1481" s="3"/>
      <c r="Z1481" s="53"/>
      <c r="AA1481" s="3"/>
      <c r="AB1481" s="59"/>
      <c r="AC1481" s="3"/>
      <c r="AD1481" s="53"/>
      <c r="AE1481" s="59"/>
    </row>
    <row r="1482" spans="1:31" customFormat="1" ht="15" x14ac:dyDescent="0.35">
      <c r="A1482" s="50"/>
      <c r="B1482" s="63"/>
      <c r="C1482" s="39"/>
      <c r="D1482" s="6"/>
      <c r="E1482" s="153"/>
      <c r="F1482" s="10"/>
      <c r="G1482" s="53"/>
      <c r="H1482" s="3"/>
      <c r="I1482" s="3"/>
      <c r="J1482" s="3"/>
      <c r="K1482" s="3"/>
      <c r="L1482" s="3"/>
      <c r="M1482" s="3"/>
      <c r="N1482" s="3"/>
      <c r="O1482" s="3"/>
      <c r="P1482" s="59"/>
      <c r="Q1482" s="3"/>
      <c r="R1482" s="3"/>
      <c r="S1482" s="3"/>
      <c r="T1482" s="3"/>
      <c r="U1482" s="3"/>
      <c r="V1482" s="3"/>
      <c r="W1482" s="3"/>
      <c r="X1482" s="3"/>
      <c r="Y1482" s="3"/>
      <c r="Z1482" s="53"/>
      <c r="AA1482" s="3"/>
      <c r="AB1482" s="59"/>
      <c r="AC1482" s="3"/>
      <c r="AD1482" s="53"/>
      <c r="AE1482" s="59"/>
    </row>
    <row r="1483" spans="1:31" customFormat="1" ht="15" x14ac:dyDescent="0.35">
      <c r="A1483" s="19"/>
      <c r="B1483" s="49"/>
      <c r="C1483" s="14"/>
      <c r="D1483" s="1"/>
      <c r="E1483" s="153"/>
      <c r="F1483" s="10"/>
      <c r="G1483" s="20"/>
      <c r="H1483" s="21"/>
      <c r="I1483" s="21"/>
      <c r="J1483" s="21"/>
      <c r="K1483" s="21"/>
      <c r="L1483" s="21"/>
      <c r="M1483" s="21"/>
      <c r="N1483" s="22"/>
      <c r="O1483" s="21"/>
      <c r="P1483" s="24"/>
      <c r="Q1483" s="21"/>
      <c r="R1483" s="21"/>
      <c r="S1483" s="21"/>
      <c r="T1483" s="21"/>
      <c r="U1483" s="21"/>
      <c r="V1483" s="22"/>
      <c r="W1483" s="21"/>
      <c r="X1483" s="22"/>
      <c r="Y1483" s="21"/>
      <c r="Z1483" s="20"/>
      <c r="AA1483" s="21"/>
      <c r="AB1483" s="25"/>
      <c r="AC1483" s="26"/>
      <c r="AD1483" s="27"/>
      <c r="AE1483" s="28"/>
    </row>
    <row r="1484" spans="1:31" customFormat="1" ht="15" x14ac:dyDescent="0.35">
      <c r="A1484" s="50"/>
      <c r="B1484" s="63"/>
      <c r="C1484" s="39"/>
      <c r="D1484" s="6"/>
      <c r="E1484" s="153"/>
      <c r="F1484" s="10"/>
      <c r="G1484" s="53"/>
      <c r="H1484" s="3"/>
      <c r="I1484" s="3"/>
      <c r="J1484" s="3"/>
      <c r="K1484" s="3"/>
      <c r="L1484" s="3"/>
      <c r="M1484" s="3"/>
      <c r="N1484" s="3"/>
      <c r="O1484" s="3"/>
      <c r="P1484" s="59"/>
      <c r="Q1484" s="21"/>
      <c r="R1484" s="21"/>
      <c r="S1484" s="3"/>
      <c r="T1484" s="3"/>
      <c r="U1484" s="3"/>
      <c r="V1484" s="3"/>
      <c r="W1484" s="3"/>
      <c r="X1484" s="3"/>
      <c r="Y1484" s="3"/>
      <c r="Z1484" s="53"/>
      <c r="AA1484" s="3"/>
      <c r="AB1484" s="59"/>
      <c r="AC1484" s="3"/>
      <c r="AD1484" s="53"/>
      <c r="AE1484" s="59"/>
    </row>
    <row r="1485" spans="1:31" customFormat="1" ht="15" x14ac:dyDescent="0.35">
      <c r="A1485" s="50"/>
      <c r="B1485" s="63"/>
      <c r="C1485" s="39"/>
      <c r="D1485" s="6"/>
      <c r="E1485" s="153"/>
      <c r="F1485" s="10"/>
      <c r="G1485" s="54"/>
      <c r="H1485" s="3"/>
      <c r="I1485" s="2"/>
      <c r="J1485" s="2"/>
      <c r="K1485" s="3"/>
      <c r="L1485" s="3"/>
      <c r="M1485" s="3"/>
      <c r="N1485" s="3"/>
      <c r="O1485" s="3"/>
      <c r="P1485" s="59"/>
      <c r="Q1485" s="3"/>
      <c r="R1485" s="3"/>
      <c r="S1485" s="3"/>
      <c r="T1485" s="3"/>
      <c r="U1485" s="3"/>
      <c r="V1485" s="3"/>
      <c r="W1485" s="3"/>
      <c r="X1485" s="3"/>
      <c r="Y1485" s="3"/>
      <c r="Z1485" s="53"/>
      <c r="AA1485" s="3"/>
      <c r="AB1485" s="59"/>
      <c r="AC1485" s="3"/>
      <c r="AD1485" s="53"/>
      <c r="AE1485" s="59"/>
    </row>
    <row r="1486" spans="1:31" customFormat="1" ht="15" x14ac:dyDescent="0.35">
      <c r="A1486" s="50"/>
      <c r="B1486" s="63"/>
      <c r="C1486" s="39"/>
      <c r="D1486" s="6"/>
      <c r="E1486" s="153"/>
      <c r="F1486" s="10"/>
      <c r="G1486" s="53"/>
      <c r="H1486" s="3"/>
      <c r="I1486" s="3"/>
      <c r="J1486" s="3"/>
      <c r="K1486" s="3"/>
      <c r="L1486" s="3"/>
      <c r="M1486" s="3"/>
      <c r="N1486" s="3"/>
      <c r="O1486" s="3"/>
      <c r="P1486" s="59"/>
      <c r="Q1486" s="21"/>
      <c r="R1486" s="21"/>
      <c r="S1486" s="3"/>
      <c r="T1486" s="3"/>
      <c r="U1486" s="3"/>
      <c r="V1486" s="3"/>
      <c r="W1486" s="3"/>
      <c r="X1486" s="3"/>
      <c r="Y1486" s="3"/>
      <c r="Z1486" s="53"/>
      <c r="AA1486" s="3"/>
      <c r="AB1486" s="59"/>
      <c r="AC1486" s="3"/>
      <c r="AD1486" s="53"/>
      <c r="AE1486" s="59"/>
    </row>
    <row r="1487" spans="1:31" customFormat="1" ht="15" x14ac:dyDescent="0.35">
      <c r="A1487" s="50"/>
      <c r="B1487" s="63"/>
      <c r="C1487" s="39"/>
      <c r="D1487" s="6"/>
      <c r="E1487" s="153"/>
      <c r="F1487" s="10"/>
      <c r="G1487" s="53"/>
      <c r="H1487" s="3"/>
      <c r="I1487" s="3"/>
      <c r="J1487" s="3"/>
      <c r="K1487" s="3"/>
      <c r="L1487" s="3"/>
      <c r="M1487" s="3"/>
      <c r="N1487" s="3"/>
      <c r="O1487" s="3"/>
      <c r="P1487" s="59"/>
      <c r="Q1487" s="21"/>
      <c r="R1487" s="21"/>
      <c r="S1487" s="3"/>
      <c r="T1487" s="3"/>
      <c r="U1487" s="3"/>
      <c r="V1487" s="3"/>
      <c r="W1487" s="3"/>
      <c r="X1487" s="3"/>
      <c r="Y1487" s="3"/>
      <c r="Z1487" s="53"/>
      <c r="AA1487" s="3"/>
      <c r="AB1487" s="59"/>
      <c r="AC1487" s="3"/>
      <c r="AD1487" s="53"/>
      <c r="AE1487" s="59"/>
    </row>
    <row r="1488" spans="1:31" customFormat="1" ht="15" x14ac:dyDescent="0.35">
      <c r="A1488" s="50"/>
      <c r="B1488" s="63"/>
      <c r="C1488" s="39"/>
      <c r="D1488" s="6"/>
      <c r="E1488" s="153"/>
      <c r="F1488" s="10"/>
      <c r="G1488" s="53"/>
      <c r="H1488" s="3"/>
      <c r="I1488" s="3"/>
      <c r="J1488" s="3"/>
      <c r="K1488" s="3"/>
      <c r="L1488" s="3"/>
      <c r="M1488" s="3"/>
      <c r="N1488" s="3"/>
      <c r="O1488" s="3"/>
      <c r="P1488" s="59"/>
      <c r="Q1488" s="21"/>
      <c r="R1488" s="21"/>
      <c r="S1488" s="3"/>
      <c r="T1488" s="3"/>
      <c r="U1488" s="3"/>
      <c r="V1488" s="3"/>
      <c r="W1488" s="3"/>
      <c r="X1488" s="3"/>
      <c r="Y1488" s="3"/>
      <c r="Z1488" s="53"/>
      <c r="AA1488" s="3"/>
      <c r="AB1488" s="59"/>
      <c r="AC1488" s="3"/>
      <c r="AD1488" s="53"/>
      <c r="AE1488" s="59"/>
    </row>
    <row r="1489" spans="1:31" customFormat="1" ht="15" x14ac:dyDescent="0.35">
      <c r="A1489" s="19"/>
      <c r="B1489" s="49"/>
      <c r="C1489" s="14"/>
      <c r="D1489" s="1"/>
      <c r="E1489" s="153"/>
      <c r="F1489" s="10"/>
      <c r="G1489" s="20"/>
      <c r="H1489" s="21"/>
      <c r="I1489" s="21"/>
      <c r="J1489" s="21"/>
      <c r="K1489" s="21"/>
      <c r="L1489" s="21"/>
      <c r="M1489" s="21"/>
      <c r="N1489" s="22"/>
      <c r="O1489" s="21"/>
      <c r="P1489" s="24"/>
      <c r="Q1489" s="21"/>
      <c r="R1489" s="21"/>
      <c r="S1489" s="21"/>
      <c r="T1489" s="21"/>
      <c r="U1489" s="21"/>
      <c r="V1489" s="22"/>
      <c r="W1489" s="21"/>
      <c r="X1489" s="22"/>
      <c r="Y1489" s="21"/>
      <c r="Z1489" s="20"/>
      <c r="AA1489" s="21"/>
      <c r="AB1489" s="25"/>
      <c r="AC1489" s="26"/>
      <c r="AD1489" s="27"/>
      <c r="AE1489" s="28"/>
    </row>
    <row r="1490" spans="1:31" customFormat="1" ht="15" x14ac:dyDescent="0.35">
      <c r="A1490" s="50"/>
      <c r="B1490" s="63"/>
      <c r="C1490" s="39"/>
      <c r="D1490" s="6"/>
      <c r="E1490" s="153"/>
      <c r="F1490" s="10"/>
      <c r="G1490" s="54"/>
      <c r="H1490" s="3"/>
      <c r="I1490" s="2"/>
      <c r="J1490" s="2"/>
      <c r="K1490" s="3"/>
      <c r="L1490" s="3"/>
      <c r="M1490" s="3"/>
      <c r="N1490" s="3"/>
      <c r="O1490" s="3"/>
      <c r="P1490" s="59"/>
      <c r="Q1490" s="3"/>
      <c r="R1490" s="3"/>
      <c r="S1490" s="3"/>
      <c r="T1490" s="3"/>
      <c r="U1490" s="3"/>
      <c r="V1490" s="3"/>
      <c r="W1490" s="3"/>
      <c r="X1490" s="3"/>
      <c r="Y1490" s="3"/>
      <c r="Z1490" s="53"/>
      <c r="AA1490" s="3"/>
      <c r="AB1490" s="59"/>
      <c r="AC1490" s="3"/>
      <c r="AD1490" s="53"/>
      <c r="AE1490" s="59"/>
    </row>
    <row r="1491" spans="1:31" customFormat="1" ht="15" x14ac:dyDescent="0.35">
      <c r="A1491" s="50"/>
      <c r="B1491" s="63"/>
      <c r="C1491" s="39"/>
      <c r="D1491" s="6"/>
      <c r="E1491" s="153"/>
      <c r="F1491" s="10"/>
      <c r="G1491" s="53"/>
      <c r="H1491" s="3"/>
      <c r="I1491" s="3"/>
      <c r="J1491" s="3"/>
      <c r="K1491" s="3"/>
      <c r="L1491" s="3"/>
      <c r="M1491" s="3"/>
      <c r="N1491" s="3"/>
      <c r="O1491" s="3"/>
      <c r="P1491" s="59"/>
      <c r="Q1491" s="21"/>
      <c r="R1491" s="21"/>
      <c r="S1491" s="3"/>
      <c r="T1491" s="3"/>
      <c r="U1491" s="3"/>
      <c r="V1491" s="3"/>
      <c r="W1491" s="3"/>
      <c r="X1491" s="3"/>
      <c r="Y1491" s="3"/>
      <c r="Z1491" s="53"/>
      <c r="AA1491" s="3"/>
      <c r="AB1491" s="59"/>
      <c r="AC1491" s="3"/>
      <c r="AD1491" s="53"/>
      <c r="AE1491" s="59"/>
    </row>
    <row r="1492" spans="1:31" customFormat="1" ht="15" x14ac:dyDescent="0.35">
      <c r="A1492" s="50"/>
      <c r="B1492" s="63"/>
      <c r="C1492" s="39"/>
      <c r="D1492" s="6"/>
      <c r="E1492" s="153"/>
      <c r="F1492" s="10"/>
      <c r="G1492" s="54"/>
      <c r="H1492" s="3"/>
      <c r="I1492" s="2"/>
      <c r="J1492" s="2"/>
      <c r="K1492" s="3"/>
      <c r="L1492" s="3"/>
      <c r="M1492" s="3"/>
      <c r="N1492" s="3"/>
      <c r="O1492" s="3"/>
      <c r="P1492" s="59"/>
      <c r="Q1492" s="21"/>
      <c r="R1492" s="21"/>
      <c r="S1492" s="3"/>
      <c r="T1492" s="3"/>
      <c r="U1492" s="3"/>
      <c r="V1492" s="3"/>
      <c r="W1492" s="3"/>
      <c r="X1492" s="3"/>
      <c r="Y1492" s="3"/>
      <c r="Z1492" s="53"/>
      <c r="AA1492" s="3"/>
      <c r="AB1492" s="59"/>
      <c r="AC1492" s="3"/>
      <c r="AD1492" s="53"/>
      <c r="AE1492" s="59"/>
    </row>
    <row r="1493" spans="1:31" customFormat="1" ht="15" x14ac:dyDescent="0.35">
      <c r="A1493" s="50"/>
      <c r="B1493" s="63"/>
      <c r="C1493" s="39"/>
      <c r="D1493" s="6"/>
      <c r="E1493" s="153"/>
      <c r="F1493" s="10"/>
      <c r="G1493" s="53"/>
      <c r="H1493" s="3"/>
      <c r="I1493" s="3"/>
      <c r="J1493" s="3"/>
      <c r="K1493" s="3"/>
      <c r="L1493" s="3"/>
      <c r="M1493" s="3"/>
      <c r="N1493" s="3"/>
      <c r="O1493" s="3"/>
      <c r="P1493" s="59"/>
      <c r="Q1493" s="21"/>
      <c r="R1493" s="21"/>
      <c r="S1493" s="3"/>
      <c r="T1493" s="3"/>
      <c r="U1493" s="3"/>
      <c r="V1493" s="3"/>
      <c r="W1493" s="3"/>
      <c r="X1493" s="3"/>
      <c r="Y1493" s="3"/>
      <c r="Z1493" s="53"/>
      <c r="AA1493" s="3"/>
      <c r="AB1493" s="59"/>
      <c r="AC1493" s="3"/>
      <c r="AD1493" s="53"/>
      <c r="AE1493" s="59"/>
    </row>
    <row r="1494" spans="1:31" customFormat="1" ht="15" x14ac:dyDescent="0.35">
      <c r="A1494" s="50"/>
      <c r="B1494" s="63"/>
      <c r="C1494" s="39"/>
      <c r="D1494" s="6"/>
      <c r="E1494" s="153"/>
      <c r="F1494" s="10"/>
      <c r="G1494" s="54"/>
      <c r="H1494" s="3"/>
      <c r="I1494" s="2"/>
      <c r="J1494" s="2"/>
      <c r="K1494" s="3"/>
      <c r="L1494" s="3"/>
      <c r="M1494" s="3"/>
      <c r="N1494" s="3"/>
      <c r="O1494" s="3"/>
      <c r="P1494" s="59"/>
      <c r="Q1494" s="3"/>
      <c r="R1494" s="3"/>
      <c r="S1494" s="3"/>
      <c r="T1494" s="3"/>
      <c r="U1494" s="3"/>
      <c r="V1494" s="3"/>
      <c r="W1494" s="3"/>
      <c r="X1494" s="3"/>
      <c r="Y1494" s="3"/>
      <c r="Z1494" s="53"/>
      <c r="AA1494" s="3"/>
      <c r="AB1494" s="59"/>
      <c r="AC1494" s="3"/>
      <c r="AD1494" s="53"/>
      <c r="AE1494" s="59"/>
    </row>
    <row r="1495" spans="1:31" customFormat="1" ht="15" x14ac:dyDescent="0.35">
      <c r="A1495" s="50"/>
      <c r="B1495" s="63"/>
      <c r="C1495" s="39"/>
      <c r="D1495" s="6"/>
      <c r="E1495" s="153"/>
      <c r="F1495" s="10"/>
      <c r="G1495" s="53"/>
      <c r="H1495" s="3"/>
      <c r="I1495" s="3"/>
      <c r="J1495" s="3"/>
      <c r="K1495" s="3"/>
      <c r="L1495" s="3"/>
      <c r="M1495" s="3"/>
      <c r="N1495" s="3"/>
      <c r="O1495" s="3"/>
      <c r="P1495" s="59"/>
      <c r="Q1495" s="3"/>
      <c r="R1495" s="3"/>
      <c r="S1495" s="3"/>
      <c r="T1495" s="3"/>
      <c r="U1495" s="3"/>
      <c r="V1495" s="3"/>
      <c r="W1495" s="3"/>
      <c r="X1495" s="3"/>
      <c r="Y1495" s="3"/>
      <c r="Z1495" s="53"/>
      <c r="AA1495" s="3"/>
      <c r="AB1495" s="59"/>
      <c r="AC1495" s="3"/>
      <c r="AD1495" s="53"/>
      <c r="AE1495" s="59"/>
    </row>
    <row r="1496" spans="1:31" customFormat="1" ht="15" x14ac:dyDescent="0.35">
      <c r="A1496" s="50"/>
      <c r="B1496" s="63"/>
      <c r="C1496" s="39"/>
      <c r="D1496" s="6"/>
      <c r="E1496" s="153"/>
      <c r="F1496" s="10"/>
      <c r="G1496" s="53"/>
      <c r="H1496" s="3"/>
      <c r="I1496" s="3"/>
      <c r="J1496" s="3"/>
      <c r="K1496" s="3"/>
      <c r="L1496" s="3"/>
      <c r="M1496" s="3"/>
      <c r="N1496" s="3"/>
      <c r="O1496" s="3"/>
      <c r="P1496" s="59"/>
      <c r="Q1496" s="21"/>
      <c r="R1496" s="21"/>
      <c r="S1496" s="3"/>
      <c r="T1496" s="3"/>
      <c r="U1496" s="3"/>
      <c r="V1496" s="3"/>
      <c r="W1496" s="3"/>
      <c r="X1496" s="3"/>
      <c r="Y1496" s="3"/>
      <c r="Z1496" s="53"/>
      <c r="AA1496" s="3"/>
      <c r="AB1496" s="59"/>
      <c r="AC1496" s="3"/>
      <c r="AD1496" s="53"/>
      <c r="AE1496" s="59"/>
    </row>
    <row r="1497" spans="1:31" customFormat="1" ht="15" x14ac:dyDescent="0.35">
      <c r="A1497" s="50"/>
      <c r="B1497" s="63"/>
      <c r="C1497" s="39"/>
      <c r="D1497" s="6"/>
      <c r="E1497" s="153"/>
      <c r="F1497" s="10"/>
      <c r="G1497" s="54"/>
      <c r="H1497" s="3"/>
      <c r="I1497" s="2"/>
      <c r="J1497" s="2"/>
      <c r="K1497" s="3"/>
      <c r="L1497" s="3"/>
      <c r="M1497" s="3"/>
      <c r="N1497" s="3"/>
      <c r="O1497" s="3"/>
      <c r="P1497" s="59"/>
      <c r="Q1497" s="3"/>
      <c r="R1497" s="3"/>
      <c r="S1497" s="3"/>
      <c r="T1497" s="3"/>
      <c r="U1497" s="3"/>
      <c r="V1497" s="3"/>
      <c r="W1497" s="3"/>
      <c r="X1497" s="3"/>
      <c r="Y1497" s="3"/>
      <c r="Z1497" s="53"/>
      <c r="AA1497" s="3"/>
      <c r="AB1497" s="59"/>
      <c r="AC1497" s="3"/>
      <c r="AD1497" s="53"/>
      <c r="AE1497" s="59"/>
    </row>
    <row r="1498" spans="1:31" customFormat="1" ht="15" x14ac:dyDescent="0.35">
      <c r="A1498" s="19"/>
      <c r="B1498" s="49"/>
      <c r="C1498" s="14"/>
      <c r="D1498" s="1"/>
      <c r="E1498" s="153"/>
      <c r="F1498" s="10"/>
      <c r="G1498" s="20"/>
      <c r="H1498" s="21"/>
      <c r="I1498" s="21"/>
      <c r="J1498" s="21"/>
      <c r="K1498" s="21"/>
      <c r="L1498" s="21"/>
      <c r="M1498" s="21"/>
      <c r="N1498" s="22"/>
      <c r="O1498" s="21"/>
      <c r="P1498" s="24"/>
      <c r="Q1498" s="21"/>
      <c r="R1498" s="21"/>
      <c r="S1498" s="21"/>
      <c r="T1498" s="21"/>
      <c r="U1498" s="21"/>
      <c r="V1498" s="22"/>
      <c r="W1498" s="21"/>
      <c r="X1498" s="22"/>
      <c r="Y1498" s="21"/>
      <c r="Z1498" s="20"/>
      <c r="AA1498" s="21"/>
      <c r="AB1498" s="25"/>
      <c r="AC1498" s="26"/>
      <c r="AD1498" s="27"/>
      <c r="AE1498" s="28"/>
    </row>
    <row r="1499" spans="1:31" customFormat="1" ht="15" x14ac:dyDescent="0.35">
      <c r="A1499" s="19"/>
      <c r="B1499" s="49"/>
      <c r="C1499" s="14"/>
      <c r="D1499" s="1"/>
      <c r="E1499" s="153"/>
      <c r="F1499" s="10"/>
      <c r="G1499" s="20"/>
      <c r="H1499" s="21"/>
      <c r="I1499" s="21"/>
      <c r="J1499" s="21"/>
      <c r="K1499" s="21"/>
      <c r="L1499" s="21"/>
      <c r="M1499" s="21"/>
      <c r="N1499" s="22"/>
      <c r="O1499" s="21"/>
      <c r="P1499" s="24"/>
      <c r="Q1499" s="21"/>
      <c r="R1499" s="21"/>
      <c r="S1499" s="21"/>
      <c r="T1499" s="21"/>
      <c r="U1499" s="21"/>
      <c r="V1499" s="22"/>
      <c r="W1499" s="21"/>
      <c r="X1499" s="22"/>
      <c r="Y1499" s="21"/>
      <c r="Z1499" s="20"/>
      <c r="AA1499" s="21"/>
      <c r="AB1499" s="25"/>
      <c r="AC1499" s="26"/>
      <c r="AD1499" s="27"/>
      <c r="AE1499" s="28"/>
    </row>
    <row r="1500" spans="1:31" customFormat="1" ht="15" x14ac:dyDescent="0.35">
      <c r="A1500" s="50"/>
      <c r="B1500" s="63"/>
      <c r="C1500" s="39"/>
      <c r="D1500" s="6"/>
      <c r="E1500" s="153"/>
      <c r="F1500" s="10"/>
      <c r="G1500" s="53"/>
      <c r="H1500" s="3"/>
      <c r="I1500" s="3"/>
      <c r="J1500" s="3"/>
      <c r="K1500" s="3"/>
      <c r="L1500" s="3"/>
      <c r="M1500" s="3"/>
      <c r="N1500" s="3"/>
      <c r="O1500" s="3"/>
      <c r="P1500" s="59"/>
      <c r="Q1500" s="21"/>
      <c r="R1500" s="21"/>
      <c r="S1500" s="3"/>
      <c r="T1500" s="3"/>
      <c r="U1500" s="3"/>
      <c r="V1500" s="3"/>
      <c r="W1500" s="3"/>
      <c r="X1500" s="3"/>
      <c r="Y1500" s="3"/>
      <c r="Z1500" s="53"/>
      <c r="AA1500" s="3"/>
      <c r="AB1500" s="59"/>
      <c r="AC1500" s="3"/>
      <c r="AD1500" s="53"/>
      <c r="AE1500" s="59"/>
    </row>
    <row r="1501" spans="1:31" customFormat="1" ht="15" x14ac:dyDescent="0.35">
      <c r="A1501" s="50"/>
      <c r="B1501" s="63"/>
      <c r="C1501" s="39"/>
      <c r="D1501" s="6"/>
      <c r="E1501" s="153"/>
      <c r="F1501" s="10"/>
      <c r="G1501" s="54"/>
      <c r="H1501" s="3"/>
      <c r="I1501" s="2"/>
      <c r="J1501" s="2"/>
      <c r="K1501" s="3"/>
      <c r="L1501" s="3"/>
      <c r="M1501" s="3"/>
      <c r="N1501" s="3"/>
      <c r="O1501" s="3"/>
      <c r="P1501" s="59"/>
      <c r="Q1501" s="3"/>
      <c r="R1501" s="3"/>
      <c r="S1501" s="3"/>
      <c r="T1501" s="3"/>
      <c r="U1501" s="3"/>
      <c r="V1501" s="3"/>
      <c r="W1501" s="3"/>
      <c r="X1501" s="3"/>
      <c r="Y1501" s="3"/>
      <c r="Z1501" s="53"/>
      <c r="AA1501" s="3"/>
      <c r="AB1501" s="59"/>
      <c r="AC1501" s="3"/>
      <c r="AD1501" s="53"/>
      <c r="AE1501" s="59"/>
    </row>
    <row r="1502" spans="1:31" customFormat="1" ht="15" x14ac:dyDescent="0.35">
      <c r="A1502" s="50"/>
      <c r="B1502" s="63"/>
      <c r="C1502" s="39"/>
      <c r="D1502" s="6"/>
      <c r="E1502" s="153"/>
      <c r="F1502" s="10"/>
      <c r="G1502" s="54"/>
      <c r="H1502" s="3"/>
      <c r="I1502" s="2"/>
      <c r="J1502" s="2"/>
      <c r="K1502" s="3"/>
      <c r="L1502" s="3"/>
      <c r="M1502" s="3"/>
      <c r="N1502" s="3"/>
      <c r="O1502" s="3"/>
      <c r="P1502" s="59"/>
      <c r="Q1502" s="3"/>
      <c r="R1502" s="3"/>
      <c r="S1502" s="3"/>
      <c r="T1502" s="3"/>
      <c r="U1502" s="3"/>
      <c r="V1502" s="3"/>
      <c r="W1502" s="3"/>
      <c r="X1502" s="3"/>
      <c r="Y1502" s="3"/>
      <c r="Z1502" s="53"/>
      <c r="AA1502" s="3"/>
      <c r="AB1502" s="59"/>
      <c r="AC1502" s="3"/>
      <c r="AD1502" s="53"/>
      <c r="AE1502" s="59"/>
    </row>
    <row r="1503" spans="1:31" customFormat="1" ht="15" x14ac:dyDescent="0.35">
      <c r="A1503" s="19"/>
      <c r="B1503" s="49"/>
      <c r="C1503" s="39"/>
      <c r="D1503" s="1"/>
      <c r="E1503" s="153"/>
      <c r="F1503" s="10"/>
      <c r="G1503" s="20"/>
      <c r="H1503" s="21"/>
      <c r="I1503" s="21"/>
      <c r="J1503" s="21"/>
      <c r="K1503" s="21"/>
      <c r="L1503" s="21"/>
      <c r="M1503" s="21"/>
      <c r="N1503" s="22"/>
      <c r="O1503" s="21"/>
      <c r="P1503" s="24"/>
      <c r="Q1503" s="21"/>
      <c r="R1503" s="21"/>
      <c r="S1503" s="21"/>
      <c r="T1503" s="21"/>
      <c r="U1503" s="21"/>
      <c r="V1503" s="22"/>
      <c r="W1503" s="21"/>
      <c r="X1503" s="22"/>
      <c r="Y1503" s="21"/>
      <c r="Z1503" s="20"/>
      <c r="AA1503" s="21"/>
      <c r="AB1503" s="25"/>
      <c r="AC1503" s="26"/>
      <c r="AD1503" s="27"/>
      <c r="AE1503" s="28"/>
    </row>
    <row r="1504" spans="1:31" customFormat="1" ht="15" x14ac:dyDescent="0.35">
      <c r="A1504" s="50"/>
      <c r="B1504" s="63"/>
      <c r="C1504" s="39"/>
      <c r="D1504" s="6"/>
      <c r="E1504" s="153"/>
      <c r="F1504" s="10"/>
      <c r="G1504" s="53"/>
      <c r="H1504" s="3"/>
      <c r="I1504" s="3"/>
      <c r="J1504" s="3"/>
      <c r="K1504" s="3"/>
      <c r="L1504" s="3"/>
      <c r="M1504" s="3"/>
      <c r="N1504" s="3"/>
      <c r="O1504" s="3"/>
      <c r="P1504" s="59"/>
      <c r="Q1504" s="21"/>
      <c r="R1504" s="21"/>
      <c r="S1504" s="3"/>
      <c r="T1504" s="3"/>
      <c r="U1504" s="3"/>
      <c r="V1504" s="3"/>
      <c r="W1504" s="3"/>
      <c r="X1504" s="3"/>
      <c r="Y1504" s="3"/>
      <c r="Z1504" s="53"/>
      <c r="AA1504" s="3"/>
      <c r="AB1504" s="59"/>
      <c r="AC1504" s="3"/>
      <c r="AD1504" s="53"/>
      <c r="AE1504" s="59"/>
    </row>
    <row r="1505" spans="1:31" customFormat="1" ht="15" x14ac:dyDescent="0.35">
      <c r="A1505" s="19"/>
      <c r="B1505" s="49"/>
      <c r="C1505" s="14"/>
      <c r="D1505" s="1"/>
      <c r="E1505" s="153"/>
      <c r="F1505" s="10"/>
      <c r="G1505" s="20"/>
      <c r="H1505" s="21"/>
      <c r="I1505" s="21"/>
      <c r="J1505" s="21"/>
      <c r="K1505" s="21"/>
      <c r="L1505" s="21"/>
      <c r="M1505" s="21"/>
      <c r="N1505" s="22"/>
      <c r="O1505" s="21"/>
      <c r="P1505" s="24"/>
      <c r="Q1505" s="21"/>
      <c r="R1505" s="21"/>
      <c r="S1505" s="21"/>
      <c r="T1505" s="21"/>
      <c r="U1505" s="21"/>
      <c r="V1505" s="22"/>
      <c r="W1505" s="21"/>
      <c r="X1505" s="22"/>
      <c r="Y1505" s="21"/>
      <c r="Z1505" s="20"/>
      <c r="AA1505" s="21"/>
      <c r="AB1505" s="25"/>
      <c r="AC1505" s="26"/>
      <c r="AD1505" s="27"/>
      <c r="AE1505" s="28"/>
    </row>
    <row r="1506" spans="1:31" customFormat="1" ht="15" x14ac:dyDescent="0.35">
      <c r="A1506" s="50"/>
      <c r="B1506" s="63"/>
      <c r="C1506" s="39"/>
      <c r="D1506" s="6"/>
      <c r="E1506" s="153"/>
      <c r="F1506" s="10"/>
      <c r="G1506" s="53"/>
      <c r="H1506" s="3"/>
      <c r="I1506" s="3"/>
      <c r="J1506" s="3"/>
      <c r="K1506" s="3"/>
      <c r="L1506" s="3"/>
      <c r="M1506" s="3"/>
      <c r="N1506" s="3"/>
      <c r="O1506" s="3"/>
      <c r="P1506" s="59"/>
      <c r="Q1506" s="3"/>
      <c r="R1506" s="3"/>
      <c r="S1506" s="3"/>
      <c r="T1506" s="3"/>
      <c r="U1506" s="3"/>
      <c r="V1506" s="3"/>
      <c r="W1506" s="3"/>
      <c r="X1506" s="3"/>
      <c r="Y1506" s="3"/>
      <c r="Z1506" s="53"/>
      <c r="AA1506" s="3"/>
      <c r="AB1506" s="59"/>
      <c r="AC1506" s="3"/>
      <c r="AD1506" s="53"/>
      <c r="AE1506" s="59"/>
    </row>
    <row r="1507" spans="1:31" customFormat="1" ht="15" x14ac:dyDescent="0.35">
      <c r="A1507" s="50"/>
      <c r="B1507" s="63"/>
      <c r="C1507" s="39"/>
      <c r="D1507" s="6"/>
      <c r="E1507" s="153"/>
      <c r="F1507" s="10"/>
      <c r="G1507" s="53"/>
      <c r="H1507" s="3"/>
      <c r="I1507" s="3"/>
      <c r="J1507" s="3"/>
      <c r="K1507" s="3"/>
      <c r="L1507" s="3"/>
      <c r="M1507" s="3"/>
      <c r="N1507" s="3"/>
      <c r="O1507" s="3"/>
      <c r="P1507" s="59"/>
      <c r="Q1507" s="21"/>
      <c r="R1507" s="21"/>
      <c r="S1507" s="3"/>
      <c r="T1507" s="3"/>
      <c r="U1507" s="3"/>
      <c r="V1507" s="3"/>
      <c r="W1507" s="3"/>
      <c r="X1507" s="3"/>
      <c r="Y1507" s="3"/>
      <c r="Z1507" s="53"/>
      <c r="AA1507" s="3"/>
      <c r="AB1507" s="59"/>
      <c r="AC1507" s="3"/>
      <c r="AD1507" s="53"/>
      <c r="AE1507" s="59"/>
    </row>
    <row r="1508" spans="1:31" customFormat="1" ht="15" x14ac:dyDescent="0.35">
      <c r="A1508" s="19"/>
      <c r="B1508" s="49"/>
      <c r="C1508" s="14"/>
      <c r="D1508" s="1"/>
      <c r="E1508" s="153"/>
      <c r="F1508" s="10"/>
      <c r="G1508" s="20"/>
      <c r="H1508" s="21"/>
      <c r="I1508" s="21"/>
      <c r="J1508" s="21"/>
      <c r="K1508" s="21"/>
      <c r="L1508" s="21"/>
      <c r="M1508" s="21"/>
      <c r="N1508" s="22"/>
      <c r="O1508" s="21"/>
      <c r="P1508" s="24"/>
      <c r="Q1508" s="21"/>
      <c r="R1508" s="21"/>
      <c r="S1508" s="21"/>
      <c r="T1508" s="21"/>
      <c r="U1508" s="21"/>
      <c r="V1508" s="22"/>
      <c r="W1508" s="21"/>
      <c r="X1508" s="22"/>
      <c r="Y1508" s="21"/>
      <c r="Z1508" s="20"/>
      <c r="AA1508" s="21"/>
      <c r="AB1508" s="25"/>
      <c r="AC1508" s="26"/>
      <c r="AD1508" s="27"/>
      <c r="AE1508" s="28"/>
    </row>
    <row r="1509" spans="1:31" customFormat="1" ht="15" x14ac:dyDescent="0.35">
      <c r="A1509" s="50"/>
      <c r="B1509" s="63"/>
      <c r="C1509" s="39"/>
      <c r="D1509" s="6"/>
      <c r="E1509" s="153"/>
      <c r="F1509" s="10"/>
      <c r="G1509" s="54"/>
      <c r="H1509" s="3"/>
      <c r="I1509" s="2"/>
      <c r="J1509" s="2"/>
      <c r="K1509" s="3"/>
      <c r="L1509" s="3"/>
      <c r="M1509" s="3"/>
      <c r="N1509" s="3"/>
      <c r="O1509" s="3"/>
      <c r="P1509" s="59"/>
      <c r="Q1509" s="3"/>
      <c r="R1509" s="3"/>
      <c r="S1509" s="3"/>
      <c r="T1509" s="3"/>
      <c r="U1509" s="3"/>
      <c r="V1509" s="3"/>
      <c r="W1509" s="3"/>
      <c r="X1509" s="3"/>
      <c r="Y1509" s="3"/>
      <c r="Z1509" s="53"/>
      <c r="AA1509" s="3"/>
      <c r="AB1509" s="59"/>
      <c r="AC1509" s="3"/>
      <c r="AD1509" s="53"/>
      <c r="AE1509" s="59"/>
    </row>
    <row r="1510" spans="1:31" customFormat="1" ht="15" x14ac:dyDescent="0.35">
      <c r="A1510" s="50"/>
      <c r="B1510" s="63"/>
      <c r="C1510" s="39"/>
      <c r="D1510" s="6"/>
      <c r="E1510" s="153"/>
      <c r="F1510" s="10"/>
      <c r="G1510" s="53"/>
      <c r="H1510" s="3"/>
      <c r="I1510" s="3"/>
      <c r="J1510" s="3"/>
      <c r="K1510" s="3"/>
      <c r="L1510" s="3"/>
      <c r="M1510" s="3"/>
      <c r="N1510" s="3"/>
      <c r="O1510" s="3"/>
      <c r="P1510" s="59"/>
      <c r="Q1510" s="21"/>
      <c r="R1510" s="21"/>
      <c r="S1510" s="3"/>
      <c r="T1510" s="3"/>
      <c r="U1510" s="3"/>
      <c r="V1510" s="3"/>
      <c r="W1510" s="3"/>
      <c r="X1510" s="3"/>
      <c r="Y1510" s="3"/>
      <c r="Z1510" s="53"/>
      <c r="AA1510" s="3"/>
      <c r="AB1510" s="59"/>
      <c r="AC1510" s="3"/>
      <c r="AD1510" s="53"/>
      <c r="AE1510" s="59"/>
    </row>
    <row r="1511" spans="1:31" customFormat="1" ht="15" x14ac:dyDescent="0.35">
      <c r="A1511" s="50"/>
      <c r="B1511" s="63"/>
      <c r="C1511" s="39"/>
      <c r="D1511" s="6"/>
      <c r="E1511" s="153"/>
      <c r="F1511" s="10"/>
      <c r="G1511" s="53"/>
      <c r="H1511" s="3"/>
      <c r="I1511" s="3"/>
      <c r="J1511" s="3"/>
      <c r="K1511" s="3"/>
      <c r="L1511" s="3"/>
      <c r="M1511" s="3"/>
      <c r="N1511" s="3"/>
      <c r="O1511" s="3"/>
      <c r="P1511" s="59"/>
      <c r="Q1511" s="21"/>
      <c r="R1511" s="21"/>
      <c r="S1511" s="3"/>
      <c r="T1511" s="3"/>
      <c r="U1511" s="3"/>
      <c r="V1511" s="3"/>
      <c r="W1511" s="3"/>
      <c r="X1511" s="3"/>
      <c r="Y1511" s="3"/>
      <c r="Z1511" s="53"/>
      <c r="AA1511" s="3"/>
      <c r="AB1511" s="59"/>
      <c r="AC1511" s="3"/>
      <c r="AD1511" s="53"/>
      <c r="AE1511" s="59"/>
    </row>
    <row r="1512" spans="1:31" customFormat="1" ht="15" x14ac:dyDescent="0.35">
      <c r="A1512" s="50"/>
      <c r="B1512" s="63"/>
      <c r="C1512" s="39"/>
      <c r="D1512" s="6"/>
      <c r="E1512" s="153"/>
      <c r="F1512" s="10"/>
      <c r="G1512" s="54"/>
      <c r="H1512" s="3"/>
      <c r="I1512" s="2"/>
      <c r="J1512" s="2"/>
      <c r="K1512" s="3"/>
      <c r="L1512" s="3"/>
      <c r="M1512" s="3"/>
      <c r="N1512" s="3"/>
      <c r="O1512" s="3"/>
      <c r="P1512" s="59"/>
      <c r="Q1512" s="3"/>
      <c r="R1512" s="3"/>
      <c r="S1512" s="3"/>
      <c r="T1512" s="3"/>
      <c r="U1512" s="3"/>
      <c r="V1512" s="3"/>
      <c r="W1512" s="3"/>
      <c r="X1512" s="3"/>
      <c r="Y1512" s="3"/>
      <c r="Z1512" s="53"/>
      <c r="AA1512" s="3"/>
      <c r="AB1512" s="59"/>
      <c r="AC1512" s="3"/>
      <c r="AD1512" s="53"/>
      <c r="AE1512" s="59"/>
    </row>
    <row r="1513" spans="1:31" customFormat="1" ht="15" x14ac:dyDescent="0.35">
      <c r="A1513" s="50"/>
      <c r="B1513" s="63"/>
      <c r="C1513" s="39"/>
      <c r="D1513" s="6"/>
      <c r="E1513" s="153"/>
      <c r="F1513" s="10"/>
      <c r="G1513" s="53"/>
      <c r="H1513" s="3"/>
      <c r="I1513" s="3"/>
      <c r="J1513" s="3"/>
      <c r="K1513" s="3"/>
      <c r="L1513" s="3"/>
      <c r="M1513" s="3"/>
      <c r="N1513" s="3"/>
      <c r="O1513" s="3"/>
      <c r="P1513" s="59"/>
      <c r="Q1513" s="21"/>
      <c r="R1513" s="21"/>
      <c r="S1513" s="3"/>
      <c r="T1513" s="3"/>
      <c r="U1513" s="3"/>
      <c r="V1513" s="3"/>
      <c r="W1513" s="3"/>
      <c r="X1513" s="3"/>
      <c r="Y1513" s="3"/>
      <c r="Z1513" s="53"/>
      <c r="AA1513" s="3"/>
      <c r="AB1513" s="59"/>
      <c r="AC1513" s="3"/>
      <c r="AD1513" s="53"/>
      <c r="AE1513" s="59"/>
    </row>
    <row r="1514" spans="1:31" customFormat="1" ht="15" x14ac:dyDescent="0.35">
      <c r="A1514" s="50"/>
      <c r="B1514" s="63"/>
      <c r="C1514" s="39"/>
      <c r="D1514" s="6"/>
      <c r="E1514" s="153"/>
      <c r="F1514" s="10"/>
      <c r="G1514" s="54"/>
      <c r="H1514" s="3"/>
      <c r="I1514" s="2"/>
      <c r="J1514" s="2"/>
      <c r="K1514" s="3"/>
      <c r="L1514" s="3"/>
      <c r="M1514" s="3"/>
      <c r="N1514" s="3"/>
      <c r="O1514" s="3"/>
      <c r="P1514" s="59"/>
      <c r="Q1514" s="3"/>
      <c r="R1514" s="3"/>
      <c r="S1514" s="3"/>
      <c r="T1514" s="3"/>
      <c r="U1514" s="3"/>
      <c r="V1514" s="3"/>
      <c r="W1514" s="3"/>
      <c r="X1514" s="3"/>
      <c r="Y1514" s="3"/>
      <c r="Z1514" s="53"/>
      <c r="AA1514" s="3"/>
      <c r="AB1514" s="59"/>
      <c r="AC1514" s="3"/>
      <c r="AD1514" s="53"/>
      <c r="AE1514" s="59"/>
    </row>
    <row r="1515" spans="1:31" customFormat="1" ht="15" x14ac:dyDescent="0.35">
      <c r="A1515" s="50"/>
      <c r="B1515" s="63"/>
      <c r="C1515" s="39"/>
      <c r="D1515" s="6"/>
      <c r="E1515" s="153"/>
      <c r="F1515" s="10"/>
      <c r="G1515" s="53"/>
      <c r="H1515" s="3"/>
      <c r="I1515" s="3"/>
      <c r="J1515" s="3"/>
      <c r="K1515" s="3"/>
      <c r="L1515" s="3"/>
      <c r="M1515" s="3"/>
      <c r="N1515" s="3"/>
      <c r="O1515" s="3"/>
      <c r="P1515" s="59"/>
      <c r="Q1515" s="21"/>
      <c r="R1515" s="21"/>
      <c r="S1515" s="3"/>
      <c r="T1515" s="3"/>
      <c r="U1515" s="3"/>
      <c r="V1515" s="3"/>
      <c r="W1515" s="3"/>
      <c r="X1515" s="3"/>
      <c r="Y1515" s="3"/>
      <c r="Z1515" s="53"/>
      <c r="AA1515" s="3"/>
      <c r="AB1515" s="59"/>
      <c r="AC1515" s="3"/>
      <c r="AD1515" s="53"/>
      <c r="AE1515" s="59"/>
    </row>
    <row r="1516" spans="1:31" customFormat="1" ht="15" x14ac:dyDescent="0.35">
      <c r="A1516" s="19"/>
      <c r="B1516" s="49"/>
      <c r="C1516" s="14"/>
      <c r="D1516" s="1"/>
      <c r="E1516" s="153"/>
      <c r="F1516" s="10"/>
      <c r="G1516" s="20"/>
      <c r="H1516" s="21"/>
      <c r="I1516" s="21"/>
      <c r="J1516" s="21"/>
      <c r="K1516" s="21"/>
      <c r="L1516" s="21"/>
      <c r="M1516" s="21"/>
      <c r="N1516" s="22"/>
      <c r="O1516" s="21"/>
      <c r="P1516" s="24"/>
      <c r="Q1516" s="21"/>
      <c r="R1516" s="21"/>
      <c r="S1516" s="21"/>
      <c r="T1516" s="21"/>
      <c r="U1516" s="21"/>
      <c r="V1516" s="22"/>
      <c r="W1516" s="21"/>
      <c r="X1516" s="22"/>
      <c r="Y1516" s="21"/>
      <c r="Z1516" s="20"/>
      <c r="AA1516" s="21"/>
      <c r="AB1516" s="25"/>
      <c r="AC1516" s="26"/>
      <c r="AD1516" s="27"/>
      <c r="AE1516" s="28"/>
    </row>
    <row r="1517" spans="1:31" customFormat="1" ht="15" x14ac:dyDescent="0.35">
      <c r="A1517" s="50"/>
      <c r="B1517" s="63"/>
      <c r="C1517" s="39"/>
      <c r="D1517" s="6"/>
      <c r="E1517" s="153"/>
      <c r="F1517" s="10"/>
      <c r="G1517" s="54"/>
      <c r="H1517" s="3"/>
      <c r="I1517" s="2"/>
      <c r="J1517" s="2"/>
      <c r="K1517" s="3"/>
      <c r="L1517" s="3"/>
      <c r="M1517" s="3"/>
      <c r="N1517" s="3"/>
      <c r="O1517" s="3"/>
      <c r="P1517" s="59"/>
      <c r="Q1517" s="3"/>
      <c r="R1517" s="3"/>
      <c r="S1517" s="3"/>
      <c r="T1517" s="3"/>
      <c r="U1517" s="3"/>
      <c r="V1517" s="3"/>
      <c r="W1517" s="3"/>
      <c r="X1517" s="3"/>
      <c r="Y1517" s="3"/>
      <c r="Z1517" s="53"/>
      <c r="AA1517" s="3"/>
      <c r="AB1517" s="59"/>
      <c r="AC1517" s="3"/>
      <c r="AD1517" s="53"/>
      <c r="AE1517" s="59"/>
    </row>
    <row r="1518" spans="1:31" customFormat="1" ht="15" x14ac:dyDescent="0.35">
      <c r="A1518" s="19"/>
      <c r="B1518" s="49"/>
      <c r="C1518" s="14"/>
      <c r="D1518" s="1"/>
      <c r="E1518" s="153"/>
      <c r="F1518" s="10"/>
      <c r="G1518" s="20"/>
      <c r="H1518" s="21"/>
      <c r="I1518" s="21"/>
      <c r="J1518" s="21"/>
      <c r="K1518" s="21"/>
      <c r="L1518" s="21"/>
      <c r="M1518" s="21"/>
      <c r="N1518" s="22"/>
      <c r="O1518" s="21"/>
      <c r="P1518" s="24"/>
      <c r="Q1518" s="21"/>
      <c r="R1518" s="21"/>
      <c r="S1518" s="21"/>
      <c r="T1518" s="21"/>
      <c r="U1518" s="21"/>
      <c r="V1518" s="22"/>
      <c r="W1518" s="21"/>
      <c r="X1518" s="22"/>
      <c r="Y1518" s="21"/>
      <c r="Z1518" s="20"/>
      <c r="AA1518" s="21"/>
      <c r="AB1518" s="25"/>
      <c r="AC1518" s="26"/>
      <c r="AD1518" s="27"/>
      <c r="AE1518" s="28"/>
    </row>
    <row r="1519" spans="1:31" customFormat="1" ht="15" x14ac:dyDescent="0.35">
      <c r="A1519" s="50"/>
      <c r="B1519" s="63"/>
      <c r="C1519" s="39"/>
      <c r="D1519" s="6"/>
      <c r="E1519" s="153"/>
      <c r="F1519" s="10"/>
      <c r="G1519" s="54"/>
      <c r="H1519" s="3"/>
      <c r="I1519" s="2"/>
      <c r="J1519" s="2"/>
      <c r="K1519" s="3"/>
      <c r="L1519" s="3"/>
      <c r="M1519" s="3"/>
      <c r="N1519" s="3"/>
      <c r="O1519" s="3"/>
      <c r="P1519" s="59"/>
      <c r="Q1519" s="3"/>
      <c r="R1519" s="3"/>
      <c r="S1519" s="3"/>
      <c r="T1519" s="3"/>
      <c r="U1519" s="3"/>
      <c r="V1519" s="3"/>
      <c r="W1519" s="3"/>
      <c r="X1519" s="3"/>
      <c r="Y1519" s="3"/>
      <c r="Z1519" s="53"/>
      <c r="AA1519" s="3"/>
      <c r="AB1519" s="59"/>
      <c r="AC1519" s="3"/>
      <c r="AD1519" s="53"/>
      <c r="AE1519" s="59"/>
    </row>
    <row r="1520" spans="1:31" customFormat="1" ht="15" x14ac:dyDescent="0.35">
      <c r="A1520" s="19"/>
      <c r="B1520" s="49"/>
      <c r="C1520" s="39"/>
      <c r="D1520" s="1"/>
      <c r="E1520" s="153"/>
      <c r="F1520" s="10"/>
      <c r="G1520" s="20"/>
      <c r="H1520" s="21"/>
      <c r="I1520" s="21"/>
      <c r="J1520" s="21"/>
      <c r="K1520" s="21"/>
      <c r="L1520" s="21"/>
      <c r="M1520" s="21"/>
      <c r="N1520" s="22"/>
      <c r="O1520" s="21"/>
      <c r="P1520" s="24"/>
      <c r="Q1520" s="21"/>
      <c r="R1520" s="21"/>
      <c r="S1520" s="21"/>
      <c r="T1520" s="21"/>
      <c r="U1520" s="21"/>
      <c r="V1520" s="22"/>
      <c r="W1520" s="21"/>
      <c r="X1520" s="22"/>
      <c r="Y1520" s="21"/>
      <c r="Z1520" s="20"/>
      <c r="AA1520" s="21"/>
      <c r="AB1520" s="25"/>
      <c r="AC1520" s="26"/>
      <c r="AD1520" s="27"/>
      <c r="AE1520" s="28"/>
    </row>
    <row r="1521" spans="1:31" customFormat="1" ht="15" x14ac:dyDescent="0.35">
      <c r="A1521" s="50"/>
      <c r="B1521" s="63"/>
      <c r="C1521" s="39"/>
      <c r="D1521" s="6"/>
      <c r="E1521" s="153"/>
      <c r="F1521" s="10"/>
      <c r="G1521" s="53"/>
      <c r="H1521" s="3"/>
      <c r="I1521" s="3"/>
      <c r="J1521" s="3"/>
      <c r="K1521" s="3"/>
      <c r="L1521" s="3"/>
      <c r="M1521" s="3"/>
      <c r="N1521" s="3"/>
      <c r="O1521" s="3"/>
      <c r="P1521" s="59"/>
      <c r="Q1521" s="21"/>
      <c r="R1521" s="21"/>
      <c r="S1521" s="3"/>
      <c r="T1521" s="3"/>
      <c r="U1521" s="3"/>
      <c r="V1521" s="3"/>
      <c r="W1521" s="3"/>
      <c r="X1521" s="3"/>
      <c r="Y1521" s="3"/>
      <c r="Z1521" s="53"/>
      <c r="AA1521" s="3"/>
      <c r="AB1521" s="59"/>
      <c r="AC1521" s="3"/>
      <c r="AD1521" s="53"/>
      <c r="AE1521" s="59"/>
    </row>
    <row r="1522" spans="1:31" customFormat="1" ht="15" x14ac:dyDescent="0.35">
      <c r="A1522" s="50"/>
      <c r="B1522" s="63"/>
      <c r="C1522" s="39"/>
      <c r="D1522" s="6"/>
      <c r="E1522" s="153"/>
      <c r="F1522" s="10"/>
      <c r="G1522" s="54"/>
      <c r="H1522" s="3"/>
      <c r="I1522" s="2"/>
      <c r="J1522" s="2"/>
      <c r="K1522" s="3"/>
      <c r="L1522" s="3"/>
      <c r="M1522" s="3"/>
      <c r="N1522" s="3"/>
      <c r="O1522" s="3"/>
      <c r="P1522" s="59"/>
      <c r="Q1522" s="3"/>
      <c r="R1522" s="3"/>
      <c r="S1522" s="3"/>
      <c r="T1522" s="3"/>
      <c r="U1522" s="3"/>
      <c r="V1522" s="12"/>
      <c r="W1522" s="3"/>
      <c r="X1522" s="3"/>
      <c r="Y1522" s="3"/>
      <c r="Z1522" s="53"/>
      <c r="AA1522" s="3"/>
      <c r="AB1522" s="59"/>
      <c r="AC1522" s="3"/>
      <c r="AD1522" s="53"/>
      <c r="AE1522" s="59"/>
    </row>
    <row r="1523" spans="1:31" customFormat="1" ht="15" x14ac:dyDescent="0.35">
      <c r="A1523" s="19"/>
      <c r="B1523" s="49"/>
      <c r="C1523" s="14"/>
      <c r="D1523" s="1"/>
      <c r="E1523" s="153"/>
      <c r="F1523" s="10"/>
      <c r="G1523" s="20"/>
      <c r="H1523" s="21"/>
      <c r="I1523" s="21"/>
      <c r="J1523" s="21"/>
      <c r="K1523" s="21"/>
      <c r="L1523" s="21"/>
      <c r="M1523" s="21"/>
      <c r="N1523" s="22"/>
      <c r="O1523" s="21"/>
      <c r="P1523" s="24"/>
      <c r="Q1523" s="21"/>
      <c r="R1523" s="21"/>
      <c r="S1523" s="21"/>
      <c r="T1523" s="21"/>
      <c r="U1523" s="21"/>
      <c r="V1523" s="22"/>
      <c r="W1523" s="21"/>
      <c r="X1523" s="22"/>
      <c r="Y1523" s="21"/>
      <c r="Z1523" s="20"/>
      <c r="AA1523" s="21"/>
      <c r="AB1523" s="25"/>
      <c r="AC1523" s="26"/>
      <c r="AD1523" s="27"/>
      <c r="AE1523" s="28"/>
    </row>
    <row r="1524" spans="1:31" customFormat="1" ht="15" x14ac:dyDescent="0.35">
      <c r="A1524" s="50"/>
      <c r="B1524" s="63"/>
      <c r="C1524" s="39"/>
      <c r="D1524" s="6"/>
      <c r="E1524" s="153"/>
      <c r="F1524" s="10"/>
      <c r="G1524" s="53"/>
      <c r="H1524" s="3"/>
      <c r="I1524" s="3"/>
      <c r="J1524" s="3"/>
      <c r="K1524" s="3"/>
      <c r="L1524" s="3"/>
      <c r="M1524" s="3"/>
      <c r="N1524" s="3"/>
      <c r="O1524" s="3"/>
      <c r="P1524" s="59"/>
      <c r="Q1524" s="21"/>
      <c r="R1524" s="21"/>
      <c r="S1524" s="3"/>
      <c r="T1524" s="3"/>
      <c r="U1524" s="3"/>
      <c r="V1524" s="3"/>
      <c r="W1524" s="3"/>
      <c r="X1524" s="3"/>
      <c r="Y1524" s="3"/>
      <c r="Z1524" s="53"/>
      <c r="AA1524" s="3"/>
      <c r="AB1524" s="59"/>
      <c r="AC1524" s="3"/>
      <c r="AD1524" s="53"/>
      <c r="AE1524" s="59"/>
    </row>
    <row r="1525" spans="1:31" customFormat="1" ht="15" x14ac:dyDescent="0.35">
      <c r="A1525" s="19"/>
      <c r="B1525" s="49"/>
      <c r="C1525" s="14"/>
      <c r="D1525" s="6"/>
      <c r="E1525" s="153"/>
      <c r="F1525" s="10"/>
      <c r="G1525" s="20"/>
      <c r="H1525" s="21"/>
      <c r="I1525" s="21"/>
      <c r="J1525" s="21"/>
      <c r="K1525" s="21"/>
      <c r="L1525" s="21"/>
      <c r="M1525" s="21"/>
      <c r="N1525" s="22"/>
      <c r="O1525" s="21"/>
      <c r="P1525" s="24"/>
      <c r="Q1525" s="21"/>
      <c r="R1525" s="21"/>
      <c r="S1525" s="21"/>
      <c r="T1525" s="21"/>
      <c r="U1525" s="21"/>
      <c r="V1525" s="22"/>
      <c r="W1525" s="21"/>
      <c r="X1525" s="22"/>
      <c r="Y1525" s="21"/>
      <c r="Z1525" s="20"/>
      <c r="AA1525" s="21"/>
      <c r="AB1525" s="25"/>
      <c r="AC1525" s="26"/>
      <c r="AD1525" s="27"/>
      <c r="AE1525" s="28"/>
    </row>
    <row r="1526" spans="1:31" customFormat="1" ht="15" x14ac:dyDescent="0.35">
      <c r="A1526" s="19"/>
      <c r="B1526" s="49"/>
      <c r="C1526" s="14"/>
      <c r="D1526" s="1"/>
      <c r="E1526" s="153"/>
      <c r="F1526" s="10"/>
      <c r="G1526" s="20"/>
      <c r="H1526" s="21"/>
      <c r="I1526" s="21"/>
      <c r="J1526" s="21"/>
      <c r="K1526" s="21"/>
      <c r="L1526" s="21"/>
      <c r="M1526" s="21"/>
      <c r="N1526" s="22"/>
      <c r="O1526" s="21"/>
      <c r="P1526" s="24"/>
      <c r="Q1526" s="21"/>
      <c r="R1526" s="21"/>
      <c r="S1526" s="21"/>
      <c r="T1526" s="21"/>
      <c r="U1526" s="21"/>
      <c r="V1526" s="22"/>
      <c r="W1526" s="21"/>
      <c r="X1526" s="22"/>
      <c r="Y1526" s="21"/>
      <c r="Z1526" s="20"/>
      <c r="AA1526" s="21"/>
      <c r="AB1526" s="25"/>
      <c r="AC1526" s="26"/>
      <c r="AD1526" s="27"/>
      <c r="AE1526" s="28"/>
    </row>
    <row r="1527" spans="1:31" customFormat="1" ht="15" x14ac:dyDescent="0.35">
      <c r="A1527" s="50"/>
      <c r="B1527" s="63"/>
      <c r="C1527" s="39"/>
      <c r="D1527" s="6"/>
      <c r="E1527" s="153"/>
      <c r="F1527" s="10"/>
      <c r="G1527" s="53"/>
      <c r="H1527" s="3"/>
      <c r="I1527" s="3"/>
      <c r="J1527" s="3"/>
      <c r="K1527" s="3"/>
      <c r="L1527" s="3"/>
      <c r="M1527" s="3"/>
      <c r="N1527" s="3"/>
      <c r="O1527" s="3"/>
      <c r="P1527" s="59"/>
      <c r="Q1527" s="21"/>
      <c r="R1527" s="21"/>
      <c r="S1527" s="3"/>
      <c r="T1527" s="3"/>
      <c r="U1527" s="3"/>
      <c r="V1527" s="3"/>
      <c r="W1527" s="3"/>
      <c r="X1527" s="3"/>
      <c r="Y1527" s="3"/>
      <c r="Z1527" s="53"/>
      <c r="AA1527" s="3"/>
      <c r="AB1527" s="59"/>
      <c r="AC1527" s="3"/>
      <c r="AD1527" s="53"/>
      <c r="AE1527" s="59"/>
    </row>
    <row r="1528" spans="1:31" customFormat="1" ht="15" x14ac:dyDescent="0.35">
      <c r="A1528" s="50"/>
      <c r="B1528" s="63"/>
      <c r="C1528" s="39"/>
      <c r="D1528" s="6"/>
      <c r="E1528" s="153"/>
      <c r="F1528" s="10"/>
      <c r="G1528" s="54"/>
      <c r="H1528" s="3"/>
      <c r="I1528" s="2"/>
      <c r="J1528" s="2"/>
      <c r="K1528" s="3"/>
      <c r="L1528" s="3"/>
      <c r="M1528" s="3"/>
      <c r="N1528" s="3"/>
      <c r="O1528" s="3"/>
      <c r="P1528" s="59"/>
      <c r="Q1528" s="21"/>
      <c r="R1528" s="21"/>
      <c r="S1528" s="3"/>
      <c r="T1528" s="3"/>
      <c r="U1528" s="3"/>
      <c r="V1528" s="3"/>
      <c r="W1528" s="3"/>
      <c r="X1528" s="3"/>
      <c r="Y1528" s="3"/>
      <c r="Z1528" s="53"/>
      <c r="AA1528" s="3"/>
      <c r="AB1528" s="59"/>
      <c r="AC1528" s="3"/>
      <c r="AD1528" s="53"/>
      <c r="AE1528" s="59"/>
    </row>
    <row r="1529" spans="1:31" customFormat="1" ht="15" x14ac:dyDescent="0.35">
      <c r="A1529" s="50"/>
      <c r="B1529" s="63"/>
      <c r="C1529" s="39"/>
      <c r="D1529" s="6"/>
      <c r="E1529" s="153"/>
      <c r="F1529" s="10"/>
      <c r="G1529" s="54"/>
      <c r="H1529" s="3"/>
      <c r="I1529" s="2"/>
      <c r="J1529" s="2"/>
      <c r="K1529" s="3"/>
      <c r="L1529" s="3"/>
      <c r="M1529" s="3"/>
      <c r="N1529" s="3"/>
      <c r="O1529" s="3"/>
      <c r="P1529" s="59"/>
      <c r="Q1529" s="3"/>
      <c r="R1529" s="3"/>
      <c r="S1529" s="3"/>
      <c r="T1529" s="3"/>
      <c r="U1529" s="3"/>
      <c r="V1529" s="3"/>
      <c r="W1529" s="3"/>
      <c r="X1529" s="3"/>
      <c r="Y1529" s="3"/>
      <c r="Z1529" s="53"/>
      <c r="AA1529" s="3"/>
      <c r="AB1529" s="59"/>
      <c r="AC1529" s="3"/>
      <c r="AD1529" s="53"/>
      <c r="AE1529" s="59"/>
    </row>
    <row r="1530" spans="1:31" customFormat="1" ht="15" x14ac:dyDescent="0.35">
      <c r="A1530" s="19"/>
      <c r="B1530" s="49"/>
      <c r="C1530" s="14"/>
      <c r="D1530" s="1"/>
      <c r="E1530" s="153"/>
      <c r="F1530" s="10"/>
      <c r="G1530" s="20"/>
      <c r="H1530" s="21"/>
      <c r="I1530" s="21"/>
      <c r="J1530" s="21"/>
      <c r="K1530" s="21"/>
      <c r="L1530" s="21"/>
      <c r="M1530" s="21"/>
      <c r="N1530" s="22"/>
      <c r="O1530" s="21"/>
      <c r="P1530" s="24"/>
      <c r="Q1530" s="21"/>
      <c r="R1530" s="21"/>
      <c r="S1530" s="21"/>
      <c r="T1530" s="21"/>
      <c r="U1530" s="21"/>
      <c r="V1530" s="22"/>
      <c r="W1530" s="21"/>
      <c r="X1530" s="22"/>
      <c r="Y1530" s="21"/>
      <c r="Z1530" s="20"/>
      <c r="AA1530" s="21"/>
      <c r="AB1530" s="25"/>
      <c r="AC1530" s="26"/>
      <c r="AD1530" s="27"/>
      <c r="AE1530" s="28"/>
    </row>
    <row r="1531" spans="1:31" customFormat="1" ht="15" x14ac:dyDescent="0.35">
      <c r="A1531" s="50"/>
      <c r="B1531" s="63"/>
      <c r="C1531" s="39"/>
      <c r="D1531" s="6"/>
      <c r="E1531" s="153"/>
      <c r="F1531" s="10"/>
      <c r="G1531" s="53"/>
      <c r="H1531" s="3"/>
      <c r="I1531" s="3"/>
      <c r="J1531" s="3"/>
      <c r="K1531" s="3"/>
      <c r="L1531" s="3"/>
      <c r="M1531" s="3"/>
      <c r="N1531" s="3"/>
      <c r="O1531" s="3"/>
      <c r="P1531" s="59"/>
      <c r="Q1531" s="21"/>
      <c r="R1531" s="21"/>
      <c r="S1531" s="3"/>
      <c r="T1531" s="3"/>
      <c r="U1531" s="3"/>
      <c r="V1531" s="3"/>
      <c r="W1531" s="3"/>
      <c r="X1531" s="3"/>
      <c r="Y1531" s="3"/>
      <c r="Z1531" s="53"/>
      <c r="AA1531" s="3"/>
      <c r="AB1531" s="59"/>
      <c r="AC1531" s="3"/>
      <c r="AD1531" s="53"/>
      <c r="AE1531" s="59"/>
    </row>
    <row r="1532" spans="1:31" customFormat="1" ht="15" x14ac:dyDescent="0.35">
      <c r="A1532" s="19"/>
      <c r="B1532" s="49"/>
      <c r="C1532" s="14"/>
      <c r="D1532" s="1"/>
      <c r="E1532" s="153"/>
      <c r="F1532" s="10"/>
      <c r="G1532" s="20"/>
      <c r="H1532" s="21"/>
      <c r="I1532" s="21"/>
      <c r="J1532" s="21"/>
      <c r="K1532" s="21"/>
      <c r="L1532" s="21"/>
      <c r="M1532" s="21"/>
      <c r="N1532" s="22"/>
      <c r="O1532" s="21"/>
      <c r="P1532" s="24"/>
      <c r="Q1532" s="21"/>
      <c r="R1532" s="21"/>
      <c r="S1532" s="21"/>
      <c r="T1532" s="21"/>
      <c r="U1532" s="21"/>
      <c r="V1532" s="22"/>
      <c r="W1532" s="21"/>
      <c r="X1532" s="22"/>
      <c r="Y1532" s="21"/>
      <c r="Z1532" s="20"/>
      <c r="AA1532" s="21"/>
      <c r="AB1532" s="25"/>
      <c r="AC1532" s="26"/>
      <c r="AD1532" s="27"/>
      <c r="AE1532" s="28"/>
    </row>
    <row r="1533" spans="1:31" customFormat="1" ht="15" x14ac:dyDescent="0.35">
      <c r="A1533" s="50"/>
      <c r="B1533" s="63"/>
      <c r="C1533" s="39"/>
      <c r="D1533" s="6"/>
      <c r="E1533" s="153"/>
      <c r="F1533" s="10"/>
      <c r="G1533" s="54"/>
      <c r="H1533" s="3"/>
      <c r="I1533" s="2"/>
      <c r="J1533" s="2"/>
      <c r="K1533" s="3"/>
      <c r="L1533" s="3"/>
      <c r="M1533" s="3"/>
      <c r="N1533" s="3"/>
      <c r="O1533" s="3"/>
      <c r="P1533" s="59"/>
      <c r="Q1533" s="3"/>
      <c r="R1533" s="3"/>
      <c r="S1533" s="3"/>
      <c r="T1533" s="3"/>
      <c r="U1533" s="3"/>
      <c r="V1533" s="3"/>
      <c r="W1533" s="3"/>
      <c r="X1533" s="3"/>
      <c r="Y1533" s="3"/>
      <c r="Z1533" s="53"/>
      <c r="AA1533" s="3"/>
      <c r="AB1533" s="59"/>
      <c r="AC1533" s="3"/>
      <c r="AD1533" s="53"/>
      <c r="AE1533" s="59"/>
    </row>
    <row r="1534" spans="1:31" customFormat="1" ht="15" x14ac:dyDescent="0.35">
      <c r="A1534" s="50"/>
      <c r="B1534" s="63"/>
      <c r="C1534" s="39"/>
      <c r="D1534" s="6"/>
      <c r="E1534" s="153"/>
      <c r="F1534" s="10"/>
      <c r="G1534" s="54"/>
      <c r="H1534" s="3"/>
      <c r="I1534" s="2"/>
      <c r="J1534" s="2"/>
      <c r="K1534" s="3"/>
      <c r="L1534" s="3"/>
      <c r="M1534" s="3"/>
      <c r="N1534" s="3"/>
      <c r="O1534" s="3"/>
      <c r="P1534" s="59"/>
      <c r="Q1534" s="3"/>
      <c r="R1534" s="3"/>
      <c r="S1534" s="3"/>
      <c r="T1534" s="3"/>
      <c r="U1534" s="3"/>
      <c r="V1534" s="3"/>
      <c r="W1534" s="3"/>
      <c r="X1534" s="3"/>
      <c r="Y1534" s="3"/>
      <c r="Z1534" s="53"/>
      <c r="AA1534" s="3"/>
      <c r="AB1534" s="59"/>
      <c r="AC1534" s="3"/>
      <c r="AD1534" s="53"/>
      <c r="AE1534" s="59"/>
    </row>
    <row r="1535" spans="1:31" customFormat="1" ht="15" x14ac:dyDescent="0.35">
      <c r="A1535" s="19"/>
      <c r="B1535" s="49"/>
      <c r="C1535" s="14"/>
      <c r="D1535" s="1"/>
      <c r="E1535" s="153"/>
      <c r="F1535" s="10"/>
      <c r="G1535" s="20"/>
      <c r="H1535" s="21"/>
      <c r="I1535" s="21"/>
      <c r="J1535" s="21"/>
      <c r="K1535" s="21"/>
      <c r="L1535" s="21"/>
      <c r="M1535" s="21"/>
      <c r="N1535" s="22"/>
      <c r="O1535" s="21"/>
      <c r="P1535" s="24"/>
      <c r="Q1535" s="21"/>
      <c r="R1535" s="21"/>
      <c r="S1535" s="21"/>
      <c r="T1535" s="21"/>
      <c r="U1535" s="21"/>
      <c r="V1535" s="22"/>
      <c r="W1535" s="21"/>
      <c r="X1535" s="22"/>
      <c r="Y1535" s="21"/>
      <c r="Z1535" s="20"/>
      <c r="AA1535" s="21"/>
      <c r="AB1535" s="25"/>
      <c r="AC1535" s="26"/>
      <c r="AD1535" s="27"/>
      <c r="AE1535" s="28"/>
    </row>
    <row r="1536" spans="1:31" customFormat="1" ht="15" x14ac:dyDescent="0.35">
      <c r="A1536" s="50"/>
      <c r="B1536" s="63"/>
      <c r="C1536" s="39"/>
      <c r="D1536" s="6"/>
      <c r="E1536" s="153"/>
      <c r="F1536" s="10"/>
      <c r="G1536" s="53"/>
      <c r="H1536" s="3"/>
      <c r="I1536" s="3"/>
      <c r="J1536" s="3"/>
      <c r="K1536" s="3"/>
      <c r="L1536" s="3"/>
      <c r="M1536" s="3"/>
      <c r="N1536" s="3"/>
      <c r="O1536" s="3"/>
      <c r="P1536" s="59"/>
      <c r="Q1536" s="21"/>
      <c r="R1536" s="21"/>
      <c r="S1536" s="3"/>
      <c r="T1536" s="3"/>
      <c r="U1536" s="3"/>
      <c r="V1536" s="3"/>
      <c r="W1536" s="3"/>
      <c r="X1536" s="3"/>
      <c r="Y1536" s="3"/>
      <c r="Z1536" s="53"/>
      <c r="AA1536" s="3"/>
      <c r="AB1536" s="59"/>
      <c r="AC1536" s="3"/>
      <c r="AD1536" s="53"/>
      <c r="AE1536" s="59"/>
    </row>
    <row r="1537" spans="1:31" customFormat="1" ht="15" x14ac:dyDescent="0.35">
      <c r="A1537" s="19"/>
      <c r="B1537" s="49"/>
      <c r="C1537" s="14"/>
      <c r="D1537" s="1"/>
      <c r="E1537" s="153"/>
      <c r="F1537" s="10"/>
      <c r="G1537" s="20"/>
      <c r="H1537" s="21"/>
      <c r="I1537" s="21"/>
      <c r="J1537" s="21"/>
      <c r="K1537" s="21"/>
      <c r="L1537" s="21"/>
      <c r="M1537" s="21"/>
      <c r="N1537" s="22"/>
      <c r="O1537" s="21"/>
      <c r="P1537" s="24"/>
      <c r="Q1537" s="21"/>
      <c r="R1537" s="21"/>
      <c r="S1537" s="21"/>
      <c r="T1537" s="21"/>
      <c r="U1537" s="21"/>
      <c r="V1537" s="22"/>
      <c r="W1537" s="21"/>
      <c r="X1537" s="22"/>
      <c r="Y1537" s="21"/>
      <c r="Z1537" s="20"/>
      <c r="AA1537" s="21"/>
      <c r="AB1537" s="25"/>
      <c r="AC1537" s="26"/>
      <c r="AD1537" s="27"/>
      <c r="AE1537" s="28"/>
    </row>
    <row r="1538" spans="1:31" customFormat="1" ht="15" x14ac:dyDescent="0.35">
      <c r="A1538" s="19"/>
      <c r="B1538" s="49"/>
      <c r="C1538" s="39"/>
      <c r="D1538" s="1"/>
      <c r="E1538" s="153"/>
      <c r="F1538" s="10"/>
      <c r="G1538" s="20"/>
      <c r="H1538" s="21"/>
      <c r="I1538" s="21"/>
      <c r="J1538" s="21"/>
      <c r="K1538" s="21"/>
      <c r="L1538" s="21"/>
      <c r="M1538" s="21"/>
      <c r="N1538" s="22"/>
      <c r="O1538" s="21"/>
      <c r="P1538" s="24"/>
      <c r="Q1538" s="21"/>
      <c r="R1538" s="21"/>
      <c r="S1538" s="21"/>
      <c r="T1538" s="21"/>
      <c r="U1538" s="21"/>
      <c r="V1538" s="22"/>
      <c r="W1538" s="21"/>
      <c r="X1538" s="22"/>
      <c r="Y1538" s="21"/>
      <c r="Z1538" s="20"/>
      <c r="AA1538" s="21"/>
      <c r="AB1538" s="25"/>
      <c r="AC1538" s="26"/>
      <c r="AD1538" s="27"/>
      <c r="AE1538" s="28"/>
    </row>
    <row r="1539" spans="1:31" customFormat="1" ht="15" x14ac:dyDescent="0.35">
      <c r="A1539" s="50"/>
      <c r="B1539" s="63"/>
      <c r="C1539" s="39"/>
      <c r="D1539" s="6"/>
      <c r="E1539" s="153"/>
      <c r="F1539" s="10"/>
      <c r="G1539" s="53"/>
      <c r="H1539" s="3"/>
      <c r="I1539" s="3"/>
      <c r="J1539" s="3"/>
      <c r="K1539" s="3"/>
      <c r="L1539" s="3"/>
      <c r="M1539" s="3"/>
      <c r="N1539" s="3"/>
      <c r="O1539" s="3"/>
      <c r="P1539" s="59"/>
      <c r="Q1539" s="21"/>
      <c r="R1539" s="21"/>
      <c r="S1539" s="3"/>
      <c r="T1539" s="3"/>
      <c r="U1539" s="3"/>
      <c r="V1539" s="3"/>
      <c r="W1539" s="3"/>
      <c r="X1539" s="3"/>
      <c r="Y1539" s="3"/>
      <c r="Z1539" s="53"/>
      <c r="AA1539" s="3"/>
      <c r="AB1539" s="59"/>
      <c r="AC1539" s="3"/>
      <c r="AD1539" s="53"/>
      <c r="AE1539" s="65"/>
    </row>
    <row r="1540" spans="1:31" customFormat="1" ht="15" x14ac:dyDescent="0.35">
      <c r="A1540" s="50"/>
      <c r="B1540" s="63"/>
      <c r="C1540" s="39"/>
      <c r="D1540" s="6"/>
      <c r="E1540" s="153"/>
      <c r="F1540" s="10"/>
      <c r="G1540" s="54"/>
      <c r="H1540" s="3"/>
      <c r="I1540" s="2"/>
      <c r="J1540" s="2"/>
      <c r="K1540" s="3"/>
      <c r="L1540" s="3"/>
      <c r="M1540" s="3"/>
      <c r="N1540" s="3"/>
      <c r="O1540" s="3"/>
      <c r="P1540" s="59"/>
      <c r="Q1540" s="21"/>
      <c r="R1540" s="21"/>
      <c r="S1540" s="3"/>
      <c r="T1540" s="3"/>
      <c r="U1540" s="3"/>
      <c r="V1540" s="3"/>
      <c r="W1540" s="3"/>
      <c r="X1540" s="3"/>
      <c r="Y1540" s="3"/>
      <c r="Z1540" s="53"/>
      <c r="AA1540" s="3"/>
      <c r="AB1540" s="59"/>
      <c r="AC1540" s="3"/>
      <c r="AD1540" s="53"/>
      <c r="AE1540" s="59"/>
    </row>
    <row r="1541" spans="1:31" customFormat="1" ht="15" x14ac:dyDescent="0.35">
      <c r="A1541" s="50"/>
      <c r="B1541" s="63"/>
      <c r="C1541" s="39"/>
      <c r="D1541" s="6"/>
      <c r="E1541" s="153"/>
      <c r="F1541" s="10"/>
      <c r="G1541" s="53"/>
      <c r="H1541" s="3"/>
      <c r="I1541" s="3"/>
      <c r="J1541" s="3"/>
      <c r="K1541" s="3"/>
      <c r="L1541" s="3"/>
      <c r="M1541" s="3"/>
      <c r="N1541" s="3"/>
      <c r="O1541" s="3"/>
      <c r="P1541" s="59"/>
      <c r="Q1541" s="21"/>
      <c r="R1541" s="21"/>
      <c r="S1541" s="3"/>
      <c r="T1541" s="3"/>
      <c r="U1541" s="3"/>
      <c r="V1541" s="3"/>
      <c r="W1541" s="3"/>
      <c r="X1541" s="3"/>
      <c r="Y1541" s="3"/>
      <c r="Z1541" s="53"/>
      <c r="AA1541" s="3"/>
      <c r="AB1541" s="59"/>
      <c r="AC1541" s="3"/>
      <c r="AD1541" s="53"/>
      <c r="AE1541" s="59"/>
    </row>
    <row r="1542" spans="1:31" customFormat="1" ht="15" x14ac:dyDescent="0.35">
      <c r="A1542" s="50"/>
      <c r="B1542" s="63"/>
      <c r="C1542" s="39"/>
      <c r="D1542" s="6"/>
      <c r="E1542" s="153"/>
      <c r="F1542" s="10"/>
      <c r="G1542" s="53"/>
      <c r="H1542" s="3"/>
      <c r="I1542" s="3"/>
      <c r="J1542" s="3"/>
      <c r="K1542" s="3"/>
      <c r="L1542" s="3"/>
      <c r="M1542" s="3"/>
      <c r="N1542" s="3"/>
      <c r="O1542" s="3"/>
      <c r="P1542" s="59"/>
      <c r="Q1542" s="21"/>
      <c r="R1542" s="21"/>
      <c r="S1542" s="3"/>
      <c r="T1542" s="3"/>
      <c r="U1542" s="3"/>
      <c r="V1542" s="3"/>
      <c r="W1542" s="3"/>
      <c r="X1542" s="3"/>
      <c r="Y1542" s="3"/>
      <c r="Z1542" s="53"/>
      <c r="AA1542" s="3"/>
      <c r="AB1542" s="59"/>
      <c r="AC1542" s="3"/>
      <c r="AD1542" s="53"/>
      <c r="AE1542" s="59"/>
    </row>
    <row r="1543" spans="1:31" customFormat="1" ht="15" x14ac:dyDescent="0.35">
      <c r="A1543" s="50"/>
      <c r="B1543" s="63"/>
      <c r="C1543" s="39"/>
      <c r="D1543" s="6"/>
      <c r="E1543" s="153"/>
      <c r="F1543" s="10"/>
      <c r="G1543" s="54"/>
      <c r="H1543" s="3"/>
      <c r="I1543" s="2"/>
      <c r="J1543" s="2"/>
      <c r="K1543" s="3"/>
      <c r="L1543" s="3"/>
      <c r="M1543" s="3"/>
      <c r="N1543" s="3"/>
      <c r="O1543" s="3"/>
      <c r="P1543" s="59"/>
      <c r="Q1543" s="3"/>
      <c r="R1543" s="3"/>
      <c r="S1543" s="3"/>
      <c r="T1543" s="3"/>
      <c r="U1543" s="3"/>
      <c r="V1543" s="3"/>
      <c r="W1543" s="3"/>
      <c r="X1543" s="3"/>
      <c r="Y1543" s="3"/>
      <c r="Z1543" s="53"/>
      <c r="AA1543" s="3"/>
      <c r="AB1543" s="59"/>
      <c r="AC1543" s="3"/>
      <c r="AD1543" s="53"/>
      <c r="AE1543" s="59"/>
    </row>
    <row r="1544" spans="1:31" customFormat="1" ht="15" x14ac:dyDescent="0.35">
      <c r="A1544" s="50"/>
      <c r="B1544" s="63"/>
      <c r="C1544" s="39"/>
      <c r="D1544" s="6"/>
      <c r="E1544" s="153"/>
      <c r="F1544" s="10"/>
      <c r="G1544" s="54"/>
      <c r="H1544" s="3"/>
      <c r="I1544" s="2"/>
      <c r="J1544" s="2"/>
      <c r="K1544" s="3"/>
      <c r="L1544" s="3"/>
      <c r="M1544" s="3"/>
      <c r="N1544" s="3"/>
      <c r="O1544" s="3"/>
      <c r="P1544" s="59"/>
      <c r="Q1544" s="3"/>
      <c r="R1544" s="3"/>
      <c r="S1544" s="3"/>
      <c r="T1544" s="3"/>
      <c r="U1544" s="3"/>
      <c r="V1544" s="3"/>
      <c r="W1544" s="3"/>
      <c r="X1544" s="3"/>
      <c r="Y1544" s="3"/>
      <c r="Z1544" s="53"/>
      <c r="AA1544" s="3"/>
      <c r="AB1544" s="59"/>
      <c r="AC1544" s="3"/>
      <c r="AD1544" s="53"/>
      <c r="AE1544" s="59"/>
    </row>
    <row r="1545" spans="1:31" customFormat="1" ht="15" x14ac:dyDescent="0.35">
      <c r="A1545" s="50"/>
      <c r="B1545" s="63"/>
      <c r="C1545" s="39"/>
      <c r="D1545" s="6"/>
      <c r="E1545" s="153"/>
      <c r="F1545" s="10"/>
      <c r="G1545" s="53"/>
      <c r="H1545" s="3"/>
      <c r="I1545" s="3"/>
      <c r="J1545" s="3"/>
      <c r="K1545" s="3"/>
      <c r="L1545" s="3"/>
      <c r="M1545" s="3"/>
      <c r="N1545" s="3"/>
      <c r="O1545" s="3"/>
      <c r="P1545" s="59"/>
      <c r="Q1545" s="21"/>
      <c r="R1545" s="21"/>
      <c r="S1545" s="3"/>
      <c r="T1545" s="3"/>
      <c r="U1545" s="3"/>
      <c r="V1545" s="3"/>
      <c r="W1545" s="3"/>
      <c r="X1545" s="3"/>
      <c r="Y1545" s="3"/>
      <c r="Z1545" s="53"/>
      <c r="AA1545" s="3"/>
      <c r="AB1545" s="59"/>
      <c r="AC1545" s="3"/>
      <c r="AD1545" s="53"/>
      <c r="AE1545" s="59"/>
    </row>
    <row r="1546" spans="1:31" customFormat="1" ht="15" x14ac:dyDescent="0.35">
      <c r="A1546" s="50"/>
      <c r="B1546" s="63"/>
      <c r="C1546" s="39"/>
      <c r="D1546" s="6"/>
      <c r="E1546" s="153"/>
      <c r="F1546" s="10"/>
      <c r="G1546" s="54"/>
      <c r="H1546" s="3"/>
      <c r="I1546" s="2"/>
      <c r="J1546" s="2"/>
      <c r="K1546" s="3"/>
      <c r="L1546" s="3"/>
      <c r="M1546" s="3"/>
      <c r="N1546" s="3"/>
      <c r="O1546" s="3"/>
      <c r="P1546" s="59"/>
      <c r="Q1546" s="21"/>
      <c r="R1546" s="21"/>
      <c r="S1546" s="3"/>
      <c r="T1546" s="3"/>
      <c r="U1546" s="3"/>
      <c r="V1546" s="3"/>
      <c r="W1546" s="3"/>
      <c r="X1546" s="3"/>
      <c r="Y1546" s="3"/>
      <c r="Z1546" s="53"/>
      <c r="AA1546" s="3"/>
      <c r="AB1546" s="59"/>
      <c r="AC1546" s="3"/>
      <c r="AD1546" s="53"/>
      <c r="AE1546" s="59"/>
    </row>
    <row r="1547" spans="1:31" customFormat="1" ht="15" x14ac:dyDescent="0.35">
      <c r="A1547" s="50"/>
      <c r="B1547" s="63"/>
      <c r="C1547" s="39"/>
      <c r="D1547" s="6"/>
      <c r="E1547" s="153"/>
      <c r="F1547" s="10"/>
      <c r="G1547" s="54"/>
      <c r="H1547" s="3"/>
      <c r="I1547" s="2"/>
      <c r="J1547" s="2"/>
      <c r="K1547" s="3"/>
      <c r="L1547" s="3"/>
      <c r="M1547" s="3"/>
      <c r="N1547" s="3"/>
      <c r="O1547" s="3"/>
      <c r="P1547" s="59"/>
      <c r="Q1547" s="3"/>
      <c r="R1547" s="3"/>
      <c r="S1547" s="3"/>
      <c r="T1547" s="3"/>
      <c r="U1547" s="3"/>
      <c r="V1547" s="3"/>
      <c r="W1547" s="3"/>
      <c r="X1547" s="3"/>
      <c r="Y1547" s="3"/>
      <c r="Z1547" s="53"/>
      <c r="AA1547" s="3"/>
      <c r="AB1547" s="59"/>
      <c r="AC1547" s="3"/>
      <c r="AD1547" s="53"/>
      <c r="AE1547" s="59"/>
    </row>
    <row r="1548" spans="1:31" customFormat="1" ht="15" x14ac:dyDescent="0.35">
      <c r="A1548" s="50"/>
      <c r="B1548" s="63"/>
      <c r="C1548" s="39"/>
      <c r="D1548" s="6"/>
      <c r="E1548" s="153"/>
      <c r="F1548" s="10"/>
      <c r="G1548" s="54"/>
      <c r="H1548" s="3"/>
      <c r="I1548" s="2"/>
      <c r="J1548" s="2"/>
      <c r="K1548" s="3"/>
      <c r="L1548" s="3"/>
      <c r="M1548" s="3"/>
      <c r="N1548" s="3"/>
      <c r="O1548" s="3"/>
      <c r="P1548" s="59"/>
      <c r="Q1548" s="3"/>
      <c r="R1548" s="3"/>
      <c r="S1548" s="3"/>
      <c r="T1548" s="3"/>
      <c r="U1548" s="3"/>
      <c r="V1548" s="3"/>
      <c r="W1548" s="3"/>
      <c r="X1548" s="3"/>
      <c r="Y1548" s="3"/>
      <c r="Z1548" s="53"/>
      <c r="AA1548" s="3"/>
      <c r="AB1548" s="59"/>
      <c r="AC1548" s="3"/>
      <c r="AD1548" s="53"/>
      <c r="AE1548" s="59"/>
    </row>
    <row r="1549" spans="1:31" customFormat="1" ht="15" x14ac:dyDescent="0.35">
      <c r="A1549" s="50"/>
      <c r="B1549" s="63"/>
      <c r="C1549" s="39"/>
      <c r="D1549" s="6"/>
      <c r="E1549" s="153"/>
      <c r="F1549" s="10"/>
      <c r="G1549" s="53"/>
      <c r="H1549" s="3"/>
      <c r="I1549" s="3"/>
      <c r="J1549" s="3"/>
      <c r="K1549" s="3"/>
      <c r="L1549" s="3"/>
      <c r="M1549" s="3"/>
      <c r="N1549" s="3"/>
      <c r="O1549" s="3"/>
      <c r="P1549" s="59"/>
      <c r="Q1549" s="21"/>
      <c r="R1549" s="21"/>
      <c r="S1549" s="3"/>
      <c r="T1549" s="3"/>
      <c r="U1549" s="3"/>
      <c r="V1549" s="3"/>
      <c r="W1549" s="3"/>
      <c r="X1549" s="3"/>
      <c r="Y1549" s="3"/>
      <c r="Z1549" s="53"/>
      <c r="AA1549" s="3"/>
      <c r="AB1549" s="59"/>
      <c r="AC1549" s="3"/>
      <c r="AD1549" s="53"/>
      <c r="AE1549" s="59"/>
    </row>
    <row r="1550" spans="1:31" customFormat="1" ht="15" x14ac:dyDescent="0.35">
      <c r="A1550" s="50"/>
      <c r="B1550" s="63"/>
      <c r="C1550" s="39"/>
      <c r="D1550" s="6"/>
      <c r="E1550" s="153"/>
      <c r="F1550" s="10"/>
      <c r="G1550" s="54"/>
      <c r="H1550" s="3"/>
      <c r="I1550" s="2"/>
      <c r="J1550" s="2"/>
      <c r="K1550" s="3"/>
      <c r="L1550" s="3"/>
      <c r="M1550" s="3"/>
      <c r="N1550" s="3"/>
      <c r="O1550" s="3"/>
      <c r="P1550" s="59"/>
      <c r="Q1550" s="3"/>
      <c r="R1550" s="3"/>
      <c r="S1550" s="3"/>
      <c r="T1550" s="3"/>
      <c r="U1550" s="3"/>
      <c r="V1550" s="3"/>
      <c r="W1550" s="3"/>
      <c r="X1550" s="3"/>
      <c r="Y1550" s="3"/>
      <c r="Z1550" s="53"/>
      <c r="AA1550" s="3"/>
      <c r="AB1550" s="59"/>
      <c r="AC1550" s="3"/>
      <c r="AD1550" s="53"/>
      <c r="AE1550" s="59"/>
    </row>
    <row r="1551" spans="1:31" customFormat="1" ht="15" x14ac:dyDescent="0.35">
      <c r="A1551" s="50"/>
      <c r="B1551" s="63"/>
      <c r="C1551" s="39"/>
      <c r="D1551" s="6"/>
      <c r="E1551" s="153"/>
      <c r="F1551" s="10"/>
      <c r="G1551" s="53"/>
      <c r="H1551" s="3"/>
      <c r="I1551" s="3"/>
      <c r="J1551" s="3"/>
      <c r="K1551" s="3"/>
      <c r="L1551" s="3"/>
      <c r="M1551" s="3"/>
      <c r="N1551" s="3"/>
      <c r="O1551" s="3"/>
      <c r="P1551" s="59"/>
      <c r="Q1551" s="21"/>
      <c r="R1551" s="21"/>
      <c r="S1551" s="3"/>
      <c r="T1551" s="3"/>
      <c r="U1551" s="3"/>
      <c r="V1551" s="3"/>
      <c r="W1551" s="3"/>
      <c r="X1551" s="3"/>
      <c r="Y1551" s="3"/>
      <c r="Z1551" s="53"/>
      <c r="AA1551" s="3"/>
      <c r="AB1551" s="59"/>
      <c r="AC1551" s="3"/>
      <c r="AD1551" s="53"/>
      <c r="AE1551" s="59"/>
    </row>
    <row r="1552" spans="1:31" customFormat="1" ht="15" x14ac:dyDescent="0.35">
      <c r="A1552" s="50"/>
      <c r="B1552" s="63"/>
      <c r="C1552" s="39"/>
      <c r="D1552" s="6"/>
      <c r="E1552" s="153"/>
      <c r="F1552" s="10"/>
      <c r="G1552" s="53"/>
      <c r="H1552" s="3"/>
      <c r="I1552" s="3"/>
      <c r="J1552" s="3"/>
      <c r="K1552" s="3"/>
      <c r="L1552" s="3"/>
      <c r="M1552" s="3"/>
      <c r="N1552" s="3"/>
      <c r="O1552" s="3"/>
      <c r="P1552" s="59"/>
      <c r="Q1552" s="21"/>
      <c r="R1552" s="21"/>
      <c r="S1552" s="3"/>
      <c r="T1552" s="3"/>
      <c r="U1552" s="3"/>
      <c r="V1552" s="3"/>
      <c r="W1552" s="3"/>
      <c r="X1552" s="3"/>
      <c r="Y1552" s="3"/>
      <c r="Z1552" s="53"/>
      <c r="AA1552" s="3"/>
      <c r="AB1552" s="59"/>
      <c r="AC1552" s="3"/>
      <c r="AD1552" s="53"/>
      <c r="AE1552" s="59"/>
    </row>
    <row r="1553" spans="1:31" customFormat="1" ht="15" x14ac:dyDescent="0.35">
      <c r="A1553" s="50"/>
      <c r="B1553" s="63"/>
      <c r="C1553" s="39"/>
      <c r="D1553" s="6"/>
      <c r="E1553" s="153"/>
      <c r="F1553" s="10"/>
      <c r="G1553" s="53"/>
      <c r="H1553" s="3"/>
      <c r="I1553" s="3"/>
      <c r="J1553" s="3"/>
      <c r="K1553" s="3"/>
      <c r="L1553" s="3"/>
      <c r="M1553" s="3"/>
      <c r="N1553" s="3"/>
      <c r="O1553" s="3"/>
      <c r="P1553" s="59"/>
      <c r="Q1553" s="21"/>
      <c r="R1553" s="21"/>
      <c r="S1553" s="3"/>
      <c r="T1553" s="3"/>
      <c r="U1553" s="3"/>
      <c r="V1553" s="3"/>
      <c r="W1553" s="3"/>
      <c r="X1553" s="3"/>
      <c r="Y1553" s="3"/>
      <c r="Z1553" s="53"/>
      <c r="AA1553" s="3"/>
      <c r="AB1553" s="59"/>
      <c r="AC1553" s="3"/>
      <c r="AD1553" s="53"/>
      <c r="AE1553" s="59"/>
    </row>
    <row r="1554" spans="1:31" customFormat="1" ht="15" x14ac:dyDescent="0.35">
      <c r="A1554" s="50"/>
      <c r="B1554" s="63"/>
      <c r="C1554" s="39"/>
      <c r="D1554" s="6"/>
      <c r="E1554" s="153"/>
      <c r="F1554" s="10"/>
      <c r="G1554" s="54"/>
      <c r="H1554" s="3"/>
      <c r="I1554" s="2"/>
      <c r="J1554" s="2"/>
      <c r="K1554" s="3"/>
      <c r="L1554" s="3"/>
      <c r="M1554" s="3"/>
      <c r="N1554" s="3"/>
      <c r="O1554" s="3"/>
      <c r="P1554" s="59"/>
      <c r="Q1554" s="3"/>
      <c r="R1554" s="3"/>
      <c r="S1554" s="3"/>
      <c r="T1554" s="3"/>
      <c r="U1554" s="3"/>
      <c r="V1554" s="3"/>
      <c r="W1554" s="3"/>
      <c r="X1554" s="3"/>
      <c r="Y1554" s="3"/>
      <c r="Z1554" s="53"/>
      <c r="AA1554" s="3"/>
      <c r="AB1554" s="59"/>
      <c r="AC1554" s="3"/>
      <c r="AD1554" s="53"/>
      <c r="AE1554" s="59"/>
    </row>
    <row r="1555" spans="1:31" customFormat="1" ht="15" x14ac:dyDescent="0.35">
      <c r="A1555" s="50"/>
      <c r="B1555" s="63"/>
      <c r="C1555" s="39"/>
      <c r="D1555" s="6"/>
      <c r="E1555" s="153"/>
      <c r="F1555" s="10"/>
      <c r="G1555" s="53"/>
      <c r="H1555" s="3"/>
      <c r="I1555" s="3"/>
      <c r="J1555" s="3"/>
      <c r="K1555" s="3"/>
      <c r="L1555" s="3"/>
      <c r="M1555" s="3"/>
      <c r="N1555" s="3"/>
      <c r="O1555" s="3"/>
      <c r="P1555" s="59"/>
      <c r="Q1555" s="21"/>
      <c r="R1555" s="21"/>
      <c r="S1555" s="3"/>
      <c r="T1555" s="3"/>
      <c r="U1555" s="3"/>
      <c r="V1555" s="3"/>
      <c r="W1555" s="3"/>
      <c r="X1555" s="3"/>
      <c r="Y1555" s="3"/>
      <c r="Z1555" s="53"/>
      <c r="AA1555" s="3"/>
      <c r="AB1555" s="59"/>
      <c r="AC1555" s="3"/>
      <c r="AD1555" s="53"/>
      <c r="AE1555" s="59"/>
    </row>
    <row r="1556" spans="1:31" customFormat="1" ht="15" x14ac:dyDescent="0.35">
      <c r="A1556" s="50"/>
      <c r="B1556" s="63"/>
      <c r="C1556" s="39"/>
      <c r="D1556" s="6"/>
      <c r="E1556" s="153"/>
      <c r="F1556" s="10"/>
      <c r="G1556" s="53"/>
      <c r="H1556" s="3"/>
      <c r="I1556" s="3"/>
      <c r="J1556" s="3"/>
      <c r="K1556" s="3"/>
      <c r="L1556" s="3"/>
      <c r="M1556" s="3"/>
      <c r="N1556" s="3"/>
      <c r="O1556" s="3"/>
      <c r="P1556" s="59"/>
      <c r="Q1556" s="21"/>
      <c r="R1556" s="21"/>
      <c r="S1556" s="3"/>
      <c r="T1556" s="3"/>
      <c r="U1556" s="3"/>
      <c r="V1556" s="3"/>
      <c r="W1556" s="3"/>
      <c r="X1556" s="3"/>
      <c r="Y1556" s="3"/>
      <c r="Z1556" s="53"/>
      <c r="AA1556" s="3"/>
      <c r="AB1556" s="59"/>
      <c r="AC1556" s="3"/>
      <c r="AD1556" s="53"/>
      <c r="AE1556" s="59"/>
    </row>
    <row r="1557" spans="1:31" customFormat="1" ht="15" x14ac:dyDescent="0.35">
      <c r="A1557" s="50"/>
      <c r="B1557" s="63"/>
      <c r="C1557" s="39"/>
      <c r="D1557" s="6"/>
      <c r="E1557" s="153"/>
      <c r="F1557" s="10"/>
      <c r="G1557" s="53"/>
      <c r="H1557" s="3"/>
      <c r="I1557" s="3"/>
      <c r="J1557" s="3"/>
      <c r="K1557" s="3"/>
      <c r="L1557" s="3"/>
      <c r="M1557" s="3"/>
      <c r="N1557" s="3"/>
      <c r="O1557" s="3"/>
      <c r="P1557" s="59"/>
      <c r="Q1557" s="21"/>
      <c r="R1557" s="21"/>
      <c r="S1557" s="3"/>
      <c r="T1557" s="3"/>
      <c r="U1557" s="3"/>
      <c r="V1557" s="3"/>
      <c r="W1557" s="3"/>
      <c r="X1557" s="3"/>
      <c r="Y1557" s="3"/>
      <c r="Z1557" s="53"/>
      <c r="AA1557" s="3"/>
      <c r="AB1557" s="59"/>
      <c r="AC1557" s="3"/>
      <c r="AD1557" s="53"/>
      <c r="AE1557" s="59"/>
    </row>
    <row r="1558" spans="1:31" customFormat="1" ht="15" x14ac:dyDescent="0.35">
      <c r="A1558" s="50"/>
      <c r="B1558" s="63"/>
      <c r="C1558" s="39"/>
      <c r="D1558" s="6"/>
      <c r="E1558" s="153"/>
      <c r="F1558" s="10"/>
      <c r="G1558" s="54"/>
      <c r="H1558" s="3"/>
      <c r="I1558" s="2"/>
      <c r="J1558" s="2"/>
      <c r="K1558" s="3"/>
      <c r="L1558" s="3"/>
      <c r="M1558" s="3"/>
      <c r="N1558" s="3"/>
      <c r="O1558" s="3"/>
      <c r="P1558" s="59"/>
      <c r="Q1558" s="3"/>
      <c r="R1558" s="3"/>
      <c r="S1558" s="3"/>
      <c r="T1558" s="3"/>
      <c r="U1558" s="3"/>
      <c r="V1558" s="3"/>
      <c r="W1558" s="3"/>
      <c r="X1558" s="3"/>
      <c r="Y1558" s="3"/>
      <c r="Z1558" s="53"/>
      <c r="AA1558" s="3"/>
      <c r="AB1558" s="59"/>
      <c r="AC1558" s="3"/>
      <c r="AD1558" s="53"/>
      <c r="AE1558" s="59"/>
    </row>
    <row r="1559" spans="1:31" customFormat="1" ht="15" x14ac:dyDescent="0.35">
      <c r="A1559" s="50"/>
      <c r="B1559" s="63"/>
      <c r="C1559" s="39"/>
      <c r="D1559" s="6"/>
      <c r="E1559" s="153"/>
      <c r="F1559" s="10"/>
      <c r="G1559" s="53"/>
      <c r="H1559" s="3"/>
      <c r="I1559" s="3"/>
      <c r="J1559" s="3"/>
      <c r="K1559" s="3"/>
      <c r="L1559" s="3"/>
      <c r="M1559" s="3"/>
      <c r="N1559" s="3"/>
      <c r="O1559" s="3"/>
      <c r="P1559" s="59"/>
      <c r="Q1559" s="21"/>
      <c r="R1559" s="21"/>
      <c r="S1559" s="3"/>
      <c r="T1559" s="3"/>
      <c r="U1559" s="3"/>
      <c r="V1559" s="3"/>
      <c r="W1559" s="3"/>
      <c r="X1559" s="3"/>
      <c r="Y1559" s="3"/>
      <c r="Z1559" s="53"/>
      <c r="AA1559" s="3"/>
      <c r="AB1559" s="59"/>
      <c r="AC1559" s="3"/>
      <c r="AD1559" s="53"/>
      <c r="AE1559" s="65"/>
    </row>
    <row r="1560" spans="1:31" customFormat="1" ht="15" x14ac:dyDescent="0.35">
      <c r="A1560" s="50"/>
      <c r="B1560" s="63"/>
      <c r="C1560" s="39"/>
      <c r="D1560" s="6"/>
      <c r="E1560" s="153"/>
      <c r="F1560" s="10"/>
      <c r="G1560" s="53"/>
      <c r="H1560" s="3"/>
      <c r="I1560" s="3"/>
      <c r="J1560" s="3"/>
      <c r="K1560" s="3"/>
      <c r="L1560" s="3"/>
      <c r="M1560" s="3"/>
      <c r="N1560" s="3"/>
      <c r="O1560" s="3"/>
      <c r="P1560" s="59"/>
      <c r="Q1560" s="21"/>
      <c r="R1560" s="21"/>
      <c r="S1560" s="3"/>
      <c r="T1560" s="3"/>
      <c r="U1560" s="3"/>
      <c r="V1560" s="3"/>
      <c r="W1560" s="3"/>
      <c r="X1560" s="3"/>
      <c r="Y1560" s="3"/>
      <c r="Z1560" s="53"/>
      <c r="AA1560" s="3"/>
      <c r="AB1560" s="59"/>
      <c r="AC1560" s="3"/>
      <c r="AD1560" s="53"/>
      <c r="AE1560" s="59"/>
    </row>
    <row r="1561" spans="1:31" customFormat="1" ht="15" x14ac:dyDescent="0.35">
      <c r="A1561" s="50"/>
      <c r="B1561" s="63"/>
      <c r="C1561" s="39"/>
      <c r="D1561" s="6"/>
      <c r="E1561" s="153"/>
      <c r="F1561" s="10"/>
      <c r="G1561" s="54"/>
      <c r="H1561" s="3"/>
      <c r="I1561" s="2"/>
      <c r="J1561" s="2"/>
      <c r="K1561" s="3"/>
      <c r="L1561" s="3"/>
      <c r="M1561" s="3"/>
      <c r="N1561" s="3"/>
      <c r="O1561" s="3"/>
      <c r="P1561" s="59"/>
      <c r="Q1561" s="3"/>
      <c r="R1561" s="3"/>
      <c r="S1561" s="3"/>
      <c r="T1561" s="3"/>
      <c r="U1561" s="3"/>
      <c r="V1561" s="3"/>
      <c r="W1561" s="3"/>
      <c r="X1561" s="3"/>
      <c r="Y1561" s="3"/>
      <c r="Z1561" s="53"/>
      <c r="AA1561" s="3"/>
      <c r="AB1561" s="59"/>
      <c r="AC1561" s="3"/>
      <c r="AD1561" s="53"/>
      <c r="AE1561" s="59"/>
    </row>
    <row r="1562" spans="1:31" customFormat="1" ht="15" x14ac:dyDescent="0.35">
      <c r="A1562" s="50"/>
      <c r="B1562" s="63"/>
      <c r="C1562" s="39"/>
      <c r="D1562" s="6"/>
      <c r="E1562" s="153"/>
      <c r="F1562" s="10"/>
      <c r="G1562" s="54"/>
      <c r="H1562" s="3"/>
      <c r="I1562" s="2"/>
      <c r="J1562" s="2"/>
      <c r="K1562" s="3"/>
      <c r="L1562" s="3"/>
      <c r="M1562" s="3"/>
      <c r="N1562" s="3"/>
      <c r="O1562" s="3"/>
      <c r="P1562" s="59"/>
      <c r="Q1562" s="21"/>
      <c r="R1562" s="21"/>
      <c r="S1562" s="3"/>
      <c r="T1562" s="3"/>
      <c r="U1562" s="3"/>
      <c r="V1562" s="3"/>
      <c r="W1562" s="3"/>
      <c r="X1562" s="3"/>
      <c r="Y1562" s="3"/>
      <c r="Z1562" s="53"/>
      <c r="AA1562" s="3"/>
      <c r="AB1562" s="59"/>
      <c r="AC1562" s="3"/>
      <c r="AD1562" s="53"/>
      <c r="AE1562" s="59"/>
    </row>
    <row r="1563" spans="1:31" customFormat="1" ht="15" x14ac:dyDescent="0.35">
      <c r="A1563" s="50"/>
      <c r="B1563" s="63"/>
      <c r="C1563" s="39"/>
      <c r="D1563" s="6"/>
      <c r="E1563" s="153"/>
      <c r="F1563" s="10"/>
      <c r="G1563" s="53"/>
      <c r="H1563" s="3"/>
      <c r="I1563" s="3"/>
      <c r="J1563" s="3"/>
      <c r="K1563" s="3"/>
      <c r="L1563" s="3"/>
      <c r="M1563" s="3"/>
      <c r="N1563" s="3"/>
      <c r="O1563" s="3"/>
      <c r="P1563" s="59"/>
      <c r="Q1563" s="21"/>
      <c r="R1563" s="21"/>
      <c r="S1563" s="3"/>
      <c r="T1563" s="3"/>
      <c r="U1563" s="3"/>
      <c r="V1563" s="3"/>
      <c r="W1563" s="3"/>
      <c r="X1563" s="3"/>
      <c r="Y1563" s="3"/>
      <c r="Z1563" s="53"/>
      <c r="AA1563" s="3"/>
      <c r="AB1563" s="59"/>
      <c r="AC1563" s="3"/>
      <c r="AD1563" s="53"/>
      <c r="AE1563" s="59"/>
    </row>
    <row r="1564" spans="1:31" customFormat="1" ht="15" x14ac:dyDescent="0.35">
      <c r="A1564" s="19"/>
      <c r="B1564" s="49"/>
      <c r="C1564" s="39"/>
      <c r="D1564" s="1"/>
      <c r="E1564" s="153"/>
      <c r="F1564" s="10"/>
      <c r="G1564" s="20"/>
      <c r="H1564" s="21"/>
      <c r="I1564" s="21"/>
      <c r="J1564" s="21"/>
      <c r="K1564" s="21"/>
      <c r="L1564" s="21"/>
      <c r="M1564" s="21"/>
      <c r="N1564" s="22"/>
      <c r="O1564" s="21"/>
      <c r="P1564" s="24"/>
      <c r="Q1564" s="21"/>
      <c r="R1564" s="21"/>
      <c r="S1564" s="21"/>
      <c r="T1564" s="21"/>
      <c r="U1564" s="21"/>
      <c r="V1564" s="22"/>
      <c r="W1564" s="21"/>
      <c r="X1564" s="22"/>
      <c r="Y1564" s="21"/>
      <c r="Z1564" s="20"/>
      <c r="AA1564" s="21"/>
      <c r="AB1564" s="25"/>
      <c r="AC1564" s="26"/>
      <c r="AD1564" s="27"/>
      <c r="AE1564" s="28"/>
    </row>
    <row r="1565" spans="1:31" customFormat="1" ht="15" x14ac:dyDescent="0.35">
      <c r="A1565" s="50"/>
      <c r="B1565" s="63"/>
      <c r="C1565" s="39"/>
      <c r="D1565" s="6"/>
      <c r="E1565" s="153"/>
      <c r="F1565" s="10"/>
      <c r="G1565" s="53"/>
      <c r="H1565" s="3"/>
      <c r="I1565" s="3"/>
      <c r="J1565" s="3"/>
      <c r="K1565" s="3"/>
      <c r="L1565" s="3"/>
      <c r="M1565" s="3"/>
      <c r="N1565" s="3"/>
      <c r="O1565" s="3"/>
      <c r="P1565" s="59"/>
      <c r="Q1565" s="21"/>
      <c r="R1565" s="21"/>
      <c r="S1565" s="3"/>
      <c r="T1565" s="3"/>
      <c r="U1565" s="3"/>
      <c r="V1565" s="3"/>
      <c r="W1565" s="3"/>
      <c r="X1565" s="3"/>
      <c r="Y1565" s="3"/>
      <c r="Z1565" s="53"/>
      <c r="AA1565" s="3"/>
      <c r="AB1565" s="59"/>
      <c r="AC1565" s="3"/>
      <c r="AD1565" s="53"/>
      <c r="AE1565" s="59"/>
    </row>
    <row r="1566" spans="1:31" customFormat="1" ht="15" x14ac:dyDescent="0.35">
      <c r="A1566" s="50"/>
      <c r="B1566" s="63"/>
      <c r="C1566" s="39"/>
      <c r="D1566" s="6"/>
      <c r="E1566" s="153"/>
      <c r="F1566" s="10"/>
      <c r="G1566" s="54"/>
      <c r="H1566" s="3"/>
      <c r="I1566" s="2"/>
      <c r="J1566" s="2"/>
      <c r="K1566" s="3"/>
      <c r="L1566" s="3"/>
      <c r="M1566" s="3"/>
      <c r="N1566" s="3"/>
      <c r="O1566" s="3"/>
      <c r="P1566" s="59"/>
      <c r="Q1566" s="3"/>
      <c r="R1566" s="3"/>
      <c r="S1566" s="3"/>
      <c r="T1566" s="3"/>
      <c r="U1566" s="3"/>
      <c r="V1566" s="3"/>
      <c r="W1566" s="3"/>
      <c r="X1566" s="3"/>
      <c r="Y1566" s="3"/>
      <c r="Z1566" s="53"/>
      <c r="AA1566" s="3"/>
      <c r="AB1566" s="59"/>
      <c r="AC1566" s="3"/>
      <c r="AD1566" s="53"/>
      <c r="AE1566" s="59"/>
    </row>
    <row r="1567" spans="1:31" customFormat="1" ht="15" x14ac:dyDescent="0.35">
      <c r="A1567" s="50"/>
      <c r="B1567" s="63"/>
      <c r="C1567" s="39"/>
      <c r="D1567" s="6"/>
      <c r="E1567" s="153"/>
      <c r="F1567" s="10"/>
      <c r="G1567" s="53"/>
      <c r="H1567" s="3"/>
      <c r="I1567" s="3"/>
      <c r="J1567" s="3"/>
      <c r="K1567" s="3"/>
      <c r="L1567" s="3"/>
      <c r="M1567" s="3"/>
      <c r="N1567" s="3"/>
      <c r="O1567" s="3"/>
      <c r="P1567" s="59"/>
      <c r="Q1567" s="21"/>
      <c r="R1567" s="21"/>
      <c r="S1567" s="3"/>
      <c r="T1567" s="3"/>
      <c r="U1567" s="3"/>
      <c r="V1567" s="3"/>
      <c r="W1567" s="3"/>
      <c r="X1567" s="3"/>
      <c r="Y1567" s="3"/>
      <c r="Z1567" s="53"/>
      <c r="AA1567" s="3"/>
      <c r="AB1567" s="59"/>
      <c r="AC1567" s="3"/>
      <c r="AD1567" s="53"/>
      <c r="AE1567" s="59"/>
    </row>
    <row r="1568" spans="1:31" customFormat="1" ht="15" x14ac:dyDescent="0.35">
      <c r="A1568" s="19"/>
      <c r="B1568" s="49"/>
      <c r="C1568" s="14"/>
      <c r="D1568" s="1"/>
      <c r="E1568" s="153"/>
      <c r="F1568" s="10"/>
      <c r="G1568" s="20"/>
      <c r="H1568" s="21"/>
      <c r="I1568" s="21"/>
      <c r="J1568" s="21"/>
      <c r="K1568" s="21"/>
      <c r="L1568" s="21"/>
      <c r="M1568" s="21"/>
      <c r="N1568" s="22"/>
      <c r="O1568" s="21"/>
      <c r="P1568" s="24"/>
      <c r="Q1568" s="21"/>
      <c r="R1568" s="21"/>
      <c r="S1568" s="21"/>
      <c r="T1568" s="21"/>
      <c r="U1568" s="21"/>
      <c r="V1568" s="22"/>
      <c r="W1568" s="21"/>
      <c r="X1568" s="22"/>
      <c r="Y1568" s="21"/>
      <c r="Z1568" s="20"/>
      <c r="AA1568" s="21"/>
      <c r="AB1568" s="25"/>
      <c r="AC1568" s="26"/>
      <c r="AD1568" s="27"/>
      <c r="AE1568" s="28"/>
    </row>
    <row r="1569" spans="1:31" customFormat="1" ht="15" x14ac:dyDescent="0.35">
      <c r="A1569" s="50"/>
      <c r="B1569" s="63"/>
      <c r="C1569" s="39"/>
      <c r="D1569" s="6"/>
      <c r="E1569" s="153"/>
      <c r="F1569" s="10"/>
      <c r="G1569" s="53"/>
      <c r="H1569" s="3"/>
      <c r="I1569" s="3"/>
      <c r="J1569" s="3"/>
      <c r="K1569" s="3"/>
      <c r="L1569" s="3"/>
      <c r="M1569" s="3"/>
      <c r="N1569" s="3"/>
      <c r="O1569" s="3"/>
      <c r="P1569" s="59"/>
      <c r="Q1569" s="21"/>
      <c r="R1569" s="21"/>
      <c r="S1569" s="3"/>
      <c r="T1569" s="3"/>
      <c r="U1569" s="3"/>
      <c r="V1569" s="3"/>
      <c r="W1569" s="3"/>
      <c r="X1569" s="3"/>
      <c r="Y1569" s="3"/>
      <c r="Z1569" s="53"/>
      <c r="AA1569" s="3"/>
      <c r="AB1569" s="59"/>
      <c r="AC1569" s="3"/>
      <c r="AD1569" s="53"/>
      <c r="AE1569" s="59"/>
    </row>
    <row r="1570" spans="1:31" customFormat="1" ht="15" x14ac:dyDescent="0.35">
      <c r="A1570" s="50"/>
      <c r="B1570" s="63"/>
      <c r="C1570" s="39"/>
      <c r="D1570" s="6"/>
      <c r="E1570" s="153"/>
      <c r="F1570" s="10"/>
      <c r="G1570" s="53"/>
      <c r="H1570" s="3"/>
      <c r="I1570" s="3"/>
      <c r="J1570" s="3"/>
      <c r="K1570" s="3"/>
      <c r="L1570" s="3"/>
      <c r="M1570" s="3"/>
      <c r="N1570" s="3"/>
      <c r="O1570" s="3"/>
      <c r="P1570" s="59"/>
      <c r="Q1570" s="21"/>
      <c r="R1570" s="21"/>
      <c r="S1570" s="3"/>
      <c r="T1570" s="3"/>
      <c r="U1570" s="3"/>
      <c r="V1570" s="3"/>
      <c r="W1570" s="3"/>
      <c r="X1570" s="3"/>
      <c r="Y1570" s="3"/>
      <c r="Z1570" s="53"/>
      <c r="AA1570" s="3"/>
      <c r="AB1570" s="59"/>
      <c r="AC1570" s="3"/>
      <c r="AD1570" s="53"/>
      <c r="AE1570" s="59"/>
    </row>
    <row r="1571" spans="1:31" customFormat="1" ht="15" x14ac:dyDescent="0.35">
      <c r="A1571" s="50"/>
      <c r="B1571" s="63"/>
      <c r="C1571" s="39"/>
      <c r="D1571" s="6"/>
      <c r="E1571" s="153"/>
      <c r="F1571" s="10"/>
      <c r="G1571" s="54"/>
      <c r="H1571" s="3"/>
      <c r="I1571" s="2"/>
      <c r="J1571" s="2"/>
      <c r="K1571" s="3"/>
      <c r="L1571" s="3"/>
      <c r="M1571" s="3"/>
      <c r="N1571" s="3"/>
      <c r="O1571" s="3"/>
      <c r="P1571" s="59"/>
      <c r="Q1571" s="3"/>
      <c r="R1571" s="3"/>
      <c r="S1571" s="3"/>
      <c r="T1571" s="3"/>
      <c r="U1571" s="3"/>
      <c r="V1571" s="3"/>
      <c r="W1571" s="3"/>
      <c r="X1571" s="3"/>
      <c r="Y1571" s="3"/>
      <c r="Z1571" s="53"/>
      <c r="AA1571" s="3"/>
      <c r="AB1571" s="59"/>
      <c r="AC1571" s="3"/>
      <c r="AD1571" s="53"/>
      <c r="AE1571" s="59"/>
    </row>
    <row r="1572" spans="1:31" customFormat="1" ht="15" x14ac:dyDescent="0.35">
      <c r="A1572" s="50"/>
      <c r="B1572" s="63"/>
      <c r="C1572" s="39"/>
      <c r="D1572" s="6"/>
      <c r="E1572" s="153"/>
      <c r="F1572" s="10"/>
      <c r="G1572" s="54"/>
      <c r="H1572" s="3"/>
      <c r="I1572" s="2"/>
      <c r="J1572" s="2"/>
      <c r="K1572" s="3"/>
      <c r="L1572" s="3"/>
      <c r="M1572" s="3"/>
      <c r="N1572" s="3"/>
      <c r="O1572" s="3"/>
      <c r="P1572" s="59"/>
      <c r="Q1572" s="3"/>
      <c r="R1572" s="3"/>
      <c r="S1572" s="3"/>
      <c r="T1572" s="3"/>
      <c r="U1572" s="3"/>
      <c r="V1572" s="3"/>
      <c r="W1572" s="3"/>
      <c r="X1572" s="3"/>
      <c r="Y1572" s="3"/>
      <c r="Z1572" s="53"/>
      <c r="AA1572" s="3"/>
      <c r="AB1572" s="59"/>
      <c r="AC1572" s="3"/>
      <c r="AD1572" s="53"/>
      <c r="AE1572" s="59"/>
    </row>
    <row r="1573" spans="1:31" customFormat="1" ht="15" x14ac:dyDescent="0.35">
      <c r="A1573" s="19"/>
      <c r="B1573" s="49"/>
      <c r="C1573" s="39"/>
      <c r="D1573" s="1"/>
      <c r="E1573" s="153"/>
      <c r="F1573" s="10"/>
      <c r="G1573" s="20"/>
      <c r="H1573" s="21"/>
      <c r="I1573" s="21"/>
      <c r="J1573" s="21"/>
      <c r="K1573" s="21"/>
      <c r="L1573" s="21"/>
      <c r="M1573" s="21"/>
      <c r="N1573" s="22"/>
      <c r="O1573" s="21"/>
      <c r="P1573" s="24"/>
      <c r="Q1573" s="21"/>
      <c r="R1573" s="21"/>
      <c r="S1573" s="21"/>
      <c r="T1573" s="21"/>
      <c r="U1573" s="21"/>
      <c r="V1573" s="22"/>
      <c r="W1573" s="21"/>
      <c r="X1573" s="22"/>
      <c r="Y1573" s="21"/>
      <c r="Z1573" s="20"/>
      <c r="AA1573" s="21"/>
      <c r="AB1573" s="25"/>
      <c r="AC1573" s="26"/>
      <c r="AD1573" s="27"/>
      <c r="AE1573" s="28"/>
    </row>
    <row r="1574" spans="1:31" customFormat="1" ht="15" x14ac:dyDescent="0.35">
      <c r="A1574" s="50"/>
      <c r="B1574" s="63"/>
      <c r="C1574" s="39"/>
      <c r="D1574" s="6"/>
      <c r="E1574" s="153"/>
      <c r="F1574" s="10"/>
      <c r="G1574" s="53"/>
      <c r="H1574" s="3"/>
      <c r="I1574" s="3"/>
      <c r="J1574" s="3"/>
      <c r="K1574" s="3"/>
      <c r="L1574" s="3"/>
      <c r="M1574" s="3"/>
      <c r="N1574" s="3"/>
      <c r="O1574" s="3"/>
      <c r="P1574" s="59"/>
      <c r="Q1574" s="21"/>
      <c r="R1574" s="21"/>
      <c r="S1574" s="3"/>
      <c r="T1574" s="3"/>
      <c r="U1574" s="3"/>
      <c r="V1574" s="3"/>
      <c r="W1574" s="3"/>
      <c r="X1574" s="3"/>
      <c r="Y1574" s="3"/>
      <c r="Z1574" s="53"/>
      <c r="AA1574" s="3"/>
      <c r="AB1574" s="59"/>
      <c r="AC1574" s="3"/>
      <c r="AD1574" s="53"/>
      <c r="AE1574" s="59"/>
    </row>
    <row r="1575" spans="1:31" customFormat="1" ht="15" x14ac:dyDescent="0.35">
      <c r="A1575" s="50"/>
      <c r="B1575" s="63"/>
      <c r="C1575" s="39"/>
      <c r="D1575" s="6"/>
      <c r="E1575" s="153"/>
      <c r="F1575" s="10"/>
      <c r="G1575" s="53"/>
      <c r="H1575" s="3"/>
      <c r="I1575" s="3"/>
      <c r="J1575" s="3"/>
      <c r="K1575" s="3"/>
      <c r="L1575" s="3"/>
      <c r="M1575" s="3"/>
      <c r="N1575" s="3"/>
      <c r="O1575" s="3"/>
      <c r="P1575" s="59"/>
      <c r="Q1575" s="21"/>
      <c r="R1575" s="21"/>
      <c r="S1575" s="3"/>
      <c r="T1575" s="3"/>
      <c r="U1575" s="3"/>
      <c r="V1575" s="3"/>
      <c r="W1575" s="3"/>
      <c r="X1575" s="3"/>
      <c r="Y1575" s="3"/>
      <c r="Z1575" s="53"/>
      <c r="AA1575" s="3"/>
      <c r="AB1575" s="59"/>
      <c r="AC1575" s="3"/>
      <c r="AD1575" s="53"/>
      <c r="AE1575" s="59"/>
    </row>
    <row r="1576" spans="1:31" customFormat="1" ht="15" x14ac:dyDescent="0.35">
      <c r="A1576" s="50"/>
      <c r="B1576" s="63"/>
      <c r="C1576" s="39"/>
      <c r="D1576" s="6"/>
      <c r="E1576" s="153"/>
      <c r="F1576" s="10"/>
      <c r="G1576" s="54"/>
      <c r="H1576" s="3"/>
      <c r="I1576" s="2"/>
      <c r="J1576" s="2"/>
      <c r="K1576" s="3"/>
      <c r="L1576" s="3"/>
      <c r="M1576" s="3"/>
      <c r="N1576" s="3"/>
      <c r="O1576" s="3"/>
      <c r="P1576" s="59"/>
      <c r="Q1576" s="3"/>
      <c r="R1576" s="3"/>
      <c r="S1576" s="3"/>
      <c r="T1576" s="3"/>
      <c r="U1576" s="3"/>
      <c r="V1576" s="3"/>
      <c r="W1576" s="3"/>
      <c r="X1576" s="3"/>
      <c r="Y1576" s="3"/>
      <c r="Z1576" s="53"/>
      <c r="AA1576" s="3"/>
      <c r="AB1576" s="59"/>
      <c r="AC1576" s="3"/>
      <c r="AD1576" s="53"/>
      <c r="AE1576" s="59"/>
    </row>
    <row r="1577" spans="1:31" customFormat="1" ht="15" x14ac:dyDescent="0.35">
      <c r="A1577" s="50"/>
      <c r="B1577" s="63"/>
      <c r="C1577" s="39"/>
      <c r="D1577" s="6"/>
      <c r="E1577" s="153"/>
      <c r="F1577" s="10"/>
      <c r="G1577" s="54"/>
      <c r="H1577" s="3"/>
      <c r="I1577" s="2"/>
      <c r="J1577" s="2"/>
      <c r="K1577" s="3"/>
      <c r="L1577" s="3"/>
      <c r="M1577" s="3"/>
      <c r="N1577" s="3"/>
      <c r="O1577" s="3"/>
      <c r="P1577" s="59"/>
      <c r="Q1577" s="3"/>
      <c r="R1577" s="3"/>
      <c r="S1577" s="3"/>
      <c r="T1577" s="3"/>
      <c r="U1577" s="3"/>
      <c r="V1577" s="3"/>
      <c r="W1577" s="3"/>
      <c r="X1577" s="3"/>
      <c r="Y1577" s="3"/>
      <c r="Z1577" s="53"/>
      <c r="AA1577" s="3"/>
      <c r="AB1577" s="59"/>
      <c r="AC1577" s="3"/>
      <c r="AD1577" s="53"/>
      <c r="AE1577" s="59"/>
    </row>
    <row r="1578" spans="1:31" customFormat="1" ht="15" x14ac:dyDescent="0.35">
      <c r="A1578" s="19"/>
      <c r="B1578" s="49"/>
      <c r="C1578" s="14"/>
      <c r="D1578" s="1"/>
      <c r="E1578" s="153"/>
      <c r="F1578" s="10"/>
      <c r="G1578" s="20"/>
      <c r="H1578" s="21"/>
      <c r="I1578" s="21"/>
      <c r="J1578" s="21"/>
      <c r="K1578" s="21"/>
      <c r="L1578" s="21"/>
      <c r="M1578" s="21"/>
      <c r="N1578" s="22"/>
      <c r="O1578" s="21"/>
      <c r="P1578" s="24"/>
      <c r="Q1578" s="21"/>
      <c r="R1578" s="21"/>
      <c r="S1578" s="21"/>
      <c r="T1578" s="21"/>
      <c r="U1578" s="21"/>
      <c r="V1578" s="22"/>
      <c r="W1578" s="21"/>
      <c r="X1578" s="22"/>
      <c r="Y1578" s="21"/>
      <c r="Z1578" s="20"/>
      <c r="AA1578" s="21"/>
      <c r="AB1578" s="25"/>
      <c r="AC1578" s="26"/>
      <c r="AD1578" s="27"/>
      <c r="AE1578" s="28"/>
    </row>
    <row r="1579" spans="1:31" customFormat="1" ht="15" x14ac:dyDescent="0.35">
      <c r="A1579" s="50"/>
      <c r="B1579" s="63"/>
      <c r="C1579" s="39"/>
      <c r="D1579" s="6"/>
      <c r="E1579" s="153"/>
      <c r="F1579" s="10"/>
      <c r="G1579" s="53"/>
      <c r="H1579" s="3"/>
      <c r="I1579" s="3"/>
      <c r="J1579" s="3"/>
      <c r="K1579" s="3"/>
      <c r="L1579" s="3"/>
      <c r="M1579" s="3"/>
      <c r="N1579" s="3"/>
      <c r="O1579" s="3"/>
      <c r="P1579" s="59"/>
      <c r="Q1579" s="21"/>
      <c r="R1579" s="21"/>
      <c r="S1579" s="3"/>
      <c r="T1579" s="3"/>
      <c r="U1579" s="3"/>
      <c r="V1579" s="3"/>
      <c r="W1579" s="3"/>
      <c r="X1579" s="3"/>
      <c r="Y1579" s="3"/>
      <c r="Z1579" s="53"/>
      <c r="AA1579" s="3"/>
      <c r="AB1579" s="59"/>
      <c r="AC1579" s="3"/>
      <c r="AD1579" s="53"/>
      <c r="AE1579" s="59"/>
    </row>
    <row r="1580" spans="1:31" customFormat="1" ht="15" x14ac:dyDescent="0.35">
      <c r="A1580" s="50"/>
      <c r="B1580" s="63"/>
      <c r="C1580" s="39"/>
      <c r="D1580" s="6"/>
      <c r="E1580" s="153"/>
      <c r="F1580" s="10"/>
      <c r="G1580" s="54"/>
      <c r="H1580" s="3"/>
      <c r="I1580" s="2"/>
      <c r="J1580" s="2"/>
      <c r="K1580" s="3"/>
      <c r="L1580" s="3"/>
      <c r="M1580" s="3"/>
      <c r="N1580" s="3"/>
      <c r="O1580" s="3"/>
      <c r="P1580" s="59"/>
      <c r="Q1580" s="3"/>
      <c r="R1580" s="3"/>
      <c r="S1580" s="3"/>
      <c r="T1580" s="3"/>
      <c r="U1580" s="3"/>
      <c r="V1580" s="3"/>
      <c r="W1580" s="3"/>
      <c r="X1580" s="3"/>
      <c r="Y1580" s="3"/>
      <c r="Z1580" s="53"/>
      <c r="AA1580" s="3"/>
      <c r="AB1580" s="59"/>
      <c r="AC1580" s="3"/>
      <c r="AD1580" s="53"/>
      <c r="AE1580" s="59"/>
    </row>
    <row r="1581" spans="1:31" customFormat="1" ht="15" x14ac:dyDescent="0.35">
      <c r="A1581" s="50"/>
      <c r="B1581" s="63"/>
      <c r="C1581" s="39"/>
      <c r="D1581" s="6"/>
      <c r="E1581" s="153"/>
      <c r="F1581" s="10"/>
      <c r="G1581" s="54"/>
      <c r="H1581" s="3"/>
      <c r="I1581" s="2"/>
      <c r="J1581" s="2"/>
      <c r="K1581" s="3"/>
      <c r="L1581" s="3"/>
      <c r="M1581" s="3"/>
      <c r="N1581" s="3"/>
      <c r="O1581" s="3"/>
      <c r="P1581" s="59"/>
      <c r="Q1581" s="21"/>
      <c r="R1581" s="21"/>
      <c r="S1581" s="3"/>
      <c r="T1581" s="3"/>
      <c r="U1581" s="3"/>
      <c r="V1581" s="3"/>
      <c r="W1581" s="3"/>
      <c r="X1581" s="3"/>
      <c r="Y1581" s="3"/>
      <c r="Z1581" s="53"/>
      <c r="AA1581" s="3"/>
      <c r="AB1581" s="59"/>
      <c r="AC1581" s="3"/>
      <c r="AD1581" s="53"/>
      <c r="AE1581" s="59"/>
    </row>
    <row r="1582" spans="1:31" customFormat="1" ht="15" x14ac:dyDescent="0.35">
      <c r="A1582" s="19"/>
      <c r="B1582" s="49"/>
      <c r="C1582" s="14"/>
      <c r="D1582" s="1"/>
      <c r="E1582" s="153"/>
      <c r="F1582" s="10"/>
      <c r="G1582" s="20"/>
      <c r="H1582" s="21"/>
      <c r="I1582" s="21"/>
      <c r="J1582" s="21"/>
      <c r="K1582" s="21"/>
      <c r="L1582" s="21"/>
      <c r="M1582" s="21"/>
      <c r="N1582" s="22"/>
      <c r="O1582" s="21"/>
      <c r="P1582" s="24"/>
      <c r="Q1582" s="21"/>
      <c r="R1582" s="21"/>
      <c r="S1582" s="21"/>
      <c r="T1582" s="21"/>
      <c r="U1582" s="21"/>
      <c r="V1582" s="22"/>
      <c r="W1582" s="21"/>
      <c r="X1582" s="22"/>
      <c r="Y1582" s="21"/>
      <c r="Z1582" s="20"/>
      <c r="AA1582" s="21"/>
      <c r="AB1582" s="25"/>
      <c r="AC1582" s="26"/>
      <c r="AD1582" s="27"/>
      <c r="AE1582" s="28"/>
    </row>
    <row r="1583" spans="1:31" customFormat="1" ht="15" x14ac:dyDescent="0.35">
      <c r="A1583" s="19"/>
      <c r="B1583" s="49"/>
      <c r="C1583" s="14"/>
      <c r="D1583" s="1"/>
      <c r="E1583" s="153"/>
      <c r="F1583" s="10"/>
      <c r="G1583" s="20"/>
      <c r="H1583" s="21"/>
      <c r="I1583" s="21"/>
      <c r="J1583" s="21"/>
      <c r="K1583" s="21"/>
      <c r="L1583" s="21"/>
      <c r="M1583" s="21"/>
      <c r="N1583" s="22"/>
      <c r="O1583" s="21"/>
      <c r="P1583" s="24"/>
      <c r="Q1583" s="21"/>
      <c r="R1583" s="21"/>
      <c r="S1583" s="21"/>
      <c r="T1583" s="21"/>
      <c r="U1583" s="21"/>
      <c r="V1583" s="22"/>
      <c r="W1583" s="21"/>
      <c r="X1583" s="22"/>
      <c r="Y1583" s="21"/>
      <c r="Z1583" s="20"/>
      <c r="AA1583" s="21"/>
      <c r="AB1583" s="25"/>
      <c r="AC1583" s="26"/>
      <c r="AD1583" s="27"/>
      <c r="AE1583" s="28"/>
    </row>
    <row r="1584" spans="1:31" customFormat="1" ht="15" x14ac:dyDescent="0.35">
      <c r="A1584" s="50"/>
      <c r="B1584" s="63"/>
      <c r="C1584" s="39"/>
      <c r="D1584" s="6"/>
      <c r="E1584" s="153"/>
      <c r="F1584" s="10"/>
      <c r="G1584" s="53"/>
      <c r="H1584" s="3"/>
      <c r="I1584" s="3"/>
      <c r="J1584" s="3"/>
      <c r="K1584" s="3"/>
      <c r="L1584" s="3"/>
      <c r="M1584" s="3"/>
      <c r="N1584" s="3"/>
      <c r="O1584" s="3"/>
      <c r="P1584" s="59"/>
      <c r="Q1584" s="21"/>
      <c r="R1584" s="21"/>
      <c r="S1584" s="3"/>
      <c r="T1584" s="3"/>
      <c r="U1584" s="3"/>
      <c r="V1584" s="3"/>
      <c r="W1584" s="3"/>
      <c r="X1584" s="3"/>
      <c r="Y1584" s="3"/>
      <c r="Z1584" s="53"/>
      <c r="AA1584" s="3"/>
      <c r="AB1584" s="59"/>
      <c r="AC1584" s="3"/>
      <c r="AD1584" s="53"/>
      <c r="AE1584" s="59"/>
    </row>
    <row r="1585" spans="1:31" customFormat="1" ht="15" x14ac:dyDescent="0.35">
      <c r="A1585" s="50"/>
      <c r="B1585" s="63"/>
      <c r="C1585" s="39"/>
      <c r="D1585" s="6"/>
      <c r="E1585" s="153"/>
      <c r="F1585" s="10"/>
      <c r="G1585" s="53"/>
      <c r="H1585" s="3"/>
      <c r="I1585" s="3"/>
      <c r="J1585" s="3"/>
      <c r="K1585" s="3"/>
      <c r="L1585" s="3"/>
      <c r="M1585" s="3"/>
      <c r="N1585" s="3"/>
      <c r="O1585" s="3"/>
      <c r="P1585" s="59"/>
      <c r="Q1585" s="21"/>
      <c r="R1585" s="21"/>
      <c r="S1585" s="3"/>
      <c r="T1585" s="3"/>
      <c r="U1585" s="3"/>
      <c r="V1585" s="3"/>
      <c r="W1585" s="3"/>
      <c r="X1585" s="3"/>
      <c r="Y1585" s="3"/>
      <c r="Z1585" s="53"/>
      <c r="AA1585" s="3"/>
      <c r="AB1585" s="59"/>
      <c r="AC1585" s="3"/>
      <c r="AD1585" s="53"/>
      <c r="AE1585" s="59"/>
    </row>
    <row r="1586" spans="1:31" customFormat="1" ht="15" x14ac:dyDescent="0.35">
      <c r="A1586" s="19"/>
      <c r="B1586" s="49"/>
      <c r="C1586" s="14"/>
      <c r="D1586" s="1"/>
      <c r="E1586" s="153"/>
      <c r="F1586" s="10"/>
      <c r="G1586" s="20"/>
      <c r="H1586" s="21"/>
      <c r="I1586" s="21"/>
      <c r="J1586" s="21"/>
      <c r="K1586" s="21"/>
      <c r="L1586" s="21"/>
      <c r="M1586" s="21"/>
      <c r="N1586" s="22"/>
      <c r="O1586" s="21"/>
      <c r="P1586" s="24"/>
      <c r="Q1586" s="21"/>
      <c r="R1586" s="21"/>
      <c r="S1586" s="21"/>
      <c r="T1586" s="21"/>
      <c r="U1586" s="21"/>
      <c r="V1586" s="22"/>
      <c r="W1586" s="21"/>
      <c r="X1586" s="22"/>
      <c r="Y1586" s="21"/>
      <c r="Z1586" s="20"/>
      <c r="AA1586" s="21"/>
      <c r="AB1586" s="25"/>
      <c r="AC1586" s="26"/>
      <c r="AD1586" s="27"/>
      <c r="AE1586" s="28"/>
    </row>
    <row r="1587" spans="1:31" customFormat="1" ht="15" x14ac:dyDescent="0.35">
      <c r="A1587" s="19"/>
      <c r="B1587" s="49"/>
      <c r="C1587" s="14"/>
      <c r="D1587" s="1"/>
      <c r="E1587" s="153"/>
      <c r="F1587" s="10"/>
      <c r="G1587" s="20"/>
      <c r="H1587" s="21"/>
      <c r="I1587" s="21"/>
      <c r="J1587" s="21"/>
      <c r="K1587" s="21"/>
      <c r="L1587" s="21"/>
      <c r="M1587" s="21"/>
      <c r="N1587" s="22"/>
      <c r="O1587" s="21"/>
      <c r="P1587" s="24"/>
      <c r="Q1587" s="21"/>
      <c r="R1587" s="21"/>
      <c r="S1587" s="21"/>
      <c r="T1587" s="21"/>
      <c r="U1587" s="21"/>
      <c r="V1587" s="22"/>
      <c r="W1587" s="21"/>
      <c r="X1587" s="22"/>
      <c r="Y1587" s="21"/>
      <c r="Z1587" s="20"/>
      <c r="AA1587" s="21"/>
      <c r="AB1587" s="25"/>
      <c r="AC1587" s="26"/>
      <c r="AD1587" s="27"/>
      <c r="AE1587" s="28"/>
    </row>
    <row r="1588" spans="1:31" customFormat="1" ht="15" x14ac:dyDescent="0.35">
      <c r="A1588" s="19"/>
      <c r="B1588" s="49"/>
      <c r="C1588" s="14"/>
      <c r="D1588" s="1"/>
      <c r="E1588" s="153"/>
      <c r="F1588" s="10"/>
      <c r="G1588" s="20"/>
      <c r="H1588" s="21"/>
      <c r="I1588" s="21"/>
      <c r="J1588" s="21"/>
      <c r="K1588" s="21"/>
      <c r="L1588" s="21"/>
      <c r="M1588" s="21"/>
      <c r="N1588" s="22"/>
      <c r="O1588" s="21"/>
      <c r="P1588" s="24"/>
      <c r="Q1588" s="21"/>
      <c r="R1588" s="21"/>
      <c r="S1588" s="21"/>
      <c r="T1588" s="21"/>
      <c r="U1588" s="21"/>
      <c r="V1588" s="22"/>
      <c r="W1588" s="21"/>
      <c r="X1588" s="22"/>
      <c r="Y1588" s="21"/>
      <c r="Z1588" s="20"/>
      <c r="AA1588" s="21"/>
      <c r="AB1588" s="25"/>
      <c r="AC1588" s="26"/>
      <c r="AD1588" s="27"/>
      <c r="AE1588" s="28"/>
    </row>
    <row r="1589" spans="1:31" customFormat="1" ht="15" x14ac:dyDescent="0.35">
      <c r="A1589" s="19"/>
      <c r="B1589" s="49"/>
      <c r="C1589" s="39"/>
      <c r="D1589" s="1"/>
      <c r="E1589" s="153"/>
      <c r="F1589" s="10"/>
      <c r="G1589" s="20"/>
      <c r="H1589" s="21"/>
      <c r="I1589" s="21"/>
      <c r="J1589" s="21"/>
      <c r="K1589" s="21"/>
      <c r="L1589" s="21"/>
      <c r="M1589" s="21"/>
      <c r="N1589" s="22"/>
      <c r="O1589" s="21"/>
      <c r="P1589" s="24"/>
      <c r="Q1589" s="21"/>
      <c r="R1589" s="21"/>
      <c r="S1589" s="21"/>
      <c r="T1589" s="21"/>
      <c r="U1589" s="21"/>
      <c r="V1589" s="22"/>
      <c r="W1589" s="21"/>
      <c r="X1589" s="22"/>
      <c r="Y1589" s="21"/>
      <c r="Z1589" s="20"/>
      <c r="AA1589" s="21"/>
      <c r="AB1589" s="25"/>
      <c r="AC1589" s="26"/>
      <c r="AD1589" s="27"/>
      <c r="AE1589" s="28"/>
    </row>
    <row r="1590" spans="1:31" customFormat="1" ht="15" x14ac:dyDescent="0.35">
      <c r="A1590" s="50"/>
      <c r="B1590" s="63"/>
      <c r="C1590" s="39"/>
      <c r="D1590" s="6"/>
      <c r="E1590" s="153"/>
      <c r="F1590" s="10"/>
      <c r="G1590" s="54"/>
      <c r="H1590" s="3"/>
      <c r="I1590" s="2"/>
      <c r="J1590" s="2"/>
      <c r="K1590" s="3"/>
      <c r="L1590" s="3"/>
      <c r="M1590" s="3"/>
      <c r="N1590" s="3"/>
      <c r="O1590" s="3"/>
      <c r="P1590" s="59"/>
      <c r="Q1590" s="3"/>
      <c r="R1590" s="3"/>
      <c r="S1590" s="3"/>
      <c r="T1590" s="3"/>
      <c r="U1590" s="3"/>
      <c r="V1590" s="3"/>
      <c r="W1590" s="3"/>
      <c r="X1590" s="3"/>
      <c r="Y1590" s="3"/>
      <c r="Z1590" s="53"/>
      <c r="AA1590" s="3"/>
      <c r="AB1590" s="59"/>
      <c r="AC1590" s="3"/>
      <c r="AD1590" s="53"/>
      <c r="AE1590" s="59"/>
    </row>
    <row r="1591" spans="1:31" customFormat="1" ht="15" x14ac:dyDescent="0.35">
      <c r="A1591" s="50"/>
      <c r="B1591" s="63"/>
      <c r="C1591" s="39"/>
      <c r="D1591" s="6"/>
      <c r="E1591" s="153"/>
      <c r="F1591" s="10"/>
      <c r="G1591" s="53"/>
      <c r="H1591" s="3"/>
      <c r="I1591" s="3"/>
      <c r="J1591" s="3"/>
      <c r="K1591" s="3"/>
      <c r="L1591" s="3"/>
      <c r="M1591" s="3"/>
      <c r="N1591" s="3"/>
      <c r="O1591" s="3"/>
      <c r="P1591" s="59"/>
      <c r="Q1591" s="21"/>
      <c r="R1591" s="21"/>
      <c r="S1591" s="3"/>
      <c r="T1591" s="3"/>
      <c r="U1591" s="3"/>
      <c r="V1591" s="3"/>
      <c r="W1591" s="3"/>
      <c r="X1591" s="3"/>
      <c r="Y1591" s="3"/>
      <c r="Z1591" s="53"/>
      <c r="AA1591" s="3"/>
      <c r="AB1591" s="59"/>
      <c r="AC1591" s="3"/>
      <c r="AD1591" s="53"/>
      <c r="AE1591" s="59"/>
    </row>
    <row r="1592" spans="1:31" customFormat="1" ht="15" x14ac:dyDescent="0.35">
      <c r="A1592" s="19"/>
      <c r="B1592" s="49"/>
      <c r="C1592" s="14"/>
      <c r="D1592" s="1"/>
      <c r="E1592" s="153"/>
      <c r="F1592" s="10"/>
      <c r="G1592" s="20"/>
      <c r="H1592" s="21"/>
      <c r="I1592" s="21"/>
      <c r="J1592" s="21"/>
      <c r="K1592" s="21"/>
      <c r="L1592" s="21"/>
      <c r="M1592" s="21"/>
      <c r="N1592" s="22"/>
      <c r="O1592" s="21"/>
      <c r="P1592" s="24"/>
      <c r="Q1592" s="21"/>
      <c r="R1592" s="21"/>
      <c r="S1592" s="21"/>
      <c r="T1592" s="21"/>
      <c r="U1592" s="21"/>
      <c r="V1592" s="22"/>
      <c r="W1592" s="21"/>
      <c r="X1592" s="22"/>
      <c r="Y1592" s="21"/>
      <c r="Z1592" s="20"/>
      <c r="AA1592" s="21"/>
      <c r="AB1592" s="25"/>
      <c r="AC1592" s="26"/>
      <c r="AD1592" s="27"/>
      <c r="AE1592" s="28"/>
    </row>
    <row r="1593" spans="1:31" customFormat="1" ht="15" x14ac:dyDescent="0.35">
      <c r="A1593" s="50"/>
      <c r="B1593" s="63"/>
      <c r="C1593" s="39"/>
      <c r="D1593" s="6"/>
      <c r="E1593" s="153"/>
      <c r="F1593" s="10"/>
      <c r="G1593" s="53"/>
      <c r="H1593" s="3"/>
      <c r="I1593" s="3"/>
      <c r="J1593" s="3"/>
      <c r="K1593" s="3"/>
      <c r="L1593" s="3"/>
      <c r="M1593" s="3"/>
      <c r="N1593" s="3"/>
      <c r="O1593" s="3"/>
      <c r="P1593" s="59"/>
      <c r="Q1593" s="21"/>
      <c r="R1593" s="21"/>
      <c r="S1593" s="3"/>
      <c r="T1593" s="3"/>
      <c r="U1593" s="3"/>
      <c r="V1593" s="3"/>
      <c r="W1593" s="3"/>
      <c r="X1593" s="3"/>
      <c r="Y1593" s="3"/>
      <c r="Z1593" s="53"/>
      <c r="AA1593" s="3"/>
      <c r="AB1593" s="59"/>
      <c r="AC1593" s="3"/>
      <c r="AD1593" s="53"/>
      <c r="AE1593" s="59"/>
    </row>
    <row r="1594" spans="1:31" customFormat="1" ht="15" x14ac:dyDescent="0.35">
      <c r="A1594" s="19"/>
      <c r="B1594" s="49"/>
      <c r="C1594" s="14"/>
      <c r="D1594" s="1"/>
      <c r="E1594" s="153"/>
      <c r="F1594" s="10"/>
      <c r="G1594" s="20"/>
      <c r="H1594" s="21"/>
      <c r="I1594" s="21"/>
      <c r="J1594" s="21"/>
      <c r="K1594" s="21"/>
      <c r="L1594" s="21"/>
      <c r="M1594" s="21"/>
      <c r="N1594" s="22"/>
      <c r="O1594" s="21"/>
      <c r="P1594" s="24"/>
      <c r="Q1594" s="21"/>
      <c r="R1594" s="21"/>
      <c r="S1594" s="21"/>
      <c r="T1594" s="21"/>
      <c r="U1594" s="21"/>
      <c r="V1594" s="22"/>
      <c r="W1594" s="21"/>
      <c r="X1594" s="22"/>
      <c r="Y1594" s="21"/>
      <c r="Z1594" s="20"/>
      <c r="AA1594" s="21"/>
      <c r="AB1594" s="25"/>
      <c r="AC1594" s="26"/>
      <c r="AD1594" s="27"/>
      <c r="AE1594" s="28"/>
    </row>
    <row r="1595" spans="1:31" customFormat="1" ht="15" x14ac:dyDescent="0.35">
      <c r="A1595" s="50"/>
      <c r="B1595" s="63"/>
      <c r="C1595" s="39"/>
      <c r="D1595" s="6"/>
      <c r="E1595" s="153"/>
      <c r="F1595" s="10"/>
      <c r="G1595" s="53"/>
      <c r="H1595" s="3"/>
      <c r="I1595" s="3"/>
      <c r="J1595" s="3"/>
      <c r="K1595" s="3"/>
      <c r="L1595" s="3"/>
      <c r="M1595" s="3"/>
      <c r="N1595" s="3"/>
      <c r="O1595" s="3"/>
      <c r="P1595" s="59"/>
      <c r="Q1595" s="21"/>
      <c r="R1595" s="21"/>
      <c r="S1595" s="3"/>
      <c r="T1595" s="3"/>
      <c r="U1595" s="3"/>
      <c r="V1595" s="3"/>
      <c r="W1595" s="3"/>
      <c r="X1595" s="3"/>
      <c r="Y1595" s="3"/>
      <c r="Z1595" s="53"/>
      <c r="AA1595" s="3"/>
      <c r="AB1595" s="59"/>
      <c r="AC1595" s="3"/>
      <c r="AD1595" s="53"/>
      <c r="AE1595" s="59"/>
    </row>
    <row r="1596" spans="1:31" customFormat="1" ht="15" x14ac:dyDescent="0.35">
      <c r="A1596" s="50"/>
      <c r="B1596" s="63"/>
      <c r="C1596" s="39"/>
      <c r="D1596" s="6"/>
      <c r="E1596" s="153"/>
      <c r="F1596" s="10"/>
      <c r="G1596" s="54"/>
      <c r="H1596" s="3"/>
      <c r="I1596" s="2"/>
      <c r="J1596" s="2"/>
      <c r="K1596" s="3"/>
      <c r="L1596" s="3"/>
      <c r="M1596" s="3"/>
      <c r="N1596" s="3"/>
      <c r="O1596" s="3"/>
      <c r="P1596" s="59"/>
      <c r="Q1596" s="3"/>
      <c r="R1596" s="3"/>
      <c r="S1596" s="3"/>
      <c r="T1596" s="3"/>
      <c r="U1596" s="3"/>
      <c r="V1596" s="3"/>
      <c r="W1596" s="3"/>
      <c r="X1596" s="3"/>
      <c r="Y1596" s="3"/>
      <c r="Z1596" s="53"/>
      <c r="AA1596" s="3"/>
      <c r="AB1596" s="59"/>
      <c r="AC1596" s="3"/>
      <c r="AD1596" s="53"/>
      <c r="AE1596" s="59"/>
    </row>
    <row r="1597" spans="1:31" customFormat="1" ht="15" x14ac:dyDescent="0.35">
      <c r="A1597" s="50"/>
      <c r="B1597" s="63"/>
      <c r="C1597" s="39"/>
      <c r="D1597" s="6"/>
      <c r="E1597" s="153"/>
      <c r="F1597" s="10"/>
      <c r="G1597" s="53"/>
      <c r="H1597" s="3"/>
      <c r="I1597" s="3"/>
      <c r="J1597" s="3"/>
      <c r="K1597" s="3"/>
      <c r="L1597" s="3"/>
      <c r="M1597" s="3"/>
      <c r="N1597" s="3"/>
      <c r="O1597" s="3"/>
      <c r="P1597" s="59"/>
      <c r="Q1597" s="21"/>
      <c r="R1597" s="21"/>
      <c r="S1597" s="3"/>
      <c r="T1597" s="3"/>
      <c r="U1597" s="3"/>
      <c r="V1597" s="3"/>
      <c r="W1597" s="3"/>
      <c r="X1597" s="3"/>
      <c r="Y1597" s="3"/>
      <c r="Z1597" s="53"/>
      <c r="AA1597" s="3"/>
      <c r="AB1597" s="59"/>
      <c r="AC1597" s="3"/>
      <c r="AD1597" s="53"/>
      <c r="AE1597" s="59"/>
    </row>
    <row r="1598" spans="1:31" customFormat="1" ht="15" x14ac:dyDescent="0.35">
      <c r="A1598" s="19"/>
      <c r="B1598" s="49"/>
      <c r="C1598" s="14"/>
      <c r="D1598" s="1"/>
      <c r="E1598" s="153"/>
      <c r="F1598" s="10"/>
      <c r="G1598" s="20"/>
      <c r="H1598" s="21"/>
      <c r="I1598" s="21"/>
      <c r="J1598" s="21"/>
      <c r="K1598" s="21"/>
      <c r="L1598" s="21"/>
      <c r="M1598" s="21"/>
      <c r="N1598" s="22"/>
      <c r="O1598" s="21"/>
      <c r="P1598" s="24"/>
      <c r="Q1598" s="21"/>
      <c r="R1598" s="21"/>
      <c r="S1598" s="21"/>
      <c r="T1598" s="21"/>
      <c r="U1598" s="21"/>
      <c r="V1598" s="22"/>
      <c r="W1598" s="21"/>
      <c r="X1598" s="22"/>
      <c r="Y1598" s="21"/>
      <c r="Z1598" s="20"/>
      <c r="AA1598" s="21"/>
      <c r="AB1598" s="25"/>
      <c r="AC1598" s="26"/>
      <c r="AD1598" s="27"/>
      <c r="AE1598" s="28"/>
    </row>
    <row r="1599" spans="1:31" customFormat="1" ht="15" x14ac:dyDescent="0.35">
      <c r="A1599" s="50"/>
      <c r="B1599" s="63"/>
      <c r="C1599" s="39"/>
      <c r="D1599" s="6"/>
      <c r="E1599" s="153"/>
      <c r="F1599" s="10"/>
      <c r="G1599" s="54"/>
      <c r="H1599" s="3"/>
      <c r="I1599" s="2"/>
      <c r="J1599" s="2"/>
      <c r="K1599" s="3"/>
      <c r="L1599" s="3"/>
      <c r="M1599" s="3"/>
      <c r="N1599" s="3"/>
      <c r="O1599" s="3"/>
      <c r="P1599" s="59"/>
      <c r="Q1599" s="3"/>
      <c r="R1599" s="3"/>
      <c r="S1599" s="3"/>
      <c r="T1599" s="3"/>
      <c r="U1599" s="3"/>
      <c r="V1599" s="3"/>
      <c r="W1599" s="3"/>
      <c r="X1599" s="3"/>
      <c r="Y1599" s="3"/>
      <c r="Z1599" s="53"/>
      <c r="AA1599" s="3"/>
      <c r="AB1599" s="59"/>
      <c r="AC1599" s="3"/>
      <c r="AD1599" s="53"/>
      <c r="AE1599" s="59"/>
    </row>
    <row r="1600" spans="1:31" customFormat="1" ht="15" x14ac:dyDescent="0.35">
      <c r="A1600" s="50"/>
      <c r="B1600" s="63"/>
      <c r="C1600" s="39"/>
      <c r="D1600" s="6"/>
      <c r="E1600" s="153"/>
      <c r="F1600" s="10"/>
      <c r="G1600" s="53"/>
      <c r="H1600" s="3"/>
      <c r="I1600" s="3"/>
      <c r="J1600" s="3"/>
      <c r="K1600" s="3"/>
      <c r="L1600" s="3"/>
      <c r="M1600" s="3"/>
      <c r="N1600" s="3"/>
      <c r="O1600" s="3"/>
      <c r="P1600" s="59"/>
      <c r="Q1600" s="21"/>
      <c r="R1600" s="21"/>
      <c r="S1600" s="3"/>
      <c r="T1600" s="3"/>
      <c r="U1600" s="3"/>
      <c r="V1600" s="3"/>
      <c r="W1600" s="3"/>
      <c r="X1600" s="3"/>
      <c r="Y1600" s="3"/>
      <c r="Z1600" s="53"/>
      <c r="AA1600" s="3"/>
      <c r="AB1600" s="59"/>
      <c r="AC1600" s="3"/>
      <c r="AD1600" s="53"/>
      <c r="AE1600" s="59"/>
    </row>
    <row r="1601" spans="1:31" customFormat="1" ht="15" x14ac:dyDescent="0.35">
      <c r="A1601" s="50"/>
      <c r="B1601" s="63"/>
      <c r="C1601" s="39"/>
      <c r="D1601" s="6"/>
      <c r="E1601" s="153"/>
      <c r="F1601" s="10"/>
      <c r="G1601" s="54"/>
      <c r="H1601" s="3"/>
      <c r="I1601" s="2"/>
      <c r="J1601" s="2"/>
      <c r="K1601" s="3"/>
      <c r="L1601" s="3"/>
      <c r="M1601" s="3"/>
      <c r="N1601" s="3"/>
      <c r="O1601" s="3"/>
      <c r="P1601" s="59"/>
      <c r="Q1601" s="3"/>
      <c r="R1601" s="3"/>
      <c r="S1601" s="3"/>
      <c r="T1601" s="3"/>
      <c r="U1601" s="3"/>
      <c r="V1601" s="3"/>
      <c r="W1601" s="3"/>
      <c r="X1601" s="3"/>
      <c r="Y1601" s="3"/>
      <c r="Z1601" s="53"/>
      <c r="AA1601" s="3"/>
      <c r="AB1601" s="59"/>
      <c r="AC1601" s="3"/>
      <c r="AD1601" s="53"/>
      <c r="AE1601" s="59"/>
    </row>
    <row r="1602" spans="1:31" customFormat="1" ht="15" x14ac:dyDescent="0.35">
      <c r="A1602" s="50"/>
      <c r="B1602" s="63"/>
      <c r="C1602" s="39"/>
      <c r="D1602" s="6"/>
      <c r="E1602" s="153"/>
      <c r="F1602" s="10"/>
      <c r="G1602" s="54"/>
      <c r="H1602" s="3"/>
      <c r="I1602" s="2"/>
      <c r="J1602" s="2"/>
      <c r="K1602" s="3"/>
      <c r="L1602" s="3"/>
      <c r="M1602" s="3"/>
      <c r="N1602" s="3"/>
      <c r="O1602" s="3"/>
      <c r="P1602" s="59"/>
      <c r="Q1602" s="3"/>
      <c r="R1602" s="3"/>
      <c r="S1602" s="3"/>
      <c r="T1602" s="3"/>
      <c r="U1602" s="3"/>
      <c r="V1602" s="3"/>
      <c r="W1602" s="3"/>
      <c r="X1602" s="3"/>
      <c r="Y1602" s="3"/>
      <c r="Z1602" s="53"/>
      <c r="AA1602" s="3"/>
      <c r="AB1602" s="59"/>
      <c r="AC1602" s="3"/>
      <c r="AD1602" s="53"/>
      <c r="AE1602" s="59"/>
    </row>
    <row r="1603" spans="1:31" customFormat="1" ht="15" x14ac:dyDescent="0.35">
      <c r="A1603" s="50"/>
      <c r="B1603" s="63"/>
      <c r="C1603" s="39"/>
      <c r="D1603" s="6"/>
      <c r="E1603" s="153"/>
      <c r="F1603" s="10"/>
      <c r="G1603" s="54"/>
      <c r="H1603" s="3"/>
      <c r="I1603" s="2"/>
      <c r="J1603" s="2"/>
      <c r="K1603" s="3"/>
      <c r="L1603" s="3"/>
      <c r="M1603" s="3"/>
      <c r="N1603" s="3"/>
      <c r="O1603" s="3"/>
      <c r="P1603" s="59"/>
      <c r="Q1603" s="3"/>
      <c r="R1603" s="3"/>
      <c r="S1603" s="3"/>
      <c r="T1603" s="3"/>
      <c r="U1603" s="3"/>
      <c r="V1603" s="3"/>
      <c r="W1603" s="3"/>
      <c r="X1603" s="3"/>
      <c r="Y1603" s="3"/>
      <c r="Z1603" s="53"/>
      <c r="AA1603" s="3"/>
      <c r="AB1603" s="59"/>
      <c r="AC1603" s="3"/>
      <c r="AD1603" s="53"/>
      <c r="AE1603" s="59"/>
    </row>
    <row r="1604" spans="1:31" customFormat="1" ht="15" x14ac:dyDescent="0.35">
      <c r="A1604" s="50"/>
      <c r="B1604" s="63"/>
      <c r="C1604" s="39"/>
      <c r="D1604" s="6"/>
      <c r="E1604" s="153"/>
      <c r="F1604" s="10"/>
      <c r="G1604" s="54"/>
      <c r="H1604" s="3"/>
      <c r="I1604" s="2"/>
      <c r="J1604" s="2"/>
      <c r="K1604" s="3"/>
      <c r="L1604" s="3"/>
      <c r="M1604" s="3"/>
      <c r="N1604" s="3"/>
      <c r="O1604" s="3"/>
      <c r="P1604" s="59"/>
      <c r="Q1604" s="21"/>
      <c r="R1604" s="21"/>
      <c r="S1604" s="3"/>
      <c r="T1604" s="3"/>
      <c r="U1604" s="3"/>
      <c r="V1604" s="3"/>
      <c r="W1604" s="3"/>
      <c r="X1604" s="3"/>
      <c r="Y1604" s="3"/>
      <c r="Z1604" s="53"/>
      <c r="AA1604" s="3"/>
      <c r="AB1604" s="59"/>
      <c r="AC1604" s="3"/>
      <c r="AD1604" s="53"/>
      <c r="AE1604" s="59"/>
    </row>
    <row r="1605" spans="1:31" customFormat="1" ht="15" x14ac:dyDescent="0.35">
      <c r="A1605" s="50"/>
      <c r="B1605" s="63"/>
      <c r="C1605" s="39"/>
      <c r="D1605" s="6"/>
      <c r="E1605" s="153"/>
      <c r="F1605" s="10"/>
      <c r="G1605" s="53"/>
      <c r="H1605" s="3"/>
      <c r="I1605" s="3"/>
      <c r="J1605" s="3"/>
      <c r="K1605" s="3"/>
      <c r="L1605" s="3"/>
      <c r="M1605" s="3"/>
      <c r="N1605" s="3"/>
      <c r="O1605" s="3"/>
      <c r="P1605" s="59"/>
      <c r="Q1605" s="21"/>
      <c r="R1605" s="21"/>
      <c r="S1605" s="3"/>
      <c r="T1605" s="3"/>
      <c r="U1605" s="3"/>
      <c r="V1605" s="3"/>
      <c r="W1605" s="3"/>
      <c r="X1605" s="3"/>
      <c r="Y1605" s="3"/>
      <c r="Z1605" s="53"/>
      <c r="AA1605" s="3"/>
      <c r="AB1605" s="59"/>
      <c r="AC1605" s="3"/>
      <c r="AD1605" s="53"/>
      <c r="AE1605" s="59"/>
    </row>
    <row r="1606" spans="1:31" customFormat="1" ht="15" x14ac:dyDescent="0.35">
      <c r="A1606" s="19"/>
      <c r="B1606" s="49"/>
      <c r="C1606" s="14"/>
      <c r="D1606" s="1"/>
      <c r="E1606" s="153"/>
      <c r="F1606" s="10"/>
      <c r="G1606" s="20"/>
      <c r="H1606" s="21"/>
      <c r="I1606" s="21"/>
      <c r="J1606" s="21"/>
      <c r="K1606" s="21"/>
      <c r="L1606" s="21"/>
      <c r="M1606" s="21"/>
      <c r="N1606" s="22"/>
      <c r="O1606" s="21"/>
      <c r="P1606" s="24"/>
      <c r="Q1606" s="21"/>
      <c r="R1606" s="21"/>
      <c r="S1606" s="21"/>
      <c r="T1606" s="21"/>
      <c r="U1606" s="21"/>
      <c r="V1606" s="22"/>
      <c r="W1606" s="21"/>
      <c r="X1606" s="22"/>
      <c r="Y1606" s="21"/>
      <c r="Z1606" s="20"/>
      <c r="AA1606" s="21"/>
      <c r="AB1606" s="25"/>
      <c r="AC1606" s="26"/>
      <c r="AD1606" s="27"/>
      <c r="AE1606" s="28"/>
    </row>
    <row r="1607" spans="1:31" customFormat="1" ht="15" x14ac:dyDescent="0.35">
      <c r="A1607" s="50"/>
      <c r="B1607" s="63"/>
      <c r="C1607" s="39"/>
      <c r="D1607" s="6"/>
      <c r="E1607" s="153"/>
      <c r="F1607" s="10"/>
      <c r="G1607" s="54"/>
      <c r="H1607" s="3"/>
      <c r="I1607" s="2"/>
      <c r="J1607" s="2"/>
      <c r="K1607" s="3"/>
      <c r="L1607" s="3"/>
      <c r="M1607" s="3"/>
      <c r="N1607" s="3"/>
      <c r="O1607" s="3"/>
      <c r="P1607" s="59"/>
      <c r="Q1607" s="21"/>
      <c r="R1607" s="21"/>
      <c r="S1607" s="3"/>
      <c r="T1607" s="3"/>
      <c r="U1607" s="3"/>
      <c r="V1607" s="3"/>
      <c r="W1607" s="3"/>
      <c r="X1607" s="3"/>
      <c r="Y1607" s="3"/>
      <c r="Z1607" s="53"/>
      <c r="AA1607" s="3"/>
      <c r="AB1607" s="59"/>
      <c r="AC1607" s="3"/>
      <c r="AD1607" s="53"/>
      <c r="AE1607" s="59"/>
    </row>
    <row r="1608" spans="1:31" customFormat="1" ht="15" x14ac:dyDescent="0.35">
      <c r="A1608" s="50"/>
      <c r="B1608" s="63"/>
      <c r="C1608" s="39"/>
      <c r="D1608" s="6"/>
      <c r="E1608" s="153"/>
      <c r="F1608" s="10"/>
      <c r="G1608" s="54"/>
      <c r="H1608" s="3"/>
      <c r="I1608" s="2"/>
      <c r="J1608" s="2"/>
      <c r="K1608" s="3"/>
      <c r="L1608" s="3"/>
      <c r="M1608" s="3"/>
      <c r="N1608" s="3"/>
      <c r="O1608" s="3"/>
      <c r="P1608" s="59"/>
      <c r="Q1608" s="3"/>
      <c r="R1608" s="3"/>
      <c r="S1608" s="3"/>
      <c r="T1608" s="3"/>
      <c r="U1608" s="3"/>
      <c r="V1608" s="3"/>
      <c r="W1608" s="3"/>
      <c r="X1608" s="3"/>
      <c r="Y1608" s="3"/>
      <c r="Z1608" s="53"/>
      <c r="AA1608" s="3"/>
      <c r="AB1608" s="59"/>
      <c r="AC1608" s="3"/>
      <c r="AD1608" s="53"/>
      <c r="AE1608" s="59"/>
    </row>
    <row r="1609" spans="1:31" customFormat="1" ht="15" x14ac:dyDescent="0.35">
      <c r="A1609" s="50"/>
      <c r="B1609" s="63"/>
      <c r="C1609" s="39"/>
      <c r="D1609" s="6"/>
      <c r="E1609" s="153"/>
      <c r="F1609" s="10"/>
      <c r="G1609" s="53"/>
      <c r="H1609" s="3"/>
      <c r="I1609" s="3"/>
      <c r="J1609" s="3"/>
      <c r="K1609" s="3"/>
      <c r="L1609" s="3"/>
      <c r="M1609" s="3"/>
      <c r="N1609" s="3"/>
      <c r="O1609" s="3"/>
      <c r="P1609" s="59"/>
      <c r="Q1609" s="21"/>
      <c r="R1609" s="21"/>
      <c r="S1609" s="3"/>
      <c r="T1609" s="3"/>
      <c r="U1609" s="3"/>
      <c r="V1609" s="3"/>
      <c r="W1609" s="3"/>
      <c r="X1609" s="3"/>
      <c r="Y1609" s="3"/>
      <c r="Z1609" s="53"/>
      <c r="AA1609" s="3"/>
      <c r="AB1609" s="59"/>
      <c r="AC1609" s="3"/>
      <c r="AD1609" s="53"/>
      <c r="AE1609" s="59"/>
    </row>
    <row r="1610" spans="1:31" customFormat="1" ht="15" x14ac:dyDescent="0.35">
      <c r="A1610" s="50"/>
      <c r="B1610" s="63"/>
      <c r="C1610" s="39"/>
      <c r="D1610" s="6"/>
      <c r="E1610" s="153"/>
      <c r="F1610" s="10"/>
      <c r="G1610" s="54"/>
      <c r="H1610" s="3"/>
      <c r="I1610" s="2"/>
      <c r="J1610" s="2"/>
      <c r="K1610" s="3"/>
      <c r="L1610" s="3"/>
      <c r="M1610" s="3"/>
      <c r="N1610" s="3"/>
      <c r="O1610" s="3"/>
      <c r="P1610" s="59"/>
      <c r="Q1610" s="3"/>
      <c r="R1610" s="3"/>
      <c r="S1610" s="3"/>
      <c r="T1610" s="3"/>
      <c r="U1610" s="3"/>
      <c r="V1610" s="3"/>
      <c r="W1610" s="3"/>
      <c r="X1610" s="3"/>
      <c r="Y1610" s="3"/>
      <c r="Z1610" s="53"/>
      <c r="AA1610" s="3"/>
      <c r="AB1610" s="59"/>
      <c r="AC1610" s="3"/>
      <c r="AD1610" s="53"/>
      <c r="AE1610" s="59"/>
    </row>
    <row r="1611" spans="1:31" customFormat="1" ht="15" x14ac:dyDescent="0.35">
      <c r="A1611" s="19"/>
      <c r="B1611" s="49"/>
      <c r="C1611" s="14"/>
      <c r="D1611" s="1"/>
      <c r="E1611" s="153"/>
      <c r="F1611" s="10"/>
      <c r="G1611" s="20"/>
      <c r="H1611" s="21"/>
      <c r="I1611" s="21"/>
      <c r="J1611" s="21"/>
      <c r="K1611" s="21"/>
      <c r="L1611" s="21"/>
      <c r="M1611" s="21"/>
      <c r="N1611" s="22"/>
      <c r="O1611" s="21"/>
      <c r="P1611" s="24"/>
      <c r="Q1611" s="21"/>
      <c r="R1611" s="21"/>
      <c r="S1611" s="21"/>
      <c r="T1611" s="21"/>
      <c r="U1611" s="21"/>
      <c r="V1611" s="22"/>
      <c r="W1611" s="21"/>
      <c r="X1611" s="22"/>
      <c r="Y1611" s="21"/>
      <c r="Z1611" s="20"/>
      <c r="AA1611" s="21"/>
      <c r="AB1611" s="25"/>
      <c r="AC1611" s="26"/>
      <c r="AD1611" s="27"/>
      <c r="AE1611" s="28"/>
    </row>
    <row r="1612" spans="1:31" customFormat="1" ht="15" x14ac:dyDescent="0.35">
      <c r="A1612" s="50"/>
      <c r="B1612" s="63"/>
      <c r="C1612" s="39"/>
      <c r="D1612" s="6"/>
      <c r="E1612" s="153"/>
      <c r="F1612" s="10"/>
      <c r="G1612" s="54"/>
      <c r="H1612" s="3"/>
      <c r="I1612" s="2"/>
      <c r="J1612" s="2"/>
      <c r="K1612" s="3"/>
      <c r="L1612" s="3"/>
      <c r="M1612" s="3"/>
      <c r="N1612" s="3"/>
      <c r="O1612" s="3"/>
      <c r="P1612" s="59"/>
      <c r="Q1612" s="3"/>
      <c r="R1612" s="3"/>
      <c r="S1612" s="3"/>
      <c r="T1612" s="3"/>
      <c r="U1612" s="3"/>
      <c r="V1612" s="3"/>
      <c r="W1612" s="3"/>
      <c r="X1612" s="3"/>
      <c r="Y1612" s="3"/>
      <c r="Z1612" s="53"/>
      <c r="AA1612" s="3"/>
      <c r="AB1612" s="59"/>
      <c r="AC1612" s="3"/>
      <c r="AD1612" s="53"/>
      <c r="AE1612" s="59"/>
    </row>
    <row r="1613" spans="1:31" customFormat="1" ht="15" x14ac:dyDescent="0.35">
      <c r="A1613" s="50"/>
      <c r="B1613" s="63"/>
      <c r="C1613" s="39"/>
      <c r="D1613" s="6"/>
      <c r="E1613" s="153"/>
      <c r="F1613" s="10"/>
      <c r="G1613" s="54"/>
      <c r="H1613" s="3"/>
      <c r="I1613" s="2"/>
      <c r="J1613" s="2"/>
      <c r="K1613" s="3"/>
      <c r="L1613" s="3"/>
      <c r="M1613" s="3"/>
      <c r="N1613" s="3"/>
      <c r="O1613" s="3"/>
      <c r="P1613" s="59"/>
      <c r="Q1613" s="3"/>
      <c r="R1613" s="3"/>
      <c r="S1613" s="3"/>
      <c r="T1613" s="3"/>
      <c r="U1613" s="3"/>
      <c r="V1613" s="3"/>
      <c r="W1613" s="3"/>
      <c r="X1613" s="3"/>
      <c r="Y1613" s="3"/>
      <c r="Z1613" s="53"/>
      <c r="AA1613" s="3"/>
      <c r="AB1613" s="59"/>
      <c r="AC1613" s="3"/>
      <c r="AD1613" s="53"/>
      <c r="AE1613" s="59"/>
    </row>
    <row r="1614" spans="1:31" customFormat="1" ht="15" x14ac:dyDescent="0.35">
      <c r="A1614" s="19"/>
      <c r="B1614" s="49"/>
      <c r="C1614" s="14"/>
      <c r="D1614" s="1"/>
      <c r="E1614" s="153"/>
      <c r="F1614" s="10"/>
      <c r="G1614" s="20"/>
      <c r="H1614" s="21"/>
      <c r="I1614" s="21"/>
      <c r="J1614" s="21"/>
      <c r="K1614" s="21"/>
      <c r="L1614" s="21"/>
      <c r="M1614" s="21"/>
      <c r="N1614" s="22"/>
      <c r="O1614" s="21"/>
      <c r="P1614" s="24"/>
      <c r="Q1614" s="21"/>
      <c r="R1614" s="21"/>
      <c r="S1614" s="21"/>
      <c r="T1614" s="21"/>
      <c r="U1614" s="21"/>
      <c r="V1614" s="22"/>
      <c r="W1614" s="21"/>
      <c r="X1614" s="22"/>
      <c r="Y1614" s="21"/>
      <c r="Z1614" s="20"/>
      <c r="AA1614" s="21"/>
      <c r="AB1614" s="25"/>
      <c r="AC1614" s="26"/>
      <c r="AD1614" s="27"/>
      <c r="AE1614" s="28"/>
    </row>
    <row r="1615" spans="1:31" customFormat="1" ht="15" x14ac:dyDescent="0.35">
      <c r="A1615" s="50"/>
      <c r="B1615" s="63"/>
      <c r="C1615" s="39"/>
      <c r="D1615" s="6"/>
      <c r="E1615" s="153"/>
      <c r="F1615" s="10"/>
      <c r="G1615" s="53"/>
      <c r="H1615" s="3"/>
      <c r="I1615" s="3"/>
      <c r="J1615" s="3"/>
      <c r="K1615" s="3"/>
      <c r="L1615" s="3"/>
      <c r="M1615" s="3"/>
      <c r="N1615" s="3"/>
      <c r="O1615" s="3"/>
      <c r="P1615" s="59"/>
      <c r="Q1615" s="21"/>
      <c r="R1615" s="21"/>
      <c r="S1615" s="3"/>
      <c r="T1615" s="3"/>
      <c r="U1615" s="3"/>
      <c r="V1615" s="3"/>
      <c r="W1615" s="3"/>
      <c r="X1615" s="3"/>
      <c r="Y1615" s="3"/>
      <c r="Z1615" s="53"/>
      <c r="AA1615" s="3"/>
      <c r="AB1615" s="59"/>
      <c r="AC1615" s="3"/>
      <c r="AD1615" s="53"/>
      <c r="AE1615" s="59"/>
    </row>
    <row r="1616" spans="1:31" customFormat="1" ht="15" x14ac:dyDescent="0.35">
      <c r="A1616" s="50"/>
      <c r="B1616" s="63"/>
      <c r="C1616" s="39"/>
      <c r="D1616" s="6"/>
      <c r="E1616" s="153"/>
      <c r="F1616" s="10"/>
      <c r="G1616" s="53"/>
      <c r="H1616" s="3"/>
      <c r="I1616" s="3"/>
      <c r="J1616" s="3"/>
      <c r="K1616" s="3"/>
      <c r="L1616" s="3"/>
      <c r="M1616" s="3"/>
      <c r="N1616" s="3"/>
      <c r="O1616" s="3"/>
      <c r="P1616" s="59"/>
      <c r="Q1616" s="21"/>
      <c r="R1616" s="21"/>
      <c r="S1616" s="3"/>
      <c r="T1616" s="3"/>
      <c r="U1616" s="3"/>
      <c r="V1616" s="3"/>
      <c r="W1616" s="3"/>
      <c r="X1616" s="3"/>
      <c r="Y1616" s="3"/>
      <c r="Z1616" s="53"/>
      <c r="AA1616" s="3"/>
      <c r="AB1616" s="59"/>
      <c r="AC1616" s="3"/>
      <c r="AD1616" s="53"/>
      <c r="AE1616" s="59"/>
    </row>
    <row r="1617" spans="1:31" customFormat="1" ht="15" x14ac:dyDescent="0.35">
      <c r="A1617" s="50"/>
      <c r="B1617" s="63"/>
      <c r="C1617" s="39"/>
      <c r="D1617" s="6"/>
      <c r="E1617" s="153"/>
      <c r="F1617" s="10"/>
      <c r="G1617" s="53"/>
      <c r="H1617" s="3"/>
      <c r="I1617" s="3"/>
      <c r="J1617" s="3"/>
      <c r="K1617" s="3"/>
      <c r="L1617" s="3"/>
      <c r="M1617" s="3"/>
      <c r="N1617" s="3"/>
      <c r="O1617" s="3"/>
      <c r="P1617" s="59"/>
      <c r="Q1617" s="21"/>
      <c r="R1617" s="21"/>
      <c r="S1617" s="3"/>
      <c r="T1617" s="3"/>
      <c r="U1617" s="3"/>
      <c r="V1617" s="3"/>
      <c r="W1617" s="3"/>
      <c r="X1617" s="3"/>
      <c r="Y1617" s="3"/>
      <c r="Z1617" s="53"/>
      <c r="AA1617" s="3"/>
      <c r="AB1617" s="59"/>
      <c r="AC1617" s="3"/>
      <c r="AD1617" s="53"/>
      <c r="AE1617" s="59"/>
    </row>
    <row r="1618" spans="1:31" customFormat="1" ht="15" x14ac:dyDescent="0.35">
      <c r="A1618" s="50"/>
      <c r="B1618" s="63"/>
      <c r="C1618" s="39"/>
      <c r="D1618" s="6"/>
      <c r="E1618" s="153"/>
      <c r="F1618" s="10"/>
      <c r="G1618" s="53"/>
      <c r="H1618" s="3"/>
      <c r="I1618" s="3"/>
      <c r="J1618" s="3"/>
      <c r="K1618" s="3"/>
      <c r="L1618" s="3"/>
      <c r="M1618" s="3"/>
      <c r="N1618" s="3"/>
      <c r="O1618" s="3"/>
      <c r="P1618" s="59"/>
      <c r="Q1618" s="21"/>
      <c r="R1618" s="21"/>
      <c r="S1618" s="3"/>
      <c r="T1618" s="3"/>
      <c r="U1618" s="3"/>
      <c r="V1618" s="3"/>
      <c r="W1618" s="3"/>
      <c r="X1618" s="3"/>
      <c r="Y1618" s="3"/>
      <c r="Z1618" s="53"/>
      <c r="AA1618" s="3"/>
      <c r="AB1618" s="59"/>
      <c r="AC1618" s="3"/>
      <c r="AD1618" s="53"/>
      <c r="AE1618" s="59"/>
    </row>
    <row r="1619" spans="1:31" customFormat="1" ht="15" x14ac:dyDescent="0.35">
      <c r="A1619" s="50"/>
      <c r="B1619" s="63"/>
      <c r="C1619" s="39"/>
      <c r="D1619" s="6"/>
      <c r="E1619" s="153"/>
      <c r="F1619" s="10"/>
      <c r="G1619" s="54"/>
      <c r="H1619" s="3"/>
      <c r="I1619" s="2"/>
      <c r="J1619" s="2"/>
      <c r="K1619" s="3"/>
      <c r="L1619" s="3"/>
      <c r="M1619" s="3"/>
      <c r="N1619" s="3"/>
      <c r="O1619" s="3"/>
      <c r="P1619" s="59"/>
      <c r="Q1619" s="3"/>
      <c r="R1619" s="3"/>
      <c r="S1619" s="3"/>
      <c r="T1619" s="3"/>
      <c r="U1619" s="3"/>
      <c r="V1619" s="3"/>
      <c r="W1619" s="3"/>
      <c r="X1619" s="3"/>
      <c r="Y1619" s="3"/>
      <c r="Z1619" s="53"/>
      <c r="AA1619" s="3"/>
      <c r="AB1619" s="59"/>
      <c r="AC1619" s="3"/>
      <c r="AD1619" s="53"/>
      <c r="AE1619" s="59"/>
    </row>
    <row r="1620" spans="1:31" customFormat="1" ht="15" x14ac:dyDescent="0.35">
      <c r="A1620" s="19"/>
      <c r="B1620" s="49"/>
      <c r="C1620" s="14"/>
      <c r="D1620" s="1"/>
      <c r="E1620" s="153"/>
      <c r="F1620" s="10"/>
      <c r="G1620" s="20"/>
      <c r="H1620" s="21"/>
      <c r="I1620" s="21"/>
      <c r="J1620" s="21"/>
      <c r="K1620" s="21"/>
      <c r="L1620" s="21"/>
      <c r="M1620" s="21"/>
      <c r="N1620" s="22"/>
      <c r="O1620" s="21"/>
      <c r="P1620" s="24"/>
      <c r="Q1620" s="21"/>
      <c r="R1620" s="21"/>
      <c r="S1620" s="21"/>
      <c r="T1620" s="21"/>
      <c r="U1620" s="21"/>
      <c r="V1620" s="22"/>
      <c r="W1620" s="21"/>
      <c r="X1620" s="22"/>
      <c r="Y1620" s="21"/>
      <c r="Z1620" s="20"/>
      <c r="AA1620" s="21"/>
      <c r="AB1620" s="25"/>
      <c r="AC1620" s="26"/>
      <c r="AD1620" s="27"/>
      <c r="AE1620" s="28"/>
    </row>
    <row r="1621" spans="1:31" customFormat="1" ht="15" x14ac:dyDescent="0.35">
      <c r="A1621" s="50"/>
      <c r="B1621" s="63"/>
      <c r="C1621" s="39"/>
      <c r="D1621" s="6"/>
      <c r="E1621" s="153"/>
      <c r="F1621" s="10"/>
      <c r="G1621" s="53"/>
      <c r="H1621" s="3"/>
      <c r="I1621" s="3"/>
      <c r="J1621" s="3"/>
      <c r="K1621" s="3"/>
      <c r="L1621" s="3"/>
      <c r="M1621" s="3"/>
      <c r="N1621" s="3"/>
      <c r="O1621" s="3"/>
      <c r="P1621" s="59"/>
      <c r="Q1621" s="21"/>
      <c r="R1621" s="21"/>
      <c r="S1621" s="3"/>
      <c r="T1621" s="3"/>
      <c r="U1621" s="3"/>
      <c r="V1621" s="3"/>
      <c r="W1621" s="3"/>
      <c r="X1621" s="3"/>
      <c r="Y1621" s="3"/>
      <c r="Z1621" s="53"/>
      <c r="AA1621" s="3"/>
      <c r="AB1621" s="59"/>
      <c r="AC1621" s="3"/>
      <c r="AD1621" s="53"/>
      <c r="AE1621" s="59"/>
    </row>
    <row r="1622" spans="1:31" customFormat="1" ht="15" x14ac:dyDescent="0.35">
      <c r="A1622" s="50"/>
      <c r="B1622" s="63"/>
      <c r="C1622" s="39"/>
      <c r="D1622" s="6"/>
      <c r="E1622" s="153"/>
      <c r="F1622" s="10"/>
      <c r="G1622" s="53"/>
      <c r="H1622" s="3"/>
      <c r="I1622" s="3"/>
      <c r="J1622" s="3"/>
      <c r="K1622" s="3"/>
      <c r="L1622" s="3"/>
      <c r="M1622" s="3"/>
      <c r="N1622" s="3"/>
      <c r="O1622" s="3"/>
      <c r="P1622" s="59"/>
      <c r="Q1622" s="21"/>
      <c r="R1622" s="21"/>
      <c r="S1622" s="3"/>
      <c r="T1622" s="3"/>
      <c r="U1622" s="3"/>
      <c r="V1622" s="3"/>
      <c r="W1622" s="3"/>
      <c r="X1622" s="3"/>
      <c r="Y1622" s="3"/>
      <c r="Z1622" s="53"/>
      <c r="AA1622" s="3"/>
      <c r="AB1622" s="59"/>
      <c r="AC1622" s="3"/>
      <c r="AD1622" s="53"/>
      <c r="AE1622" s="59"/>
    </row>
    <row r="1623" spans="1:31" customFormat="1" ht="15" x14ac:dyDescent="0.35">
      <c r="A1623" s="19"/>
      <c r="B1623" s="49"/>
      <c r="C1623" s="14"/>
      <c r="D1623" s="1"/>
      <c r="E1623" s="153"/>
      <c r="F1623" s="10"/>
      <c r="G1623" s="20"/>
      <c r="H1623" s="21"/>
      <c r="I1623" s="21"/>
      <c r="J1623" s="21"/>
      <c r="K1623" s="21"/>
      <c r="L1623" s="21"/>
      <c r="M1623" s="21"/>
      <c r="N1623" s="22"/>
      <c r="O1623" s="21"/>
      <c r="P1623" s="24"/>
      <c r="Q1623" s="21"/>
      <c r="R1623" s="21"/>
      <c r="S1623" s="21"/>
      <c r="T1623" s="21"/>
      <c r="U1623" s="21"/>
      <c r="V1623" s="22"/>
      <c r="W1623" s="21"/>
      <c r="X1623" s="22"/>
      <c r="Y1623" s="21"/>
      <c r="Z1623" s="20"/>
      <c r="AA1623" s="21"/>
      <c r="AB1623" s="25"/>
      <c r="AC1623" s="26"/>
      <c r="AD1623" s="27"/>
      <c r="AE1623" s="28"/>
    </row>
    <row r="1624" spans="1:31" customFormat="1" ht="15" x14ac:dyDescent="0.35">
      <c r="A1624" s="50"/>
      <c r="B1624" s="63"/>
      <c r="C1624" s="39"/>
      <c r="D1624" s="6"/>
      <c r="E1624" s="153"/>
      <c r="F1624" s="10"/>
      <c r="G1624" s="53"/>
      <c r="H1624" s="3"/>
      <c r="I1624" s="3"/>
      <c r="J1624" s="3"/>
      <c r="K1624" s="3"/>
      <c r="L1624" s="3"/>
      <c r="M1624" s="3"/>
      <c r="N1624" s="3"/>
      <c r="O1624" s="3"/>
      <c r="P1624" s="59"/>
      <c r="Q1624" s="21"/>
      <c r="R1624" s="21"/>
      <c r="S1624" s="3"/>
      <c r="T1624" s="3"/>
      <c r="U1624" s="3"/>
      <c r="V1624" s="3"/>
      <c r="W1624" s="3"/>
      <c r="X1624" s="3"/>
      <c r="Y1624" s="3"/>
      <c r="Z1624" s="53"/>
      <c r="AA1624" s="3"/>
      <c r="AB1624" s="59"/>
      <c r="AC1624" s="3"/>
      <c r="AD1624" s="53"/>
      <c r="AE1624" s="59"/>
    </row>
    <row r="1625" spans="1:31" customFormat="1" ht="15" x14ac:dyDescent="0.35">
      <c r="A1625" s="50"/>
      <c r="B1625" s="63"/>
      <c r="C1625" s="39"/>
      <c r="D1625" s="6"/>
      <c r="E1625" s="153"/>
      <c r="F1625" s="10"/>
      <c r="G1625" s="53"/>
      <c r="H1625" s="3"/>
      <c r="I1625" s="3"/>
      <c r="J1625" s="3"/>
      <c r="K1625" s="3"/>
      <c r="L1625" s="3"/>
      <c r="M1625" s="3"/>
      <c r="N1625" s="3"/>
      <c r="O1625" s="3"/>
      <c r="P1625" s="59"/>
      <c r="Q1625" s="21"/>
      <c r="R1625" s="21"/>
      <c r="S1625" s="3"/>
      <c r="T1625" s="3"/>
      <c r="U1625" s="3"/>
      <c r="V1625" s="3"/>
      <c r="W1625" s="3"/>
      <c r="X1625" s="3"/>
      <c r="Y1625" s="3"/>
      <c r="Z1625" s="53"/>
      <c r="AA1625" s="3"/>
      <c r="AB1625" s="59"/>
      <c r="AC1625" s="3"/>
      <c r="AD1625" s="53"/>
      <c r="AE1625" s="59"/>
    </row>
    <row r="1626" spans="1:31" customFormat="1" ht="15" x14ac:dyDescent="0.35">
      <c r="A1626" s="19"/>
      <c r="B1626" s="49"/>
      <c r="C1626" s="14"/>
      <c r="D1626" s="1"/>
      <c r="E1626" s="153"/>
      <c r="F1626" s="10"/>
      <c r="G1626" s="20"/>
      <c r="H1626" s="21"/>
      <c r="I1626" s="21"/>
      <c r="J1626" s="21"/>
      <c r="K1626" s="21"/>
      <c r="L1626" s="21"/>
      <c r="M1626" s="21"/>
      <c r="N1626" s="22"/>
      <c r="O1626" s="21"/>
      <c r="P1626" s="24"/>
      <c r="Q1626" s="21"/>
      <c r="R1626" s="21"/>
      <c r="S1626" s="21"/>
      <c r="T1626" s="21"/>
      <c r="U1626" s="21"/>
      <c r="V1626" s="22"/>
      <c r="W1626" s="21"/>
      <c r="X1626" s="22"/>
      <c r="Y1626" s="21"/>
      <c r="Z1626" s="20"/>
      <c r="AA1626" s="21"/>
      <c r="AB1626" s="25"/>
      <c r="AC1626" s="26"/>
      <c r="AD1626" s="27"/>
      <c r="AE1626" s="28"/>
    </row>
    <row r="1627" spans="1:31" customFormat="1" ht="15" x14ac:dyDescent="0.35">
      <c r="A1627" s="50"/>
      <c r="B1627" s="63"/>
      <c r="C1627" s="39"/>
      <c r="D1627" s="6"/>
      <c r="E1627" s="153"/>
      <c r="F1627" s="10"/>
      <c r="G1627" s="54"/>
      <c r="H1627" s="3"/>
      <c r="I1627" s="2"/>
      <c r="J1627" s="2"/>
      <c r="K1627" s="3"/>
      <c r="L1627" s="3"/>
      <c r="M1627" s="3"/>
      <c r="N1627" s="3"/>
      <c r="O1627" s="3"/>
      <c r="P1627" s="59"/>
      <c r="Q1627" s="21"/>
      <c r="R1627" s="21"/>
      <c r="S1627" s="3"/>
      <c r="T1627" s="3"/>
      <c r="U1627" s="3"/>
      <c r="V1627" s="3"/>
      <c r="W1627" s="3"/>
      <c r="X1627" s="3"/>
      <c r="Y1627" s="3"/>
      <c r="Z1627" s="53"/>
      <c r="AA1627" s="3"/>
      <c r="AB1627" s="59"/>
      <c r="AC1627" s="3"/>
      <c r="AD1627" s="53"/>
      <c r="AE1627" s="59"/>
    </row>
    <row r="1628" spans="1:31" customFormat="1" ht="15" x14ac:dyDescent="0.35">
      <c r="A1628" s="50"/>
      <c r="B1628" s="63"/>
      <c r="C1628" s="39"/>
      <c r="D1628" s="6"/>
      <c r="E1628" s="153"/>
      <c r="F1628" s="10"/>
      <c r="G1628" s="54"/>
      <c r="H1628" s="3"/>
      <c r="I1628" s="2"/>
      <c r="J1628" s="2"/>
      <c r="K1628" s="3"/>
      <c r="L1628" s="3"/>
      <c r="M1628" s="3"/>
      <c r="N1628" s="3"/>
      <c r="O1628" s="3"/>
      <c r="P1628" s="59"/>
      <c r="Q1628" s="3"/>
      <c r="R1628" s="3"/>
      <c r="S1628" s="3"/>
      <c r="T1628" s="3"/>
      <c r="U1628" s="3"/>
      <c r="V1628" s="3"/>
      <c r="W1628" s="3"/>
      <c r="X1628" s="3"/>
      <c r="Y1628" s="3"/>
      <c r="Z1628" s="53"/>
      <c r="AA1628" s="3"/>
      <c r="AB1628" s="59"/>
      <c r="AC1628" s="3"/>
      <c r="AD1628" s="53"/>
      <c r="AE1628" s="59"/>
    </row>
    <row r="1629" spans="1:31" customFormat="1" ht="15" x14ac:dyDescent="0.35">
      <c r="A1629" s="50"/>
      <c r="B1629" s="63"/>
      <c r="C1629" s="39"/>
      <c r="D1629" s="6"/>
      <c r="E1629" s="153"/>
      <c r="F1629" s="10"/>
      <c r="G1629" s="54"/>
      <c r="H1629" s="3"/>
      <c r="I1629" s="2"/>
      <c r="J1629" s="2"/>
      <c r="K1629" s="3"/>
      <c r="L1629" s="3"/>
      <c r="M1629" s="3"/>
      <c r="N1629" s="3"/>
      <c r="O1629" s="3"/>
      <c r="P1629" s="59"/>
      <c r="Q1629" s="3"/>
      <c r="R1629" s="3"/>
      <c r="S1629" s="3"/>
      <c r="T1629" s="3"/>
      <c r="U1629" s="3"/>
      <c r="V1629" s="3"/>
      <c r="W1629" s="3"/>
      <c r="X1629" s="3"/>
      <c r="Y1629" s="3"/>
      <c r="Z1629" s="53"/>
      <c r="AA1629" s="3"/>
      <c r="AB1629" s="59"/>
      <c r="AC1629" s="3"/>
      <c r="AD1629" s="53"/>
      <c r="AE1629" s="59"/>
    </row>
    <row r="1630" spans="1:31" customFormat="1" ht="15" x14ac:dyDescent="0.35">
      <c r="A1630" s="50"/>
      <c r="B1630" s="63"/>
      <c r="C1630" s="39"/>
      <c r="D1630" s="6"/>
      <c r="E1630" s="153"/>
      <c r="F1630" s="10"/>
      <c r="G1630" s="53"/>
      <c r="H1630" s="3"/>
      <c r="I1630" s="3"/>
      <c r="J1630" s="3"/>
      <c r="K1630" s="3"/>
      <c r="L1630" s="3"/>
      <c r="M1630" s="3"/>
      <c r="N1630" s="3"/>
      <c r="O1630" s="3"/>
      <c r="P1630" s="59"/>
      <c r="Q1630" s="21"/>
      <c r="R1630" s="21"/>
      <c r="S1630" s="3"/>
      <c r="T1630" s="3"/>
      <c r="U1630" s="3"/>
      <c r="V1630" s="3"/>
      <c r="W1630" s="3"/>
      <c r="X1630" s="3"/>
      <c r="Y1630" s="3"/>
      <c r="Z1630" s="53"/>
      <c r="AA1630" s="3"/>
      <c r="AB1630" s="59"/>
      <c r="AC1630" s="3"/>
      <c r="AD1630" s="53"/>
      <c r="AE1630" s="59"/>
    </row>
    <row r="1631" spans="1:31" customFormat="1" ht="15" x14ac:dyDescent="0.35">
      <c r="A1631" s="50"/>
      <c r="B1631" s="63"/>
      <c r="C1631" s="39"/>
      <c r="D1631" s="6"/>
      <c r="E1631" s="153"/>
      <c r="F1631" s="10"/>
      <c r="G1631" s="54"/>
      <c r="H1631" s="3"/>
      <c r="I1631" s="2"/>
      <c r="J1631" s="2"/>
      <c r="K1631" s="3"/>
      <c r="L1631" s="3"/>
      <c r="M1631" s="3"/>
      <c r="N1631" s="3"/>
      <c r="O1631" s="3"/>
      <c r="P1631" s="59"/>
      <c r="Q1631" s="3"/>
      <c r="R1631" s="3"/>
      <c r="S1631" s="3"/>
      <c r="T1631" s="3"/>
      <c r="U1631" s="3"/>
      <c r="V1631" s="3"/>
      <c r="W1631" s="3"/>
      <c r="X1631" s="3"/>
      <c r="Y1631" s="3"/>
      <c r="Z1631" s="53"/>
      <c r="AA1631" s="3"/>
      <c r="AB1631" s="59"/>
      <c r="AC1631" s="3"/>
      <c r="AD1631" s="53"/>
      <c r="AE1631" s="59"/>
    </row>
    <row r="1632" spans="1:31" customFormat="1" ht="15" x14ac:dyDescent="0.35">
      <c r="A1632" s="19"/>
      <c r="B1632" s="49"/>
      <c r="C1632" s="39"/>
      <c r="D1632" s="1"/>
      <c r="E1632" s="153"/>
      <c r="F1632" s="10"/>
      <c r="G1632" s="20"/>
      <c r="H1632" s="21"/>
      <c r="I1632" s="21"/>
      <c r="J1632" s="21"/>
      <c r="K1632" s="21"/>
      <c r="L1632" s="21"/>
      <c r="M1632" s="21"/>
      <c r="N1632" s="22"/>
      <c r="O1632" s="21"/>
      <c r="P1632" s="24"/>
      <c r="Q1632" s="21"/>
      <c r="R1632" s="21"/>
      <c r="S1632" s="21"/>
      <c r="T1632" s="21"/>
      <c r="U1632" s="21"/>
      <c r="V1632" s="22"/>
      <c r="W1632" s="21"/>
      <c r="X1632" s="22"/>
      <c r="Y1632" s="21"/>
      <c r="Z1632" s="20"/>
      <c r="AA1632" s="21"/>
      <c r="AB1632" s="25"/>
      <c r="AC1632" s="26"/>
      <c r="AD1632" s="27"/>
      <c r="AE1632" s="28"/>
    </row>
    <row r="1633" spans="1:31" customFormat="1" ht="15" x14ac:dyDescent="0.35">
      <c r="A1633" s="19"/>
      <c r="B1633" s="49"/>
      <c r="C1633" s="39"/>
      <c r="D1633" s="1"/>
      <c r="E1633" s="153"/>
      <c r="F1633" s="10"/>
      <c r="G1633" s="20"/>
      <c r="H1633" s="21"/>
      <c r="I1633" s="21"/>
      <c r="J1633" s="21"/>
      <c r="K1633" s="21"/>
      <c r="L1633" s="21"/>
      <c r="M1633" s="21"/>
      <c r="N1633" s="22"/>
      <c r="O1633" s="21"/>
      <c r="P1633" s="24"/>
      <c r="Q1633" s="21"/>
      <c r="R1633" s="21"/>
      <c r="S1633" s="21"/>
      <c r="T1633" s="21"/>
      <c r="U1633" s="21"/>
      <c r="V1633" s="22"/>
      <c r="W1633" s="21"/>
      <c r="X1633" s="22"/>
      <c r="Y1633" s="21"/>
      <c r="Z1633" s="20"/>
      <c r="AA1633" s="21"/>
      <c r="AB1633" s="25"/>
      <c r="AC1633" s="26"/>
      <c r="AD1633" s="27"/>
      <c r="AE1633" s="28"/>
    </row>
    <row r="1634" spans="1:31" customFormat="1" ht="15" x14ac:dyDescent="0.35">
      <c r="A1634" s="50"/>
      <c r="B1634" s="63"/>
      <c r="C1634" s="39"/>
      <c r="D1634" s="6"/>
      <c r="E1634" s="153"/>
      <c r="F1634" s="10"/>
      <c r="G1634" s="53"/>
      <c r="H1634" s="3"/>
      <c r="I1634" s="3"/>
      <c r="J1634" s="3"/>
      <c r="K1634" s="3"/>
      <c r="L1634" s="3"/>
      <c r="M1634" s="3"/>
      <c r="N1634" s="3"/>
      <c r="O1634" s="3"/>
      <c r="P1634" s="59"/>
      <c r="Q1634" s="21"/>
      <c r="R1634" s="21"/>
      <c r="S1634" s="3"/>
      <c r="T1634" s="3"/>
      <c r="U1634" s="3"/>
      <c r="V1634" s="3"/>
      <c r="W1634" s="3"/>
      <c r="X1634" s="3"/>
      <c r="Y1634" s="3"/>
      <c r="Z1634" s="53"/>
      <c r="AA1634" s="3"/>
      <c r="AB1634" s="59"/>
      <c r="AC1634" s="3"/>
      <c r="AD1634" s="53"/>
      <c r="AE1634" s="59"/>
    </row>
    <row r="1635" spans="1:31" customFormat="1" ht="15" x14ac:dyDescent="0.35">
      <c r="A1635" s="50"/>
      <c r="B1635" s="63"/>
      <c r="C1635" s="39"/>
      <c r="D1635" s="6"/>
      <c r="E1635" s="153"/>
      <c r="F1635" s="10"/>
      <c r="G1635" s="54"/>
      <c r="H1635" s="3"/>
      <c r="I1635" s="2"/>
      <c r="J1635" s="2"/>
      <c r="K1635" s="3"/>
      <c r="L1635" s="3"/>
      <c r="M1635" s="3"/>
      <c r="N1635" s="3"/>
      <c r="O1635" s="3"/>
      <c r="P1635" s="59"/>
      <c r="Q1635" s="3"/>
      <c r="R1635" s="3"/>
      <c r="S1635" s="3"/>
      <c r="T1635" s="3"/>
      <c r="U1635" s="3"/>
      <c r="V1635" s="3"/>
      <c r="W1635" s="3"/>
      <c r="X1635" s="3"/>
      <c r="Y1635" s="3"/>
      <c r="Z1635" s="53"/>
      <c r="AA1635" s="3"/>
      <c r="AB1635" s="59"/>
      <c r="AC1635" s="3"/>
      <c r="AD1635" s="53"/>
      <c r="AE1635" s="59"/>
    </row>
    <row r="1636" spans="1:31" customFormat="1" ht="15" x14ac:dyDescent="0.35">
      <c r="A1636" s="50"/>
      <c r="B1636" s="63"/>
      <c r="C1636" s="39"/>
      <c r="D1636" s="6"/>
      <c r="E1636" s="153"/>
      <c r="F1636" s="10"/>
      <c r="G1636" s="53"/>
      <c r="H1636" s="3"/>
      <c r="I1636" s="3"/>
      <c r="J1636" s="3"/>
      <c r="K1636" s="3"/>
      <c r="L1636" s="3"/>
      <c r="M1636" s="3"/>
      <c r="N1636" s="3"/>
      <c r="O1636" s="3"/>
      <c r="P1636" s="59"/>
      <c r="Q1636" s="21"/>
      <c r="R1636" s="21"/>
      <c r="S1636" s="3"/>
      <c r="T1636" s="3"/>
      <c r="U1636" s="3"/>
      <c r="V1636" s="3"/>
      <c r="W1636" s="3"/>
      <c r="X1636" s="3"/>
      <c r="Y1636" s="3"/>
      <c r="Z1636" s="53"/>
      <c r="AA1636" s="3"/>
      <c r="AB1636" s="59"/>
      <c r="AC1636" s="3"/>
      <c r="AD1636" s="53"/>
      <c r="AE1636" s="59"/>
    </row>
    <row r="1637" spans="1:31" customFormat="1" ht="15" x14ac:dyDescent="0.35">
      <c r="A1637" s="50"/>
      <c r="B1637" s="63"/>
      <c r="C1637" s="39"/>
      <c r="D1637" s="6"/>
      <c r="E1637" s="153"/>
      <c r="F1637" s="10"/>
      <c r="G1637" s="53"/>
      <c r="H1637" s="3"/>
      <c r="I1637" s="3"/>
      <c r="J1637" s="3"/>
      <c r="K1637" s="3"/>
      <c r="L1637" s="3"/>
      <c r="M1637" s="3"/>
      <c r="N1637" s="3"/>
      <c r="O1637" s="3"/>
      <c r="P1637" s="59"/>
      <c r="Q1637" s="21"/>
      <c r="R1637" s="21"/>
      <c r="S1637" s="3"/>
      <c r="T1637" s="3"/>
      <c r="U1637" s="3"/>
      <c r="V1637" s="3"/>
      <c r="W1637" s="3"/>
      <c r="X1637" s="3"/>
      <c r="Y1637" s="3"/>
      <c r="Z1637" s="53"/>
      <c r="AA1637" s="3"/>
      <c r="AB1637" s="59"/>
      <c r="AC1637" s="3"/>
      <c r="AD1637" s="53"/>
      <c r="AE1637" s="59"/>
    </row>
    <row r="1638" spans="1:31" customFormat="1" ht="15" x14ac:dyDescent="0.35">
      <c r="A1638" s="19"/>
      <c r="B1638" s="49"/>
      <c r="C1638" s="14"/>
      <c r="D1638" s="1"/>
      <c r="E1638" s="153"/>
      <c r="F1638" s="10"/>
      <c r="G1638" s="20"/>
      <c r="H1638" s="21"/>
      <c r="I1638" s="21"/>
      <c r="J1638" s="21"/>
      <c r="K1638" s="21"/>
      <c r="L1638" s="21"/>
      <c r="M1638" s="21"/>
      <c r="N1638" s="22"/>
      <c r="O1638" s="21"/>
      <c r="P1638" s="24"/>
      <c r="Q1638" s="21"/>
      <c r="R1638" s="21"/>
      <c r="S1638" s="21"/>
      <c r="T1638" s="21"/>
      <c r="U1638" s="21"/>
      <c r="V1638" s="22"/>
      <c r="W1638" s="21"/>
      <c r="X1638" s="22"/>
      <c r="Y1638" s="21"/>
      <c r="Z1638" s="20"/>
      <c r="AA1638" s="21"/>
      <c r="AB1638" s="25"/>
      <c r="AC1638" s="26"/>
      <c r="AD1638" s="27"/>
      <c r="AE1638" s="28"/>
    </row>
    <row r="1639" spans="1:31" customFormat="1" ht="15" x14ac:dyDescent="0.35">
      <c r="A1639" s="50"/>
      <c r="B1639" s="63"/>
      <c r="C1639" s="39"/>
      <c r="D1639" s="6"/>
      <c r="E1639" s="153"/>
      <c r="F1639" s="10"/>
      <c r="G1639" s="53"/>
      <c r="H1639" s="3"/>
      <c r="I1639" s="3"/>
      <c r="J1639" s="3"/>
      <c r="K1639" s="3"/>
      <c r="L1639" s="3"/>
      <c r="M1639" s="3"/>
      <c r="N1639" s="3"/>
      <c r="O1639" s="3"/>
      <c r="P1639" s="59"/>
      <c r="Q1639" s="21"/>
      <c r="R1639" s="21"/>
      <c r="S1639" s="3"/>
      <c r="T1639" s="3"/>
      <c r="U1639" s="3"/>
      <c r="V1639" s="3"/>
      <c r="W1639" s="3"/>
      <c r="X1639" s="3"/>
      <c r="Y1639" s="3"/>
      <c r="Z1639" s="53"/>
      <c r="AA1639" s="3"/>
      <c r="AB1639" s="59"/>
      <c r="AC1639" s="3"/>
      <c r="AD1639" s="53"/>
      <c r="AE1639" s="59"/>
    </row>
    <row r="1640" spans="1:31" customFormat="1" ht="15" x14ac:dyDescent="0.35">
      <c r="A1640" s="19"/>
      <c r="B1640" s="49"/>
      <c r="C1640" s="14"/>
      <c r="D1640" s="1"/>
      <c r="E1640" s="153"/>
      <c r="F1640" s="10"/>
      <c r="G1640" s="20"/>
      <c r="H1640" s="21"/>
      <c r="I1640" s="21"/>
      <c r="J1640" s="21"/>
      <c r="K1640" s="21"/>
      <c r="L1640" s="21"/>
      <c r="M1640" s="21"/>
      <c r="N1640" s="22"/>
      <c r="O1640" s="21"/>
      <c r="P1640" s="24"/>
      <c r="Q1640" s="21"/>
      <c r="R1640" s="21"/>
      <c r="S1640" s="21"/>
      <c r="T1640" s="21"/>
      <c r="U1640" s="21"/>
      <c r="V1640" s="22"/>
      <c r="W1640" s="21"/>
      <c r="X1640" s="22"/>
      <c r="Y1640" s="21"/>
      <c r="Z1640" s="20"/>
      <c r="AA1640" s="21"/>
      <c r="AB1640" s="25"/>
      <c r="AC1640" s="26"/>
      <c r="AD1640" s="27"/>
      <c r="AE1640" s="28"/>
    </row>
    <row r="1641" spans="1:31" customFormat="1" ht="15" x14ac:dyDescent="0.35">
      <c r="A1641" s="50"/>
      <c r="B1641" s="63"/>
      <c r="C1641" s="39"/>
      <c r="D1641" s="6"/>
      <c r="E1641" s="153"/>
      <c r="F1641" s="10"/>
      <c r="G1641" s="53"/>
      <c r="H1641" s="3"/>
      <c r="I1641" s="3"/>
      <c r="J1641" s="3"/>
      <c r="K1641" s="3"/>
      <c r="L1641" s="3"/>
      <c r="M1641" s="3"/>
      <c r="N1641" s="3"/>
      <c r="O1641" s="3"/>
      <c r="P1641" s="59"/>
      <c r="Q1641" s="21"/>
      <c r="R1641" s="21"/>
      <c r="S1641" s="3"/>
      <c r="T1641" s="3"/>
      <c r="U1641" s="3"/>
      <c r="V1641" s="3"/>
      <c r="W1641" s="3"/>
      <c r="X1641" s="3"/>
      <c r="Y1641" s="3"/>
      <c r="Z1641" s="53"/>
      <c r="AA1641" s="3"/>
      <c r="AB1641" s="59"/>
      <c r="AC1641" s="3"/>
      <c r="AD1641" s="53"/>
      <c r="AE1641" s="59"/>
    </row>
    <row r="1642" spans="1:31" customFormat="1" ht="15" x14ac:dyDescent="0.35">
      <c r="A1642" s="19"/>
      <c r="B1642" s="49"/>
      <c r="C1642" s="14"/>
      <c r="D1642" s="1"/>
      <c r="E1642" s="153"/>
      <c r="F1642" s="10"/>
      <c r="G1642" s="20"/>
      <c r="H1642" s="21"/>
      <c r="I1642" s="21"/>
      <c r="J1642" s="21"/>
      <c r="K1642" s="21"/>
      <c r="L1642" s="21"/>
      <c r="M1642" s="21"/>
      <c r="N1642" s="22"/>
      <c r="O1642" s="21"/>
      <c r="P1642" s="24"/>
      <c r="Q1642" s="21"/>
      <c r="R1642" s="21"/>
      <c r="S1642" s="21"/>
      <c r="T1642" s="21"/>
      <c r="U1642" s="21"/>
      <c r="V1642" s="22"/>
      <c r="W1642" s="21"/>
      <c r="X1642" s="22"/>
      <c r="Y1642" s="21"/>
      <c r="Z1642" s="20"/>
      <c r="AA1642" s="21"/>
      <c r="AB1642" s="25"/>
      <c r="AC1642" s="26"/>
      <c r="AD1642" s="27"/>
      <c r="AE1642" s="28"/>
    </row>
    <row r="1643" spans="1:31" customFormat="1" ht="15" x14ac:dyDescent="0.35">
      <c r="A1643" s="50"/>
      <c r="B1643" s="63"/>
      <c r="C1643" s="39"/>
      <c r="D1643" s="6"/>
      <c r="E1643" s="153"/>
      <c r="F1643" s="10"/>
      <c r="G1643" s="54"/>
      <c r="H1643" s="3"/>
      <c r="I1643" s="2"/>
      <c r="J1643" s="2"/>
      <c r="K1643" s="3"/>
      <c r="L1643" s="3"/>
      <c r="M1643" s="3"/>
      <c r="N1643" s="3"/>
      <c r="O1643" s="3"/>
      <c r="P1643" s="59"/>
      <c r="Q1643" s="3"/>
      <c r="R1643" s="3"/>
      <c r="S1643" s="3"/>
      <c r="T1643" s="3"/>
      <c r="U1643" s="3"/>
      <c r="V1643" s="3"/>
      <c r="W1643" s="3"/>
      <c r="X1643" s="3"/>
      <c r="Y1643" s="3"/>
      <c r="Z1643" s="53"/>
      <c r="AA1643" s="3"/>
      <c r="AB1643" s="59"/>
      <c r="AC1643" s="3"/>
      <c r="AD1643" s="53"/>
      <c r="AE1643" s="59"/>
    </row>
    <row r="1644" spans="1:31" customFormat="1" ht="15" x14ac:dyDescent="0.35">
      <c r="A1644" s="50"/>
      <c r="B1644" s="63"/>
      <c r="C1644" s="39"/>
      <c r="D1644" s="6"/>
      <c r="E1644" s="153"/>
      <c r="F1644" s="10"/>
      <c r="G1644" s="54"/>
      <c r="H1644" s="3"/>
      <c r="I1644" s="2"/>
      <c r="J1644" s="2"/>
      <c r="K1644" s="3"/>
      <c r="L1644" s="3"/>
      <c r="M1644" s="3"/>
      <c r="N1644" s="3"/>
      <c r="O1644" s="3"/>
      <c r="P1644" s="59"/>
      <c r="Q1644" s="21"/>
      <c r="R1644" s="21"/>
      <c r="S1644" s="3"/>
      <c r="T1644" s="3"/>
      <c r="U1644" s="3"/>
      <c r="V1644" s="3"/>
      <c r="W1644" s="3"/>
      <c r="X1644" s="3"/>
      <c r="Y1644" s="3"/>
      <c r="Z1644" s="53"/>
      <c r="AA1644" s="3"/>
      <c r="AB1644" s="59"/>
      <c r="AC1644" s="3"/>
      <c r="AD1644" s="53"/>
      <c r="AE1644" s="59"/>
    </row>
    <row r="1645" spans="1:31" customFormat="1" ht="15" x14ac:dyDescent="0.35">
      <c r="A1645" s="50"/>
      <c r="B1645" s="63"/>
      <c r="C1645" s="39"/>
      <c r="D1645" s="6"/>
      <c r="E1645" s="153"/>
      <c r="F1645" s="10"/>
      <c r="G1645" s="53"/>
      <c r="H1645" s="3"/>
      <c r="I1645" s="3"/>
      <c r="J1645" s="3"/>
      <c r="K1645" s="3"/>
      <c r="L1645" s="3"/>
      <c r="M1645" s="3"/>
      <c r="N1645" s="3"/>
      <c r="O1645" s="3"/>
      <c r="P1645" s="59"/>
      <c r="Q1645" s="21"/>
      <c r="R1645" s="21"/>
      <c r="S1645" s="3"/>
      <c r="T1645" s="3"/>
      <c r="U1645" s="3"/>
      <c r="V1645" s="3"/>
      <c r="W1645" s="3"/>
      <c r="X1645" s="3"/>
      <c r="Y1645" s="3"/>
      <c r="Z1645" s="53"/>
      <c r="AA1645" s="3"/>
      <c r="AB1645" s="59"/>
      <c r="AC1645" s="3"/>
      <c r="AD1645" s="53"/>
      <c r="AE1645" s="59"/>
    </row>
    <row r="1646" spans="1:31" customFormat="1" ht="15" x14ac:dyDescent="0.35">
      <c r="A1646" s="19"/>
      <c r="B1646" s="49"/>
      <c r="C1646" s="39"/>
      <c r="D1646" s="1"/>
      <c r="E1646" s="153"/>
      <c r="F1646" s="10"/>
      <c r="G1646" s="20"/>
      <c r="H1646" s="21"/>
      <c r="I1646" s="21"/>
      <c r="J1646" s="21"/>
      <c r="K1646" s="21"/>
      <c r="L1646" s="21"/>
      <c r="M1646" s="21"/>
      <c r="N1646" s="22"/>
      <c r="O1646" s="21"/>
      <c r="P1646" s="24"/>
      <c r="Q1646" s="21"/>
      <c r="R1646" s="21"/>
      <c r="S1646" s="21"/>
      <c r="T1646" s="21"/>
      <c r="U1646" s="21"/>
      <c r="V1646" s="22"/>
      <c r="W1646" s="21"/>
      <c r="X1646" s="22"/>
      <c r="Y1646" s="21"/>
      <c r="Z1646" s="20"/>
      <c r="AA1646" s="21"/>
      <c r="AB1646" s="25"/>
      <c r="AC1646" s="26"/>
      <c r="AD1646" s="27"/>
      <c r="AE1646" s="28"/>
    </row>
    <row r="1647" spans="1:31" customFormat="1" ht="15" x14ac:dyDescent="0.35">
      <c r="A1647" s="50"/>
      <c r="B1647" s="63"/>
      <c r="C1647" s="39"/>
      <c r="D1647" s="6"/>
      <c r="E1647" s="153"/>
      <c r="F1647" s="10"/>
      <c r="G1647" s="54"/>
      <c r="H1647" s="3"/>
      <c r="I1647" s="2"/>
      <c r="J1647" s="2"/>
      <c r="K1647" s="3"/>
      <c r="L1647" s="3"/>
      <c r="M1647" s="3"/>
      <c r="N1647" s="3"/>
      <c r="O1647" s="3"/>
      <c r="P1647" s="59"/>
      <c r="Q1647" s="3"/>
      <c r="R1647" s="3"/>
      <c r="S1647" s="3"/>
      <c r="T1647" s="3"/>
      <c r="U1647" s="3"/>
      <c r="V1647" s="3"/>
      <c r="W1647" s="3"/>
      <c r="X1647" s="3"/>
      <c r="Y1647" s="3"/>
      <c r="Z1647" s="53"/>
      <c r="AA1647" s="3"/>
      <c r="AB1647" s="59"/>
      <c r="AC1647" s="3"/>
      <c r="AD1647" s="53"/>
      <c r="AE1647" s="59"/>
    </row>
    <row r="1648" spans="1:31" customFormat="1" ht="15" x14ac:dyDescent="0.35">
      <c r="A1648" s="50"/>
      <c r="B1648" s="63"/>
      <c r="C1648" s="39"/>
      <c r="D1648" s="6"/>
      <c r="E1648" s="153"/>
      <c r="F1648" s="10"/>
      <c r="G1648" s="53"/>
      <c r="H1648" s="3"/>
      <c r="I1648" s="3"/>
      <c r="J1648" s="3"/>
      <c r="K1648" s="3"/>
      <c r="L1648" s="3"/>
      <c r="M1648" s="3"/>
      <c r="N1648" s="3"/>
      <c r="O1648" s="3"/>
      <c r="P1648" s="59"/>
      <c r="Q1648" s="21"/>
      <c r="R1648" s="21"/>
      <c r="S1648" s="3"/>
      <c r="T1648" s="3"/>
      <c r="U1648" s="3"/>
      <c r="V1648" s="3"/>
      <c r="W1648" s="3"/>
      <c r="X1648" s="3"/>
      <c r="Y1648" s="3"/>
      <c r="Z1648" s="53"/>
      <c r="AA1648" s="3"/>
      <c r="AB1648" s="59"/>
      <c r="AC1648" s="3"/>
      <c r="AD1648" s="53"/>
      <c r="AE1648" s="59"/>
    </row>
    <row r="1649" spans="1:31" customFormat="1" ht="15" x14ac:dyDescent="0.35">
      <c r="A1649" s="50"/>
      <c r="B1649" s="63"/>
      <c r="C1649" s="39"/>
      <c r="D1649" s="6"/>
      <c r="E1649" s="153"/>
      <c r="F1649" s="10"/>
      <c r="G1649" s="53"/>
      <c r="H1649" s="3"/>
      <c r="I1649" s="3"/>
      <c r="J1649" s="3"/>
      <c r="K1649" s="3"/>
      <c r="L1649" s="3"/>
      <c r="M1649" s="3"/>
      <c r="N1649" s="3"/>
      <c r="O1649" s="3"/>
      <c r="P1649" s="59"/>
      <c r="Q1649" s="21"/>
      <c r="R1649" s="21"/>
      <c r="S1649" s="3"/>
      <c r="T1649" s="3"/>
      <c r="U1649" s="3"/>
      <c r="V1649" s="3"/>
      <c r="W1649" s="3"/>
      <c r="X1649" s="3"/>
      <c r="Y1649" s="3"/>
      <c r="Z1649" s="53"/>
      <c r="AA1649" s="3"/>
      <c r="AB1649" s="59"/>
      <c r="AC1649" s="3"/>
      <c r="AD1649" s="53"/>
      <c r="AE1649" s="59"/>
    </row>
    <row r="1650" spans="1:31" customFormat="1" ht="15" x14ac:dyDescent="0.35">
      <c r="A1650" s="50"/>
      <c r="B1650" s="63"/>
      <c r="C1650" s="39"/>
      <c r="D1650" s="6"/>
      <c r="E1650" s="153"/>
      <c r="F1650" s="10"/>
      <c r="G1650" s="53"/>
      <c r="H1650" s="3"/>
      <c r="I1650" s="3"/>
      <c r="J1650" s="3"/>
      <c r="K1650" s="3"/>
      <c r="L1650" s="3"/>
      <c r="M1650" s="3"/>
      <c r="N1650" s="3"/>
      <c r="O1650" s="3"/>
      <c r="P1650" s="59"/>
      <c r="Q1650" s="21"/>
      <c r="R1650" s="21"/>
      <c r="S1650" s="3"/>
      <c r="T1650" s="3"/>
      <c r="U1650" s="3"/>
      <c r="V1650" s="3"/>
      <c r="W1650" s="3"/>
      <c r="X1650" s="3"/>
      <c r="Y1650" s="3"/>
      <c r="Z1650" s="53"/>
      <c r="AA1650" s="3"/>
      <c r="AB1650" s="59"/>
      <c r="AC1650" s="3"/>
      <c r="AD1650" s="53"/>
      <c r="AE1650" s="59"/>
    </row>
    <row r="1651" spans="1:31" customFormat="1" ht="15" x14ac:dyDescent="0.35">
      <c r="A1651" s="50"/>
      <c r="B1651" s="63"/>
      <c r="C1651" s="39"/>
      <c r="D1651" s="6"/>
      <c r="E1651" s="153"/>
      <c r="F1651" s="10"/>
      <c r="G1651" s="54"/>
      <c r="H1651" s="3"/>
      <c r="I1651" s="2"/>
      <c r="J1651" s="2"/>
      <c r="K1651" s="3"/>
      <c r="L1651" s="3"/>
      <c r="M1651" s="3"/>
      <c r="N1651" s="3"/>
      <c r="O1651" s="3"/>
      <c r="P1651" s="59"/>
      <c r="Q1651" s="3"/>
      <c r="R1651" s="3"/>
      <c r="S1651" s="3"/>
      <c r="T1651" s="3"/>
      <c r="U1651" s="3"/>
      <c r="V1651" s="3"/>
      <c r="W1651" s="3"/>
      <c r="X1651" s="3"/>
      <c r="Y1651" s="3"/>
      <c r="Z1651" s="53"/>
      <c r="AA1651" s="3"/>
      <c r="AB1651" s="59"/>
      <c r="AC1651" s="3"/>
      <c r="AD1651" s="53"/>
      <c r="AE1651" s="59"/>
    </row>
    <row r="1652" spans="1:31" customFormat="1" ht="15" x14ac:dyDescent="0.35">
      <c r="A1652" s="19"/>
      <c r="B1652" s="49"/>
      <c r="C1652" s="14"/>
      <c r="D1652" s="1"/>
      <c r="E1652" s="153"/>
      <c r="F1652" s="10"/>
      <c r="G1652" s="20"/>
      <c r="H1652" s="21"/>
      <c r="I1652" s="21"/>
      <c r="J1652" s="21"/>
      <c r="K1652" s="21"/>
      <c r="L1652" s="21"/>
      <c r="M1652" s="21"/>
      <c r="N1652" s="22"/>
      <c r="O1652" s="21"/>
      <c r="P1652" s="24"/>
      <c r="Q1652" s="21"/>
      <c r="R1652" s="21"/>
      <c r="S1652" s="21"/>
      <c r="T1652" s="21"/>
      <c r="U1652" s="21"/>
      <c r="V1652" s="22"/>
      <c r="W1652" s="21"/>
      <c r="X1652" s="22"/>
      <c r="Y1652" s="21"/>
      <c r="Z1652" s="20"/>
      <c r="AA1652" s="21"/>
      <c r="AB1652" s="25"/>
      <c r="AC1652" s="26"/>
      <c r="AD1652" s="27"/>
      <c r="AE1652" s="28"/>
    </row>
    <row r="1653" spans="1:31" customFormat="1" ht="15" x14ac:dyDescent="0.35">
      <c r="A1653" s="19"/>
      <c r="B1653" s="49"/>
      <c r="C1653" s="14"/>
      <c r="D1653" s="1"/>
      <c r="E1653" s="153"/>
      <c r="F1653" s="10"/>
      <c r="G1653" s="20"/>
      <c r="H1653" s="21"/>
      <c r="I1653" s="21"/>
      <c r="J1653" s="21"/>
      <c r="K1653" s="21"/>
      <c r="L1653" s="21"/>
      <c r="M1653" s="21"/>
      <c r="N1653" s="22"/>
      <c r="O1653" s="21"/>
      <c r="P1653" s="24"/>
      <c r="Q1653" s="21"/>
      <c r="R1653" s="21"/>
      <c r="S1653" s="21"/>
      <c r="T1653" s="21"/>
      <c r="U1653" s="21"/>
      <c r="V1653" s="22"/>
      <c r="W1653" s="21"/>
      <c r="X1653" s="22"/>
      <c r="Y1653" s="21"/>
      <c r="Z1653" s="20"/>
      <c r="AA1653" s="21"/>
      <c r="AB1653" s="25"/>
      <c r="AC1653" s="26"/>
      <c r="AD1653" s="27"/>
      <c r="AE1653" s="28"/>
    </row>
    <row r="1654" spans="1:31" customFormat="1" ht="15" x14ac:dyDescent="0.35">
      <c r="A1654" s="19"/>
      <c r="B1654" s="49"/>
      <c r="C1654" s="14"/>
      <c r="D1654" s="1"/>
      <c r="E1654" s="153"/>
      <c r="F1654" s="10"/>
      <c r="G1654" s="20"/>
      <c r="H1654" s="21"/>
      <c r="I1654" s="21"/>
      <c r="J1654" s="21"/>
      <c r="K1654" s="21"/>
      <c r="L1654" s="21"/>
      <c r="M1654" s="21"/>
      <c r="N1654" s="22"/>
      <c r="O1654" s="21"/>
      <c r="P1654" s="24"/>
      <c r="Q1654" s="21"/>
      <c r="R1654" s="21"/>
      <c r="S1654" s="21"/>
      <c r="T1654" s="21"/>
      <c r="U1654" s="21"/>
      <c r="V1654" s="22"/>
      <c r="W1654" s="21"/>
      <c r="X1654" s="22"/>
      <c r="Y1654" s="21"/>
      <c r="Z1654" s="20"/>
      <c r="AA1654" s="21"/>
      <c r="AB1654" s="25"/>
      <c r="AC1654" s="26"/>
      <c r="AD1654" s="27"/>
      <c r="AE1654" s="28"/>
    </row>
    <row r="1655" spans="1:31" customFormat="1" ht="15" x14ac:dyDescent="0.35">
      <c r="A1655" s="50"/>
      <c r="B1655" s="63"/>
      <c r="C1655" s="39"/>
      <c r="D1655" s="6"/>
      <c r="E1655" s="153"/>
      <c r="F1655" s="10"/>
      <c r="G1655" s="53"/>
      <c r="H1655" s="3"/>
      <c r="I1655" s="3"/>
      <c r="J1655" s="3"/>
      <c r="K1655" s="3"/>
      <c r="L1655" s="3"/>
      <c r="M1655" s="3"/>
      <c r="N1655" s="3"/>
      <c r="O1655" s="3"/>
      <c r="P1655" s="59"/>
      <c r="Q1655" s="21"/>
      <c r="R1655" s="21"/>
      <c r="S1655" s="3"/>
      <c r="T1655" s="3"/>
      <c r="U1655" s="3"/>
      <c r="V1655" s="3"/>
      <c r="W1655" s="3"/>
      <c r="X1655" s="3"/>
      <c r="Y1655" s="3"/>
      <c r="Z1655" s="53"/>
      <c r="AA1655" s="3"/>
      <c r="AB1655" s="59"/>
      <c r="AC1655" s="3"/>
      <c r="AD1655" s="53"/>
      <c r="AE1655" s="59"/>
    </row>
    <row r="1656" spans="1:31" customFormat="1" ht="15" x14ac:dyDescent="0.35">
      <c r="A1656" s="50"/>
      <c r="B1656" s="63"/>
      <c r="C1656" s="39"/>
      <c r="D1656" s="6"/>
      <c r="E1656" s="153"/>
      <c r="F1656" s="10"/>
      <c r="G1656" s="53"/>
      <c r="H1656" s="3"/>
      <c r="I1656" s="3"/>
      <c r="J1656" s="3"/>
      <c r="K1656" s="3"/>
      <c r="L1656" s="3"/>
      <c r="M1656" s="3"/>
      <c r="N1656" s="3"/>
      <c r="O1656" s="3"/>
      <c r="P1656" s="59"/>
      <c r="Q1656" s="21"/>
      <c r="R1656" s="21"/>
      <c r="S1656" s="3"/>
      <c r="T1656" s="3"/>
      <c r="U1656" s="3"/>
      <c r="V1656" s="3"/>
      <c r="W1656" s="3"/>
      <c r="X1656" s="3"/>
      <c r="Y1656" s="3"/>
      <c r="Z1656" s="53"/>
      <c r="AA1656" s="3"/>
      <c r="AB1656" s="59"/>
      <c r="AC1656" s="3"/>
      <c r="AD1656" s="53"/>
      <c r="AE1656" s="59"/>
    </row>
    <row r="1657" spans="1:31" customFormat="1" ht="15" x14ac:dyDescent="0.35">
      <c r="A1657" s="19"/>
      <c r="B1657" s="49"/>
      <c r="C1657" s="14"/>
      <c r="D1657" s="1"/>
      <c r="E1657" s="153"/>
      <c r="F1657" s="10"/>
      <c r="G1657" s="20"/>
      <c r="H1657" s="21"/>
      <c r="I1657" s="21"/>
      <c r="J1657" s="21"/>
      <c r="K1657" s="21"/>
      <c r="L1657" s="21"/>
      <c r="M1657" s="21"/>
      <c r="N1657" s="22"/>
      <c r="O1657" s="21"/>
      <c r="P1657" s="24"/>
      <c r="Q1657" s="21"/>
      <c r="R1657" s="21"/>
      <c r="S1657" s="21"/>
      <c r="T1657" s="21"/>
      <c r="U1657" s="21"/>
      <c r="V1657" s="22"/>
      <c r="W1657" s="21"/>
      <c r="X1657" s="22"/>
      <c r="Y1657" s="21"/>
      <c r="Z1657" s="20"/>
      <c r="AA1657" s="21"/>
      <c r="AB1657" s="25"/>
      <c r="AC1657" s="26"/>
      <c r="AD1657" s="27"/>
      <c r="AE1657" s="28"/>
    </row>
    <row r="1658" spans="1:31" customFormat="1" ht="15" x14ac:dyDescent="0.35">
      <c r="A1658" s="50"/>
      <c r="B1658" s="63"/>
      <c r="C1658" s="39"/>
      <c r="D1658" s="6"/>
      <c r="E1658" s="153"/>
      <c r="F1658" s="10"/>
      <c r="G1658" s="53"/>
      <c r="H1658" s="3"/>
      <c r="I1658" s="3"/>
      <c r="J1658" s="3"/>
      <c r="K1658" s="3"/>
      <c r="L1658" s="3"/>
      <c r="M1658" s="3"/>
      <c r="N1658" s="3"/>
      <c r="O1658" s="3"/>
      <c r="P1658" s="59"/>
      <c r="Q1658" s="21"/>
      <c r="R1658" s="21"/>
      <c r="S1658" s="3"/>
      <c r="T1658" s="3"/>
      <c r="U1658" s="3"/>
      <c r="V1658" s="3"/>
      <c r="W1658" s="3"/>
      <c r="X1658" s="3"/>
      <c r="Y1658" s="3"/>
      <c r="Z1658" s="53"/>
      <c r="AA1658" s="3"/>
      <c r="AB1658" s="59"/>
      <c r="AC1658" s="3"/>
      <c r="AD1658" s="53"/>
      <c r="AE1658" s="59"/>
    </row>
    <row r="1659" spans="1:31" customFormat="1" ht="15" x14ac:dyDescent="0.35">
      <c r="A1659" s="50"/>
      <c r="B1659" s="63"/>
      <c r="C1659" s="39"/>
      <c r="D1659" s="6"/>
      <c r="E1659" s="153"/>
      <c r="F1659" s="10"/>
      <c r="G1659" s="53"/>
      <c r="H1659" s="3"/>
      <c r="I1659" s="3"/>
      <c r="J1659" s="3"/>
      <c r="K1659" s="3"/>
      <c r="L1659" s="3"/>
      <c r="M1659" s="3"/>
      <c r="N1659" s="3"/>
      <c r="O1659" s="3"/>
      <c r="P1659" s="59"/>
      <c r="Q1659" s="21"/>
      <c r="R1659" s="21"/>
      <c r="S1659" s="3"/>
      <c r="T1659" s="3"/>
      <c r="U1659" s="3"/>
      <c r="V1659" s="3"/>
      <c r="W1659" s="3"/>
      <c r="X1659" s="3"/>
      <c r="Y1659" s="3"/>
      <c r="Z1659" s="53"/>
      <c r="AA1659" s="3"/>
      <c r="AB1659" s="59"/>
      <c r="AC1659" s="3"/>
      <c r="AD1659" s="53"/>
      <c r="AE1659" s="59"/>
    </row>
    <row r="1660" spans="1:31" customFormat="1" ht="15" x14ac:dyDescent="0.35">
      <c r="A1660" s="50"/>
      <c r="B1660" s="63"/>
      <c r="C1660" s="39"/>
      <c r="D1660" s="6"/>
      <c r="E1660" s="153"/>
      <c r="F1660" s="10"/>
      <c r="G1660" s="53"/>
      <c r="H1660" s="3"/>
      <c r="I1660" s="3"/>
      <c r="J1660" s="3"/>
      <c r="K1660" s="3"/>
      <c r="L1660" s="3"/>
      <c r="M1660" s="3"/>
      <c r="N1660" s="3"/>
      <c r="O1660" s="3"/>
      <c r="P1660" s="59"/>
      <c r="Q1660" s="21"/>
      <c r="R1660" s="21"/>
      <c r="S1660" s="3"/>
      <c r="T1660" s="3"/>
      <c r="U1660" s="3"/>
      <c r="V1660" s="3"/>
      <c r="W1660" s="3"/>
      <c r="X1660" s="3"/>
      <c r="Y1660" s="3"/>
      <c r="Z1660" s="53"/>
      <c r="AA1660" s="3"/>
      <c r="AB1660" s="59"/>
      <c r="AC1660" s="3"/>
      <c r="AD1660" s="53"/>
      <c r="AE1660" s="59"/>
    </row>
    <row r="1661" spans="1:31" customFormat="1" ht="15" x14ac:dyDescent="0.35">
      <c r="A1661" s="50"/>
      <c r="B1661" s="63"/>
      <c r="C1661" s="39"/>
      <c r="D1661" s="6"/>
      <c r="E1661" s="153"/>
      <c r="F1661" s="10"/>
      <c r="G1661" s="54"/>
      <c r="H1661" s="3"/>
      <c r="I1661" s="2"/>
      <c r="J1661" s="2"/>
      <c r="K1661" s="3"/>
      <c r="L1661" s="3"/>
      <c r="M1661" s="3"/>
      <c r="N1661" s="3"/>
      <c r="O1661" s="3"/>
      <c r="P1661" s="59"/>
      <c r="Q1661" s="3"/>
      <c r="R1661" s="3"/>
      <c r="S1661" s="3"/>
      <c r="T1661" s="3"/>
      <c r="U1661" s="3"/>
      <c r="V1661" s="3"/>
      <c r="W1661" s="3"/>
      <c r="X1661" s="3"/>
      <c r="Y1661" s="3"/>
      <c r="Z1661" s="53"/>
      <c r="AA1661" s="3"/>
      <c r="AB1661" s="59"/>
      <c r="AC1661" s="3"/>
      <c r="AD1661" s="53"/>
      <c r="AE1661" s="59"/>
    </row>
    <row r="1662" spans="1:31" customFormat="1" ht="15" x14ac:dyDescent="0.35">
      <c r="A1662" s="50"/>
      <c r="B1662" s="63"/>
      <c r="C1662" s="39"/>
      <c r="D1662" s="6"/>
      <c r="E1662" s="153"/>
      <c r="F1662" s="10"/>
      <c r="G1662" s="53"/>
      <c r="H1662" s="3"/>
      <c r="I1662" s="3"/>
      <c r="J1662" s="3"/>
      <c r="K1662" s="3"/>
      <c r="L1662" s="3"/>
      <c r="M1662" s="3"/>
      <c r="N1662" s="3"/>
      <c r="O1662" s="3"/>
      <c r="P1662" s="59"/>
      <c r="Q1662" s="21"/>
      <c r="R1662" s="21"/>
      <c r="S1662" s="3"/>
      <c r="T1662" s="3"/>
      <c r="U1662" s="3"/>
      <c r="V1662" s="3"/>
      <c r="W1662" s="3"/>
      <c r="X1662" s="3"/>
      <c r="Y1662" s="3"/>
      <c r="Z1662" s="53"/>
      <c r="AA1662" s="3"/>
      <c r="AB1662" s="59"/>
      <c r="AC1662" s="3"/>
      <c r="AD1662" s="53"/>
      <c r="AE1662" s="59"/>
    </row>
    <row r="1663" spans="1:31" customFormat="1" ht="15" x14ac:dyDescent="0.35">
      <c r="A1663" s="50"/>
      <c r="B1663" s="63"/>
      <c r="C1663" s="39"/>
      <c r="D1663" s="6"/>
      <c r="E1663" s="153"/>
      <c r="F1663" s="10"/>
      <c r="G1663" s="53"/>
      <c r="H1663" s="3"/>
      <c r="I1663" s="3"/>
      <c r="J1663" s="3"/>
      <c r="K1663" s="3"/>
      <c r="L1663" s="3"/>
      <c r="M1663" s="3"/>
      <c r="N1663" s="3"/>
      <c r="O1663" s="3"/>
      <c r="P1663" s="59"/>
      <c r="Q1663" s="21"/>
      <c r="R1663" s="21"/>
      <c r="S1663" s="3"/>
      <c r="T1663" s="3"/>
      <c r="U1663" s="3"/>
      <c r="V1663" s="3"/>
      <c r="W1663" s="3"/>
      <c r="X1663" s="3"/>
      <c r="Y1663" s="3"/>
      <c r="Z1663" s="53"/>
      <c r="AA1663" s="3"/>
      <c r="AB1663" s="59"/>
      <c r="AC1663" s="3"/>
      <c r="AD1663" s="53"/>
      <c r="AE1663" s="59"/>
    </row>
    <row r="1664" spans="1:31" customFormat="1" ht="15" x14ac:dyDescent="0.35">
      <c r="A1664" s="19"/>
      <c r="B1664" s="49"/>
      <c r="C1664" s="14"/>
      <c r="D1664" s="6"/>
      <c r="E1664" s="153"/>
      <c r="F1664" s="10"/>
      <c r="G1664" s="20"/>
      <c r="H1664" s="21"/>
      <c r="I1664" s="21"/>
      <c r="J1664" s="21"/>
      <c r="K1664" s="21"/>
      <c r="L1664" s="21"/>
      <c r="M1664" s="21"/>
      <c r="N1664" s="22"/>
      <c r="O1664" s="21"/>
      <c r="P1664" s="24"/>
      <c r="Q1664" s="21"/>
      <c r="R1664" s="21"/>
      <c r="S1664" s="21"/>
      <c r="T1664" s="21"/>
      <c r="U1664" s="21"/>
      <c r="V1664" s="22"/>
      <c r="W1664" s="21"/>
      <c r="X1664" s="22"/>
      <c r="Y1664" s="21"/>
      <c r="Z1664" s="20"/>
      <c r="AA1664" s="21"/>
      <c r="AB1664" s="25"/>
      <c r="AC1664" s="26"/>
      <c r="AD1664" s="27"/>
      <c r="AE1664" s="28"/>
    </row>
    <row r="1665" spans="1:31" customFormat="1" ht="15" x14ac:dyDescent="0.35">
      <c r="A1665" s="19"/>
      <c r="B1665" s="49"/>
      <c r="C1665" s="39"/>
      <c r="D1665" s="1"/>
      <c r="E1665" s="153"/>
      <c r="F1665" s="10"/>
      <c r="G1665" s="20"/>
      <c r="H1665" s="21"/>
      <c r="I1665" s="21"/>
      <c r="J1665" s="21"/>
      <c r="K1665" s="21"/>
      <c r="L1665" s="21"/>
      <c r="M1665" s="21"/>
      <c r="N1665" s="22"/>
      <c r="O1665" s="21"/>
      <c r="P1665" s="24"/>
      <c r="Q1665" s="21"/>
      <c r="R1665" s="21"/>
      <c r="S1665" s="21"/>
      <c r="T1665" s="21"/>
      <c r="U1665" s="21"/>
      <c r="V1665" s="22"/>
      <c r="W1665" s="21"/>
      <c r="X1665" s="22"/>
      <c r="Y1665" s="21"/>
      <c r="Z1665" s="20"/>
      <c r="AA1665" s="21"/>
      <c r="AB1665" s="25"/>
      <c r="AC1665" s="26"/>
      <c r="AD1665" s="27"/>
      <c r="AE1665" s="28"/>
    </row>
    <row r="1666" spans="1:31" customFormat="1" ht="15" x14ac:dyDescent="0.35">
      <c r="A1666" s="19"/>
      <c r="B1666" s="49"/>
      <c r="C1666" s="14"/>
      <c r="D1666" s="1"/>
      <c r="E1666" s="153"/>
      <c r="F1666" s="10"/>
      <c r="G1666" s="20"/>
      <c r="H1666" s="21"/>
      <c r="I1666" s="21"/>
      <c r="J1666" s="21"/>
      <c r="K1666" s="21"/>
      <c r="L1666" s="21"/>
      <c r="M1666" s="21"/>
      <c r="N1666" s="22"/>
      <c r="O1666" s="21"/>
      <c r="P1666" s="24"/>
      <c r="Q1666" s="21"/>
      <c r="R1666" s="21"/>
      <c r="S1666" s="21"/>
      <c r="T1666" s="21"/>
      <c r="U1666" s="21"/>
      <c r="V1666" s="22"/>
      <c r="W1666" s="21"/>
      <c r="X1666" s="22"/>
      <c r="Y1666" s="21"/>
      <c r="Z1666" s="20"/>
      <c r="AA1666" s="21"/>
      <c r="AB1666" s="25"/>
      <c r="AC1666" s="26"/>
      <c r="AD1666" s="27"/>
      <c r="AE1666" s="28"/>
    </row>
    <row r="1667" spans="1:31" customFormat="1" ht="15" x14ac:dyDescent="0.35">
      <c r="A1667" s="50"/>
      <c r="B1667" s="63"/>
      <c r="C1667" s="39"/>
      <c r="D1667" s="6"/>
      <c r="E1667" s="153"/>
      <c r="F1667" s="10"/>
      <c r="G1667" s="53"/>
      <c r="H1667" s="3"/>
      <c r="I1667" s="3"/>
      <c r="J1667" s="3"/>
      <c r="K1667" s="3"/>
      <c r="L1667" s="3"/>
      <c r="M1667" s="3"/>
      <c r="N1667" s="3"/>
      <c r="O1667" s="3"/>
      <c r="P1667" s="59"/>
      <c r="Q1667" s="21"/>
      <c r="R1667" s="21"/>
      <c r="S1667" s="3"/>
      <c r="T1667" s="3"/>
      <c r="U1667" s="3"/>
      <c r="V1667" s="3"/>
      <c r="W1667" s="3"/>
      <c r="X1667" s="3"/>
      <c r="Y1667" s="3"/>
      <c r="Z1667" s="53"/>
      <c r="AA1667" s="3"/>
      <c r="AB1667" s="59"/>
      <c r="AC1667" s="3"/>
      <c r="AD1667" s="53"/>
      <c r="AE1667" s="65"/>
    </row>
    <row r="1668" spans="1:31" customFormat="1" ht="15" x14ac:dyDescent="0.35">
      <c r="A1668" s="50"/>
      <c r="B1668" s="63"/>
      <c r="C1668" s="39"/>
      <c r="D1668" s="6"/>
      <c r="E1668" s="153"/>
      <c r="F1668" s="10"/>
      <c r="G1668" s="54"/>
      <c r="H1668" s="3"/>
      <c r="I1668" s="2"/>
      <c r="J1668" s="2"/>
      <c r="K1668" s="3"/>
      <c r="L1668" s="3"/>
      <c r="M1668" s="3"/>
      <c r="N1668" s="3"/>
      <c r="O1668" s="3"/>
      <c r="P1668" s="59"/>
      <c r="Q1668" s="3"/>
      <c r="R1668" s="3"/>
      <c r="S1668" s="3"/>
      <c r="T1668" s="3"/>
      <c r="U1668" s="3"/>
      <c r="V1668" s="3"/>
      <c r="W1668" s="3"/>
      <c r="X1668" s="3"/>
      <c r="Y1668" s="3"/>
      <c r="Z1668" s="53"/>
      <c r="AA1668" s="3"/>
      <c r="AB1668" s="59"/>
      <c r="AC1668" s="3"/>
      <c r="AD1668" s="53"/>
      <c r="AE1668" s="59"/>
    </row>
    <row r="1669" spans="1:31" customFormat="1" ht="15" x14ac:dyDescent="0.35">
      <c r="A1669" s="19"/>
      <c r="B1669" s="49"/>
      <c r="C1669" s="14"/>
      <c r="D1669" s="1"/>
      <c r="E1669" s="153"/>
      <c r="F1669" s="10"/>
      <c r="G1669" s="20"/>
      <c r="H1669" s="21"/>
      <c r="I1669" s="21"/>
      <c r="J1669" s="21"/>
      <c r="K1669" s="21"/>
      <c r="L1669" s="21"/>
      <c r="M1669" s="21"/>
      <c r="N1669" s="22"/>
      <c r="O1669" s="21"/>
      <c r="P1669" s="24"/>
      <c r="Q1669" s="21"/>
      <c r="R1669" s="21"/>
      <c r="S1669" s="21"/>
      <c r="T1669" s="21"/>
      <c r="U1669" s="21"/>
      <c r="V1669" s="22"/>
      <c r="W1669" s="21"/>
      <c r="X1669" s="22"/>
      <c r="Y1669" s="21"/>
      <c r="Z1669" s="20"/>
      <c r="AA1669" s="21"/>
      <c r="AB1669" s="25"/>
      <c r="AC1669" s="26"/>
      <c r="AD1669" s="27"/>
      <c r="AE1669" s="28"/>
    </row>
    <row r="1670" spans="1:31" customFormat="1" ht="15" x14ac:dyDescent="0.35">
      <c r="A1670" s="50"/>
      <c r="B1670" s="63"/>
      <c r="C1670" s="39"/>
      <c r="D1670" s="6"/>
      <c r="E1670" s="153"/>
      <c r="F1670" s="10"/>
      <c r="G1670" s="53"/>
      <c r="H1670" s="3"/>
      <c r="I1670" s="3"/>
      <c r="J1670" s="3"/>
      <c r="K1670" s="3"/>
      <c r="L1670" s="3"/>
      <c r="M1670" s="3"/>
      <c r="N1670" s="3"/>
      <c r="O1670" s="3"/>
      <c r="P1670" s="59"/>
      <c r="Q1670" s="21"/>
      <c r="R1670" s="21"/>
      <c r="S1670" s="3"/>
      <c r="T1670" s="3"/>
      <c r="U1670" s="3"/>
      <c r="V1670" s="3"/>
      <c r="W1670" s="3"/>
      <c r="X1670" s="3"/>
      <c r="Y1670" s="3"/>
      <c r="Z1670" s="53"/>
      <c r="AA1670" s="3"/>
      <c r="AB1670" s="59"/>
      <c r="AC1670" s="3"/>
      <c r="AD1670" s="53"/>
      <c r="AE1670" s="59"/>
    </row>
    <row r="1671" spans="1:31" customFormat="1" ht="15" x14ac:dyDescent="0.35">
      <c r="A1671" s="50"/>
      <c r="B1671" s="63"/>
      <c r="C1671" s="39"/>
      <c r="D1671" s="6"/>
      <c r="E1671" s="153"/>
      <c r="F1671" s="10"/>
      <c r="G1671" s="53"/>
      <c r="H1671" s="3"/>
      <c r="I1671" s="3"/>
      <c r="J1671" s="3"/>
      <c r="K1671" s="3"/>
      <c r="L1671" s="3"/>
      <c r="M1671" s="3"/>
      <c r="N1671" s="3"/>
      <c r="O1671" s="3"/>
      <c r="P1671" s="59"/>
      <c r="Q1671" s="21"/>
      <c r="R1671" s="21"/>
      <c r="S1671" s="3"/>
      <c r="T1671" s="3"/>
      <c r="U1671" s="3"/>
      <c r="V1671" s="3"/>
      <c r="W1671" s="3"/>
      <c r="X1671" s="3"/>
      <c r="Y1671" s="3"/>
      <c r="Z1671" s="53"/>
      <c r="AA1671" s="3"/>
      <c r="AB1671" s="59"/>
      <c r="AC1671" s="3"/>
      <c r="AD1671" s="53"/>
      <c r="AE1671" s="59"/>
    </row>
    <row r="1672" spans="1:31" customFormat="1" ht="15" x14ac:dyDescent="0.35">
      <c r="A1672" s="50"/>
      <c r="B1672" s="63"/>
      <c r="C1672" s="39"/>
      <c r="D1672" s="6"/>
      <c r="E1672" s="153"/>
      <c r="F1672" s="10"/>
      <c r="G1672" s="53"/>
      <c r="H1672" s="3"/>
      <c r="I1672" s="3"/>
      <c r="J1672" s="3"/>
      <c r="K1672" s="3"/>
      <c r="L1672" s="3"/>
      <c r="M1672" s="3"/>
      <c r="N1672" s="3"/>
      <c r="O1672" s="3"/>
      <c r="P1672" s="59"/>
      <c r="Q1672" s="21"/>
      <c r="R1672" s="21"/>
      <c r="S1672" s="3"/>
      <c r="T1672" s="3"/>
      <c r="U1672" s="3"/>
      <c r="V1672" s="3"/>
      <c r="W1672" s="3"/>
      <c r="X1672" s="3"/>
      <c r="Y1672" s="3"/>
      <c r="Z1672" s="53"/>
      <c r="AA1672" s="3"/>
      <c r="AB1672" s="59"/>
      <c r="AC1672" s="3"/>
      <c r="AD1672" s="53"/>
      <c r="AE1672" s="59"/>
    </row>
    <row r="1673" spans="1:31" customFormat="1" ht="15" x14ac:dyDescent="0.35">
      <c r="A1673" s="50"/>
      <c r="B1673" s="63"/>
      <c r="C1673" s="39"/>
      <c r="D1673" s="6"/>
      <c r="E1673" s="153"/>
      <c r="F1673" s="10"/>
      <c r="G1673" s="53"/>
      <c r="H1673" s="3"/>
      <c r="I1673" s="3"/>
      <c r="J1673" s="3"/>
      <c r="K1673" s="3"/>
      <c r="L1673" s="3"/>
      <c r="M1673" s="3"/>
      <c r="N1673" s="3"/>
      <c r="O1673" s="3"/>
      <c r="P1673" s="59"/>
      <c r="Q1673" s="21"/>
      <c r="R1673" s="21"/>
      <c r="S1673" s="3"/>
      <c r="T1673" s="3"/>
      <c r="U1673" s="3"/>
      <c r="V1673" s="3"/>
      <c r="W1673" s="3"/>
      <c r="X1673" s="3"/>
      <c r="Y1673" s="3"/>
      <c r="Z1673" s="53"/>
      <c r="AA1673" s="3"/>
      <c r="AB1673" s="59"/>
      <c r="AC1673" s="3"/>
      <c r="AD1673" s="53"/>
      <c r="AE1673" s="59"/>
    </row>
    <row r="1674" spans="1:31" customFormat="1" ht="15" x14ac:dyDescent="0.35">
      <c r="A1674" s="50"/>
      <c r="B1674" s="63"/>
      <c r="C1674" s="39"/>
      <c r="D1674" s="6"/>
      <c r="E1674" s="153"/>
      <c r="F1674" s="10"/>
      <c r="G1674" s="53"/>
      <c r="H1674" s="3"/>
      <c r="I1674" s="3"/>
      <c r="J1674" s="3"/>
      <c r="K1674" s="3"/>
      <c r="L1674" s="3"/>
      <c r="M1674" s="3"/>
      <c r="N1674" s="3"/>
      <c r="O1674" s="3"/>
      <c r="P1674" s="59"/>
      <c r="Q1674" s="21"/>
      <c r="R1674" s="21"/>
      <c r="S1674" s="3"/>
      <c r="T1674" s="3"/>
      <c r="U1674" s="3"/>
      <c r="V1674" s="3"/>
      <c r="W1674" s="3"/>
      <c r="X1674" s="3"/>
      <c r="Y1674" s="3"/>
      <c r="Z1674" s="53"/>
      <c r="AA1674" s="3"/>
      <c r="AB1674" s="59"/>
      <c r="AC1674" s="3"/>
      <c r="AD1674" s="53"/>
      <c r="AE1674" s="59"/>
    </row>
    <row r="1675" spans="1:31" customFormat="1" ht="15" x14ac:dyDescent="0.35">
      <c r="A1675" s="19"/>
      <c r="B1675" s="49"/>
      <c r="C1675" s="14"/>
      <c r="D1675" s="1"/>
      <c r="E1675" s="153"/>
      <c r="F1675" s="10"/>
      <c r="G1675" s="20"/>
      <c r="H1675" s="21"/>
      <c r="I1675" s="21"/>
      <c r="J1675" s="21"/>
      <c r="K1675" s="21"/>
      <c r="L1675" s="21"/>
      <c r="M1675" s="21"/>
      <c r="N1675" s="22"/>
      <c r="O1675" s="21"/>
      <c r="P1675" s="24"/>
      <c r="Q1675" s="21"/>
      <c r="R1675" s="21"/>
      <c r="S1675" s="21"/>
      <c r="T1675" s="21"/>
      <c r="U1675" s="21"/>
      <c r="V1675" s="22"/>
      <c r="W1675" s="21"/>
      <c r="X1675" s="22"/>
      <c r="Y1675" s="21"/>
      <c r="Z1675" s="20"/>
      <c r="AA1675" s="21"/>
      <c r="AB1675" s="25"/>
      <c r="AC1675" s="26"/>
      <c r="AD1675" s="27"/>
      <c r="AE1675" s="28"/>
    </row>
    <row r="1676" spans="1:31" customFormat="1" ht="15" x14ac:dyDescent="0.35">
      <c r="A1676" s="50"/>
      <c r="B1676" s="63"/>
      <c r="C1676" s="39"/>
      <c r="D1676" s="6"/>
      <c r="E1676" s="153"/>
      <c r="F1676" s="10"/>
      <c r="G1676" s="54"/>
      <c r="H1676" s="3"/>
      <c r="I1676" s="2"/>
      <c r="J1676" s="2"/>
      <c r="K1676" s="3"/>
      <c r="L1676" s="3"/>
      <c r="M1676" s="3"/>
      <c r="N1676" s="3"/>
      <c r="O1676" s="3"/>
      <c r="P1676" s="59"/>
      <c r="Q1676" s="3"/>
      <c r="R1676" s="3"/>
      <c r="S1676" s="3"/>
      <c r="T1676" s="3"/>
      <c r="U1676" s="3"/>
      <c r="V1676" s="3"/>
      <c r="W1676" s="3"/>
      <c r="X1676" s="3"/>
      <c r="Y1676" s="3"/>
      <c r="Z1676" s="53"/>
      <c r="AA1676" s="3"/>
      <c r="AB1676" s="59"/>
      <c r="AC1676" s="3"/>
      <c r="AD1676" s="53"/>
      <c r="AE1676" s="59"/>
    </row>
    <row r="1677" spans="1:31" customFormat="1" ht="15" x14ac:dyDescent="0.35">
      <c r="A1677" s="50"/>
      <c r="B1677" s="63"/>
      <c r="C1677" s="39"/>
      <c r="D1677" s="6"/>
      <c r="E1677" s="153"/>
      <c r="F1677" s="10"/>
      <c r="G1677" s="54"/>
      <c r="H1677" s="3"/>
      <c r="I1677" s="2"/>
      <c r="J1677" s="2"/>
      <c r="K1677" s="3"/>
      <c r="L1677" s="3"/>
      <c r="M1677" s="3"/>
      <c r="N1677" s="3"/>
      <c r="O1677" s="3"/>
      <c r="P1677" s="59"/>
      <c r="Q1677" s="3"/>
      <c r="R1677" s="3"/>
      <c r="S1677" s="3"/>
      <c r="T1677" s="3"/>
      <c r="U1677" s="3"/>
      <c r="V1677" s="3"/>
      <c r="W1677" s="3"/>
      <c r="X1677" s="3"/>
      <c r="Y1677" s="3"/>
      <c r="Z1677" s="53"/>
      <c r="AA1677" s="3"/>
      <c r="AB1677" s="59"/>
      <c r="AC1677" s="3"/>
      <c r="AD1677" s="53"/>
      <c r="AE1677" s="59"/>
    </row>
    <row r="1678" spans="1:31" customFormat="1" ht="15" x14ac:dyDescent="0.35">
      <c r="A1678" s="50"/>
      <c r="B1678" s="63"/>
      <c r="C1678" s="39"/>
      <c r="D1678" s="6"/>
      <c r="E1678" s="153"/>
      <c r="F1678" s="10"/>
      <c r="G1678" s="53"/>
      <c r="H1678" s="3"/>
      <c r="I1678" s="3"/>
      <c r="J1678" s="3"/>
      <c r="K1678" s="3"/>
      <c r="L1678" s="3"/>
      <c r="M1678" s="3"/>
      <c r="N1678" s="3"/>
      <c r="O1678" s="3"/>
      <c r="P1678" s="59"/>
      <c r="Q1678" s="21"/>
      <c r="R1678" s="21"/>
      <c r="S1678" s="3"/>
      <c r="T1678" s="3"/>
      <c r="U1678" s="3"/>
      <c r="V1678" s="3"/>
      <c r="W1678" s="3"/>
      <c r="X1678" s="3"/>
      <c r="Y1678" s="3"/>
      <c r="Z1678" s="53"/>
      <c r="AA1678" s="3"/>
      <c r="AB1678" s="59"/>
      <c r="AC1678" s="3"/>
      <c r="AD1678" s="53"/>
      <c r="AE1678" s="59"/>
    </row>
    <row r="1679" spans="1:31" customFormat="1" ht="15" x14ac:dyDescent="0.35">
      <c r="A1679" s="50"/>
      <c r="B1679" s="63"/>
      <c r="C1679" s="39"/>
      <c r="D1679" s="6"/>
      <c r="E1679" s="153"/>
      <c r="F1679" s="10"/>
      <c r="G1679" s="53"/>
      <c r="H1679" s="3"/>
      <c r="I1679" s="3"/>
      <c r="J1679" s="3"/>
      <c r="K1679" s="3"/>
      <c r="L1679" s="3"/>
      <c r="M1679" s="3"/>
      <c r="N1679" s="3"/>
      <c r="O1679" s="3"/>
      <c r="P1679" s="59"/>
      <c r="Q1679" s="21"/>
      <c r="R1679" s="21"/>
      <c r="S1679" s="3"/>
      <c r="T1679" s="3"/>
      <c r="U1679" s="3"/>
      <c r="V1679" s="3"/>
      <c r="W1679" s="3"/>
      <c r="X1679" s="3"/>
      <c r="Y1679" s="3"/>
      <c r="Z1679" s="53"/>
      <c r="AA1679" s="3"/>
      <c r="AB1679" s="59"/>
      <c r="AC1679" s="3"/>
      <c r="AD1679" s="53"/>
      <c r="AE1679" s="59"/>
    </row>
    <row r="1680" spans="1:31" customFormat="1" ht="15" x14ac:dyDescent="0.35">
      <c r="A1680" s="19"/>
      <c r="B1680" s="49"/>
      <c r="C1680" s="43"/>
      <c r="D1680" s="42"/>
      <c r="E1680" s="154"/>
      <c r="F1680" s="15"/>
      <c r="G1680" s="20"/>
      <c r="H1680" s="21"/>
      <c r="I1680" s="21"/>
      <c r="J1680" s="21"/>
      <c r="K1680" s="21"/>
      <c r="L1680" s="21"/>
      <c r="M1680" s="21"/>
      <c r="N1680" s="22"/>
      <c r="O1680" s="21"/>
      <c r="P1680" s="24"/>
      <c r="Q1680" s="21"/>
      <c r="R1680" s="21"/>
      <c r="S1680" s="21"/>
      <c r="T1680" s="21"/>
      <c r="U1680" s="21"/>
      <c r="V1680" s="22"/>
      <c r="W1680" s="21"/>
      <c r="X1680" s="22"/>
      <c r="Y1680" s="21"/>
      <c r="Z1680" s="20"/>
      <c r="AA1680" s="21"/>
      <c r="AB1680" s="25"/>
      <c r="AC1680" s="26"/>
      <c r="AD1680" s="27"/>
      <c r="AE1680" s="28"/>
    </row>
    <row r="1681" spans="1:31" customFormat="1" ht="15" x14ac:dyDescent="0.35">
      <c r="A1681" s="19"/>
      <c r="B1681" s="49"/>
      <c r="C1681" s="14"/>
      <c r="D1681" s="1"/>
      <c r="E1681" s="153"/>
      <c r="F1681" s="10"/>
      <c r="G1681" s="20"/>
      <c r="H1681" s="21"/>
      <c r="I1681" s="21"/>
      <c r="J1681" s="21"/>
      <c r="K1681" s="21"/>
      <c r="L1681" s="21"/>
      <c r="M1681" s="21"/>
      <c r="N1681" s="22"/>
      <c r="O1681" s="21"/>
      <c r="P1681" s="24"/>
      <c r="Q1681" s="21"/>
      <c r="R1681" s="21"/>
      <c r="S1681" s="21"/>
      <c r="T1681" s="21"/>
      <c r="U1681" s="21"/>
      <c r="V1681" s="22"/>
      <c r="W1681" s="21"/>
      <c r="X1681" s="22"/>
      <c r="Y1681" s="21"/>
      <c r="Z1681" s="20"/>
      <c r="AA1681" s="21"/>
      <c r="AB1681" s="25"/>
      <c r="AC1681" s="26"/>
      <c r="AD1681" s="27"/>
      <c r="AE1681" s="28"/>
    </row>
    <row r="1682" spans="1:31" customFormat="1" ht="15" x14ac:dyDescent="0.35">
      <c r="A1682" s="19"/>
      <c r="B1682" s="49"/>
      <c r="C1682" s="14"/>
      <c r="D1682" s="1"/>
      <c r="E1682" s="153"/>
      <c r="F1682" s="10"/>
      <c r="G1682" s="20"/>
      <c r="H1682" s="21"/>
      <c r="I1682" s="21"/>
      <c r="J1682" s="21"/>
      <c r="K1682" s="21"/>
      <c r="L1682" s="21"/>
      <c r="M1682" s="21"/>
      <c r="N1682" s="22"/>
      <c r="O1682" s="21"/>
      <c r="P1682" s="24"/>
      <c r="Q1682" s="21"/>
      <c r="R1682" s="21"/>
      <c r="S1682" s="21"/>
      <c r="T1682" s="21"/>
      <c r="U1682" s="21"/>
      <c r="V1682" s="22"/>
      <c r="W1682" s="21"/>
      <c r="X1682" s="22"/>
      <c r="Y1682" s="21"/>
      <c r="Z1682" s="20"/>
      <c r="AA1682" s="21"/>
      <c r="AB1682" s="25"/>
      <c r="AC1682" s="26"/>
      <c r="AD1682" s="27"/>
      <c r="AE1682" s="28"/>
    </row>
    <row r="1683" spans="1:31" customFormat="1" ht="15" x14ac:dyDescent="0.35">
      <c r="A1683" s="50"/>
      <c r="B1683" s="63"/>
      <c r="C1683" s="39"/>
      <c r="D1683" s="6"/>
      <c r="E1683" s="153"/>
      <c r="F1683" s="10"/>
      <c r="G1683" s="54"/>
      <c r="H1683" s="3"/>
      <c r="I1683" s="2"/>
      <c r="J1683" s="2"/>
      <c r="K1683" s="3"/>
      <c r="L1683" s="3"/>
      <c r="M1683" s="3"/>
      <c r="N1683" s="3"/>
      <c r="O1683" s="3"/>
      <c r="P1683" s="59"/>
      <c r="Q1683" s="21"/>
      <c r="R1683" s="21"/>
      <c r="S1683" s="3"/>
      <c r="T1683" s="3"/>
      <c r="U1683" s="3"/>
      <c r="V1683" s="3"/>
      <c r="W1683" s="3"/>
      <c r="X1683" s="3"/>
      <c r="Y1683" s="3"/>
      <c r="Z1683" s="53"/>
      <c r="AA1683" s="3"/>
      <c r="AB1683" s="59"/>
      <c r="AC1683" s="3"/>
      <c r="AD1683" s="53"/>
      <c r="AE1683" s="59"/>
    </row>
    <row r="1684" spans="1:31" customFormat="1" ht="15" x14ac:dyDescent="0.35">
      <c r="A1684" s="50"/>
      <c r="B1684" s="63"/>
      <c r="C1684" s="39"/>
      <c r="D1684" s="6"/>
      <c r="E1684" s="153"/>
      <c r="F1684" s="10"/>
      <c r="G1684" s="53"/>
      <c r="H1684" s="3"/>
      <c r="I1684" s="3"/>
      <c r="J1684" s="3"/>
      <c r="K1684" s="3"/>
      <c r="L1684" s="3"/>
      <c r="M1684" s="3"/>
      <c r="N1684" s="3"/>
      <c r="O1684" s="3"/>
      <c r="P1684" s="59"/>
      <c r="Q1684" s="21"/>
      <c r="R1684" s="21"/>
      <c r="S1684" s="3"/>
      <c r="T1684" s="3"/>
      <c r="U1684" s="3"/>
      <c r="V1684" s="3"/>
      <c r="W1684" s="3"/>
      <c r="X1684" s="3"/>
      <c r="Y1684" s="3"/>
      <c r="Z1684" s="53"/>
      <c r="AA1684" s="3"/>
      <c r="AB1684" s="59"/>
      <c r="AC1684" s="3"/>
      <c r="AD1684" s="53"/>
      <c r="AE1684" s="59"/>
    </row>
    <row r="1685" spans="1:31" customFormat="1" ht="15" x14ac:dyDescent="0.35">
      <c r="A1685" s="50"/>
      <c r="B1685" s="63"/>
      <c r="C1685" s="39"/>
      <c r="D1685" s="6"/>
      <c r="E1685" s="153"/>
      <c r="F1685" s="10"/>
      <c r="G1685" s="53"/>
      <c r="H1685" s="3"/>
      <c r="I1685" s="3"/>
      <c r="J1685" s="3"/>
      <c r="K1685" s="3"/>
      <c r="L1685" s="3"/>
      <c r="M1685" s="3"/>
      <c r="N1685" s="3"/>
      <c r="O1685" s="3"/>
      <c r="P1685" s="59"/>
      <c r="Q1685" s="21"/>
      <c r="R1685" s="21"/>
      <c r="S1685" s="3"/>
      <c r="T1685" s="3"/>
      <c r="U1685" s="3"/>
      <c r="V1685" s="3"/>
      <c r="W1685" s="3"/>
      <c r="X1685" s="3"/>
      <c r="Y1685" s="3"/>
      <c r="Z1685" s="53"/>
      <c r="AA1685" s="3"/>
      <c r="AB1685" s="59"/>
      <c r="AC1685" s="3"/>
      <c r="AD1685" s="53"/>
      <c r="AE1685" s="59"/>
    </row>
    <row r="1686" spans="1:31" customFormat="1" ht="15" x14ac:dyDescent="0.35">
      <c r="A1686" s="50"/>
      <c r="B1686" s="63"/>
      <c r="C1686" s="39"/>
      <c r="D1686" s="6"/>
      <c r="E1686" s="153"/>
      <c r="F1686" s="10"/>
      <c r="G1686" s="53"/>
      <c r="H1686" s="3"/>
      <c r="I1686" s="3"/>
      <c r="J1686" s="3"/>
      <c r="K1686" s="3"/>
      <c r="L1686" s="3"/>
      <c r="M1686" s="3"/>
      <c r="N1686" s="3"/>
      <c r="O1686" s="3"/>
      <c r="P1686" s="59"/>
      <c r="Q1686" s="21"/>
      <c r="R1686" s="21"/>
      <c r="S1686" s="3"/>
      <c r="T1686" s="3"/>
      <c r="U1686" s="3"/>
      <c r="V1686" s="3"/>
      <c r="W1686" s="3"/>
      <c r="X1686" s="3"/>
      <c r="Y1686" s="3"/>
      <c r="Z1686" s="53"/>
      <c r="AA1686" s="3"/>
      <c r="AB1686" s="59"/>
      <c r="AC1686" s="3"/>
      <c r="AD1686" s="53"/>
      <c r="AE1686" s="59"/>
    </row>
    <row r="1687" spans="1:31" customFormat="1" ht="15" x14ac:dyDescent="0.35">
      <c r="A1687" s="50"/>
      <c r="B1687" s="63"/>
      <c r="C1687" s="39"/>
      <c r="D1687" s="6"/>
      <c r="E1687" s="153"/>
      <c r="F1687" s="10"/>
      <c r="G1687" s="53"/>
      <c r="H1687" s="3"/>
      <c r="I1687" s="3"/>
      <c r="J1687" s="3"/>
      <c r="K1687" s="3"/>
      <c r="L1687" s="3"/>
      <c r="M1687" s="3"/>
      <c r="N1687" s="3"/>
      <c r="O1687" s="3"/>
      <c r="P1687" s="59"/>
      <c r="Q1687" s="21"/>
      <c r="R1687" s="21"/>
      <c r="S1687" s="3"/>
      <c r="T1687" s="3"/>
      <c r="U1687" s="3"/>
      <c r="V1687" s="3"/>
      <c r="W1687" s="3"/>
      <c r="X1687" s="3"/>
      <c r="Y1687" s="3"/>
      <c r="Z1687" s="53"/>
      <c r="AA1687" s="3"/>
      <c r="AB1687" s="59"/>
      <c r="AC1687" s="3"/>
      <c r="AD1687" s="53"/>
      <c r="AE1687" s="59"/>
    </row>
    <row r="1688" spans="1:31" customFormat="1" ht="15" x14ac:dyDescent="0.35">
      <c r="A1688" s="50"/>
      <c r="B1688" s="63"/>
      <c r="C1688" s="39"/>
      <c r="D1688" s="6"/>
      <c r="E1688" s="153"/>
      <c r="F1688" s="10"/>
      <c r="G1688" s="53"/>
      <c r="H1688" s="3"/>
      <c r="I1688" s="3"/>
      <c r="J1688" s="3"/>
      <c r="K1688" s="3"/>
      <c r="L1688" s="3"/>
      <c r="M1688" s="3"/>
      <c r="N1688" s="3"/>
      <c r="O1688" s="3"/>
      <c r="P1688" s="59"/>
      <c r="Q1688" s="21"/>
      <c r="R1688" s="21"/>
      <c r="S1688" s="3"/>
      <c r="T1688" s="3"/>
      <c r="U1688" s="3"/>
      <c r="V1688" s="3"/>
      <c r="W1688" s="3"/>
      <c r="X1688" s="3"/>
      <c r="Y1688" s="3"/>
      <c r="Z1688" s="53"/>
      <c r="AA1688" s="3"/>
      <c r="AB1688" s="59"/>
      <c r="AC1688" s="3"/>
      <c r="AD1688" s="53"/>
      <c r="AE1688" s="59"/>
    </row>
    <row r="1689" spans="1:31" customFormat="1" ht="15" x14ac:dyDescent="0.35">
      <c r="A1689" s="50"/>
      <c r="B1689" s="63"/>
      <c r="C1689" s="39"/>
      <c r="D1689" s="6"/>
      <c r="E1689" s="153"/>
      <c r="F1689" s="10"/>
      <c r="G1689" s="54"/>
      <c r="H1689" s="3"/>
      <c r="I1689" s="2"/>
      <c r="J1689" s="2"/>
      <c r="K1689" s="3"/>
      <c r="L1689" s="3"/>
      <c r="M1689" s="3"/>
      <c r="N1689" s="3"/>
      <c r="O1689" s="3"/>
      <c r="P1689" s="59"/>
      <c r="Q1689" s="3"/>
      <c r="R1689" s="3"/>
      <c r="S1689" s="3"/>
      <c r="T1689" s="3"/>
      <c r="U1689" s="3"/>
      <c r="V1689" s="3"/>
      <c r="W1689" s="3"/>
      <c r="X1689" s="3"/>
      <c r="Y1689" s="3"/>
      <c r="Z1689" s="53"/>
      <c r="AA1689" s="3"/>
      <c r="AB1689" s="59"/>
      <c r="AC1689" s="3"/>
      <c r="AD1689" s="53"/>
      <c r="AE1689" s="59"/>
    </row>
    <row r="1690" spans="1:31" customFormat="1" ht="15" x14ac:dyDescent="0.35">
      <c r="A1690" s="19"/>
      <c r="B1690" s="49"/>
      <c r="C1690" s="39"/>
      <c r="D1690" s="1"/>
      <c r="E1690" s="153"/>
      <c r="F1690" s="10"/>
      <c r="G1690" s="20"/>
      <c r="H1690" s="21"/>
      <c r="I1690" s="21"/>
      <c r="J1690" s="21"/>
      <c r="K1690" s="21"/>
      <c r="L1690" s="21"/>
      <c r="M1690" s="21"/>
      <c r="N1690" s="22"/>
      <c r="O1690" s="21"/>
      <c r="P1690" s="24"/>
      <c r="Q1690" s="21"/>
      <c r="R1690" s="21"/>
      <c r="S1690" s="21"/>
      <c r="T1690" s="21"/>
      <c r="U1690" s="21"/>
      <c r="V1690" s="22"/>
      <c r="W1690" s="21"/>
      <c r="X1690" s="22"/>
      <c r="Y1690" s="21"/>
      <c r="Z1690" s="20"/>
      <c r="AA1690" s="21"/>
      <c r="AB1690" s="25"/>
      <c r="AC1690" s="26"/>
      <c r="AD1690" s="27"/>
      <c r="AE1690" s="65"/>
    </row>
    <row r="1691" spans="1:31" customFormat="1" ht="15" x14ac:dyDescent="0.35">
      <c r="A1691" s="50"/>
      <c r="B1691" s="63"/>
      <c r="C1691" s="39"/>
      <c r="D1691" s="6"/>
      <c r="E1691" s="153"/>
      <c r="F1691" s="10"/>
      <c r="G1691" s="53"/>
      <c r="H1691" s="3"/>
      <c r="I1691" s="3"/>
      <c r="J1691" s="3"/>
      <c r="K1691" s="3"/>
      <c r="L1691" s="3"/>
      <c r="M1691" s="3"/>
      <c r="N1691" s="3"/>
      <c r="O1691" s="3"/>
      <c r="P1691" s="59"/>
      <c r="Q1691" s="21"/>
      <c r="R1691" s="21"/>
      <c r="S1691" s="3"/>
      <c r="T1691" s="3"/>
      <c r="U1691" s="3"/>
      <c r="V1691" s="3"/>
      <c r="W1691" s="3"/>
      <c r="X1691" s="3"/>
      <c r="Y1691" s="3"/>
      <c r="Z1691" s="53"/>
      <c r="AA1691" s="3"/>
      <c r="AB1691" s="59"/>
      <c r="AC1691" s="3"/>
      <c r="AD1691" s="53"/>
      <c r="AE1691" s="59"/>
    </row>
    <row r="1692" spans="1:31" customFormat="1" ht="15" x14ac:dyDescent="0.35">
      <c r="A1692" s="19"/>
      <c r="B1692" s="49"/>
      <c r="C1692" s="14"/>
      <c r="D1692" s="1"/>
      <c r="E1692" s="153"/>
      <c r="F1692" s="10"/>
      <c r="G1692" s="20"/>
      <c r="H1692" s="21"/>
      <c r="I1692" s="21"/>
      <c r="J1692" s="21"/>
      <c r="K1692" s="21"/>
      <c r="L1692" s="21"/>
      <c r="M1692" s="21"/>
      <c r="N1692" s="22"/>
      <c r="O1692" s="21"/>
      <c r="P1692" s="24"/>
      <c r="Q1692" s="21"/>
      <c r="R1692" s="21"/>
      <c r="S1692" s="21"/>
      <c r="T1692" s="21"/>
      <c r="U1692" s="21"/>
      <c r="V1692" s="22"/>
      <c r="W1692" s="21"/>
      <c r="X1692" s="22"/>
      <c r="Y1692" s="21"/>
      <c r="Z1692" s="20"/>
      <c r="AA1692" s="21"/>
      <c r="AB1692" s="25"/>
      <c r="AC1692" s="26"/>
      <c r="AD1692" s="27"/>
      <c r="AE1692" s="65"/>
    </row>
    <row r="1693" spans="1:31" customFormat="1" ht="15" x14ac:dyDescent="0.35">
      <c r="A1693" s="19"/>
      <c r="B1693" s="49"/>
      <c r="C1693" s="39"/>
      <c r="D1693" s="1"/>
      <c r="E1693" s="153"/>
      <c r="F1693" s="10"/>
      <c r="G1693" s="20"/>
      <c r="H1693" s="21"/>
      <c r="I1693" s="21"/>
      <c r="J1693" s="21"/>
      <c r="K1693" s="21"/>
      <c r="L1693" s="21"/>
      <c r="M1693" s="21"/>
      <c r="N1693" s="22"/>
      <c r="O1693" s="21"/>
      <c r="P1693" s="24"/>
      <c r="Q1693" s="21"/>
      <c r="R1693" s="21"/>
      <c r="S1693" s="21"/>
      <c r="T1693" s="21"/>
      <c r="U1693" s="21"/>
      <c r="V1693" s="22"/>
      <c r="W1693" s="21"/>
      <c r="X1693" s="22"/>
      <c r="Y1693" s="21"/>
      <c r="Z1693" s="20"/>
      <c r="AA1693" s="21"/>
      <c r="AB1693" s="25"/>
      <c r="AC1693" s="26"/>
      <c r="AD1693" s="27"/>
      <c r="AE1693" s="28"/>
    </row>
    <row r="1694" spans="1:31" customFormat="1" ht="15" x14ac:dyDescent="0.35">
      <c r="A1694" s="19"/>
      <c r="B1694" s="49"/>
      <c r="C1694" s="14"/>
      <c r="D1694" s="1"/>
      <c r="E1694" s="153"/>
      <c r="F1694" s="10"/>
      <c r="G1694" s="20"/>
      <c r="H1694" s="21"/>
      <c r="I1694" s="21"/>
      <c r="J1694" s="21"/>
      <c r="K1694" s="21"/>
      <c r="L1694" s="21"/>
      <c r="M1694" s="21"/>
      <c r="N1694" s="22"/>
      <c r="O1694" s="21"/>
      <c r="P1694" s="24"/>
      <c r="Q1694" s="21"/>
      <c r="R1694" s="21"/>
      <c r="S1694" s="21"/>
      <c r="T1694" s="21"/>
      <c r="U1694" s="21"/>
      <c r="V1694" s="22"/>
      <c r="W1694" s="21"/>
      <c r="X1694" s="22"/>
      <c r="Y1694" s="21"/>
      <c r="Z1694" s="20"/>
      <c r="AA1694" s="21"/>
      <c r="AB1694" s="25"/>
      <c r="AC1694" s="26"/>
      <c r="AD1694" s="27"/>
      <c r="AE1694" s="28"/>
    </row>
    <row r="1695" spans="1:31" customFormat="1" ht="15" x14ac:dyDescent="0.35">
      <c r="A1695" s="50"/>
      <c r="B1695" s="63"/>
      <c r="C1695" s="39"/>
      <c r="D1695" s="6"/>
      <c r="E1695" s="153"/>
      <c r="F1695" s="10"/>
      <c r="G1695" s="53"/>
      <c r="H1695" s="3"/>
      <c r="I1695" s="3"/>
      <c r="J1695" s="3"/>
      <c r="K1695" s="3"/>
      <c r="L1695" s="3"/>
      <c r="M1695" s="3"/>
      <c r="N1695" s="3"/>
      <c r="O1695" s="3"/>
      <c r="P1695" s="59"/>
      <c r="Q1695" s="21"/>
      <c r="R1695" s="21"/>
      <c r="S1695" s="3"/>
      <c r="T1695" s="3"/>
      <c r="U1695" s="3"/>
      <c r="V1695" s="3"/>
      <c r="W1695" s="3"/>
      <c r="X1695" s="3"/>
      <c r="Y1695" s="3"/>
      <c r="Z1695" s="53"/>
      <c r="AA1695" s="3"/>
      <c r="AB1695" s="59"/>
      <c r="AC1695" s="3"/>
      <c r="AD1695" s="53"/>
      <c r="AE1695" s="59"/>
    </row>
    <row r="1696" spans="1:31" customFormat="1" ht="15" x14ac:dyDescent="0.35">
      <c r="A1696" s="50"/>
      <c r="B1696" s="63"/>
      <c r="C1696" s="39"/>
      <c r="D1696" s="6"/>
      <c r="E1696" s="153"/>
      <c r="F1696" s="10"/>
      <c r="G1696" s="53"/>
      <c r="H1696" s="3"/>
      <c r="I1696" s="3"/>
      <c r="J1696" s="3"/>
      <c r="K1696" s="3"/>
      <c r="L1696" s="3"/>
      <c r="M1696" s="3"/>
      <c r="N1696" s="3"/>
      <c r="O1696" s="3"/>
      <c r="P1696" s="59"/>
      <c r="Q1696" s="21"/>
      <c r="R1696" s="21"/>
      <c r="S1696" s="3"/>
      <c r="T1696" s="3"/>
      <c r="U1696" s="3"/>
      <c r="V1696" s="3"/>
      <c r="W1696" s="3"/>
      <c r="X1696" s="3"/>
      <c r="Y1696" s="3"/>
      <c r="Z1696" s="53"/>
      <c r="AA1696" s="3"/>
      <c r="AB1696" s="59"/>
      <c r="AC1696" s="3"/>
      <c r="AD1696" s="53"/>
      <c r="AE1696" s="59"/>
    </row>
    <row r="1697" spans="1:31" customFormat="1" ht="15" x14ac:dyDescent="0.35">
      <c r="A1697" s="19"/>
      <c r="B1697" s="49"/>
      <c r="C1697" s="39"/>
      <c r="D1697" s="1"/>
      <c r="E1697" s="153"/>
      <c r="F1697" s="10"/>
      <c r="G1697" s="20"/>
      <c r="H1697" s="21"/>
      <c r="I1697" s="21"/>
      <c r="J1697" s="21"/>
      <c r="K1697" s="21"/>
      <c r="L1697" s="21"/>
      <c r="M1697" s="21"/>
      <c r="N1697" s="22"/>
      <c r="O1697" s="21"/>
      <c r="P1697" s="24"/>
      <c r="Q1697" s="21"/>
      <c r="R1697" s="21"/>
      <c r="S1697" s="21"/>
      <c r="T1697" s="21"/>
      <c r="U1697" s="21"/>
      <c r="V1697" s="22"/>
      <c r="W1697" s="21"/>
      <c r="X1697" s="22"/>
      <c r="Y1697" s="21"/>
      <c r="Z1697" s="20"/>
      <c r="AA1697" s="21"/>
      <c r="AB1697" s="25"/>
      <c r="AC1697" s="26"/>
      <c r="AD1697" s="27"/>
      <c r="AE1697" s="28"/>
    </row>
    <row r="1698" spans="1:31" customFormat="1" ht="15" x14ac:dyDescent="0.35">
      <c r="A1698" s="50"/>
      <c r="B1698" s="63"/>
      <c r="C1698" s="39"/>
      <c r="D1698" s="6"/>
      <c r="E1698" s="153"/>
      <c r="F1698" s="10"/>
      <c r="G1698" s="53"/>
      <c r="H1698" s="3"/>
      <c r="I1698" s="3"/>
      <c r="J1698" s="3"/>
      <c r="K1698" s="3"/>
      <c r="L1698" s="3"/>
      <c r="M1698" s="3"/>
      <c r="N1698" s="3"/>
      <c r="O1698" s="3"/>
      <c r="P1698" s="59"/>
      <c r="Q1698" s="21"/>
      <c r="R1698" s="21"/>
      <c r="S1698" s="3"/>
      <c r="T1698" s="3"/>
      <c r="U1698" s="3"/>
      <c r="V1698" s="3"/>
      <c r="W1698" s="3"/>
      <c r="X1698" s="3"/>
      <c r="Y1698" s="3"/>
      <c r="Z1698" s="53"/>
      <c r="AA1698" s="3"/>
      <c r="AB1698" s="59"/>
      <c r="AC1698" s="3"/>
      <c r="AD1698" s="53"/>
      <c r="AE1698" s="59"/>
    </row>
    <row r="1699" spans="1:31" customFormat="1" ht="15" x14ac:dyDescent="0.35">
      <c r="A1699" s="19"/>
      <c r="B1699" s="49"/>
      <c r="C1699" s="14"/>
      <c r="D1699" s="1"/>
      <c r="E1699" s="153"/>
      <c r="F1699" s="10"/>
      <c r="G1699" s="20"/>
      <c r="H1699" s="21"/>
      <c r="I1699" s="21"/>
      <c r="J1699" s="21"/>
      <c r="K1699" s="21"/>
      <c r="L1699" s="21"/>
      <c r="M1699" s="21"/>
      <c r="N1699" s="22"/>
      <c r="O1699" s="21"/>
      <c r="P1699" s="24"/>
      <c r="Q1699" s="21"/>
      <c r="R1699" s="21"/>
      <c r="S1699" s="21"/>
      <c r="T1699" s="21"/>
      <c r="U1699" s="21"/>
      <c r="V1699" s="22"/>
      <c r="W1699" s="21"/>
      <c r="X1699" s="22"/>
      <c r="Y1699" s="21"/>
      <c r="Z1699" s="20"/>
      <c r="AA1699" s="21"/>
      <c r="AB1699" s="25"/>
      <c r="AC1699" s="26"/>
      <c r="AD1699" s="27"/>
      <c r="AE1699" s="28"/>
    </row>
    <row r="1700" spans="1:31" customFormat="1" ht="15" x14ac:dyDescent="0.35">
      <c r="A1700" s="50"/>
      <c r="B1700" s="63"/>
      <c r="C1700" s="39"/>
      <c r="D1700" s="6"/>
      <c r="E1700" s="153"/>
      <c r="F1700" s="10"/>
      <c r="G1700" s="54"/>
      <c r="H1700" s="3"/>
      <c r="I1700" s="2"/>
      <c r="J1700" s="2"/>
      <c r="K1700" s="3"/>
      <c r="L1700" s="3"/>
      <c r="M1700" s="3"/>
      <c r="N1700" s="3"/>
      <c r="O1700" s="3"/>
      <c r="P1700" s="59"/>
      <c r="Q1700" s="3"/>
      <c r="R1700" s="3"/>
      <c r="S1700" s="3"/>
      <c r="T1700" s="3"/>
      <c r="U1700" s="3"/>
      <c r="V1700" s="3"/>
      <c r="W1700" s="3"/>
      <c r="X1700" s="3"/>
      <c r="Y1700" s="3"/>
      <c r="Z1700" s="53"/>
      <c r="AA1700" s="3"/>
      <c r="AB1700" s="59"/>
      <c r="AC1700" s="3"/>
      <c r="AD1700" s="53"/>
      <c r="AE1700" s="59"/>
    </row>
    <row r="1701" spans="1:31" customFormat="1" ht="15" x14ac:dyDescent="0.35">
      <c r="A1701" s="50"/>
      <c r="B1701" s="63"/>
      <c r="C1701" s="39"/>
      <c r="D1701" s="6"/>
      <c r="E1701" s="153"/>
      <c r="F1701" s="10"/>
      <c r="G1701" s="53"/>
      <c r="H1701" s="3"/>
      <c r="I1701" s="3"/>
      <c r="J1701" s="3"/>
      <c r="K1701" s="3"/>
      <c r="L1701" s="3"/>
      <c r="M1701" s="3"/>
      <c r="N1701" s="3"/>
      <c r="O1701" s="3"/>
      <c r="P1701" s="59"/>
      <c r="Q1701" s="3"/>
      <c r="R1701" s="3"/>
      <c r="S1701" s="3"/>
      <c r="T1701" s="3"/>
      <c r="U1701" s="3"/>
      <c r="V1701" s="3"/>
      <c r="W1701" s="3"/>
      <c r="X1701" s="3"/>
      <c r="Y1701" s="3"/>
      <c r="Z1701" s="53"/>
      <c r="AA1701" s="3"/>
      <c r="AB1701" s="59"/>
      <c r="AC1701" s="3"/>
      <c r="AD1701" s="53"/>
      <c r="AE1701" s="59"/>
    </row>
    <row r="1702" spans="1:31" customFormat="1" ht="15" x14ac:dyDescent="0.35">
      <c r="A1702" s="50"/>
      <c r="B1702" s="63"/>
      <c r="C1702" s="39"/>
      <c r="D1702" s="6"/>
      <c r="E1702" s="153"/>
      <c r="F1702" s="10"/>
      <c r="G1702" s="54"/>
      <c r="H1702" s="3"/>
      <c r="I1702" s="2"/>
      <c r="J1702" s="2"/>
      <c r="K1702" s="3"/>
      <c r="L1702" s="3"/>
      <c r="M1702" s="3"/>
      <c r="N1702" s="3"/>
      <c r="O1702" s="3"/>
      <c r="P1702" s="59"/>
      <c r="Q1702" s="3"/>
      <c r="R1702" s="3"/>
      <c r="S1702" s="3"/>
      <c r="T1702" s="3"/>
      <c r="U1702" s="3"/>
      <c r="V1702" s="3"/>
      <c r="W1702" s="3"/>
      <c r="X1702" s="3"/>
      <c r="Y1702" s="3"/>
      <c r="Z1702" s="53"/>
      <c r="AA1702" s="3"/>
      <c r="AB1702" s="59"/>
      <c r="AC1702" s="3"/>
      <c r="AD1702" s="53"/>
      <c r="AE1702" s="59"/>
    </row>
    <row r="1703" spans="1:31" customFormat="1" ht="15" x14ac:dyDescent="0.35">
      <c r="A1703" s="50"/>
      <c r="B1703" s="63"/>
      <c r="C1703" s="39"/>
      <c r="D1703" s="6"/>
      <c r="E1703" s="153"/>
      <c r="F1703" s="10"/>
      <c r="G1703" s="53"/>
      <c r="H1703" s="3"/>
      <c r="I1703" s="3"/>
      <c r="J1703" s="3"/>
      <c r="K1703" s="3"/>
      <c r="L1703" s="3"/>
      <c r="M1703" s="3"/>
      <c r="N1703" s="3"/>
      <c r="O1703" s="3"/>
      <c r="P1703" s="59"/>
      <c r="Q1703" s="21"/>
      <c r="R1703" s="21"/>
      <c r="S1703" s="3"/>
      <c r="T1703" s="3"/>
      <c r="U1703" s="3"/>
      <c r="V1703" s="3"/>
      <c r="W1703" s="3"/>
      <c r="X1703" s="3"/>
      <c r="Y1703" s="3"/>
      <c r="Z1703" s="53"/>
      <c r="AA1703" s="3"/>
      <c r="AB1703" s="59"/>
      <c r="AC1703" s="3"/>
      <c r="AD1703" s="53"/>
      <c r="AE1703" s="59"/>
    </row>
    <row r="1704" spans="1:31" customFormat="1" ht="15" x14ac:dyDescent="0.35">
      <c r="A1704" s="50"/>
      <c r="B1704" s="63"/>
      <c r="C1704" s="39"/>
      <c r="D1704" s="6"/>
      <c r="E1704" s="153"/>
      <c r="F1704" s="10"/>
      <c r="G1704" s="54"/>
      <c r="H1704" s="3"/>
      <c r="I1704" s="2"/>
      <c r="J1704" s="2"/>
      <c r="K1704" s="3"/>
      <c r="L1704" s="3"/>
      <c r="M1704" s="3"/>
      <c r="N1704" s="3"/>
      <c r="O1704" s="3"/>
      <c r="P1704" s="59"/>
      <c r="Q1704" s="21"/>
      <c r="R1704" s="21"/>
      <c r="S1704" s="3"/>
      <c r="T1704" s="3"/>
      <c r="U1704" s="3"/>
      <c r="V1704" s="3"/>
      <c r="W1704" s="3"/>
      <c r="X1704" s="3"/>
      <c r="Y1704" s="3"/>
      <c r="Z1704" s="53"/>
      <c r="AA1704" s="3"/>
      <c r="AB1704" s="59"/>
      <c r="AC1704" s="3"/>
      <c r="AD1704" s="53"/>
      <c r="AE1704" s="59"/>
    </row>
    <row r="1705" spans="1:31" customFormat="1" ht="15" x14ac:dyDescent="0.35">
      <c r="A1705" s="50"/>
      <c r="B1705" s="63"/>
      <c r="C1705" s="39"/>
      <c r="D1705" s="6"/>
      <c r="E1705" s="153"/>
      <c r="F1705" s="10"/>
      <c r="G1705" s="54"/>
      <c r="H1705" s="3"/>
      <c r="I1705" s="2"/>
      <c r="J1705" s="2"/>
      <c r="K1705" s="3"/>
      <c r="L1705" s="3"/>
      <c r="M1705" s="3"/>
      <c r="N1705" s="3"/>
      <c r="O1705" s="3"/>
      <c r="P1705" s="59"/>
      <c r="Q1705" s="3"/>
      <c r="R1705" s="3"/>
      <c r="S1705" s="3"/>
      <c r="T1705" s="3"/>
      <c r="U1705" s="3"/>
      <c r="V1705" s="3"/>
      <c r="W1705" s="3"/>
      <c r="X1705" s="3"/>
      <c r="Y1705" s="3"/>
      <c r="Z1705" s="53"/>
      <c r="AA1705" s="3"/>
      <c r="AB1705" s="59"/>
      <c r="AC1705" s="3"/>
      <c r="AD1705" s="53"/>
      <c r="AE1705" s="59"/>
    </row>
    <row r="1706" spans="1:31" customFormat="1" ht="15" x14ac:dyDescent="0.35">
      <c r="A1706" s="19"/>
      <c r="B1706" s="49"/>
      <c r="C1706" s="14"/>
      <c r="D1706" s="1"/>
      <c r="E1706" s="153"/>
      <c r="F1706" s="10"/>
      <c r="G1706" s="20"/>
      <c r="H1706" s="21"/>
      <c r="I1706" s="21"/>
      <c r="J1706" s="21"/>
      <c r="K1706" s="21"/>
      <c r="L1706" s="21"/>
      <c r="M1706" s="21"/>
      <c r="N1706" s="22"/>
      <c r="O1706" s="21"/>
      <c r="P1706" s="24"/>
      <c r="Q1706" s="21"/>
      <c r="R1706" s="21"/>
      <c r="S1706" s="21"/>
      <c r="T1706" s="21"/>
      <c r="U1706" s="21"/>
      <c r="V1706" s="22"/>
      <c r="W1706" s="21"/>
      <c r="X1706" s="22"/>
      <c r="Y1706" s="21"/>
      <c r="Z1706" s="20"/>
      <c r="AA1706" s="21"/>
      <c r="AB1706" s="25"/>
      <c r="AC1706" s="26"/>
      <c r="AD1706" s="27"/>
      <c r="AE1706" s="28"/>
    </row>
    <row r="1707" spans="1:31" customFormat="1" ht="15" x14ac:dyDescent="0.35">
      <c r="A1707" s="50"/>
      <c r="B1707" s="63"/>
      <c r="C1707" s="39"/>
      <c r="D1707" s="6"/>
      <c r="E1707" s="153"/>
      <c r="F1707" s="10"/>
      <c r="G1707" s="53"/>
      <c r="H1707" s="3"/>
      <c r="I1707" s="3"/>
      <c r="J1707" s="3"/>
      <c r="K1707" s="3"/>
      <c r="L1707" s="3"/>
      <c r="M1707" s="3"/>
      <c r="N1707" s="3"/>
      <c r="O1707" s="3"/>
      <c r="P1707" s="59"/>
      <c r="Q1707" s="21"/>
      <c r="R1707" s="21"/>
      <c r="S1707" s="3"/>
      <c r="T1707" s="3"/>
      <c r="U1707" s="3"/>
      <c r="V1707" s="3"/>
      <c r="W1707" s="3"/>
      <c r="X1707" s="3"/>
      <c r="Y1707" s="3"/>
      <c r="Z1707" s="53"/>
      <c r="AA1707" s="3"/>
      <c r="AB1707" s="59"/>
      <c r="AC1707" s="3"/>
      <c r="AD1707" s="53"/>
      <c r="AE1707" s="59"/>
    </row>
    <row r="1708" spans="1:31" customFormat="1" ht="15" x14ac:dyDescent="0.35">
      <c r="A1708" s="50"/>
      <c r="B1708" s="63"/>
      <c r="C1708" s="39"/>
      <c r="D1708" s="6"/>
      <c r="E1708" s="153"/>
      <c r="F1708" s="10"/>
      <c r="G1708" s="54"/>
      <c r="H1708" s="3"/>
      <c r="I1708" s="2"/>
      <c r="J1708" s="2"/>
      <c r="K1708" s="3"/>
      <c r="L1708" s="3"/>
      <c r="M1708" s="3"/>
      <c r="N1708" s="3"/>
      <c r="O1708" s="3"/>
      <c r="P1708" s="59"/>
      <c r="Q1708" s="3"/>
      <c r="R1708" s="3"/>
      <c r="S1708" s="3"/>
      <c r="T1708" s="3"/>
      <c r="U1708" s="3"/>
      <c r="V1708" s="3"/>
      <c r="W1708" s="3"/>
      <c r="X1708" s="3"/>
      <c r="Y1708" s="3"/>
      <c r="Z1708" s="53"/>
      <c r="AA1708" s="3"/>
      <c r="AB1708" s="59"/>
      <c r="AC1708" s="3"/>
      <c r="AD1708" s="53"/>
      <c r="AE1708" s="59"/>
    </row>
    <row r="1709" spans="1:31" customFormat="1" ht="15" x14ac:dyDescent="0.35">
      <c r="A1709" s="50"/>
      <c r="B1709" s="63"/>
      <c r="C1709" s="39"/>
      <c r="D1709" s="6"/>
      <c r="E1709" s="153"/>
      <c r="F1709" s="10"/>
      <c r="G1709" s="54"/>
      <c r="H1709" s="3"/>
      <c r="I1709" s="2"/>
      <c r="J1709" s="2"/>
      <c r="K1709" s="3"/>
      <c r="L1709" s="3"/>
      <c r="M1709" s="3"/>
      <c r="N1709" s="3"/>
      <c r="O1709" s="3"/>
      <c r="P1709" s="59"/>
      <c r="Q1709" s="3"/>
      <c r="R1709" s="3"/>
      <c r="S1709" s="3"/>
      <c r="T1709" s="3"/>
      <c r="U1709" s="3"/>
      <c r="V1709" s="3"/>
      <c r="W1709" s="3"/>
      <c r="X1709" s="3"/>
      <c r="Y1709" s="3"/>
      <c r="Z1709" s="53"/>
      <c r="AA1709" s="3"/>
      <c r="AB1709" s="59"/>
      <c r="AC1709" s="3"/>
      <c r="AD1709" s="53"/>
      <c r="AE1709" s="65"/>
    </row>
    <row r="1710" spans="1:31" customFormat="1" ht="15" x14ac:dyDescent="0.35">
      <c r="A1710" s="19"/>
      <c r="B1710" s="49"/>
      <c r="C1710" s="14"/>
      <c r="D1710" s="1"/>
      <c r="E1710" s="153"/>
      <c r="F1710" s="10"/>
      <c r="G1710" s="20"/>
      <c r="H1710" s="21"/>
      <c r="I1710" s="21"/>
      <c r="J1710" s="21"/>
      <c r="K1710" s="21"/>
      <c r="L1710" s="21"/>
      <c r="M1710" s="21"/>
      <c r="N1710" s="22"/>
      <c r="O1710" s="21"/>
      <c r="P1710" s="24"/>
      <c r="Q1710" s="21"/>
      <c r="R1710" s="21"/>
      <c r="S1710" s="21"/>
      <c r="T1710" s="21"/>
      <c r="U1710" s="21"/>
      <c r="V1710" s="22"/>
      <c r="W1710" s="21"/>
      <c r="X1710" s="22"/>
      <c r="Y1710" s="21"/>
      <c r="Z1710" s="20"/>
      <c r="AA1710" s="21"/>
      <c r="AB1710" s="25"/>
      <c r="AC1710" s="26"/>
      <c r="AD1710" s="27"/>
      <c r="AE1710" s="28"/>
    </row>
    <row r="1711" spans="1:31" customFormat="1" ht="15" x14ac:dyDescent="0.35">
      <c r="A1711" s="50"/>
      <c r="B1711" s="63"/>
      <c r="C1711" s="39"/>
      <c r="D1711" s="6"/>
      <c r="E1711" s="153"/>
      <c r="F1711" s="10"/>
      <c r="G1711" s="54"/>
      <c r="H1711" s="2"/>
      <c r="I1711" s="2"/>
      <c r="J1711" s="2"/>
      <c r="K1711" s="3"/>
      <c r="L1711" s="3"/>
      <c r="M1711" s="3"/>
      <c r="N1711" s="3"/>
      <c r="O1711" s="3"/>
      <c r="P1711" s="59"/>
      <c r="Q1711" s="3"/>
      <c r="R1711" s="3"/>
      <c r="S1711" s="3"/>
      <c r="T1711" s="3"/>
      <c r="U1711" s="3"/>
      <c r="V1711" s="12"/>
      <c r="W1711" s="3"/>
      <c r="X1711" s="3"/>
      <c r="Y1711" s="3"/>
      <c r="Z1711" s="53"/>
      <c r="AA1711" s="3"/>
      <c r="AB1711" s="59"/>
      <c r="AC1711" s="3"/>
      <c r="AD1711" s="53"/>
      <c r="AE1711" s="59"/>
    </row>
    <row r="1712" spans="1:31" customFormat="1" ht="15" x14ac:dyDescent="0.35">
      <c r="A1712" s="19"/>
      <c r="B1712" s="49"/>
      <c r="C1712" s="39"/>
      <c r="D1712" s="1"/>
      <c r="E1712" s="153"/>
      <c r="F1712" s="10"/>
      <c r="G1712" s="20"/>
      <c r="H1712" s="21"/>
      <c r="I1712" s="21"/>
      <c r="J1712" s="21"/>
      <c r="K1712" s="21"/>
      <c r="L1712" s="21"/>
      <c r="M1712" s="21"/>
      <c r="N1712" s="22"/>
      <c r="O1712" s="21"/>
      <c r="P1712" s="24"/>
      <c r="Q1712" s="21"/>
      <c r="R1712" s="21"/>
      <c r="S1712" s="21"/>
      <c r="T1712" s="21"/>
      <c r="U1712" s="21"/>
      <c r="V1712" s="22"/>
      <c r="W1712" s="21"/>
      <c r="X1712" s="22"/>
      <c r="Y1712" s="21"/>
      <c r="Z1712" s="20"/>
      <c r="AA1712" s="21"/>
      <c r="AB1712" s="25"/>
      <c r="AC1712" s="26"/>
      <c r="AD1712" s="27"/>
      <c r="AE1712" s="28"/>
    </row>
    <row r="1713" spans="1:31" customFormat="1" ht="15" x14ac:dyDescent="0.35">
      <c r="A1713" s="50"/>
      <c r="B1713" s="63"/>
      <c r="C1713" s="39"/>
      <c r="D1713" s="6"/>
      <c r="E1713" s="153"/>
      <c r="F1713" s="10"/>
      <c r="G1713" s="53"/>
      <c r="H1713" s="3"/>
      <c r="I1713" s="3"/>
      <c r="J1713" s="3"/>
      <c r="K1713" s="3"/>
      <c r="L1713" s="3"/>
      <c r="M1713" s="3"/>
      <c r="N1713" s="3"/>
      <c r="O1713" s="3"/>
      <c r="P1713" s="59"/>
      <c r="Q1713" s="21"/>
      <c r="R1713" s="21"/>
      <c r="S1713" s="3"/>
      <c r="T1713" s="3"/>
      <c r="U1713" s="3"/>
      <c r="V1713" s="3"/>
      <c r="W1713" s="3"/>
      <c r="X1713" s="3"/>
      <c r="Y1713" s="3"/>
      <c r="Z1713" s="53"/>
      <c r="AA1713" s="3"/>
      <c r="AB1713" s="59"/>
      <c r="AC1713" s="3"/>
      <c r="AD1713" s="53"/>
      <c r="AE1713" s="59"/>
    </row>
    <row r="1714" spans="1:31" customFormat="1" ht="15" x14ac:dyDescent="0.35">
      <c r="A1714" s="50"/>
      <c r="B1714" s="63"/>
      <c r="C1714" s="39"/>
      <c r="D1714" s="6"/>
      <c r="E1714" s="153"/>
      <c r="F1714" s="10"/>
      <c r="G1714" s="53"/>
      <c r="H1714" s="3"/>
      <c r="I1714" s="3"/>
      <c r="J1714" s="3"/>
      <c r="K1714" s="3"/>
      <c r="L1714" s="3"/>
      <c r="M1714" s="3"/>
      <c r="N1714" s="3"/>
      <c r="O1714" s="3"/>
      <c r="P1714" s="59"/>
      <c r="Q1714" s="21"/>
      <c r="R1714" s="21"/>
      <c r="S1714" s="3"/>
      <c r="T1714" s="3"/>
      <c r="U1714" s="3"/>
      <c r="V1714" s="3"/>
      <c r="W1714" s="3"/>
      <c r="X1714" s="3"/>
      <c r="Y1714" s="3"/>
      <c r="Z1714" s="53"/>
      <c r="AA1714" s="3"/>
      <c r="AB1714" s="59"/>
      <c r="AC1714" s="3"/>
      <c r="AD1714" s="53"/>
      <c r="AE1714" s="59"/>
    </row>
    <row r="1715" spans="1:31" customFormat="1" ht="15" x14ac:dyDescent="0.35">
      <c r="A1715" s="50"/>
      <c r="B1715" s="63"/>
      <c r="C1715" s="39"/>
      <c r="D1715" s="6"/>
      <c r="E1715" s="153"/>
      <c r="F1715" s="10"/>
      <c r="G1715" s="53"/>
      <c r="H1715" s="3"/>
      <c r="I1715" s="3"/>
      <c r="J1715" s="3"/>
      <c r="K1715" s="3"/>
      <c r="L1715" s="3"/>
      <c r="M1715" s="3"/>
      <c r="N1715" s="3"/>
      <c r="O1715" s="3"/>
      <c r="P1715" s="59"/>
      <c r="Q1715" s="21"/>
      <c r="R1715" s="21"/>
      <c r="S1715" s="3"/>
      <c r="T1715" s="3"/>
      <c r="U1715" s="3"/>
      <c r="V1715" s="3"/>
      <c r="W1715" s="3"/>
      <c r="X1715" s="3"/>
      <c r="Y1715" s="3"/>
      <c r="Z1715" s="53"/>
      <c r="AA1715" s="3"/>
      <c r="AB1715" s="59"/>
      <c r="AC1715" s="3"/>
      <c r="AD1715" s="53"/>
      <c r="AE1715" s="59"/>
    </row>
    <row r="1716" spans="1:31" customFormat="1" ht="15" x14ac:dyDescent="0.35">
      <c r="A1716" s="50"/>
      <c r="B1716" s="63"/>
      <c r="C1716" s="39"/>
      <c r="D1716" s="6"/>
      <c r="E1716" s="153"/>
      <c r="F1716" s="10"/>
      <c r="G1716" s="53"/>
      <c r="H1716" s="3"/>
      <c r="I1716" s="3"/>
      <c r="J1716" s="3"/>
      <c r="K1716" s="3"/>
      <c r="L1716" s="3"/>
      <c r="M1716" s="3"/>
      <c r="N1716" s="3"/>
      <c r="O1716" s="3"/>
      <c r="P1716" s="59"/>
      <c r="Q1716" s="21"/>
      <c r="R1716" s="21"/>
      <c r="S1716" s="3"/>
      <c r="T1716" s="3"/>
      <c r="U1716" s="3"/>
      <c r="V1716" s="3"/>
      <c r="W1716" s="3"/>
      <c r="X1716" s="3"/>
      <c r="Y1716" s="3"/>
      <c r="Z1716" s="53"/>
      <c r="AA1716" s="3"/>
      <c r="AB1716" s="59"/>
      <c r="AC1716" s="3"/>
      <c r="AD1716" s="53"/>
      <c r="AE1716" s="59"/>
    </row>
    <row r="1717" spans="1:31" customFormat="1" ht="15" x14ac:dyDescent="0.35">
      <c r="A1717" s="50"/>
      <c r="B1717" s="63"/>
      <c r="C1717" s="39"/>
      <c r="D1717" s="6"/>
      <c r="E1717" s="153"/>
      <c r="F1717" s="10"/>
      <c r="G1717" s="54"/>
      <c r="H1717" s="3"/>
      <c r="I1717" s="2"/>
      <c r="J1717" s="2"/>
      <c r="K1717" s="3"/>
      <c r="L1717" s="3"/>
      <c r="M1717" s="3"/>
      <c r="N1717" s="3"/>
      <c r="O1717" s="3"/>
      <c r="P1717" s="59"/>
      <c r="Q1717" s="3"/>
      <c r="R1717" s="3"/>
      <c r="S1717" s="3"/>
      <c r="T1717" s="3"/>
      <c r="U1717" s="3"/>
      <c r="V1717" s="3"/>
      <c r="W1717" s="3"/>
      <c r="X1717" s="3"/>
      <c r="Y1717" s="3"/>
      <c r="Z1717" s="53"/>
      <c r="AA1717" s="3"/>
      <c r="AB1717" s="59"/>
      <c r="AC1717" s="3"/>
      <c r="AD1717" s="53"/>
      <c r="AE1717" s="59"/>
    </row>
    <row r="1718" spans="1:31" customFormat="1" ht="15" x14ac:dyDescent="0.35">
      <c r="A1718" s="50"/>
      <c r="B1718" s="63"/>
      <c r="C1718" s="39"/>
      <c r="D1718" s="6"/>
      <c r="E1718" s="153"/>
      <c r="F1718" s="10"/>
      <c r="G1718" s="53"/>
      <c r="H1718" s="3"/>
      <c r="I1718" s="3"/>
      <c r="J1718" s="3"/>
      <c r="K1718" s="3"/>
      <c r="L1718" s="3"/>
      <c r="M1718" s="3"/>
      <c r="N1718" s="3"/>
      <c r="O1718" s="3"/>
      <c r="P1718" s="59"/>
      <c r="Q1718" s="21"/>
      <c r="R1718" s="21"/>
      <c r="S1718" s="3"/>
      <c r="T1718" s="3"/>
      <c r="U1718" s="3"/>
      <c r="V1718" s="3"/>
      <c r="W1718" s="3"/>
      <c r="X1718" s="3"/>
      <c r="Y1718" s="3"/>
      <c r="Z1718" s="53"/>
      <c r="AA1718" s="3"/>
      <c r="AB1718" s="59"/>
      <c r="AC1718" s="3"/>
      <c r="AD1718" s="53"/>
      <c r="AE1718" s="59"/>
    </row>
    <row r="1719" spans="1:31" customFormat="1" ht="15" x14ac:dyDescent="0.35">
      <c r="A1719" s="50"/>
      <c r="B1719" s="63"/>
      <c r="C1719" s="39"/>
      <c r="D1719" s="6"/>
      <c r="E1719" s="153"/>
      <c r="F1719" s="10"/>
      <c r="G1719" s="53"/>
      <c r="H1719" s="3"/>
      <c r="I1719" s="3"/>
      <c r="J1719" s="3"/>
      <c r="K1719" s="3"/>
      <c r="L1719" s="3"/>
      <c r="M1719" s="3"/>
      <c r="N1719" s="3"/>
      <c r="O1719" s="3"/>
      <c r="P1719" s="59"/>
      <c r="Q1719" s="21"/>
      <c r="R1719" s="21"/>
      <c r="S1719" s="3"/>
      <c r="T1719" s="3"/>
      <c r="U1719" s="3"/>
      <c r="V1719" s="3"/>
      <c r="W1719" s="3"/>
      <c r="X1719" s="3"/>
      <c r="Y1719" s="3"/>
      <c r="Z1719" s="53"/>
      <c r="AA1719" s="3"/>
      <c r="AB1719" s="59"/>
      <c r="AC1719" s="3"/>
      <c r="AD1719" s="53"/>
      <c r="AE1719" s="59"/>
    </row>
    <row r="1720" spans="1:31" customFormat="1" ht="15" x14ac:dyDescent="0.35">
      <c r="A1720" s="50"/>
      <c r="B1720" s="63"/>
      <c r="C1720" s="39"/>
      <c r="D1720" s="6"/>
      <c r="E1720" s="153"/>
      <c r="F1720" s="10"/>
      <c r="G1720" s="54"/>
      <c r="H1720" s="3"/>
      <c r="I1720" s="2"/>
      <c r="J1720" s="2"/>
      <c r="K1720" s="3"/>
      <c r="L1720" s="3"/>
      <c r="M1720" s="3"/>
      <c r="N1720" s="3"/>
      <c r="O1720" s="3"/>
      <c r="P1720" s="59"/>
      <c r="Q1720" s="3"/>
      <c r="R1720" s="3"/>
      <c r="S1720" s="3"/>
      <c r="T1720" s="3"/>
      <c r="U1720" s="3"/>
      <c r="V1720" s="3"/>
      <c r="W1720" s="3"/>
      <c r="X1720" s="3"/>
      <c r="Y1720" s="3"/>
      <c r="Z1720" s="53"/>
      <c r="AA1720" s="3"/>
      <c r="AB1720" s="59"/>
      <c r="AC1720" s="3"/>
      <c r="AD1720" s="53"/>
      <c r="AE1720" s="59"/>
    </row>
    <row r="1721" spans="1:31" customFormat="1" ht="15" x14ac:dyDescent="0.35">
      <c r="A1721" s="50"/>
      <c r="B1721" s="63"/>
      <c r="C1721" s="39"/>
      <c r="D1721" s="6"/>
      <c r="E1721" s="153"/>
      <c r="F1721" s="10"/>
      <c r="G1721" s="53"/>
      <c r="H1721" s="3"/>
      <c r="I1721" s="3"/>
      <c r="J1721" s="3"/>
      <c r="K1721" s="3"/>
      <c r="L1721" s="3"/>
      <c r="M1721" s="3"/>
      <c r="N1721" s="3"/>
      <c r="O1721" s="3"/>
      <c r="P1721" s="59"/>
      <c r="Q1721" s="21"/>
      <c r="R1721" s="21"/>
      <c r="S1721" s="3"/>
      <c r="T1721" s="3"/>
      <c r="U1721" s="3"/>
      <c r="V1721" s="3"/>
      <c r="W1721" s="3"/>
      <c r="X1721" s="3"/>
      <c r="Y1721" s="3"/>
      <c r="Z1721" s="53"/>
      <c r="AA1721" s="3"/>
      <c r="AB1721" s="59"/>
      <c r="AC1721" s="3"/>
      <c r="AD1721" s="53"/>
      <c r="AE1721" s="59"/>
    </row>
    <row r="1722" spans="1:31" customFormat="1" ht="15" x14ac:dyDescent="0.35">
      <c r="A1722" s="50"/>
      <c r="B1722" s="63"/>
      <c r="C1722" s="39"/>
      <c r="D1722" s="6"/>
      <c r="E1722" s="153"/>
      <c r="F1722" s="10"/>
      <c r="G1722" s="53"/>
      <c r="H1722" s="3"/>
      <c r="I1722" s="3"/>
      <c r="J1722" s="3"/>
      <c r="K1722" s="3"/>
      <c r="L1722" s="3"/>
      <c r="M1722" s="3"/>
      <c r="N1722" s="3"/>
      <c r="O1722" s="3"/>
      <c r="P1722" s="59"/>
      <c r="Q1722" s="21"/>
      <c r="R1722" s="21"/>
      <c r="S1722" s="3"/>
      <c r="T1722" s="3"/>
      <c r="U1722" s="3"/>
      <c r="V1722" s="3"/>
      <c r="W1722" s="3"/>
      <c r="X1722" s="3"/>
      <c r="Y1722" s="3"/>
      <c r="Z1722" s="53"/>
      <c r="AA1722" s="3"/>
      <c r="AB1722" s="59"/>
      <c r="AC1722" s="3"/>
      <c r="AD1722" s="53"/>
      <c r="AE1722" s="59"/>
    </row>
    <row r="1723" spans="1:31" customFormat="1" ht="15" x14ac:dyDescent="0.35">
      <c r="A1723" s="19"/>
      <c r="B1723" s="49"/>
      <c r="C1723" s="14"/>
      <c r="D1723" s="1"/>
      <c r="E1723" s="153"/>
      <c r="F1723" s="10"/>
      <c r="G1723" s="20"/>
      <c r="H1723" s="21"/>
      <c r="I1723" s="21"/>
      <c r="J1723" s="21"/>
      <c r="K1723" s="21"/>
      <c r="L1723" s="21"/>
      <c r="M1723" s="21"/>
      <c r="N1723" s="22"/>
      <c r="O1723" s="21"/>
      <c r="P1723" s="24"/>
      <c r="Q1723" s="21"/>
      <c r="R1723" s="21"/>
      <c r="S1723" s="21"/>
      <c r="T1723" s="21"/>
      <c r="U1723" s="21"/>
      <c r="V1723" s="22"/>
      <c r="W1723" s="21"/>
      <c r="X1723" s="22"/>
      <c r="Y1723" s="21"/>
      <c r="Z1723" s="20"/>
      <c r="AA1723" s="21"/>
      <c r="AB1723" s="25"/>
      <c r="AC1723" s="26"/>
      <c r="AD1723" s="27"/>
      <c r="AE1723" s="28"/>
    </row>
    <row r="1724" spans="1:31" customFormat="1" ht="15" x14ac:dyDescent="0.35">
      <c r="A1724" s="19"/>
      <c r="B1724" s="49"/>
      <c r="C1724" s="39"/>
      <c r="D1724" s="1"/>
      <c r="E1724" s="153"/>
      <c r="F1724" s="10"/>
      <c r="G1724" s="20"/>
      <c r="H1724" s="21"/>
      <c r="I1724" s="21"/>
      <c r="J1724" s="21"/>
      <c r="K1724" s="21"/>
      <c r="L1724" s="21"/>
      <c r="M1724" s="21"/>
      <c r="N1724" s="22"/>
      <c r="O1724" s="21"/>
      <c r="P1724" s="24"/>
      <c r="Q1724" s="21"/>
      <c r="R1724" s="21"/>
      <c r="S1724" s="21"/>
      <c r="T1724" s="21"/>
      <c r="U1724" s="21"/>
      <c r="V1724" s="22"/>
      <c r="W1724" s="21"/>
      <c r="X1724" s="22"/>
      <c r="Y1724" s="21"/>
      <c r="Z1724" s="20"/>
      <c r="AA1724" s="21"/>
      <c r="AB1724" s="25"/>
      <c r="AC1724" s="26"/>
      <c r="AD1724" s="27"/>
      <c r="AE1724" s="28"/>
    </row>
    <row r="1725" spans="1:31" customFormat="1" ht="15" x14ac:dyDescent="0.35">
      <c r="A1725" s="50"/>
      <c r="B1725" s="63"/>
      <c r="C1725" s="39"/>
      <c r="D1725" s="6"/>
      <c r="E1725" s="153"/>
      <c r="F1725" s="10"/>
      <c r="G1725" s="53"/>
      <c r="H1725" s="3"/>
      <c r="I1725" s="3"/>
      <c r="J1725" s="3"/>
      <c r="K1725" s="3"/>
      <c r="L1725" s="3"/>
      <c r="M1725" s="3"/>
      <c r="N1725" s="3"/>
      <c r="O1725" s="3"/>
      <c r="P1725" s="59"/>
      <c r="Q1725" s="21"/>
      <c r="R1725" s="21"/>
      <c r="S1725" s="3"/>
      <c r="T1725" s="3"/>
      <c r="U1725" s="3"/>
      <c r="V1725" s="3"/>
      <c r="W1725" s="3"/>
      <c r="X1725" s="3"/>
      <c r="Y1725" s="3"/>
      <c r="Z1725" s="53"/>
      <c r="AA1725" s="3"/>
      <c r="AB1725" s="59"/>
      <c r="AC1725" s="3"/>
      <c r="AD1725" s="53"/>
      <c r="AE1725" s="59"/>
    </row>
    <row r="1726" spans="1:31" customFormat="1" ht="15" x14ac:dyDescent="0.35">
      <c r="A1726" s="50"/>
      <c r="B1726" s="63"/>
      <c r="C1726" s="39"/>
      <c r="D1726" s="6"/>
      <c r="E1726" s="153"/>
      <c r="F1726" s="10"/>
      <c r="G1726" s="54"/>
      <c r="H1726" s="3"/>
      <c r="I1726" s="2"/>
      <c r="J1726" s="2"/>
      <c r="K1726" s="3"/>
      <c r="L1726" s="3"/>
      <c r="M1726" s="3"/>
      <c r="N1726" s="3"/>
      <c r="O1726" s="3"/>
      <c r="P1726" s="59"/>
      <c r="Q1726" s="3"/>
      <c r="R1726" s="3"/>
      <c r="S1726" s="3"/>
      <c r="T1726" s="3"/>
      <c r="U1726" s="3"/>
      <c r="V1726" s="3"/>
      <c r="W1726" s="3"/>
      <c r="X1726" s="3"/>
      <c r="Y1726" s="3"/>
      <c r="Z1726" s="53"/>
      <c r="AA1726" s="3"/>
      <c r="AB1726" s="59"/>
      <c r="AC1726" s="3"/>
      <c r="AD1726" s="53"/>
      <c r="AE1726" s="59"/>
    </row>
    <row r="1727" spans="1:31" customFormat="1" ht="15" x14ac:dyDescent="0.35">
      <c r="A1727" s="50"/>
      <c r="B1727" s="63"/>
      <c r="C1727" s="39"/>
      <c r="D1727" s="6"/>
      <c r="E1727" s="153"/>
      <c r="F1727" s="10"/>
      <c r="G1727" s="54"/>
      <c r="H1727" s="3"/>
      <c r="I1727" s="2"/>
      <c r="J1727" s="2"/>
      <c r="K1727" s="3"/>
      <c r="L1727" s="3"/>
      <c r="M1727" s="3"/>
      <c r="N1727" s="3"/>
      <c r="O1727" s="3"/>
      <c r="P1727" s="59"/>
      <c r="Q1727" s="3"/>
      <c r="R1727" s="3"/>
      <c r="S1727" s="3"/>
      <c r="T1727" s="3"/>
      <c r="U1727" s="3"/>
      <c r="V1727" s="3"/>
      <c r="W1727" s="3"/>
      <c r="X1727" s="3"/>
      <c r="Y1727" s="3"/>
      <c r="Z1727" s="53"/>
      <c r="AA1727" s="3"/>
      <c r="AB1727" s="59"/>
      <c r="AC1727" s="3"/>
      <c r="AD1727" s="53"/>
      <c r="AE1727" s="59"/>
    </row>
    <row r="1728" spans="1:31" customFormat="1" ht="15" x14ac:dyDescent="0.35">
      <c r="A1728" s="50"/>
      <c r="B1728" s="63"/>
      <c r="C1728" s="39"/>
      <c r="D1728" s="6"/>
      <c r="E1728" s="153"/>
      <c r="F1728" s="10"/>
      <c r="G1728" s="54"/>
      <c r="H1728" s="3"/>
      <c r="I1728" s="2"/>
      <c r="J1728" s="2"/>
      <c r="K1728" s="3"/>
      <c r="L1728" s="3"/>
      <c r="M1728" s="3"/>
      <c r="N1728" s="3"/>
      <c r="O1728" s="3"/>
      <c r="P1728" s="59"/>
      <c r="Q1728" s="3"/>
      <c r="R1728" s="3"/>
      <c r="S1728" s="3"/>
      <c r="T1728" s="3"/>
      <c r="U1728" s="3"/>
      <c r="V1728" s="3"/>
      <c r="W1728" s="3"/>
      <c r="X1728" s="3"/>
      <c r="Y1728" s="3"/>
      <c r="Z1728" s="53"/>
      <c r="AA1728" s="3"/>
      <c r="AB1728" s="59"/>
      <c r="AC1728" s="3"/>
      <c r="AD1728" s="53"/>
      <c r="AE1728" s="59"/>
    </row>
    <row r="1729" spans="1:31" customFormat="1" ht="15" x14ac:dyDescent="0.35">
      <c r="A1729" s="50"/>
      <c r="B1729" s="63"/>
      <c r="C1729" s="39"/>
      <c r="D1729" s="6"/>
      <c r="E1729" s="153"/>
      <c r="F1729" s="10"/>
      <c r="G1729" s="53"/>
      <c r="H1729" s="3"/>
      <c r="I1729" s="3"/>
      <c r="J1729" s="3"/>
      <c r="K1729" s="3"/>
      <c r="L1729" s="3"/>
      <c r="M1729" s="3"/>
      <c r="N1729" s="3"/>
      <c r="O1729" s="3"/>
      <c r="P1729" s="59"/>
      <c r="Q1729" s="21"/>
      <c r="R1729" s="21"/>
      <c r="S1729" s="3"/>
      <c r="T1729" s="3"/>
      <c r="U1729" s="3"/>
      <c r="V1729" s="3"/>
      <c r="W1729" s="3"/>
      <c r="X1729" s="3"/>
      <c r="Y1729" s="3"/>
      <c r="Z1729" s="53"/>
      <c r="AA1729" s="3"/>
      <c r="AB1729" s="59"/>
      <c r="AC1729" s="3"/>
      <c r="AD1729" s="53"/>
      <c r="AE1729" s="59"/>
    </row>
    <row r="1730" spans="1:31" customFormat="1" ht="15" x14ac:dyDescent="0.35">
      <c r="A1730" s="50"/>
      <c r="B1730" s="63"/>
      <c r="C1730" s="39"/>
      <c r="D1730" s="6"/>
      <c r="E1730" s="153"/>
      <c r="F1730" s="10"/>
      <c r="G1730" s="53"/>
      <c r="H1730" s="3"/>
      <c r="I1730" s="3"/>
      <c r="J1730" s="3"/>
      <c r="K1730" s="3"/>
      <c r="L1730" s="3"/>
      <c r="M1730" s="3"/>
      <c r="N1730" s="3"/>
      <c r="O1730" s="3"/>
      <c r="P1730" s="59"/>
      <c r="Q1730" s="21"/>
      <c r="R1730" s="21"/>
      <c r="S1730" s="3"/>
      <c r="T1730" s="3"/>
      <c r="U1730" s="3"/>
      <c r="V1730" s="3"/>
      <c r="W1730" s="3"/>
      <c r="X1730" s="3"/>
      <c r="Y1730" s="3"/>
      <c r="Z1730" s="53"/>
      <c r="AA1730" s="3"/>
      <c r="AB1730" s="59"/>
      <c r="AC1730" s="3"/>
      <c r="AD1730" s="53"/>
      <c r="AE1730" s="59"/>
    </row>
    <row r="1731" spans="1:31" customFormat="1" ht="15" x14ac:dyDescent="0.35">
      <c r="A1731" s="19"/>
      <c r="B1731" s="49"/>
      <c r="C1731" s="14"/>
      <c r="D1731" s="1"/>
      <c r="E1731" s="153"/>
      <c r="F1731" s="10"/>
      <c r="G1731" s="20"/>
      <c r="H1731" s="21"/>
      <c r="I1731" s="21"/>
      <c r="J1731" s="21"/>
      <c r="K1731" s="21"/>
      <c r="L1731" s="21"/>
      <c r="M1731" s="21"/>
      <c r="N1731" s="22"/>
      <c r="O1731" s="21"/>
      <c r="P1731" s="24"/>
      <c r="Q1731" s="21"/>
      <c r="R1731" s="21"/>
      <c r="S1731" s="21"/>
      <c r="T1731" s="21"/>
      <c r="U1731" s="21"/>
      <c r="V1731" s="22"/>
      <c r="W1731" s="21"/>
      <c r="X1731" s="22"/>
      <c r="Y1731" s="21"/>
      <c r="Z1731" s="20"/>
      <c r="AA1731" s="21"/>
      <c r="AB1731" s="25"/>
      <c r="AC1731" s="26"/>
      <c r="AD1731" s="27"/>
      <c r="AE1731" s="28"/>
    </row>
    <row r="1732" spans="1:31" customFormat="1" ht="15" x14ac:dyDescent="0.35">
      <c r="A1732" s="50"/>
      <c r="B1732" s="63"/>
      <c r="C1732" s="39"/>
      <c r="D1732" s="6"/>
      <c r="E1732" s="153"/>
      <c r="F1732" s="10"/>
      <c r="G1732" s="54"/>
      <c r="H1732" s="3"/>
      <c r="I1732" s="2"/>
      <c r="J1732" s="2"/>
      <c r="K1732" s="3"/>
      <c r="L1732" s="3"/>
      <c r="M1732" s="3"/>
      <c r="N1732" s="3"/>
      <c r="O1732" s="3"/>
      <c r="P1732" s="59"/>
      <c r="Q1732" s="3"/>
      <c r="R1732" s="3"/>
      <c r="S1732" s="3"/>
      <c r="T1732" s="3"/>
      <c r="U1732" s="3"/>
      <c r="V1732" s="12"/>
      <c r="W1732" s="3"/>
      <c r="X1732" s="3"/>
      <c r="Y1732" s="3"/>
      <c r="Z1732" s="53"/>
      <c r="AA1732" s="3"/>
      <c r="AB1732" s="59"/>
      <c r="AC1732" s="3"/>
      <c r="AD1732" s="53"/>
      <c r="AE1732" s="59"/>
    </row>
    <row r="1733" spans="1:31" customFormat="1" ht="15" x14ac:dyDescent="0.35">
      <c r="A1733" s="50"/>
      <c r="B1733" s="63"/>
      <c r="C1733" s="39"/>
      <c r="D1733" s="6"/>
      <c r="E1733" s="153"/>
      <c r="F1733" s="10"/>
      <c r="G1733" s="53"/>
      <c r="H1733" s="3"/>
      <c r="I1733" s="3"/>
      <c r="J1733" s="3"/>
      <c r="K1733" s="3"/>
      <c r="L1733" s="3"/>
      <c r="M1733" s="3"/>
      <c r="N1733" s="3"/>
      <c r="O1733" s="3"/>
      <c r="P1733" s="59"/>
      <c r="Q1733" s="21"/>
      <c r="R1733" s="21"/>
      <c r="S1733" s="3"/>
      <c r="T1733" s="3"/>
      <c r="U1733" s="3"/>
      <c r="V1733" s="3"/>
      <c r="W1733" s="3"/>
      <c r="X1733" s="3"/>
      <c r="Y1733" s="3"/>
      <c r="Z1733" s="53"/>
      <c r="AA1733" s="3"/>
      <c r="AB1733" s="59"/>
      <c r="AC1733" s="3"/>
      <c r="AD1733" s="53"/>
      <c r="AE1733" s="59"/>
    </row>
    <row r="1734" spans="1:31" customFormat="1" ht="15" x14ac:dyDescent="0.35">
      <c r="A1734" s="50"/>
      <c r="B1734" s="63"/>
      <c r="C1734" s="39"/>
      <c r="D1734" s="6"/>
      <c r="E1734" s="153"/>
      <c r="F1734" s="10"/>
      <c r="G1734" s="54"/>
      <c r="H1734" s="3"/>
      <c r="I1734" s="2"/>
      <c r="J1734" s="2"/>
      <c r="K1734" s="3"/>
      <c r="L1734" s="3"/>
      <c r="M1734" s="3"/>
      <c r="N1734" s="3"/>
      <c r="O1734" s="3"/>
      <c r="P1734" s="59"/>
      <c r="Q1734" s="3"/>
      <c r="R1734" s="3"/>
      <c r="S1734" s="3"/>
      <c r="T1734" s="3"/>
      <c r="U1734" s="3"/>
      <c r="V1734" s="3"/>
      <c r="W1734" s="3"/>
      <c r="X1734" s="3"/>
      <c r="Y1734" s="3"/>
      <c r="Z1734" s="53"/>
      <c r="AA1734" s="3"/>
      <c r="AB1734" s="59"/>
      <c r="AC1734" s="3"/>
      <c r="AD1734" s="53"/>
      <c r="AE1734" s="59"/>
    </row>
    <row r="1735" spans="1:31" customFormat="1" ht="15" x14ac:dyDescent="0.35">
      <c r="A1735" s="50"/>
      <c r="B1735" s="63"/>
      <c r="C1735" s="39"/>
      <c r="D1735" s="6"/>
      <c r="E1735" s="153"/>
      <c r="F1735" s="10"/>
      <c r="G1735" s="53"/>
      <c r="H1735" s="3"/>
      <c r="I1735" s="3"/>
      <c r="J1735" s="3"/>
      <c r="K1735" s="3"/>
      <c r="L1735" s="3"/>
      <c r="M1735" s="3"/>
      <c r="N1735" s="3"/>
      <c r="O1735" s="3"/>
      <c r="P1735" s="59"/>
      <c r="Q1735" s="21"/>
      <c r="R1735" s="21"/>
      <c r="S1735" s="3"/>
      <c r="T1735" s="3"/>
      <c r="U1735" s="3"/>
      <c r="V1735" s="3"/>
      <c r="W1735" s="3"/>
      <c r="X1735" s="3"/>
      <c r="Y1735" s="3"/>
      <c r="Z1735" s="53"/>
      <c r="AA1735" s="3"/>
      <c r="AB1735" s="59"/>
      <c r="AC1735" s="3"/>
      <c r="AD1735" s="53"/>
      <c r="AE1735" s="59"/>
    </row>
    <row r="1736" spans="1:31" customFormat="1" ht="15" x14ac:dyDescent="0.35">
      <c r="A1736" s="50"/>
      <c r="B1736" s="63"/>
      <c r="C1736" s="39"/>
      <c r="D1736" s="6"/>
      <c r="E1736" s="153"/>
      <c r="F1736" s="10"/>
      <c r="G1736" s="54"/>
      <c r="H1736" s="3"/>
      <c r="I1736" s="2"/>
      <c r="J1736" s="2"/>
      <c r="K1736" s="3"/>
      <c r="L1736" s="3"/>
      <c r="M1736" s="3"/>
      <c r="N1736" s="3"/>
      <c r="O1736" s="3"/>
      <c r="P1736" s="59"/>
      <c r="Q1736" s="3"/>
      <c r="R1736" s="3"/>
      <c r="S1736" s="3"/>
      <c r="T1736" s="3"/>
      <c r="U1736" s="3"/>
      <c r="V1736" s="3"/>
      <c r="W1736" s="3"/>
      <c r="X1736" s="3"/>
      <c r="Y1736" s="3"/>
      <c r="Z1736" s="53"/>
      <c r="AA1736" s="3"/>
      <c r="AB1736" s="59"/>
      <c r="AC1736" s="3"/>
      <c r="AD1736" s="53"/>
      <c r="AE1736" s="59"/>
    </row>
    <row r="1737" spans="1:31" customFormat="1" ht="15" x14ac:dyDescent="0.35">
      <c r="A1737" s="50"/>
      <c r="B1737" s="63"/>
      <c r="C1737" s="39"/>
      <c r="D1737" s="6"/>
      <c r="E1737" s="153"/>
      <c r="F1737" s="10"/>
      <c r="G1737" s="53"/>
      <c r="H1737" s="3"/>
      <c r="I1737" s="3"/>
      <c r="J1737" s="3"/>
      <c r="K1737" s="3"/>
      <c r="L1737" s="3"/>
      <c r="M1737" s="3"/>
      <c r="N1737" s="3"/>
      <c r="O1737" s="3"/>
      <c r="P1737" s="59"/>
      <c r="Q1737" s="21"/>
      <c r="R1737" s="21"/>
      <c r="S1737" s="3"/>
      <c r="T1737" s="3"/>
      <c r="U1737" s="3"/>
      <c r="V1737" s="3"/>
      <c r="W1737" s="3"/>
      <c r="X1737" s="3"/>
      <c r="Y1737" s="3"/>
      <c r="Z1737" s="53"/>
      <c r="AA1737" s="3"/>
      <c r="AB1737" s="59"/>
      <c r="AC1737" s="3"/>
      <c r="AD1737" s="53"/>
      <c r="AE1737" s="59"/>
    </row>
    <row r="1738" spans="1:31" customFormat="1" ht="15" x14ac:dyDescent="0.35">
      <c r="A1738" s="19"/>
      <c r="B1738" s="49"/>
      <c r="C1738" s="39"/>
      <c r="D1738" s="1"/>
      <c r="E1738" s="153"/>
      <c r="F1738" s="10"/>
      <c r="G1738" s="20"/>
      <c r="H1738" s="21"/>
      <c r="I1738" s="21"/>
      <c r="J1738" s="21"/>
      <c r="K1738" s="21"/>
      <c r="L1738" s="21"/>
      <c r="M1738" s="21"/>
      <c r="N1738" s="22"/>
      <c r="O1738" s="21"/>
      <c r="P1738" s="24"/>
      <c r="Q1738" s="21"/>
      <c r="R1738" s="21"/>
      <c r="S1738" s="21"/>
      <c r="T1738" s="21"/>
      <c r="U1738" s="21"/>
      <c r="V1738" s="22"/>
      <c r="W1738" s="21"/>
      <c r="X1738" s="22"/>
      <c r="Y1738" s="21"/>
      <c r="Z1738" s="20"/>
      <c r="AA1738" s="21"/>
      <c r="AB1738" s="25"/>
      <c r="AC1738" s="26"/>
      <c r="AD1738" s="27"/>
      <c r="AE1738" s="28"/>
    </row>
    <row r="1739" spans="1:31" customFormat="1" ht="15" x14ac:dyDescent="0.35">
      <c r="A1739" s="50"/>
      <c r="B1739" s="63"/>
      <c r="C1739" s="39"/>
      <c r="D1739" s="6"/>
      <c r="E1739" s="153"/>
      <c r="F1739" s="10"/>
      <c r="G1739" s="53"/>
      <c r="H1739" s="3"/>
      <c r="I1739" s="3"/>
      <c r="J1739" s="3"/>
      <c r="K1739" s="3"/>
      <c r="L1739" s="3"/>
      <c r="M1739" s="3"/>
      <c r="N1739" s="3"/>
      <c r="O1739" s="3"/>
      <c r="P1739" s="59"/>
      <c r="Q1739" s="21"/>
      <c r="R1739" s="21"/>
      <c r="S1739" s="3"/>
      <c r="T1739" s="3"/>
      <c r="U1739" s="3"/>
      <c r="V1739" s="3"/>
      <c r="W1739" s="3"/>
      <c r="X1739" s="3"/>
      <c r="Y1739" s="3"/>
      <c r="Z1739" s="53"/>
      <c r="AA1739" s="3"/>
      <c r="AB1739" s="59"/>
      <c r="AC1739" s="3"/>
      <c r="AD1739" s="53"/>
      <c r="AE1739" s="59"/>
    </row>
    <row r="1740" spans="1:31" customFormat="1" ht="15" x14ac:dyDescent="0.35">
      <c r="A1740" s="19"/>
      <c r="B1740" s="49"/>
      <c r="C1740" s="39"/>
      <c r="D1740" s="1"/>
      <c r="E1740" s="153"/>
      <c r="F1740" s="10"/>
      <c r="G1740" s="20"/>
      <c r="H1740" s="21"/>
      <c r="I1740" s="21"/>
      <c r="J1740" s="21"/>
      <c r="K1740" s="21"/>
      <c r="L1740" s="21"/>
      <c r="M1740" s="21"/>
      <c r="N1740" s="22"/>
      <c r="O1740" s="21"/>
      <c r="P1740" s="24"/>
      <c r="Q1740" s="21"/>
      <c r="R1740" s="21"/>
      <c r="S1740" s="21"/>
      <c r="T1740" s="21"/>
      <c r="U1740" s="21"/>
      <c r="V1740" s="22"/>
      <c r="W1740" s="21"/>
      <c r="X1740" s="22"/>
      <c r="Y1740" s="21"/>
      <c r="Z1740" s="20"/>
      <c r="AA1740" s="21"/>
      <c r="AB1740" s="25"/>
      <c r="AC1740" s="26"/>
      <c r="AD1740" s="27"/>
      <c r="AE1740" s="28"/>
    </row>
    <row r="1741" spans="1:31" customFormat="1" ht="15" x14ac:dyDescent="0.35">
      <c r="A1741" s="19"/>
      <c r="B1741" s="49"/>
      <c r="C1741" s="14"/>
      <c r="D1741" s="1"/>
      <c r="E1741" s="153"/>
      <c r="F1741" s="10"/>
      <c r="G1741" s="20"/>
      <c r="H1741" s="21"/>
      <c r="I1741" s="21"/>
      <c r="J1741" s="21"/>
      <c r="K1741" s="21"/>
      <c r="L1741" s="21"/>
      <c r="M1741" s="21"/>
      <c r="N1741" s="22"/>
      <c r="O1741" s="21"/>
      <c r="P1741" s="24"/>
      <c r="Q1741" s="21"/>
      <c r="R1741" s="21"/>
      <c r="S1741" s="21"/>
      <c r="T1741" s="21"/>
      <c r="U1741" s="21"/>
      <c r="V1741" s="22"/>
      <c r="W1741" s="21"/>
      <c r="X1741" s="22"/>
      <c r="Y1741" s="21"/>
      <c r="Z1741" s="20"/>
      <c r="AA1741" s="21"/>
      <c r="AB1741" s="25"/>
      <c r="AC1741" s="26"/>
      <c r="AD1741" s="27"/>
      <c r="AE1741" s="28"/>
    </row>
    <row r="1742" spans="1:31" customFormat="1" ht="15" x14ac:dyDescent="0.35">
      <c r="A1742" s="50"/>
      <c r="B1742" s="63"/>
      <c r="C1742" s="39"/>
      <c r="D1742" s="6"/>
      <c r="E1742" s="153"/>
      <c r="F1742" s="10"/>
      <c r="G1742" s="53"/>
      <c r="H1742" s="3"/>
      <c r="I1742" s="3"/>
      <c r="J1742" s="3"/>
      <c r="K1742" s="3"/>
      <c r="L1742" s="3"/>
      <c r="M1742" s="3"/>
      <c r="N1742" s="3"/>
      <c r="O1742" s="3"/>
      <c r="P1742" s="59"/>
      <c r="Q1742" s="21"/>
      <c r="R1742" s="21"/>
      <c r="S1742" s="3"/>
      <c r="T1742" s="3"/>
      <c r="U1742" s="3"/>
      <c r="V1742" s="3"/>
      <c r="W1742" s="3"/>
      <c r="X1742" s="3"/>
      <c r="Y1742" s="3"/>
      <c r="Z1742" s="53"/>
      <c r="AA1742" s="3"/>
      <c r="AB1742" s="59"/>
      <c r="AC1742" s="3"/>
      <c r="AD1742" s="53"/>
      <c r="AE1742" s="59"/>
    </row>
    <row r="1743" spans="1:31" customFormat="1" ht="15" x14ac:dyDescent="0.35">
      <c r="A1743" s="19"/>
      <c r="B1743" s="49"/>
      <c r="C1743" s="14"/>
      <c r="D1743" s="1"/>
      <c r="E1743" s="153"/>
      <c r="F1743" s="10"/>
      <c r="G1743" s="20"/>
      <c r="H1743" s="21"/>
      <c r="I1743" s="21"/>
      <c r="J1743" s="21"/>
      <c r="K1743" s="21"/>
      <c r="L1743" s="21"/>
      <c r="M1743" s="21"/>
      <c r="N1743" s="22"/>
      <c r="O1743" s="21"/>
      <c r="P1743" s="24"/>
      <c r="Q1743" s="21"/>
      <c r="R1743" s="21"/>
      <c r="S1743" s="21"/>
      <c r="T1743" s="21"/>
      <c r="U1743" s="21"/>
      <c r="V1743" s="22"/>
      <c r="W1743" s="21"/>
      <c r="X1743" s="22"/>
      <c r="Y1743" s="21"/>
      <c r="Z1743" s="20"/>
      <c r="AA1743" s="21"/>
      <c r="AB1743" s="25"/>
      <c r="AC1743" s="26"/>
      <c r="AD1743" s="27"/>
      <c r="AE1743" s="28"/>
    </row>
    <row r="1744" spans="1:31" customFormat="1" ht="15" x14ac:dyDescent="0.35">
      <c r="A1744" s="19"/>
      <c r="B1744" s="49"/>
      <c r="C1744" s="14"/>
      <c r="D1744" s="1"/>
      <c r="E1744" s="153"/>
      <c r="F1744" s="10"/>
      <c r="G1744" s="20"/>
      <c r="H1744" s="21"/>
      <c r="I1744" s="21"/>
      <c r="J1744" s="21"/>
      <c r="K1744" s="21"/>
      <c r="L1744" s="21"/>
      <c r="M1744" s="21"/>
      <c r="N1744" s="22"/>
      <c r="O1744" s="21"/>
      <c r="P1744" s="24"/>
      <c r="Q1744" s="21"/>
      <c r="R1744" s="21"/>
      <c r="S1744" s="21"/>
      <c r="T1744" s="21"/>
      <c r="U1744" s="21"/>
      <c r="V1744" s="22"/>
      <c r="W1744" s="21"/>
      <c r="X1744" s="22"/>
      <c r="Y1744" s="21"/>
      <c r="Z1744" s="20"/>
      <c r="AA1744" s="21"/>
      <c r="AB1744" s="25"/>
      <c r="AC1744" s="26"/>
      <c r="AD1744" s="27"/>
      <c r="AE1744" s="28"/>
    </row>
    <row r="1745" spans="1:31" customFormat="1" ht="15" x14ac:dyDescent="0.35">
      <c r="A1745" s="19"/>
      <c r="B1745" s="49"/>
      <c r="C1745" s="14"/>
      <c r="D1745" s="6"/>
      <c r="E1745" s="153"/>
      <c r="F1745" s="10"/>
      <c r="G1745" s="20"/>
      <c r="H1745" s="21"/>
      <c r="I1745" s="21"/>
      <c r="J1745" s="21"/>
      <c r="K1745" s="21"/>
      <c r="L1745" s="21"/>
      <c r="M1745" s="21"/>
      <c r="N1745" s="22"/>
      <c r="O1745" s="21"/>
      <c r="P1745" s="24"/>
      <c r="Q1745" s="21"/>
      <c r="R1745" s="21"/>
      <c r="S1745" s="21"/>
      <c r="T1745" s="21"/>
      <c r="U1745" s="21"/>
      <c r="V1745" s="22"/>
      <c r="W1745" s="21"/>
      <c r="X1745" s="22"/>
      <c r="Y1745" s="21"/>
      <c r="Z1745" s="20"/>
      <c r="AA1745" s="21"/>
      <c r="AB1745" s="25"/>
      <c r="AC1745" s="26"/>
      <c r="AD1745" s="27"/>
      <c r="AE1745" s="28"/>
    </row>
    <row r="1746" spans="1:31" customFormat="1" ht="15" x14ac:dyDescent="0.35">
      <c r="A1746" s="19"/>
      <c r="B1746" s="49"/>
      <c r="C1746" s="39"/>
      <c r="D1746" s="1"/>
      <c r="E1746" s="153"/>
      <c r="F1746" s="10"/>
      <c r="G1746" s="20"/>
      <c r="H1746" s="21"/>
      <c r="I1746" s="21"/>
      <c r="J1746" s="21"/>
      <c r="K1746" s="21"/>
      <c r="L1746" s="21"/>
      <c r="M1746" s="21"/>
      <c r="N1746" s="22"/>
      <c r="O1746" s="21"/>
      <c r="P1746" s="24"/>
      <c r="Q1746" s="21"/>
      <c r="R1746" s="21"/>
      <c r="S1746" s="21"/>
      <c r="T1746" s="21"/>
      <c r="U1746" s="21"/>
      <c r="V1746" s="22"/>
      <c r="W1746" s="21"/>
      <c r="X1746" s="22"/>
      <c r="Y1746" s="21"/>
      <c r="Z1746" s="20"/>
      <c r="AA1746" s="21"/>
      <c r="AB1746" s="25"/>
      <c r="AC1746" s="26"/>
      <c r="AD1746" s="27"/>
      <c r="AE1746" s="28"/>
    </row>
    <row r="1747" spans="1:31" customFormat="1" ht="15" x14ac:dyDescent="0.35">
      <c r="A1747" s="50"/>
      <c r="B1747" s="63"/>
      <c r="C1747" s="39"/>
      <c r="D1747" s="6"/>
      <c r="E1747" s="153"/>
      <c r="F1747" s="10"/>
      <c r="G1747" s="53"/>
      <c r="H1747" s="3"/>
      <c r="I1747" s="3"/>
      <c r="J1747" s="3"/>
      <c r="K1747" s="3"/>
      <c r="L1747" s="3"/>
      <c r="M1747" s="3"/>
      <c r="N1747" s="3"/>
      <c r="O1747" s="3"/>
      <c r="P1747" s="59"/>
      <c r="Q1747" s="21"/>
      <c r="R1747" s="21"/>
      <c r="S1747" s="3"/>
      <c r="T1747" s="3"/>
      <c r="U1747" s="3"/>
      <c r="V1747" s="3"/>
      <c r="W1747" s="3"/>
      <c r="X1747" s="3"/>
      <c r="Y1747" s="3"/>
      <c r="Z1747" s="53"/>
      <c r="AA1747" s="3"/>
      <c r="AB1747" s="59"/>
      <c r="AC1747" s="3"/>
      <c r="AD1747" s="53"/>
      <c r="AE1747" s="59"/>
    </row>
    <row r="1748" spans="1:31" customFormat="1" ht="15" x14ac:dyDescent="0.35">
      <c r="A1748" s="50"/>
      <c r="B1748" s="63"/>
      <c r="C1748" s="39"/>
      <c r="D1748" s="6"/>
      <c r="E1748" s="153"/>
      <c r="F1748" s="10"/>
      <c r="G1748" s="53"/>
      <c r="H1748" s="3"/>
      <c r="I1748" s="3"/>
      <c r="J1748" s="3"/>
      <c r="K1748" s="3"/>
      <c r="L1748" s="3"/>
      <c r="M1748" s="3"/>
      <c r="N1748" s="3"/>
      <c r="O1748" s="3"/>
      <c r="P1748" s="59"/>
      <c r="Q1748" s="3"/>
      <c r="R1748" s="3"/>
      <c r="S1748" s="3"/>
      <c r="T1748" s="3"/>
      <c r="U1748" s="3"/>
      <c r="V1748" s="3"/>
      <c r="W1748" s="3"/>
      <c r="X1748" s="3"/>
      <c r="Y1748" s="3"/>
      <c r="Z1748" s="53"/>
      <c r="AA1748" s="3"/>
      <c r="AB1748" s="59"/>
      <c r="AC1748" s="3"/>
      <c r="AD1748" s="53"/>
      <c r="AE1748" s="59"/>
    </row>
    <row r="1749" spans="1:31" customFormat="1" ht="15" x14ac:dyDescent="0.35">
      <c r="A1749" s="19"/>
      <c r="B1749" s="49"/>
      <c r="C1749" s="39"/>
      <c r="D1749" s="1"/>
      <c r="E1749" s="153"/>
      <c r="F1749" s="10"/>
      <c r="G1749" s="20"/>
      <c r="H1749" s="21"/>
      <c r="I1749" s="21"/>
      <c r="J1749" s="21"/>
      <c r="K1749" s="21"/>
      <c r="L1749" s="21"/>
      <c r="M1749" s="21"/>
      <c r="N1749" s="22"/>
      <c r="O1749" s="21"/>
      <c r="P1749" s="24"/>
      <c r="Q1749" s="21"/>
      <c r="R1749" s="21"/>
      <c r="S1749" s="21"/>
      <c r="T1749" s="21"/>
      <c r="U1749" s="21"/>
      <c r="V1749" s="22"/>
      <c r="W1749" s="21"/>
      <c r="X1749" s="22"/>
      <c r="Y1749" s="21"/>
      <c r="Z1749" s="20"/>
      <c r="AA1749" s="21"/>
      <c r="AB1749" s="25"/>
      <c r="AC1749" s="26"/>
      <c r="AD1749" s="27"/>
      <c r="AE1749" s="28"/>
    </row>
    <row r="1750" spans="1:31" customFormat="1" ht="15" x14ac:dyDescent="0.35">
      <c r="A1750" s="50"/>
      <c r="B1750" s="63"/>
      <c r="C1750" s="39"/>
      <c r="D1750" s="6"/>
      <c r="E1750" s="153"/>
      <c r="F1750" s="10"/>
      <c r="G1750" s="54"/>
      <c r="H1750" s="3"/>
      <c r="I1750" s="2"/>
      <c r="J1750" s="2"/>
      <c r="K1750" s="3"/>
      <c r="L1750" s="3"/>
      <c r="M1750" s="3"/>
      <c r="N1750" s="3"/>
      <c r="O1750" s="3"/>
      <c r="P1750" s="59"/>
      <c r="Q1750" s="3"/>
      <c r="R1750" s="3"/>
      <c r="S1750" s="3"/>
      <c r="T1750" s="3"/>
      <c r="U1750" s="3"/>
      <c r="V1750" s="3"/>
      <c r="W1750" s="3"/>
      <c r="X1750" s="3"/>
      <c r="Y1750" s="3"/>
      <c r="Z1750" s="53"/>
      <c r="AA1750" s="3"/>
      <c r="AB1750" s="59"/>
      <c r="AC1750" s="3"/>
      <c r="AD1750" s="53"/>
      <c r="AE1750" s="59"/>
    </row>
    <row r="1751" spans="1:31" customFormat="1" ht="15" x14ac:dyDescent="0.35">
      <c r="A1751" s="50"/>
      <c r="B1751" s="63"/>
      <c r="C1751" s="39"/>
      <c r="D1751" s="6"/>
      <c r="E1751" s="153"/>
      <c r="F1751" s="10"/>
      <c r="G1751" s="53"/>
      <c r="H1751" s="3"/>
      <c r="I1751" s="3"/>
      <c r="J1751" s="3"/>
      <c r="K1751" s="3"/>
      <c r="L1751" s="3"/>
      <c r="M1751" s="3"/>
      <c r="N1751" s="3"/>
      <c r="O1751" s="3"/>
      <c r="P1751" s="59"/>
      <c r="Q1751" s="21"/>
      <c r="R1751" s="21"/>
      <c r="S1751" s="3"/>
      <c r="T1751" s="3"/>
      <c r="U1751" s="3"/>
      <c r="V1751" s="3"/>
      <c r="W1751" s="3"/>
      <c r="X1751" s="3"/>
      <c r="Y1751" s="3"/>
      <c r="Z1751" s="53"/>
      <c r="AA1751" s="3"/>
      <c r="AB1751" s="59"/>
      <c r="AC1751" s="3"/>
      <c r="AD1751" s="53"/>
      <c r="AE1751" s="59"/>
    </row>
    <row r="1752" spans="1:31" customFormat="1" ht="15" x14ac:dyDescent="0.35">
      <c r="A1752" s="50"/>
      <c r="B1752" s="63"/>
      <c r="C1752" s="39"/>
      <c r="D1752" s="6"/>
      <c r="E1752" s="153"/>
      <c r="F1752" s="10"/>
      <c r="G1752" s="54"/>
      <c r="H1752" s="3"/>
      <c r="I1752" s="2"/>
      <c r="J1752" s="2"/>
      <c r="K1752" s="3"/>
      <c r="L1752" s="3"/>
      <c r="M1752" s="3"/>
      <c r="N1752" s="3"/>
      <c r="O1752" s="3"/>
      <c r="P1752" s="59"/>
      <c r="Q1752" s="3"/>
      <c r="R1752" s="3"/>
      <c r="S1752" s="3"/>
      <c r="T1752" s="3"/>
      <c r="U1752" s="3"/>
      <c r="V1752" s="3"/>
      <c r="W1752" s="3"/>
      <c r="X1752" s="3"/>
      <c r="Y1752" s="3"/>
      <c r="Z1752" s="53"/>
      <c r="AA1752" s="3"/>
      <c r="AB1752" s="59"/>
      <c r="AC1752" s="3"/>
      <c r="AD1752" s="53"/>
      <c r="AE1752" s="65"/>
    </row>
    <row r="1753" spans="1:31" customFormat="1" ht="15" x14ac:dyDescent="0.35">
      <c r="A1753" s="50"/>
      <c r="B1753" s="63"/>
      <c r="C1753" s="39"/>
      <c r="D1753" s="6"/>
      <c r="E1753" s="153"/>
      <c r="F1753" s="10"/>
      <c r="G1753" s="54"/>
      <c r="H1753" s="3"/>
      <c r="I1753" s="2"/>
      <c r="J1753" s="2"/>
      <c r="K1753" s="3"/>
      <c r="L1753" s="3"/>
      <c r="M1753" s="3"/>
      <c r="N1753" s="3"/>
      <c r="O1753" s="3"/>
      <c r="P1753" s="59"/>
      <c r="Q1753" s="3"/>
      <c r="R1753" s="3"/>
      <c r="S1753" s="3"/>
      <c r="T1753" s="3"/>
      <c r="U1753" s="3"/>
      <c r="V1753" s="3"/>
      <c r="W1753" s="3"/>
      <c r="X1753" s="3"/>
      <c r="Y1753" s="3"/>
      <c r="Z1753" s="53"/>
      <c r="AA1753" s="3"/>
      <c r="AB1753" s="59"/>
      <c r="AC1753" s="3"/>
      <c r="AD1753" s="53"/>
      <c r="AE1753" s="59"/>
    </row>
    <row r="1754" spans="1:31" customFormat="1" ht="15" x14ac:dyDescent="0.35">
      <c r="A1754" s="19"/>
      <c r="B1754" s="49"/>
      <c r="C1754" s="39"/>
      <c r="D1754" s="1"/>
      <c r="E1754" s="153"/>
      <c r="F1754" s="10"/>
      <c r="G1754" s="20"/>
      <c r="H1754" s="21"/>
      <c r="I1754" s="21"/>
      <c r="J1754" s="21"/>
      <c r="K1754" s="21"/>
      <c r="L1754" s="21"/>
      <c r="M1754" s="21"/>
      <c r="N1754" s="22"/>
      <c r="O1754" s="21"/>
      <c r="P1754" s="24"/>
      <c r="Q1754" s="21"/>
      <c r="R1754" s="21"/>
      <c r="S1754" s="21"/>
      <c r="T1754" s="21"/>
      <c r="U1754" s="21"/>
      <c r="V1754" s="22"/>
      <c r="W1754" s="21"/>
      <c r="X1754" s="22"/>
      <c r="Y1754" s="21"/>
      <c r="Z1754" s="20"/>
      <c r="AA1754" s="21"/>
      <c r="AB1754" s="25"/>
      <c r="AC1754" s="26"/>
      <c r="AD1754" s="27"/>
      <c r="AE1754" s="28"/>
    </row>
    <row r="1755" spans="1:31" customFormat="1" ht="15" x14ac:dyDescent="0.35">
      <c r="A1755" s="50"/>
      <c r="B1755" s="63"/>
      <c r="C1755" s="39"/>
      <c r="D1755" s="6"/>
      <c r="E1755" s="153"/>
      <c r="F1755" s="10"/>
      <c r="G1755" s="54"/>
      <c r="H1755" s="3"/>
      <c r="I1755" s="2"/>
      <c r="J1755" s="2"/>
      <c r="K1755" s="3"/>
      <c r="L1755" s="3"/>
      <c r="M1755" s="3"/>
      <c r="N1755" s="3"/>
      <c r="O1755" s="3"/>
      <c r="P1755" s="59"/>
      <c r="Q1755" s="3"/>
      <c r="R1755" s="3"/>
      <c r="S1755" s="3"/>
      <c r="T1755" s="3"/>
      <c r="U1755" s="3"/>
      <c r="V1755" s="3"/>
      <c r="W1755" s="3"/>
      <c r="X1755" s="3"/>
      <c r="Y1755" s="3"/>
      <c r="Z1755" s="53"/>
      <c r="AA1755" s="3"/>
      <c r="AB1755" s="59"/>
      <c r="AC1755" s="3"/>
      <c r="AD1755" s="53"/>
      <c r="AE1755" s="59"/>
    </row>
    <row r="1756" spans="1:31" customFormat="1" ht="15" x14ac:dyDescent="0.35">
      <c r="A1756" s="50"/>
      <c r="B1756" s="63"/>
      <c r="C1756" s="39"/>
      <c r="D1756" s="6"/>
      <c r="E1756" s="153"/>
      <c r="F1756" s="10"/>
      <c r="G1756" s="54"/>
      <c r="H1756" s="3"/>
      <c r="I1756" s="2"/>
      <c r="J1756" s="2"/>
      <c r="K1756" s="3"/>
      <c r="L1756" s="3"/>
      <c r="M1756" s="3"/>
      <c r="N1756" s="3"/>
      <c r="O1756" s="3"/>
      <c r="P1756" s="59"/>
      <c r="Q1756" s="21"/>
      <c r="R1756" s="21"/>
      <c r="S1756" s="3"/>
      <c r="T1756" s="3"/>
      <c r="U1756" s="3"/>
      <c r="V1756" s="3"/>
      <c r="W1756" s="3"/>
      <c r="X1756" s="3"/>
      <c r="Y1756" s="3"/>
      <c r="Z1756" s="53"/>
      <c r="AA1756" s="3"/>
      <c r="AB1756" s="59"/>
      <c r="AC1756" s="3"/>
      <c r="AD1756" s="53"/>
      <c r="AE1756" s="59"/>
    </row>
    <row r="1757" spans="1:31" customFormat="1" ht="15" x14ac:dyDescent="0.35">
      <c r="A1757" s="50"/>
      <c r="B1757" s="63"/>
      <c r="C1757" s="39"/>
      <c r="D1757" s="6"/>
      <c r="E1757" s="153"/>
      <c r="F1757" s="10"/>
      <c r="G1757" s="54"/>
      <c r="H1757" s="3"/>
      <c r="I1757" s="2"/>
      <c r="J1757" s="2"/>
      <c r="K1757" s="3"/>
      <c r="L1757" s="3"/>
      <c r="M1757" s="3"/>
      <c r="N1757" s="3"/>
      <c r="O1757" s="3"/>
      <c r="P1757" s="59"/>
      <c r="Q1757" s="3"/>
      <c r="R1757" s="3"/>
      <c r="S1757" s="3"/>
      <c r="T1757" s="3"/>
      <c r="U1757" s="3"/>
      <c r="V1757" s="3"/>
      <c r="W1757" s="3"/>
      <c r="X1757" s="3"/>
      <c r="Y1757" s="3"/>
      <c r="Z1757" s="53"/>
      <c r="AA1757" s="3"/>
      <c r="AB1757" s="59"/>
      <c r="AC1757" s="3"/>
      <c r="AD1757" s="53"/>
      <c r="AE1757" s="59"/>
    </row>
    <row r="1758" spans="1:31" customFormat="1" ht="15" x14ac:dyDescent="0.35">
      <c r="A1758" s="19"/>
      <c r="B1758" s="49"/>
      <c r="C1758" s="14"/>
      <c r="D1758" s="1"/>
      <c r="E1758" s="153"/>
      <c r="F1758" s="10"/>
      <c r="G1758" s="20"/>
      <c r="H1758" s="21"/>
      <c r="I1758" s="21"/>
      <c r="J1758" s="21"/>
      <c r="K1758" s="21"/>
      <c r="L1758" s="21"/>
      <c r="M1758" s="21"/>
      <c r="N1758" s="22"/>
      <c r="O1758" s="21"/>
      <c r="P1758" s="24"/>
      <c r="Q1758" s="21"/>
      <c r="R1758" s="21"/>
      <c r="S1758" s="21"/>
      <c r="T1758" s="21"/>
      <c r="U1758" s="21"/>
      <c r="V1758" s="22"/>
      <c r="W1758" s="21"/>
      <c r="X1758" s="22"/>
      <c r="Y1758" s="21"/>
      <c r="Z1758" s="20"/>
      <c r="AA1758" s="21"/>
      <c r="AB1758" s="25"/>
      <c r="AC1758" s="26"/>
      <c r="AD1758" s="27"/>
      <c r="AE1758" s="28"/>
    </row>
    <row r="1759" spans="1:31" customFormat="1" ht="15" x14ac:dyDescent="0.35">
      <c r="A1759" s="50"/>
      <c r="B1759" s="63"/>
      <c r="C1759" s="39"/>
      <c r="D1759" s="6"/>
      <c r="E1759" s="153"/>
      <c r="F1759" s="10"/>
      <c r="G1759" s="53"/>
      <c r="H1759" s="3"/>
      <c r="I1759" s="3"/>
      <c r="J1759" s="3"/>
      <c r="K1759" s="3"/>
      <c r="L1759" s="3"/>
      <c r="M1759" s="3"/>
      <c r="N1759" s="3"/>
      <c r="O1759" s="3"/>
      <c r="P1759" s="59"/>
      <c r="Q1759" s="21"/>
      <c r="R1759" s="21"/>
      <c r="S1759" s="3"/>
      <c r="T1759" s="3"/>
      <c r="U1759" s="3"/>
      <c r="V1759" s="3"/>
      <c r="W1759" s="3"/>
      <c r="X1759" s="3"/>
      <c r="Y1759" s="3"/>
      <c r="Z1759" s="53"/>
      <c r="AA1759" s="3"/>
      <c r="AB1759" s="59"/>
      <c r="AC1759" s="3"/>
      <c r="AD1759" s="53"/>
      <c r="AE1759" s="59"/>
    </row>
    <row r="1760" spans="1:31" customFormat="1" ht="15" x14ac:dyDescent="0.35">
      <c r="A1760" s="50"/>
      <c r="B1760" s="63"/>
      <c r="C1760" s="39"/>
      <c r="D1760" s="6"/>
      <c r="E1760" s="153"/>
      <c r="F1760" s="10"/>
      <c r="G1760" s="53"/>
      <c r="H1760" s="3"/>
      <c r="I1760" s="3"/>
      <c r="J1760" s="3"/>
      <c r="K1760" s="3"/>
      <c r="L1760" s="3"/>
      <c r="M1760" s="3"/>
      <c r="N1760" s="3"/>
      <c r="O1760" s="3"/>
      <c r="P1760" s="59"/>
      <c r="Q1760" s="21"/>
      <c r="R1760" s="21"/>
      <c r="S1760" s="3"/>
      <c r="T1760" s="3"/>
      <c r="U1760" s="3"/>
      <c r="V1760" s="3"/>
      <c r="W1760" s="3"/>
      <c r="X1760" s="3"/>
      <c r="Y1760" s="3"/>
      <c r="Z1760" s="53"/>
      <c r="AA1760" s="3"/>
      <c r="AB1760" s="59"/>
      <c r="AC1760" s="3"/>
      <c r="AD1760" s="53"/>
      <c r="AE1760" s="59"/>
    </row>
    <row r="1761" spans="1:31" customFormat="1" ht="15" x14ac:dyDescent="0.35">
      <c r="A1761" s="50"/>
      <c r="B1761" s="63"/>
      <c r="C1761" s="39"/>
      <c r="D1761" s="6"/>
      <c r="E1761" s="153"/>
      <c r="F1761" s="10"/>
      <c r="G1761" s="54"/>
      <c r="H1761" s="3"/>
      <c r="I1761" s="2"/>
      <c r="J1761" s="2"/>
      <c r="K1761" s="3"/>
      <c r="L1761" s="3"/>
      <c r="M1761" s="3"/>
      <c r="N1761" s="3"/>
      <c r="O1761" s="3"/>
      <c r="P1761" s="59"/>
      <c r="Q1761" s="3"/>
      <c r="R1761" s="3"/>
      <c r="S1761" s="3"/>
      <c r="T1761" s="3"/>
      <c r="U1761" s="3"/>
      <c r="V1761" s="3"/>
      <c r="W1761" s="3"/>
      <c r="X1761" s="3"/>
      <c r="Y1761" s="3"/>
      <c r="Z1761" s="53"/>
      <c r="AA1761" s="3"/>
      <c r="AB1761" s="59"/>
      <c r="AC1761" s="3"/>
      <c r="AD1761" s="53"/>
      <c r="AE1761" s="59"/>
    </row>
    <row r="1762" spans="1:31" customFormat="1" ht="15" x14ac:dyDescent="0.35">
      <c r="A1762" s="50"/>
      <c r="B1762" s="63"/>
      <c r="C1762" s="39"/>
      <c r="D1762" s="6"/>
      <c r="E1762" s="153"/>
      <c r="F1762" s="10"/>
      <c r="G1762" s="54"/>
      <c r="H1762" s="3"/>
      <c r="I1762" s="2"/>
      <c r="J1762" s="2"/>
      <c r="K1762" s="3"/>
      <c r="L1762" s="3"/>
      <c r="M1762" s="3"/>
      <c r="N1762" s="3"/>
      <c r="O1762" s="3"/>
      <c r="P1762" s="59"/>
      <c r="Q1762" s="3"/>
      <c r="R1762" s="3"/>
      <c r="S1762" s="3"/>
      <c r="T1762" s="3"/>
      <c r="U1762" s="3"/>
      <c r="V1762" s="3"/>
      <c r="W1762" s="3"/>
      <c r="X1762" s="3"/>
      <c r="Y1762" s="3"/>
      <c r="Z1762" s="53"/>
      <c r="AA1762" s="3"/>
      <c r="AB1762" s="59"/>
      <c r="AC1762" s="3"/>
      <c r="AD1762" s="53"/>
      <c r="AE1762" s="59"/>
    </row>
    <row r="1763" spans="1:31" customFormat="1" ht="15" x14ac:dyDescent="0.35">
      <c r="A1763" s="50"/>
      <c r="B1763" s="63"/>
      <c r="C1763" s="39"/>
      <c r="D1763" s="6"/>
      <c r="E1763" s="153"/>
      <c r="F1763" s="10"/>
      <c r="G1763" s="53"/>
      <c r="H1763" s="3"/>
      <c r="I1763" s="3"/>
      <c r="J1763" s="3"/>
      <c r="K1763" s="3"/>
      <c r="L1763" s="3"/>
      <c r="M1763" s="3"/>
      <c r="N1763" s="3"/>
      <c r="O1763" s="3"/>
      <c r="P1763" s="59"/>
      <c r="Q1763" s="21"/>
      <c r="R1763" s="21"/>
      <c r="S1763" s="3"/>
      <c r="T1763" s="3"/>
      <c r="U1763" s="3"/>
      <c r="V1763" s="3"/>
      <c r="W1763" s="3"/>
      <c r="X1763" s="3"/>
      <c r="Y1763" s="3"/>
      <c r="Z1763" s="53"/>
      <c r="AA1763" s="3"/>
      <c r="AB1763" s="59"/>
      <c r="AC1763" s="3"/>
      <c r="AD1763" s="53"/>
      <c r="AE1763" s="59"/>
    </row>
    <row r="1764" spans="1:31" customFormat="1" ht="15" x14ac:dyDescent="0.35">
      <c r="A1764" s="19"/>
      <c r="B1764" s="49"/>
      <c r="C1764" s="39"/>
      <c r="D1764" s="1"/>
      <c r="E1764" s="153"/>
      <c r="F1764" s="10"/>
      <c r="G1764" s="20"/>
      <c r="H1764" s="21"/>
      <c r="I1764" s="21"/>
      <c r="J1764" s="21"/>
      <c r="K1764" s="21"/>
      <c r="L1764" s="21"/>
      <c r="M1764" s="21"/>
      <c r="N1764" s="22"/>
      <c r="O1764" s="21"/>
      <c r="P1764" s="24"/>
      <c r="Q1764" s="21"/>
      <c r="R1764" s="21"/>
      <c r="S1764" s="21"/>
      <c r="T1764" s="21"/>
      <c r="U1764" s="21"/>
      <c r="V1764" s="22"/>
      <c r="W1764" s="21"/>
      <c r="X1764" s="22"/>
      <c r="Y1764" s="21"/>
      <c r="Z1764" s="20"/>
      <c r="AA1764" s="21"/>
      <c r="AB1764" s="25"/>
      <c r="AC1764" s="26"/>
      <c r="AD1764" s="27"/>
      <c r="AE1764" s="28"/>
    </row>
    <row r="1765" spans="1:31" customFormat="1" ht="15" x14ac:dyDescent="0.35">
      <c r="A1765" s="50"/>
      <c r="B1765" s="63"/>
      <c r="C1765" s="39"/>
      <c r="D1765" s="6"/>
      <c r="E1765" s="153"/>
      <c r="F1765" s="10"/>
      <c r="G1765" s="53"/>
      <c r="H1765" s="3"/>
      <c r="I1765" s="3"/>
      <c r="J1765" s="3"/>
      <c r="K1765" s="3"/>
      <c r="L1765" s="3"/>
      <c r="M1765" s="3"/>
      <c r="N1765" s="3"/>
      <c r="O1765" s="3"/>
      <c r="P1765" s="59"/>
      <c r="Q1765" s="21"/>
      <c r="R1765" s="21"/>
      <c r="S1765" s="3"/>
      <c r="T1765" s="3"/>
      <c r="U1765" s="3"/>
      <c r="V1765" s="3"/>
      <c r="W1765" s="3"/>
      <c r="X1765" s="3"/>
      <c r="Y1765" s="3"/>
      <c r="Z1765" s="53"/>
      <c r="AA1765" s="3"/>
      <c r="AB1765" s="59"/>
      <c r="AC1765" s="3"/>
      <c r="AD1765" s="53"/>
      <c r="AE1765" s="59"/>
    </row>
    <row r="1766" spans="1:31" customFormat="1" ht="15" x14ac:dyDescent="0.35">
      <c r="A1766" s="50"/>
      <c r="B1766" s="63"/>
      <c r="C1766" s="39"/>
      <c r="D1766" s="6"/>
      <c r="E1766" s="153"/>
      <c r="F1766" s="10"/>
      <c r="G1766" s="53"/>
      <c r="H1766" s="3"/>
      <c r="I1766" s="3"/>
      <c r="J1766" s="3"/>
      <c r="K1766" s="3"/>
      <c r="L1766" s="3"/>
      <c r="M1766" s="3"/>
      <c r="N1766" s="3"/>
      <c r="O1766" s="3"/>
      <c r="P1766" s="59"/>
      <c r="Q1766" s="21"/>
      <c r="R1766" s="21"/>
      <c r="S1766" s="3"/>
      <c r="T1766" s="3"/>
      <c r="U1766" s="3"/>
      <c r="V1766" s="3"/>
      <c r="W1766" s="3"/>
      <c r="X1766" s="3"/>
      <c r="Y1766" s="3"/>
      <c r="Z1766" s="53"/>
      <c r="AA1766" s="3"/>
      <c r="AB1766" s="59"/>
      <c r="AC1766" s="3"/>
      <c r="AD1766" s="53"/>
      <c r="AE1766" s="59"/>
    </row>
    <row r="1767" spans="1:31" customFormat="1" ht="15" x14ac:dyDescent="0.35">
      <c r="A1767" s="50"/>
      <c r="B1767" s="63"/>
      <c r="C1767" s="39"/>
      <c r="D1767" s="6"/>
      <c r="E1767" s="153"/>
      <c r="F1767" s="10"/>
      <c r="G1767" s="54"/>
      <c r="H1767" s="3"/>
      <c r="I1767" s="2"/>
      <c r="J1767" s="2"/>
      <c r="K1767" s="3"/>
      <c r="L1767" s="3"/>
      <c r="M1767" s="3"/>
      <c r="N1767" s="3"/>
      <c r="O1767" s="3"/>
      <c r="P1767" s="59"/>
      <c r="Q1767" s="3"/>
      <c r="R1767" s="3"/>
      <c r="S1767" s="3"/>
      <c r="T1767" s="3"/>
      <c r="U1767" s="3"/>
      <c r="V1767" s="3"/>
      <c r="W1767" s="3"/>
      <c r="X1767" s="3"/>
      <c r="Y1767" s="3"/>
      <c r="Z1767" s="53"/>
      <c r="AA1767" s="3"/>
      <c r="AB1767" s="59"/>
      <c r="AC1767" s="3"/>
      <c r="AD1767" s="53"/>
      <c r="AE1767" s="59"/>
    </row>
    <row r="1768" spans="1:31" customFormat="1" ht="15" x14ac:dyDescent="0.35">
      <c r="A1768" s="50"/>
      <c r="B1768" s="63"/>
      <c r="C1768" s="39"/>
      <c r="D1768" s="6"/>
      <c r="E1768" s="153"/>
      <c r="F1768" s="10"/>
      <c r="G1768" s="53"/>
      <c r="H1768" s="3"/>
      <c r="I1768" s="3"/>
      <c r="J1768" s="3"/>
      <c r="K1768" s="3"/>
      <c r="L1768" s="3"/>
      <c r="M1768" s="3"/>
      <c r="N1768" s="3"/>
      <c r="O1768" s="3"/>
      <c r="P1768" s="59"/>
      <c r="Q1768" s="3"/>
      <c r="R1768" s="3"/>
      <c r="S1768" s="3"/>
      <c r="T1768" s="3"/>
      <c r="U1768" s="3"/>
      <c r="V1768" s="3"/>
      <c r="W1768" s="3"/>
      <c r="X1768" s="3"/>
      <c r="Y1768" s="3"/>
      <c r="Z1768" s="53"/>
      <c r="AA1768" s="3"/>
      <c r="AB1768" s="59"/>
      <c r="AC1768" s="3"/>
      <c r="AD1768" s="53"/>
      <c r="AE1768" s="59"/>
    </row>
    <row r="1769" spans="1:31" customFormat="1" ht="15" x14ac:dyDescent="0.35">
      <c r="A1769" s="50"/>
      <c r="B1769" s="63"/>
      <c r="C1769" s="39"/>
      <c r="D1769" s="6"/>
      <c r="E1769" s="153"/>
      <c r="F1769" s="10"/>
      <c r="G1769" s="53"/>
      <c r="H1769" s="3"/>
      <c r="I1769" s="3"/>
      <c r="J1769" s="3"/>
      <c r="K1769" s="3"/>
      <c r="L1769" s="3"/>
      <c r="M1769" s="3"/>
      <c r="N1769" s="3"/>
      <c r="O1769" s="3"/>
      <c r="P1769" s="59"/>
      <c r="Q1769" s="21"/>
      <c r="R1769" s="21"/>
      <c r="S1769" s="3"/>
      <c r="T1769" s="3"/>
      <c r="U1769" s="3"/>
      <c r="V1769" s="3"/>
      <c r="W1769" s="3"/>
      <c r="X1769" s="3"/>
      <c r="Y1769" s="3"/>
      <c r="Z1769" s="53"/>
      <c r="AA1769" s="3"/>
      <c r="AB1769" s="59"/>
      <c r="AC1769" s="3"/>
      <c r="AD1769" s="53"/>
      <c r="AE1769" s="59"/>
    </row>
    <row r="1770" spans="1:31" customFormat="1" ht="15" x14ac:dyDescent="0.35">
      <c r="A1770" s="50"/>
      <c r="B1770" s="63"/>
      <c r="C1770" s="39"/>
      <c r="D1770" s="6"/>
      <c r="E1770" s="153"/>
      <c r="F1770" s="10"/>
      <c r="G1770" s="53"/>
      <c r="H1770" s="3"/>
      <c r="I1770" s="3"/>
      <c r="J1770" s="3"/>
      <c r="K1770" s="3"/>
      <c r="L1770" s="3"/>
      <c r="M1770" s="3"/>
      <c r="N1770" s="3"/>
      <c r="O1770" s="3"/>
      <c r="P1770" s="59"/>
      <c r="Q1770" s="21"/>
      <c r="R1770" s="21"/>
      <c r="S1770" s="3"/>
      <c r="T1770" s="3"/>
      <c r="U1770" s="3"/>
      <c r="V1770" s="3"/>
      <c r="W1770" s="3"/>
      <c r="X1770" s="3"/>
      <c r="Y1770" s="3"/>
      <c r="Z1770" s="53"/>
      <c r="AA1770" s="3"/>
      <c r="AB1770" s="59"/>
      <c r="AC1770" s="3"/>
      <c r="AD1770" s="53"/>
      <c r="AE1770" s="59"/>
    </row>
    <row r="1771" spans="1:31" customFormat="1" ht="15" x14ac:dyDescent="0.35">
      <c r="A1771" s="50"/>
      <c r="B1771" s="63"/>
      <c r="C1771" s="39"/>
      <c r="D1771" s="6"/>
      <c r="E1771" s="153"/>
      <c r="F1771" s="10"/>
      <c r="G1771" s="54"/>
      <c r="H1771" s="3"/>
      <c r="I1771" s="2"/>
      <c r="J1771" s="2"/>
      <c r="K1771" s="3"/>
      <c r="L1771" s="3"/>
      <c r="M1771" s="3"/>
      <c r="N1771" s="3"/>
      <c r="O1771" s="3"/>
      <c r="P1771" s="59"/>
      <c r="Q1771" s="3"/>
      <c r="R1771" s="3"/>
      <c r="S1771" s="3"/>
      <c r="T1771" s="3"/>
      <c r="U1771" s="3"/>
      <c r="V1771" s="3"/>
      <c r="W1771" s="3"/>
      <c r="X1771" s="3"/>
      <c r="Y1771" s="3"/>
      <c r="Z1771" s="53"/>
      <c r="AA1771" s="3"/>
      <c r="AB1771" s="59"/>
      <c r="AC1771" s="3"/>
      <c r="AD1771" s="53"/>
      <c r="AE1771" s="59"/>
    </row>
    <row r="1772" spans="1:31" customFormat="1" ht="15" x14ac:dyDescent="0.35">
      <c r="A1772" s="50"/>
      <c r="B1772" s="63"/>
      <c r="C1772" s="39"/>
      <c r="D1772" s="6"/>
      <c r="E1772" s="153"/>
      <c r="F1772" s="10"/>
      <c r="G1772" s="53"/>
      <c r="H1772" s="3"/>
      <c r="I1772" s="3"/>
      <c r="J1772" s="3"/>
      <c r="K1772" s="3"/>
      <c r="L1772" s="3"/>
      <c r="M1772" s="3"/>
      <c r="N1772" s="3"/>
      <c r="O1772" s="3"/>
      <c r="P1772" s="59"/>
      <c r="Q1772" s="21"/>
      <c r="R1772" s="21"/>
      <c r="S1772" s="3"/>
      <c r="T1772" s="3"/>
      <c r="U1772" s="3"/>
      <c r="V1772" s="3"/>
      <c r="W1772" s="3"/>
      <c r="X1772" s="3"/>
      <c r="Y1772" s="3"/>
      <c r="Z1772" s="53"/>
      <c r="AA1772" s="3"/>
      <c r="AB1772" s="59"/>
      <c r="AC1772" s="3"/>
      <c r="AD1772" s="53"/>
      <c r="AE1772" s="59"/>
    </row>
    <row r="1773" spans="1:31" customFormat="1" ht="15" x14ac:dyDescent="0.35">
      <c r="A1773" s="50"/>
      <c r="B1773" s="63"/>
      <c r="C1773" s="39"/>
      <c r="D1773" s="6"/>
      <c r="E1773" s="153"/>
      <c r="F1773" s="10"/>
      <c r="G1773" s="53"/>
      <c r="H1773" s="3"/>
      <c r="I1773" s="3"/>
      <c r="J1773" s="3"/>
      <c r="K1773" s="3"/>
      <c r="L1773" s="3"/>
      <c r="M1773" s="3"/>
      <c r="N1773" s="3"/>
      <c r="O1773" s="3"/>
      <c r="P1773" s="59"/>
      <c r="Q1773" s="21"/>
      <c r="R1773" s="21"/>
      <c r="S1773" s="3"/>
      <c r="T1773" s="3"/>
      <c r="U1773" s="3"/>
      <c r="V1773" s="3"/>
      <c r="W1773" s="3"/>
      <c r="X1773" s="3"/>
      <c r="Y1773" s="3"/>
      <c r="Z1773" s="53"/>
      <c r="AA1773" s="3"/>
      <c r="AB1773" s="59"/>
      <c r="AC1773" s="3"/>
      <c r="AD1773" s="53"/>
      <c r="AE1773" s="59"/>
    </row>
    <row r="1774" spans="1:31" customFormat="1" ht="15" x14ac:dyDescent="0.35">
      <c r="A1774" s="50"/>
      <c r="B1774" s="63"/>
      <c r="C1774" s="39"/>
      <c r="D1774" s="6"/>
      <c r="E1774" s="153"/>
      <c r="F1774" s="10"/>
      <c r="G1774" s="54"/>
      <c r="H1774" s="3"/>
      <c r="I1774" s="2"/>
      <c r="J1774" s="2"/>
      <c r="K1774" s="3"/>
      <c r="L1774" s="3"/>
      <c r="M1774" s="3"/>
      <c r="N1774" s="3"/>
      <c r="O1774" s="3"/>
      <c r="P1774" s="59"/>
      <c r="Q1774" s="3"/>
      <c r="R1774" s="3"/>
      <c r="S1774" s="3"/>
      <c r="T1774" s="3"/>
      <c r="U1774" s="3"/>
      <c r="V1774" s="3"/>
      <c r="W1774" s="3"/>
      <c r="X1774" s="3"/>
      <c r="Y1774" s="3"/>
      <c r="Z1774" s="53"/>
      <c r="AA1774" s="3"/>
      <c r="AB1774" s="59"/>
      <c r="AC1774" s="3"/>
      <c r="AD1774" s="53"/>
      <c r="AE1774" s="59"/>
    </row>
    <row r="1775" spans="1:31" customFormat="1" ht="15" x14ac:dyDescent="0.35">
      <c r="A1775" s="19"/>
      <c r="B1775" s="49"/>
      <c r="C1775" s="39"/>
      <c r="D1775" s="1"/>
      <c r="E1775" s="153"/>
      <c r="F1775" s="10"/>
      <c r="G1775" s="20"/>
      <c r="H1775" s="21"/>
      <c r="I1775" s="21"/>
      <c r="J1775" s="21"/>
      <c r="K1775" s="21"/>
      <c r="L1775" s="21"/>
      <c r="M1775" s="21"/>
      <c r="N1775" s="22"/>
      <c r="O1775" s="21"/>
      <c r="P1775" s="24"/>
      <c r="Q1775" s="21"/>
      <c r="R1775" s="21"/>
      <c r="S1775" s="21"/>
      <c r="T1775" s="21"/>
      <c r="U1775" s="21"/>
      <c r="V1775" s="22"/>
      <c r="W1775" s="21"/>
      <c r="X1775" s="22"/>
      <c r="Y1775" s="21"/>
      <c r="Z1775" s="20"/>
      <c r="AA1775" s="21"/>
      <c r="AB1775" s="25"/>
      <c r="AC1775" s="26"/>
      <c r="AD1775" s="27"/>
      <c r="AE1775" s="28"/>
    </row>
    <row r="1776" spans="1:31" customFormat="1" ht="15" x14ac:dyDescent="0.35">
      <c r="A1776" s="50"/>
      <c r="B1776" s="63"/>
      <c r="C1776" s="39"/>
      <c r="D1776" s="6"/>
      <c r="E1776" s="153"/>
      <c r="F1776" s="10"/>
      <c r="G1776" s="54"/>
      <c r="H1776" s="3"/>
      <c r="I1776" s="2"/>
      <c r="J1776" s="2"/>
      <c r="K1776" s="3"/>
      <c r="L1776" s="3"/>
      <c r="M1776" s="3"/>
      <c r="N1776" s="3"/>
      <c r="O1776" s="3"/>
      <c r="P1776" s="59"/>
      <c r="Q1776" s="3"/>
      <c r="R1776" s="3"/>
      <c r="S1776" s="3"/>
      <c r="T1776" s="3"/>
      <c r="U1776" s="3"/>
      <c r="V1776" s="3"/>
      <c r="W1776" s="3"/>
      <c r="X1776" s="3"/>
      <c r="Y1776" s="3"/>
      <c r="Z1776" s="53"/>
      <c r="AA1776" s="3"/>
      <c r="AB1776" s="59"/>
      <c r="AC1776" s="3"/>
      <c r="AD1776" s="53"/>
      <c r="AE1776" s="59"/>
    </row>
    <row r="1777" spans="1:31" customFormat="1" ht="15" x14ac:dyDescent="0.35">
      <c r="A1777" s="19"/>
      <c r="B1777" s="49"/>
      <c r="C1777" s="14"/>
      <c r="D1777" s="1"/>
      <c r="E1777" s="153"/>
      <c r="F1777" s="10"/>
      <c r="G1777" s="20"/>
      <c r="H1777" s="21"/>
      <c r="I1777" s="21"/>
      <c r="J1777" s="21"/>
      <c r="K1777" s="21"/>
      <c r="L1777" s="21"/>
      <c r="M1777" s="21"/>
      <c r="N1777" s="22"/>
      <c r="O1777" s="21"/>
      <c r="P1777" s="24"/>
      <c r="Q1777" s="21"/>
      <c r="R1777" s="21"/>
      <c r="S1777" s="21"/>
      <c r="T1777" s="21"/>
      <c r="U1777" s="21"/>
      <c r="V1777" s="22"/>
      <c r="W1777" s="21"/>
      <c r="X1777" s="22"/>
      <c r="Y1777" s="21"/>
      <c r="Z1777" s="20"/>
      <c r="AA1777" s="21"/>
      <c r="AB1777" s="25"/>
      <c r="AC1777" s="26"/>
      <c r="AD1777" s="27"/>
      <c r="AE1777" s="28"/>
    </row>
    <row r="1778" spans="1:31" customFormat="1" ht="15" x14ac:dyDescent="0.35">
      <c r="A1778" s="50"/>
      <c r="B1778" s="63"/>
      <c r="C1778" s="39"/>
      <c r="D1778" s="6"/>
      <c r="E1778" s="153"/>
      <c r="F1778" s="10"/>
      <c r="G1778" s="53"/>
      <c r="H1778" s="3"/>
      <c r="I1778" s="3"/>
      <c r="J1778" s="3"/>
      <c r="K1778" s="3"/>
      <c r="L1778" s="3"/>
      <c r="M1778" s="3"/>
      <c r="N1778" s="3"/>
      <c r="O1778" s="3"/>
      <c r="P1778" s="59"/>
      <c r="Q1778" s="21"/>
      <c r="R1778" s="21"/>
      <c r="S1778" s="3"/>
      <c r="T1778" s="3"/>
      <c r="U1778" s="3"/>
      <c r="V1778" s="3"/>
      <c r="W1778" s="3"/>
      <c r="X1778" s="3"/>
      <c r="Y1778" s="3"/>
      <c r="Z1778" s="53"/>
      <c r="AA1778" s="3"/>
      <c r="AB1778" s="59"/>
      <c r="AC1778" s="3"/>
      <c r="AD1778" s="53"/>
      <c r="AE1778" s="59"/>
    </row>
    <row r="1779" spans="1:31" customFormat="1" ht="15" x14ac:dyDescent="0.35">
      <c r="A1779" s="19"/>
      <c r="B1779" s="49"/>
      <c r="C1779" s="14"/>
      <c r="D1779" s="1"/>
      <c r="E1779" s="153"/>
      <c r="F1779" s="10"/>
      <c r="G1779" s="20"/>
      <c r="H1779" s="21"/>
      <c r="I1779" s="21"/>
      <c r="J1779" s="21"/>
      <c r="K1779" s="21"/>
      <c r="L1779" s="21"/>
      <c r="M1779" s="21"/>
      <c r="N1779" s="22"/>
      <c r="O1779" s="21"/>
      <c r="P1779" s="24"/>
      <c r="Q1779" s="21"/>
      <c r="R1779" s="21"/>
      <c r="S1779" s="21"/>
      <c r="T1779" s="21"/>
      <c r="U1779" s="21"/>
      <c r="V1779" s="22"/>
      <c r="W1779" s="21"/>
      <c r="X1779" s="22"/>
      <c r="Y1779" s="21"/>
      <c r="Z1779" s="20"/>
      <c r="AA1779" s="21"/>
      <c r="AB1779" s="25"/>
      <c r="AC1779" s="26"/>
      <c r="AD1779" s="27"/>
      <c r="AE1779" s="28"/>
    </row>
    <row r="1780" spans="1:31" customFormat="1" ht="15" x14ac:dyDescent="0.35">
      <c r="A1780" s="19"/>
      <c r="B1780" s="49"/>
      <c r="C1780" s="14"/>
      <c r="D1780" s="1"/>
      <c r="E1780" s="153"/>
      <c r="F1780" s="10"/>
      <c r="G1780" s="20"/>
      <c r="H1780" s="21"/>
      <c r="I1780" s="21"/>
      <c r="J1780" s="21"/>
      <c r="K1780" s="21"/>
      <c r="L1780" s="21"/>
      <c r="M1780" s="21"/>
      <c r="N1780" s="22"/>
      <c r="O1780" s="21"/>
      <c r="P1780" s="24"/>
      <c r="Q1780" s="21"/>
      <c r="R1780" s="21"/>
      <c r="S1780" s="21"/>
      <c r="T1780" s="21"/>
      <c r="U1780" s="21"/>
      <c r="V1780" s="22"/>
      <c r="W1780" s="21"/>
      <c r="X1780" s="22"/>
      <c r="Y1780" s="21"/>
      <c r="Z1780" s="20"/>
      <c r="AA1780" s="21"/>
      <c r="AB1780" s="25"/>
      <c r="AC1780" s="26"/>
      <c r="AD1780" s="27"/>
      <c r="AE1780" s="28"/>
    </row>
    <row r="1781" spans="1:31" customFormat="1" ht="15" x14ac:dyDescent="0.35">
      <c r="A1781" s="50"/>
      <c r="B1781" s="63"/>
      <c r="C1781" s="39"/>
      <c r="D1781" s="6"/>
      <c r="E1781" s="153"/>
      <c r="F1781" s="10"/>
      <c r="G1781" s="53"/>
      <c r="H1781" s="3"/>
      <c r="I1781" s="3"/>
      <c r="J1781" s="3"/>
      <c r="K1781" s="3"/>
      <c r="L1781" s="3"/>
      <c r="M1781" s="3"/>
      <c r="N1781" s="3"/>
      <c r="O1781" s="3"/>
      <c r="P1781" s="59"/>
      <c r="Q1781" s="21"/>
      <c r="R1781" s="21"/>
      <c r="S1781" s="3"/>
      <c r="T1781" s="3"/>
      <c r="U1781" s="3"/>
      <c r="V1781" s="3"/>
      <c r="W1781" s="3"/>
      <c r="X1781" s="3"/>
      <c r="Y1781" s="3"/>
      <c r="Z1781" s="53"/>
      <c r="AA1781" s="3"/>
      <c r="AB1781" s="59"/>
      <c r="AC1781" s="3"/>
      <c r="AD1781" s="53"/>
      <c r="AE1781" s="59"/>
    </row>
    <row r="1782" spans="1:31" customFormat="1" ht="15" x14ac:dyDescent="0.35">
      <c r="A1782" s="50"/>
      <c r="B1782" s="63"/>
      <c r="C1782" s="39"/>
      <c r="D1782" s="6"/>
      <c r="E1782" s="153"/>
      <c r="F1782" s="10"/>
      <c r="G1782" s="54"/>
      <c r="H1782" s="3"/>
      <c r="I1782" s="2"/>
      <c r="J1782" s="2"/>
      <c r="K1782" s="3"/>
      <c r="L1782" s="3"/>
      <c r="M1782" s="3"/>
      <c r="N1782" s="3"/>
      <c r="O1782" s="3"/>
      <c r="P1782" s="59"/>
      <c r="Q1782" s="3"/>
      <c r="R1782" s="3"/>
      <c r="S1782" s="3"/>
      <c r="T1782" s="3"/>
      <c r="U1782" s="3"/>
      <c r="V1782" s="3"/>
      <c r="W1782" s="3"/>
      <c r="X1782" s="3"/>
      <c r="Y1782" s="3"/>
      <c r="Z1782" s="53"/>
      <c r="AA1782" s="3"/>
      <c r="AB1782" s="59"/>
      <c r="AC1782" s="3"/>
      <c r="AD1782" s="53"/>
      <c r="AE1782" s="59"/>
    </row>
    <row r="1783" spans="1:31" customFormat="1" ht="15" x14ac:dyDescent="0.35">
      <c r="A1783" s="50"/>
      <c r="B1783" s="63"/>
      <c r="C1783" s="39"/>
      <c r="D1783" s="6"/>
      <c r="E1783" s="153"/>
      <c r="F1783" s="10"/>
      <c r="G1783" s="53"/>
      <c r="H1783" s="3"/>
      <c r="I1783" s="3"/>
      <c r="J1783" s="3"/>
      <c r="K1783" s="3"/>
      <c r="L1783" s="3"/>
      <c r="M1783" s="3"/>
      <c r="N1783" s="3"/>
      <c r="O1783" s="3"/>
      <c r="P1783" s="59"/>
      <c r="Q1783" s="21"/>
      <c r="R1783" s="21"/>
      <c r="S1783" s="3"/>
      <c r="T1783" s="3"/>
      <c r="U1783" s="3"/>
      <c r="V1783" s="3"/>
      <c r="W1783" s="3"/>
      <c r="X1783" s="3"/>
      <c r="Y1783" s="3"/>
      <c r="Z1783" s="53"/>
      <c r="AA1783" s="3"/>
      <c r="AB1783" s="59"/>
      <c r="AC1783" s="3"/>
      <c r="AD1783" s="53"/>
      <c r="AE1783" s="59"/>
    </row>
    <row r="1784" spans="1:31" customFormat="1" ht="15" x14ac:dyDescent="0.35">
      <c r="A1784" s="19"/>
      <c r="B1784" s="49"/>
      <c r="C1784" s="39"/>
      <c r="D1784" s="1"/>
      <c r="E1784" s="153"/>
      <c r="F1784" s="10"/>
      <c r="G1784" s="20"/>
      <c r="H1784" s="21"/>
      <c r="I1784" s="21"/>
      <c r="J1784" s="21"/>
      <c r="K1784" s="21"/>
      <c r="L1784" s="21"/>
      <c r="M1784" s="21"/>
      <c r="N1784" s="22"/>
      <c r="O1784" s="21"/>
      <c r="P1784" s="24"/>
      <c r="Q1784" s="21"/>
      <c r="R1784" s="21"/>
      <c r="S1784" s="21"/>
      <c r="T1784" s="21"/>
      <c r="U1784" s="21"/>
      <c r="V1784" s="22"/>
      <c r="W1784" s="21"/>
      <c r="X1784" s="22"/>
      <c r="Y1784" s="21"/>
      <c r="Z1784" s="20"/>
      <c r="AA1784" s="21"/>
      <c r="AB1784" s="25"/>
      <c r="AC1784" s="26"/>
      <c r="AD1784" s="27"/>
      <c r="AE1784" s="28"/>
    </row>
    <row r="1785" spans="1:31" customFormat="1" ht="15" x14ac:dyDescent="0.35">
      <c r="A1785" s="19"/>
      <c r="B1785" s="49"/>
      <c r="C1785" s="14"/>
      <c r="D1785" s="1"/>
      <c r="E1785" s="153"/>
      <c r="F1785" s="10"/>
      <c r="G1785" s="20"/>
      <c r="H1785" s="21"/>
      <c r="I1785" s="21"/>
      <c r="J1785" s="21"/>
      <c r="K1785" s="21"/>
      <c r="L1785" s="21"/>
      <c r="M1785" s="21"/>
      <c r="N1785" s="22"/>
      <c r="O1785" s="21"/>
      <c r="P1785" s="24"/>
      <c r="Q1785" s="21"/>
      <c r="R1785" s="21"/>
      <c r="S1785" s="21"/>
      <c r="T1785" s="21"/>
      <c r="U1785" s="21"/>
      <c r="V1785" s="22"/>
      <c r="W1785" s="21"/>
      <c r="X1785" s="22"/>
      <c r="Y1785" s="21"/>
      <c r="Z1785" s="20"/>
      <c r="AA1785" s="21"/>
      <c r="AB1785" s="25"/>
      <c r="AC1785" s="26"/>
      <c r="AD1785" s="27"/>
      <c r="AE1785" s="28"/>
    </row>
    <row r="1786" spans="1:31" customFormat="1" ht="15" x14ac:dyDescent="0.35">
      <c r="A1786" s="19"/>
      <c r="B1786" s="49"/>
      <c r="C1786" s="39"/>
      <c r="D1786" s="1"/>
      <c r="E1786" s="153"/>
      <c r="F1786" s="10"/>
      <c r="G1786" s="20"/>
      <c r="H1786" s="21"/>
      <c r="I1786" s="21"/>
      <c r="J1786" s="21"/>
      <c r="K1786" s="21"/>
      <c r="L1786" s="21"/>
      <c r="M1786" s="21"/>
      <c r="N1786" s="22"/>
      <c r="O1786" s="21"/>
      <c r="P1786" s="24"/>
      <c r="Q1786" s="21"/>
      <c r="R1786" s="21"/>
      <c r="S1786" s="21"/>
      <c r="T1786" s="21"/>
      <c r="U1786" s="21"/>
      <c r="V1786" s="22"/>
      <c r="W1786" s="21"/>
      <c r="X1786" s="22"/>
      <c r="Y1786" s="21"/>
      <c r="Z1786" s="20"/>
      <c r="AA1786" s="21"/>
      <c r="AB1786" s="25"/>
      <c r="AC1786" s="26"/>
      <c r="AD1786" s="27"/>
      <c r="AE1786" s="28"/>
    </row>
    <row r="1787" spans="1:31" customFormat="1" ht="15" x14ac:dyDescent="0.35">
      <c r="A1787" s="50"/>
      <c r="B1787" s="63"/>
      <c r="C1787" s="39"/>
      <c r="D1787" s="6"/>
      <c r="E1787" s="153"/>
      <c r="F1787" s="10"/>
      <c r="G1787" s="53"/>
      <c r="H1787" s="3"/>
      <c r="I1787" s="3"/>
      <c r="J1787" s="3"/>
      <c r="K1787" s="3"/>
      <c r="L1787" s="3"/>
      <c r="M1787" s="3"/>
      <c r="N1787" s="3"/>
      <c r="O1787" s="3"/>
      <c r="P1787" s="59"/>
      <c r="Q1787" s="21"/>
      <c r="R1787" s="21"/>
      <c r="S1787" s="3"/>
      <c r="T1787" s="3"/>
      <c r="U1787" s="3"/>
      <c r="V1787" s="3"/>
      <c r="W1787" s="3"/>
      <c r="X1787" s="3"/>
      <c r="Y1787" s="3"/>
      <c r="Z1787" s="53"/>
      <c r="AA1787" s="3"/>
      <c r="AB1787" s="59"/>
      <c r="AC1787" s="3"/>
      <c r="AD1787" s="53"/>
      <c r="AE1787" s="59"/>
    </row>
    <row r="1788" spans="1:31" customFormat="1" ht="15" x14ac:dyDescent="0.35">
      <c r="A1788" s="19"/>
      <c r="B1788" s="49"/>
      <c r="C1788" s="39"/>
      <c r="D1788" s="1"/>
      <c r="E1788" s="153"/>
      <c r="F1788" s="10"/>
      <c r="G1788" s="20"/>
      <c r="H1788" s="21"/>
      <c r="I1788" s="21"/>
      <c r="J1788" s="21"/>
      <c r="K1788" s="21"/>
      <c r="L1788" s="21"/>
      <c r="M1788" s="21"/>
      <c r="N1788" s="22"/>
      <c r="O1788" s="21"/>
      <c r="P1788" s="24"/>
      <c r="Q1788" s="21"/>
      <c r="R1788" s="21"/>
      <c r="S1788" s="21"/>
      <c r="T1788" s="21"/>
      <c r="U1788" s="21"/>
      <c r="V1788" s="22"/>
      <c r="W1788" s="21"/>
      <c r="X1788" s="22"/>
      <c r="Y1788" s="21"/>
      <c r="Z1788" s="20"/>
      <c r="AA1788" s="21"/>
      <c r="AB1788" s="25"/>
      <c r="AC1788" s="26"/>
      <c r="AD1788" s="27"/>
      <c r="AE1788" s="28"/>
    </row>
    <row r="1789" spans="1:31" customFormat="1" ht="15" x14ac:dyDescent="0.35">
      <c r="A1789" s="19"/>
      <c r="B1789" s="49"/>
      <c r="C1789" s="14"/>
      <c r="D1789" s="1"/>
      <c r="E1789" s="153"/>
      <c r="F1789" s="10"/>
      <c r="G1789" s="20"/>
      <c r="H1789" s="21"/>
      <c r="I1789" s="21"/>
      <c r="J1789" s="21"/>
      <c r="K1789" s="21"/>
      <c r="L1789" s="21"/>
      <c r="M1789" s="21"/>
      <c r="N1789" s="22"/>
      <c r="O1789" s="21"/>
      <c r="P1789" s="24"/>
      <c r="Q1789" s="21"/>
      <c r="R1789" s="21"/>
      <c r="S1789" s="21"/>
      <c r="T1789" s="21"/>
      <c r="U1789" s="21"/>
      <c r="V1789" s="22"/>
      <c r="W1789" s="21"/>
      <c r="X1789" s="22"/>
      <c r="Y1789" s="21"/>
      <c r="Z1789" s="20"/>
      <c r="AA1789" s="21"/>
      <c r="AB1789" s="25"/>
      <c r="AC1789" s="26"/>
      <c r="AD1789" s="27"/>
      <c r="AE1789" s="28"/>
    </row>
    <row r="1790" spans="1:31" customFormat="1" ht="15" x14ac:dyDescent="0.35">
      <c r="A1790" s="19"/>
      <c r="B1790" s="49"/>
      <c r="C1790" s="14"/>
      <c r="D1790" s="1"/>
      <c r="E1790" s="153"/>
      <c r="F1790" s="10"/>
      <c r="G1790" s="20"/>
      <c r="H1790" s="21"/>
      <c r="I1790" s="21"/>
      <c r="J1790" s="21"/>
      <c r="K1790" s="21"/>
      <c r="L1790" s="21"/>
      <c r="M1790" s="21"/>
      <c r="N1790" s="22"/>
      <c r="O1790" s="21"/>
      <c r="P1790" s="24"/>
      <c r="Q1790" s="21"/>
      <c r="R1790" s="21"/>
      <c r="S1790" s="21"/>
      <c r="T1790" s="21"/>
      <c r="U1790" s="21"/>
      <c r="V1790" s="22"/>
      <c r="W1790" s="21"/>
      <c r="X1790" s="22"/>
      <c r="Y1790" s="21"/>
      <c r="Z1790" s="20"/>
      <c r="AA1790" s="21"/>
      <c r="AB1790" s="25"/>
      <c r="AC1790" s="26"/>
      <c r="AD1790" s="27"/>
      <c r="AE1790" s="28"/>
    </row>
    <row r="1791" spans="1:31" customFormat="1" ht="15" x14ac:dyDescent="0.35">
      <c r="A1791" s="50"/>
      <c r="B1791" s="63"/>
      <c r="C1791" s="39"/>
      <c r="D1791" s="6"/>
      <c r="E1791" s="153"/>
      <c r="F1791" s="10"/>
      <c r="G1791" s="54"/>
      <c r="H1791" s="3"/>
      <c r="I1791" s="2"/>
      <c r="J1791" s="2"/>
      <c r="K1791" s="3"/>
      <c r="L1791" s="3"/>
      <c r="M1791" s="3"/>
      <c r="N1791" s="3"/>
      <c r="O1791" s="3"/>
      <c r="P1791" s="59"/>
      <c r="Q1791" s="3"/>
      <c r="R1791" s="3"/>
      <c r="S1791" s="3"/>
      <c r="T1791" s="3"/>
      <c r="U1791" s="3"/>
      <c r="V1791" s="3"/>
      <c r="W1791" s="3"/>
      <c r="X1791" s="3"/>
      <c r="Y1791" s="3"/>
      <c r="Z1791" s="53"/>
      <c r="AA1791" s="3"/>
      <c r="AB1791" s="59"/>
      <c r="AC1791" s="3"/>
      <c r="AD1791" s="53"/>
      <c r="AE1791" s="59"/>
    </row>
    <row r="1792" spans="1:31" customFormat="1" ht="15" x14ac:dyDescent="0.35">
      <c r="A1792" s="50"/>
      <c r="B1792" s="63"/>
      <c r="C1792" s="39"/>
      <c r="D1792" s="6"/>
      <c r="E1792" s="153"/>
      <c r="F1792" s="10"/>
      <c r="G1792" s="54"/>
      <c r="H1792" s="3"/>
      <c r="I1792" s="2"/>
      <c r="J1792" s="2"/>
      <c r="K1792" s="3"/>
      <c r="L1792" s="3"/>
      <c r="M1792" s="3"/>
      <c r="N1792" s="3"/>
      <c r="O1792" s="3"/>
      <c r="P1792" s="59"/>
      <c r="Q1792" s="3"/>
      <c r="R1792" s="3"/>
      <c r="S1792" s="3"/>
      <c r="T1792" s="3"/>
      <c r="U1792" s="3"/>
      <c r="V1792" s="3"/>
      <c r="W1792" s="3"/>
      <c r="X1792" s="3"/>
      <c r="Y1792" s="3"/>
      <c r="Z1792" s="53"/>
      <c r="AA1792" s="3"/>
      <c r="AB1792" s="59"/>
      <c r="AC1792" s="3"/>
      <c r="AD1792" s="53"/>
      <c r="AE1792" s="59"/>
    </row>
    <row r="1793" spans="1:31" customFormat="1" ht="15" x14ac:dyDescent="0.35">
      <c r="A1793" s="50"/>
      <c r="B1793" s="63"/>
      <c r="C1793" s="39"/>
      <c r="D1793" s="6"/>
      <c r="E1793" s="153"/>
      <c r="F1793" s="10"/>
      <c r="G1793" s="54"/>
      <c r="H1793" s="3"/>
      <c r="I1793" s="2"/>
      <c r="J1793" s="2"/>
      <c r="K1793" s="3"/>
      <c r="L1793" s="3"/>
      <c r="M1793" s="3"/>
      <c r="N1793" s="3"/>
      <c r="O1793" s="3"/>
      <c r="P1793" s="59"/>
      <c r="Q1793" s="3"/>
      <c r="R1793" s="3"/>
      <c r="S1793" s="3"/>
      <c r="T1793" s="3"/>
      <c r="U1793" s="3"/>
      <c r="V1793" s="3"/>
      <c r="W1793" s="3"/>
      <c r="X1793" s="3"/>
      <c r="Y1793" s="3"/>
      <c r="Z1793" s="53"/>
      <c r="AA1793" s="3"/>
      <c r="AB1793" s="59"/>
      <c r="AC1793" s="3"/>
      <c r="AD1793" s="53"/>
      <c r="AE1793" s="59"/>
    </row>
    <row r="1794" spans="1:31" customFormat="1" ht="15" x14ac:dyDescent="0.35">
      <c r="A1794" s="50"/>
      <c r="B1794" s="63"/>
      <c r="C1794" s="39"/>
      <c r="D1794" s="6"/>
      <c r="E1794" s="153"/>
      <c r="F1794" s="10"/>
      <c r="G1794" s="53"/>
      <c r="H1794" s="3"/>
      <c r="I1794" s="3"/>
      <c r="J1794" s="3"/>
      <c r="K1794" s="3"/>
      <c r="L1794" s="3"/>
      <c r="M1794" s="3"/>
      <c r="N1794" s="3"/>
      <c r="O1794" s="3"/>
      <c r="P1794" s="59"/>
      <c r="Q1794" s="21"/>
      <c r="R1794" s="21"/>
      <c r="S1794" s="3"/>
      <c r="T1794" s="3"/>
      <c r="U1794" s="3"/>
      <c r="V1794" s="3"/>
      <c r="W1794" s="3"/>
      <c r="X1794" s="3"/>
      <c r="Y1794" s="3"/>
      <c r="Z1794" s="53"/>
      <c r="AA1794" s="3"/>
      <c r="AB1794" s="59"/>
      <c r="AC1794" s="3"/>
      <c r="AD1794" s="53"/>
      <c r="AE1794" s="59"/>
    </row>
    <row r="1795" spans="1:31" customFormat="1" ht="15" x14ac:dyDescent="0.35">
      <c r="A1795" s="50"/>
      <c r="B1795" s="63"/>
      <c r="C1795" s="39"/>
      <c r="D1795" s="6"/>
      <c r="E1795" s="153"/>
      <c r="F1795" s="10"/>
      <c r="G1795" s="53"/>
      <c r="H1795" s="3"/>
      <c r="I1795" s="3"/>
      <c r="J1795" s="3"/>
      <c r="K1795" s="3"/>
      <c r="L1795" s="3"/>
      <c r="M1795" s="3"/>
      <c r="N1795" s="3"/>
      <c r="O1795" s="3"/>
      <c r="P1795" s="59"/>
      <c r="Q1795" s="21"/>
      <c r="R1795" s="21"/>
      <c r="S1795" s="3"/>
      <c r="T1795" s="3"/>
      <c r="U1795" s="3"/>
      <c r="V1795" s="3"/>
      <c r="W1795" s="3"/>
      <c r="X1795" s="3"/>
      <c r="Y1795" s="3"/>
      <c r="Z1795" s="53"/>
      <c r="AA1795" s="3"/>
      <c r="AB1795" s="59"/>
      <c r="AC1795" s="3"/>
      <c r="AD1795" s="53"/>
      <c r="AE1795" s="59"/>
    </row>
    <row r="1796" spans="1:31" customFormat="1" ht="15" x14ac:dyDescent="0.35">
      <c r="A1796" s="50"/>
      <c r="B1796" s="63"/>
      <c r="C1796" s="39"/>
      <c r="D1796" s="6"/>
      <c r="E1796" s="153"/>
      <c r="F1796" s="10"/>
      <c r="G1796" s="54"/>
      <c r="H1796" s="3"/>
      <c r="I1796" s="2"/>
      <c r="J1796" s="2"/>
      <c r="K1796" s="3"/>
      <c r="L1796" s="3"/>
      <c r="M1796" s="3"/>
      <c r="N1796" s="3"/>
      <c r="O1796" s="3"/>
      <c r="P1796" s="59"/>
      <c r="Q1796" s="3"/>
      <c r="R1796" s="3"/>
      <c r="S1796" s="3"/>
      <c r="T1796" s="3"/>
      <c r="U1796" s="3"/>
      <c r="V1796" s="3"/>
      <c r="W1796" s="3"/>
      <c r="X1796" s="3"/>
      <c r="Y1796" s="3"/>
      <c r="Z1796" s="53"/>
      <c r="AA1796" s="3"/>
      <c r="AB1796" s="59"/>
      <c r="AC1796" s="3"/>
      <c r="AD1796" s="53"/>
      <c r="AE1796" s="59"/>
    </row>
    <row r="1797" spans="1:31" customFormat="1" ht="15" x14ac:dyDescent="0.35">
      <c r="A1797" s="19"/>
      <c r="B1797" s="49"/>
      <c r="C1797" s="14"/>
      <c r="D1797" s="1"/>
      <c r="E1797" s="153"/>
      <c r="F1797" s="10"/>
      <c r="G1797" s="20"/>
      <c r="H1797" s="21"/>
      <c r="I1797" s="21"/>
      <c r="J1797" s="21"/>
      <c r="K1797" s="21"/>
      <c r="L1797" s="21"/>
      <c r="M1797" s="21"/>
      <c r="N1797" s="22"/>
      <c r="O1797" s="21"/>
      <c r="P1797" s="24"/>
      <c r="Q1797" s="21"/>
      <c r="R1797" s="21"/>
      <c r="S1797" s="21"/>
      <c r="T1797" s="21"/>
      <c r="U1797" s="21"/>
      <c r="V1797" s="22"/>
      <c r="W1797" s="21"/>
      <c r="X1797" s="22"/>
      <c r="Y1797" s="21"/>
      <c r="Z1797" s="20"/>
      <c r="AA1797" s="21"/>
      <c r="AB1797" s="25"/>
      <c r="AC1797" s="26"/>
      <c r="AD1797" s="27"/>
      <c r="AE1797" s="28"/>
    </row>
    <row r="1798" spans="1:31" customFormat="1" ht="15" x14ac:dyDescent="0.35">
      <c r="A1798" s="50"/>
      <c r="B1798" s="63"/>
      <c r="C1798" s="39"/>
      <c r="D1798" s="6"/>
      <c r="E1798" s="153"/>
      <c r="F1798" s="10"/>
      <c r="G1798" s="54"/>
      <c r="H1798" s="3"/>
      <c r="I1798" s="2"/>
      <c r="J1798" s="2"/>
      <c r="K1798" s="3"/>
      <c r="L1798" s="3"/>
      <c r="M1798" s="3"/>
      <c r="N1798" s="3"/>
      <c r="O1798" s="3"/>
      <c r="P1798" s="59"/>
      <c r="Q1798" s="3"/>
      <c r="R1798" s="3"/>
      <c r="S1798" s="3"/>
      <c r="T1798" s="3"/>
      <c r="U1798" s="3"/>
      <c r="V1798" s="3"/>
      <c r="W1798" s="3"/>
      <c r="X1798" s="3"/>
      <c r="Y1798" s="3"/>
      <c r="Z1798" s="53"/>
      <c r="AA1798" s="3"/>
      <c r="AB1798" s="59"/>
      <c r="AC1798" s="3"/>
      <c r="AD1798" s="53"/>
      <c r="AE1798" s="59"/>
    </row>
    <row r="1799" spans="1:31" customFormat="1" ht="15" x14ac:dyDescent="0.35">
      <c r="A1799" s="50"/>
      <c r="B1799" s="63"/>
      <c r="C1799" s="39"/>
      <c r="D1799" s="6"/>
      <c r="E1799" s="153"/>
      <c r="F1799" s="10"/>
      <c r="G1799" s="53"/>
      <c r="H1799" s="3"/>
      <c r="I1799" s="3"/>
      <c r="J1799" s="3"/>
      <c r="K1799" s="3"/>
      <c r="L1799" s="3"/>
      <c r="M1799" s="3"/>
      <c r="N1799" s="3"/>
      <c r="O1799" s="3"/>
      <c r="P1799" s="59"/>
      <c r="Q1799" s="21"/>
      <c r="R1799" s="21"/>
      <c r="S1799" s="3"/>
      <c r="T1799" s="3"/>
      <c r="U1799" s="3"/>
      <c r="V1799" s="3"/>
      <c r="W1799" s="3"/>
      <c r="X1799" s="3"/>
      <c r="Y1799" s="3"/>
      <c r="Z1799" s="53"/>
      <c r="AA1799" s="3"/>
      <c r="AB1799" s="59"/>
      <c r="AC1799" s="3"/>
      <c r="AD1799" s="53"/>
      <c r="AE1799" s="59"/>
    </row>
    <row r="1800" spans="1:31" customFormat="1" ht="15" x14ac:dyDescent="0.35">
      <c r="A1800" s="19"/>
      <c r="B1800" s="49"/>
      <c r="C1800" s="14"/>
      <c r="D1800" s="1"/>
      <c r="E1800" s="153"/>
      <c r="F1800" s="10"/>
      <c r="G1800" s="20"/>
      <c r="H1800" s="21"/>
      <c r="I1800" s="21"/>
      <c r="J1800" s="21"/>
      <c r="K1800" s="21"/>
      <c r="L1800" s="21"/>
      <c r="M1800" s="21"/>
      <c r="N1800" s="22"/>
      <c r="O1800" s="21"/>
      <c r="P1800" s="24"/>
      <c r="Q1800" s="21"/>
      <c r="R1800" s="21"/>
      <c r="S1800" s="21"/>
      <c r="T1800" s="21"/>
      <c r="U1800" s="21"/>
      <c r="V1800" s="22"/>
      <c r="W1800" s="21"/>
      <c r="X1800" s="22"/>
      <c r="Y1800" s="21"/>
      <c r="Z1800" s="20"/>
      <c r="AA1800" s="21"/>
      <c r="AB1800" s="25"/>
      <c r="AC1800" s="26"/>
      <c r="AD1800" s="27"/>
      <c r="AE1800" s="28"/>
    </row>
    <row r="1801" spans="1:31" customFormat="1" ht="15" x14ac:dyDescent="0.35">
      <c r="A1801" s="50"/>
      <c r="B1801" s="63"/>
      <c r="C1801" s="39"/>
      <c r="D1801" s="6"/>
      <c r="E1801" s="153"/>
      <c r="F1801" s="10"/>
      <c r="G1801" s="54"/>
      <c r="H1801" s="3"/>
      <c r="I1801" s="2"/>
      <c r="J1801" s="2"/>
      <c r="K1801" s="3"/>
      <c r="L1801" s="3"/>
      <c r="M1801" s="3"/>
      <c r="N1801" s="3"/>
      <c r="O1801" s="3"/>
      <c r="P1801" s="59"/>
      <c r="Q1801" s="3"/>
      <c r="R1801" s="3"/>
      <c r="S1801" s="3"/>
      <c r="T1801" s="3"/>
      <c r="U1801" s="3"/>
      <c r="V1801" s="3"/>
      <c r="W1801" s="3"/>
      <c r="X1801" s="3"/>
      <c r="Y1801" s="3"/>
      <c r="Z1801" s="53"/>
      <c r="AA1801" s="3"/>
      <c r="AB1801" s="59"/>
      <c r="AC1801" s="3"/>
      <c r="AD1801" s="53"/>
      <c r="AE1801" s="59"/>
    </row>
    <row r="1802" spans="1:31" customFormat="1" ht="15" x14ac:dyDescent="0.35">
      <c r="A1802" s="50"/>
      <c r="B1802" s="63"/>
      <c r="C1802" s="39"/>
      <c r="D1802" s="6"/>
      <c r="E1802" s="153"/>
      <c r="F1802" s="10"/>
      <c r="G1802" s="54"/>
      <c r="H1802" s="3"/>
      <c r="I1802" s="2"/>
      <c r="J1802" s="2"/>
      <c r="K1802" s="3"/>
      <c r="L1802" s="3"/>
      <c r="M1802" s="3"/>
      <c r="N1802" s="3"/>
      <c r="O1802" s="3"/>
      <c r="P1802" s="59"/>
      <c r="Q1802" s="3"/>
      <c r="R1802" s="3"/>
      <c r="S1802" s="3"/>
      <c r="T1802" s="3"/>
      <c r="U1802" s="3"/>
      <c r="V1802" s="3"/>
      <c r="W1802" s="3"/>
      <c r="X1802" s="3"/>
      <c r="Y1802" s="3"/>
      <c r="Z1802" s="53"/>
      <c r="AA1802" s="3"/>
      <c r="AB1802" s="59"/>
      <c r="AC1802" s="3"/>
      <c r="AD1802" s="53"/>
      <c r="AE1802" s="59"/>
    </row>
    <row r="1803" spans="1:31" customFormat="1" ht="15" x14ac:dyDescent="0.35">
      <c r="A1803" s="50"/>
      <c r="B1803" s="63"/>
      <c r="C1803" s="39"/>
      <c r="D1803" s="6"/>
      <c r="E1803" s="153"/>
      <c r="F1803" s="10"/>
      <c r="G1803" s="53"/>
      <c r="H1803" s="3"/>
      <c r="I1803" s="3"/>
      <c r="J1803" s="3"/>
      <c r="K1803" s="3"/>
      <c r="L1803" s="3"/>
      <c r="M1803" s="3"/>
      <c r="N1803" s="3"/>
      <c r="O1803" s="3"/>
      <c r="P1803" s="59"/>
      <c r="Q1803" s="21"/>
      <c r="R1803" s="21"/>
      <c r="S1803" s="3"/>
      <c r="T1803" s="3"/>
      <c r="U1803" s="3"/>
      <c r="V1803" s="3"/>
      <c r="W1803" s="3"/>
      <c r="X1803" s="3"/>
      <c r="Y1803" s="3"/>
      <c r="Z1803" s="53"/>
      <c r="AA1803" s="3"/>
      <c r="AB1803" s="59"/>
      <c r="AC1803" s="3"/>
      <c r="AD1803" s="53"/>
      <c r="AE1803" s="59"/>
    </row>
    <row r="1804" spans="1:31" customFormat="1" ht="15" x14ac:dyDescent="0.35">
      <c r="A1804" s="50"/>
      <c r="B1804" s="63"/>
      <c r="C1804" s="39"/>
      <c r="D1804" s="6"/>
      <c r="E1804" s="153"/>
      <c r="F1804" s="10"/>
      <c r="G1804" s="54"/>
      <c r="H1804" s="3"/>
      <c r="I1804" s="2"/>
      <c r="J1804" s="2"/>
      <c r="K1804" s="3"/>
      <c r="L1804" s="3"/>
      <c r="M1804" s="3"/>
      <c r="N1804" s="3"/>
      <c r="O1804" s="3"/>
      <c r="P1804" s="59"/>
      <c r="Q1804" s="3"/>
      <c r="R1804" s="3"/>
      <c r="S1804" s="3"/>
      <c r="T1804" s="3"/>
      <c r="U1804" s="3"/>
      <c r="V1804" s="3"/>
      <c r="W1804" s="3"/>
      <c r="X1804" s="3"/>
      <c r="Y1804" s="3"/>
      <c r="Z1804" s="53"/>
      <c r="AA1804" s="3"/>
      <c r="AB1804" s="59"/>
      <c r="AC1804" s="3"/>
      <c r="AD1804" s="53"/>
      <c r="AE1804" s="59"/>
    </row>
    <row r="1805" spans="1:31" customFormat="1" ht="15" x14ac:dyDescent="0.35">
      <c r="A1805" s="50"/>
      <c r="B1805" s="63"/>
      <c r="C1805" s="39"/>
      <c r="D1805" s="6"/>
      <c r="E1805" s="153"/>
      <c r="F1805" s="10"/>
      <c r="G1805" s="54"/>
      <c r="H1805" s="3"/>
      <c r="I1805" s="2"/>
      <c r="J1805" s="2"/>
      <c r="K1805" s="3"/>
      <c r="L1805" s="3"/>
      <c r="M1805" s="3"/>
      <c r="N1805" s="3"/>
      <c r="O1805" s="3"/>
      <c r="P1805" s="59"/>
      <c r="Q1805" s="3"/>
      <c r="R1805" s="3"/>
      <c r="S1805" s="3"/>
      <c r="T1805" s="3"/>
      <c r="U1805" s="3"/>
      <c r="V1805" s="3"/>
      <c r="W1805" s="3"/>
      <c r="X1805" s="3"/>
      <c r="Y1805" s="3"/>
      <c r="Z1805" s="53"/>
      <c r="AA1805" s="3"/>
      <c r="AB1805" s="59"/>
      <c r="AC1805" s="3"/>
      <c r="AD1805" s="53"/>
      <c r="AE1805" s="59"/>
    </row>
    <row r="1806" spans="1:31" customFormat="1" ht="15" x14ac:dyDescent="0.35">
      <c r="A1806" s="50"/>
      <c r="B1806" s="63"/>
      <c r="C1806" s="39"/>
      <c r="D1806" s="6"/>
      <c r="E1806" s="153"/>
      <c r="F1806" s="10"/>
      <c r="G1806" s="53"/>
      <c r="H1806" s="3"/>
      <c r="I1806" s="3"/>
      <c r="J1806" s="3"/>
      <c r="K1806" s="3"/>
      <c r="L1806" s="3"/>
      <c r="M1806" s="3"/>
      <c r="N1806" s="3"/>
      <c r="O1806" s="3"/>
      <c r="P1806" s="59"/>
      <c r="Q1806" s="21"/>
      <c r="R1806" s="21"/>
      <c r="S1806" s="3"/>
      <c r="T1806" s="3"/>
      <c r="U1806" s="3"/>
      <c r="V1806" s="3"/>
      <c r="W1806" s="3"/>
      <c r="X1806" s="3"/>
      <c r="Y1806" s="3"/>
      <c r="Z1806" s="53"/>
      <c r="AA1806" s="3"/>
      <c r="AB1806" s="59"/>
      <c r="AC1806" s="3"/>
      <c r="AD1806" s="53"/>
      <c r="AE1806" s="59"/>
    </row>
    <row r="1807" spans="1:31" customFormat="1" ht="15" x14ac:dyDescent="0.35">
      <c r="A1807" s="19"/>
      <c r="B1807" s="49"/>
      <c r="C1807" s="14"/>
      <c r="D1807" s="1"/>
      <c r="E1807" s="153"/>
      <c r="F1807" s="10"/>
      <c r="G1807" s="20"/>
      <c r="H1807" s="21"/>
      <c r="I1807" s="21"/>
      <c r="J1807" s="21"/>
      <c r="K1807" s="21"/>
      <c r="L1807" s="21"/>
      <c r="M1807" s="21"/>
      <c r="N1807" s="22"/>
      <c r="O1807" s="21"/>
      <c r="P1807" s="24"/>
      <c r="Q1807" s="21"/>
      <c r="R1807" s="21"/>
      <c r="S1807" s="21"/>
      <c r="T1807" s="21"/>
      <c r="U1807" s="21"/>
      <c r="V1807" s="22"/>
      <c r="W1807" s="21"/>
      <c r="X1807" s="22"/>
      <c r="Y1807" s="21"/>
      <c r="Z1807" s="20"/>
      <c r="AA1807" s="21"/>
      <c r="AB1807" s="25"/>
      <c r="AC1807" s="26"/>
      <c r="AD1807" s="27"/>
      <c r="AE1807" s="28"/>
    </row>
    <row r="1808" spans="1:31" s="14" customFormat="1" x14ac:dyDescent="0.3">
      <c r="A1808" s="50"/>
      <c r="B1808" s="63"/>
      <c r="C1808" s="39"/>
      <c r="D1808" s="6"/>
      <c r="E1808" s="153"/>
      <c r="F1808" s="10"/>
      <c r="G1808" s="54"/>
      <c r="H1808" s="3"/>
      <c r="I1808" s="2"/>
      <c r="J1808" s="2"/>
      <c r="K1808" s="3"/>
      <c r="L1808" s="3"/>
      <c r="M1808" s="3"/>
      <c r="N1808" s="3"/>
      <c r="O1808" s="3"/>
      <c r="P1808" s="59"/>
      <c r="Q1808" s="3"/>
      <c r="R1808" s="3"/>
      <c r="S1808" s="3"/>
      <c r="T1808" s="3"/>
      <c r="U1808" s="3"/>
      <c r="V1808" s="3"/>
      <c r="W1808" s="3"/>
      <c r="X1808" s="3"/>
      <c r="Y1808" s="3"/>
      <c r="Z1808" s="53"/>
      <c r="AA1808" s="3"/>
      <c r="AB1808" s="59"/>
      <c r="AC1808" s="3"/>
      <c r="AD1808" s="53"/>
      <c r="AE1808" s="59"/>
    </row>
    <row r="1809" spans="1:31" customFormat="1" ht="15" x14ac:dyDescent="0.35">
      <c r="A1809" s="50"/>
      <c r="B1809" s="63"/>
      <c r="C1809" s="39"/>
      <c r="D1809" s="6"/>
      <c r="E1809" s="153"/>
      <c r="F1809" s="10"/>
      <c r="G1809" s="54"/>
      <c r="H1809" s="3"/>
      <c r="I1809" s="2"/>
      <c r="J1809" s="2"/>
      <c r="K1809" s="3"/>
      <c r="L1809" s="3"/>
      <c r="M1809" s="3"/>
      <c r="N1809" s="3"/>
      <c r="O1809" s="3"/>
      <c r="P1809" s="59"/>
      <c r="Q1809" s="3"/>
      <c r="R1809" s="3"/>
      <c r="S1809" s="3"/>
      <c r="T1809" s="3"/>
      <c r="U1809" s="3"/>
      <c r="V1809" s="3"/>
      <c r="W1809" s="3"/>
      <c r="X1809" s="3"/>
      <c r="Y1809" s="3"/>
      <c r="Z1809" s="53"/>
      <c r="AA1809" s="3"/>
      <c r="AB1809" s="59"/>
      <c r="AC1809" s="3"/>
      <c r="AD1809" s="53"/>
      <c r="AE1809" s="59"/>
    </row>
    <row r="1810" spans="1:31" customFormat="1" ht="15" x14ac:dyDescent="0.35">
      <c r="A1810" s="50"/>
      <c r="B1810" s="63"/>
      <c r="C1810" s="39"/>
      <c r="D1810" s="6"/>
      <c r="E1810" s="153"/>
      <c r="F1810" s="10"/>
      <c r="G1810" s="54"/>
      <c r="H1810" s="3"/>
      <c r="I1810" s="2"/>
      <c r="J1810" s="2"/>
      <c r="K1810" s="3"/>
      <c r="L1810" s="3"/>
      <c r="M1810" s="3"/>
      <c r="N1810" s="3"/>
      <c r="O1810" s="3"/>
      <c r="P1810" s="59"/>
      <c r="Q1810" s="3"/>
      <c r="R1810" s="3"/>
      <c r="S1810" s="3"/>
      <c r="T1810" s="3"/>
      <c r="U1810" s="3"/>
      <c r="V1810" s="3"/>
      <c r="W1810" s="3"/>
      <c r="X1810" s="3"/>
      <c r="Y1810" s="3"/>
      <c r="Z1810" s="53"/>
      <c r="AA1810" s="3"/>
      <c r="AB1810" s="59"/>
      <c r="AC1810" s="3"/>
      <c r="AD1810" s="53"/>
      <c r="AE1810" s="59"/>
    </row>
    <row r="1811" spans="1:31" customFormat="1" ht="15" x14ac:dyDescent="0.35">
      <c r="A1811" s="50"/>
      <c r="B1811" s="63"/>
      <c r="C1811" s="39"/>
      <c r="D1811" s="6"/>
      <c r="E1811" s="153"/>
      <c r="F1811" s="10"/>
      <c r="G1811" s="54"/>
      <c r="H1811" s="3"/>
      <c r="I1811" s="2"/>
      <c r="J1811" s="2"/>
      <c r="K1811" s="3"/>
      <c r="L1811" s="3"/>
      <c r="M1811" s="3"/>
      <c r="N1811" s="3"/>
      <c r="O1811" s="3"/>
      <c r="P1811" s="59"/>
      <c r="Q1811" s="21"/>
      <c r="R1811" s="21"/>
      <c r="S1811" s="3"/>
      <c r="T1811" s="3"/>
      <c r="U1811" s="3"/>
      <c r="V1811" s="3"/>
      <c r="W1811" s="3"/>
      <c r="X1811" s="3"/>
      <c r="Y1811" s="3"/>
      <c r="Z1811" s="53"/>
      <c r="AA1811" s="3"/>
      <c r="AB1811" s="59"/>
      <c r="AC1811" s="3"/>
      <c r="AD1811" s="53"/>
      <c r="AE1811" s="59"/>
    </row>
    <row r="1812" spans="1:31" customFormat="1" ht="15" x14ac:dyDescent="0.35">
      <c r="A1812" s="50"/>
      <c r="B1812" s="63"/>
      <c r="C1812" s="39"/>
      <c r="D1812" s="6"/>
      <c r="E1812" s="153"/>
      <c r="F1812" s="10"/>
      <c r="G1812" s="54"/>
      <c r="H1812" s="3"/>
      <c r="I1812" s="2"/>
      <c r="J1812" s="2"/>
      <c r="K1812" s="3"/>
      <c r="L1812" s="3"/>
      <c r="M1812" s="3"/>
      <c r="N1812" s="3"/>
      <c r="O1812" s="3"/>
      <c r="P1812" s="59"/>
      <c r="Q1812" s="3"/>
      <c r="R1812" s="3"/>
      <c r="S1812" s="3"/>
      <c r="T1812" s="3"/>
      <c r="U1812" s="3"/>
      <c r="V1812" s="3"/>
      <c r="W1812" s="3"/>
      <c r="X1812" s="3"/>
      <c r="Y1812" s="3"/>
      <c r="Z1812" s="53"/>
      <c r="AA1812" s="3"/>
      <c r="AB1812" s="59"/>
      <c r="AC1812" s="3"/>
      <c r="AD1812" s="53"/>
      <c r="AE1812" s="59"/>
    </row>
    <row r="1813" spans="1:31" customFormat="1" ht="15" x14ac:dyDescent="0.35">
      <c r="A1813" s="19"/>
      <c r="B1813" s="49"/>
      <c r="C1813" s="14"/>
      <c r="D1813" s="1"/>
      <c r="E1813" s="153"/>
      <c r="F1813" s="10"/>
      <c r="G1813" s="20"/>
      <c r="H1813" s="21"/>
      <c r="I1813" s="21"/>
      <c r="J1813" s="21"/>
      <c r="K1813" s="21"/>
      <c r="L1813" s="21"/>
      <c r="M1813" s="21"/>
      <c r="N1813" s="22"/>
      <c r="O1813" s="21"/>
      <c r="P1813" s="24"/>
      <c r="Q1813" s="21"/>
      <c r="R1813" s="21"/>
      <c r="S1813" s="21"/>
      <c r="T1813" s="21"/>
      <c r="U1813" s="21"/>
      <c r="V1813" s="22"/>
      <c r="W1813" s="21"/>
      <c r="X1813" s="22"/>
      <c r="Y1813" s="21"/>
      <c r="Z1813" s="20"/>
      <c r="AA1813" s="21"/>
      <c r="AB1813" s="25"/>
      <c r="AC1813" s="26"/>
      <c r="AD1813" s="27"/>
      <c r="AE1813" s="28"/>
    </row>
    <row r="1814" spans="1:31" customFormat="1" ht="15" x14ac:dyDescent="0.35">
      <c r="A1814" s="50"/>
      <c r="B1814" s="63"/>
      <c r="C1814" s="39"/>
      <c r="D1814" s="6"/>
      <c r="E1814" s="153"/>
      <c r="F1814" s="10"/>
      <c r="G1814" s="54"/>
      <c r="H1814" s="3"/>
      <c r="I1814" s="2"/>
      <c r="J1814" s="2"/>
      <c r="K1814" s="3"/>
      <c r="L1814" s="3"/>
      <c r="M1814" s="3"/>
      <c r="N1814" s="3"/>
      <c r="O1814" s="3"/>
      <c r="P1814" s="59"/>
      <c r="Q1814" s="3"/>
      <c r="R1814" s="3"/>
      <c r="S1814" s="3"/>
      <c r="T1814" s="3"/>
      <c r="U1814" s="3"/>
      <c r="V1814" s="3"/>
      <c r="W1814" s="3"/>
      <c r="X1814" s="3"/>
      <c r="Y1814" s="3"/>
      <c r="Z1814" s="53"/>
      <c r="AA1814" s="3"/>
      <c r="AB1814" s="59"/>
      <c r="AC1814" s="3"/>
      <c r="AD1814" s="53"/>
      <c r="AE1814" s="59"/>
    </row>
    <row r="1815" spans="1:31" customFormat="1" ht="15" x14ac:dyDescent="0.35">
      <c r="A1815" s="50"/>
      <c r="B1815" s="63"/>
      <c r="C1815" s="39"/>
      <c r="D1815" s="6"/>
      <c r="E1815" s="153"/>
      <c r="F1815" s="10"/>
      <c r="G1815" s="53"/>
      <c r="H1815" s="3"/>
      <c r="I1815" s="3"/>
      <c r="J1815" s="3"/>
      <c r="K1815" s="3"/>
      <c r="L1815" s="3"/>
      <c r="M1815" s="3"/>
      <c r="N1815" s="3"/>
      <c r="O1815" s="3"/>
      <c r="P1815" s="59"/>
      <c r="Q1815" s="21"/>
      <c r="R1815" s="21"/>
      <c r="S1815" s="3"/>
      <c r="T1815" s="3"/>
      <c r="U1815" s="3"/>
      <c r="V1815" s="3"/>
      <c r="W1815" s="3"/>
      <c r="X1815" s="3"/>
      <c r="Y1815" s="3"/>
      <c r="Z1815" s="53"/>
      <c r="AA1815" s="3"/>
      <c r="AB1815" s="59"/>
      <c r="AC1815" s="3"/>
      <c r="AD1815" s="53"/>
      <c r="AE1815" s="59"/>
    </row>
    <row r="1816" spans="1:31" customFormat="1" ht="15" x14ac:dyDescent="0.35">
      <c r="A1816" s="50"/>
      <c r="B1816" s="63"/>
      <c r="C1816" s="39"/>
      <c r="D1816" s="6"/>
      <c r="E1816" s="153"/>
      <c r="F1816" s="10"/>
      <c r="G1816" s="53"/>
      <c r="H1816" s="3"/>
      <c r="I1816" s="3"/>
      <c r="J1816" s="3"/>
      <c r="K1816" s="3"/>
      <c r="L1816" s="3"/>
      <c r="M1816" s="3"/>
      <c r="N1816" s="3"/>
      <c r="O1816" s="3"/>
      <c r="P1816" s="59"/>
      <c r="Q1816" s="21"/>
      <c r="R1816" s="21"/>
      <c r="S1816" s="3"/>
      <c r="T1816" s="3"/>
      <c r="U1816" s="3"/>
      <c r="V1816" s="3"/>
      <c r="W1816" s="3"/>
      <c r="X1816" s="3"/>
      <c r="Y1816" s="3"/>
      <c r="Z1816" s="53"/>
      <c r="AA1816" s="3"/>
      <c r="AB1816" s="59"/>
      <c r="AC1816" s="3"/>
      <c r="AD1816" s="53"/>
      <c r="AE1816" s="59"/>
    </row>
    <row r="1817" spans="1:31" customFormat="1" ht="15" x14ac:dyDescent="0.35">
      <c r="A1817" s="50"/>
      <c r="B1817" s="63"/>
      <c r="C1817" s="39"/>
      <c r="D1817" s="6"/>
      <c r="E1817" s="153"/>
      <c r="F1817" s="10"/>
      <c r="G1817" s="54"/>
      <c r="H1817" s="3"/>
      <c r="I1817" s="2"/>
      <c r="J1817" s="2"/>
      <c r="K1817" s="3"/>
      <c r="L1817" s="3"/>
      <c r="M1817" s="3"/>
      <c r="N1817" s="3"/>
      <c r="O1817" s="3"/>
      <c r="P1817" s="59"/>
      <c r="Q1817" s="3"/>
      <c r="R1817" s="3"/>
      <c r="S1817" s="3"/>
      <c r="T1817" s="3"/>
      <c r="U1817" s="3"/>
      <c r="V1817" s="3"/>
      <c r="W1817" s="3"/>
      <c r="X1817" s="3"/>
      <c r="Y1817" s="3"/>
      <c r="Z1817" s="53"/>
      <c r="AA1817" s="3"/>
      <c r="AB1817" s="59"/>
      <c r="AC1817" s="3"/>
      <c r="AD1817" s="53"/>
      <c r="AE1817" s="59"/>
    </row>
    <row r="1818" spans="1:31" customFormat="1" ht="15" x14ac:dyDescent="0.35">
      <c r="A1818" s="50"/>
      <c r="B1818" s="63"/>
      <c r="C1818" s="39"/>
      <c r="D1818" s="6"/>
      <c r="E1818" s="153"/>
      <c r="F1818" s="10"/>
      <c r="G1818" s="54"/>
      <c r="H1818" s="3"/>
      <c r="I1818" s="2"/>
      <c r="J1818" s="2"/>
      <c r="K1818" s="3"/>
      <c r="L1818" s="3"/>
      <c r="M1818" s="3"/>
      <c r="N1818" s="3"/>
      <c r="O1818" s="3"/>
      <c r="P1818" s="59"/>
      <c r="Q1818" s="3"/>
      <c r="R1818" s="3"/>
      <c r="S1818" s="3"/>
      <c r="T1818" s="3"/>
      <c r="U1818" s="3"/>
      <c r="V1818" s="3"/>
      <c r="W1818" s="3"/>
      <c r="X1818" s="3"/>
      <c r="Y1818" s="3"/>
      <c r="Z1818" s="53"/>
      <c r="AA1818" s="3"/>
      <c r="AB1818" s="59"/>
      <c r="AC1818" s="3"/>
      <c r="AD1818" s="53"/>
      <c r="AE1818" s="59"/>
    </row>
    <row r="1819" spans="1:31" customFormat="1" ht="15" x14ac:dyDescent="0.35">
      <c r="A1819" s="50"/>
      <c r="B1819" s="63"/>
      <c r="C1819" s="39"/>
      <c r="D1819" s="6"/>
      <c r="E1819" s="153"/>
      <c r="F1819" s="10"/>
      <c r="G1819" s="54"/>
      <c r="H1819" s="3"/>
      <c r="I1819" s="2"/>
      <c r="J1819" s="2"/>
      <c r="K1819" s="3"/>
      <c r="L1819" s="3"/>
      <c r="M1819" s="3"/>
      <c r="N1819" s="3"/>
      <c r="O1819" s="3"/>
      <c r="P1819" s="59"/>
      <c r="Q1819" s="3"/>
      <c r="R1819" s="3"/>
      <c r="S1819" s="3"/>
      <c r="T1819" s="3"/>
      <c r="U1819" s="3"/>
      <c r="V1819" s="3"/>
      <c r="W1819" s="3"/>
      <c r="X1819" s="3"/>
      <c r="Y1819" s="3"/>
      <c r="Z1819" s="53"/>
      <c r="AA1819" s="3"/>
      <c r="AB1819" s="59"/>
      <c r="AC1819" s="3"/>
      <c r="AD1819" s="53"/>
      <c r="AE1819" s="59"/>
    </row>
    <row r="1820" spans="1:31" customFormat="1" ht="15" x14ac:dyDescent="0.35">
      <c r="A1820" s="50"/>
      <c r="B1820" s="63"/>
      <c r="C1820" s="39"/>
      <c r="D1820" s="6"/>
      <c r="E1820" s="153"/>
      <c r="F1820" s="10"/>
      <c r="G1820" s="54"/>
      <c r="H1820" s="3"/>
      <c r="I1820" s="2"/>
      <c r="J1820" s="2"/>
      <c r="K1820" s="3"/>
      <c r="L1820" s="3"/>
      <c r="M1820" s="3"/>
      <c r="N1820" s="3"/>
      <c r="O1820" s="3"/>
      <c r="P1820" s="59"/>
      <c r="Q1820" s="3"/>
      <c r="R1820" s="3"/>
      <c r="S1820" s="3"/>
      <c r="T1820" s="3"/>
      <c r="U1820" s="3"/>
      <c r="V1820" s="3"/>
      <c r="W1820" s="3"/>
      <c r="X1820" s="3"/>
      <c r="Y1820" s="3"/>
      <c r="Z1820" s="53"/>
      <c r="AA1820" s="3"/>
      <c r="AB1820" s="59"/>
      <c r="AC1820" s="3"/>
      <c r="AD1820" s="53"/>
      <c r="AE1820" s="59"/>
    </row>
    <row r="1821" spans="1:31" customFormat="1" ht="15" x14ac:dyDescent="0.35">
      <c r="A1821" s="19"/>
      <c r="B1821" s="49"/>
      <c r="C1821" s="39"/>
      <c r="D1821" s="1"/>
      <c r="E1821" s="153"/>
      <c r="F1821" s="10"/>
      <c r="G1821" s="20"/>
      <c r="H1821" s="21"/>
      <c r="I1821" s="21"/>
      <c r="J1821" s="21"/>
      <c r="K1821" s="21"/>
      <c r="L1821" s="21"/>
      <c r="M1821" s="21"/>
      <c r="N1821" s="22"/>
      <c r="O1821" s="21"/>
      <c r="P1821" s="24"/>
      <c r="Q1821" s="21"/>
      <c r="R1821" s="21"/>
      <c r="S1821" s="21"/>
      <c r="T1821" s="21"/>
      <c r="U1821" s="21"/>
      <c r="V1821" s="22"/>
      <c r="W1821" s="21"/>
      <c r="X1821" s="22"/>
      <c r="Y1821" s="21"/>
      <c r="Z1821" s="20"/>
      <c r="AA1821" s="21"/>
      <c r="AB1821" s="25"/>
      <c r="AC1821" s="26"/>
      <c r="AD1821" s="27"/>
      <c r="AE1821" s="28"/>
    </row>
    <row r="1822" spans="1:31" customFormat="1" ht="15" x14ac:dyDescent="0.35">
      <c r="A1822" s="50"/>
      <c r="B1822" s="63"/>
      <c r="C1822" s="39"/>
      <c r="D1822" s="6"/>
      <c r="E1822" s="153"/>
      <c r="F1822" s="10"/>
      <c r="G1822" s="53"/>
      <c r="H1822" s="3"/>
      <c r="I1822" s="3"/>
      <c r="J1822" s="3"/>
      <c r="K1822" s="3"/>
      <c r="L1822" s="3"/>
      <c r="M1822" s="3"/>
      <c r="N1822" s="3"/>
      <c r="O1822" s="3"/>
      <c r="P1822" s="59"/>
      <c r="Q1822" s="21"/>
      <c r="R1822" s="21"/>
      <c r="S1822" s="3"/>
      <c r="T1822" s="3"/>
      <c r="U1822" s="3"/>
      <c r="V1822" s="3"/>
      <c r="W1822" s="3"/>
      <c r="X1822" s="3"/>
      <c r="Y1822" s="3"/>
      <c r="Z1822" s="53"/>
      <c r="AA1822" s="3"/>
      <c r="AB1822" s="59"/>
      <c r="AC1822" s="3"/>
      <c r="AD1822" s="53"/>
      <c r="AE1822" s="59"/>
    </row>
    <row r="1823" spans="1:31" customFormat="1" ht="15" x14ac:dyDescent="0.35">
      <c r="A1823" s="50"/>
      <c r="B1823" s="63"/>
      <c r="C1823" s="39"/>
      <c r="D1823" s="6"/>
      <c r="E1823" s="153"/>
      <c r="F1823" s="10"/>
      <c r="G1823" s="53"/>
      <c r="H1823" s="3"/>
      <c r="I1823" s="3"/>
      <c r="J1823" s="3"/>
      <c r="K1823" s="3"/>
      <c r="L1823" s="3"/>
      <c r="M1823" s="3"/>
      <c r="N1823" s="3"/>
      <c r="O1823" s="3"/>
      <c r="P1823" s="59"/>
      <c r="Q1823" s="21"/>
      <c r="R1823" s="21"/>
      <c r="S1823" s="3"/>
      <c r="T1823" s="3"/>
      <c r="U1823" s="3"/>
      <c r="V1823" s="3"/>
      <c r="W1823" s="3"/>
      <c r="X1823" s="3"/>
      <c r="Y1823" s="3"/>
      <c r="Z1823" s="53"/>
      <c r="AA1823" s="3"/>
      <c r="AB1823" s="59"/>
      <c r="AC1823" s="3"/>
      <c r="AD1823" s="53"/>
      <c r="AE1823" s="59"/>
    </row>
    <row r="1824" spans="1:31" customFormat="1" ht="15" x14ac:dyDescent="0.35">
      <c r="A1824" s="50"/>
      <c r="B1824" s="63"/>
      <c r="C1824" s="39"/>
      <c r="D1824" s="6"/>
      <c r="E1824" s="153"/>
      <c r="F1824" s="10"/>
      <c r="G1824" s="54"/>
      <c r="H1824" s="3"/>
      <c r="I1824" s="2"/>
      <c r="J1824" s="2"/>
      <c r="K1824" s="3"/>
      <c r="L1824" s="3"/>
      <c r="M1824" s="3"/>
      <c r="N1824" s="3"/>
      <c r="O1824" s="3"/>
      <c r="P1824" s="59"/>
      <c r="Q1824" s="3"/>
      <c r="R1824" s="3"/>
      <c r="S1824" s="3"/>
      <c r="T1824" s="3"/>
      <c r="U1824" s="3"/>
      <c r="V1824" s="3"/>
      <c r="W1824" s="3"/>
      <c r="X1824" s="3"/>
      <c r="Y1824" s="3"/>
      <c r="Z1824" s="53"/>
      <c r="AA1824" s="3"/>
      <c r="AB1824" s="59"/>
      <c r="AC1824" s="3"/>
      <c r="AD1824" s="53"/>
      <c r="AE1824" s="59"/>
    </row>
    <row r="1825" spans="1:31" customFormat="1" ht="15" x14ac:dyDescent="0.35">
      <c r="A1825" s="50"/>
      <c r="B1825" s="63"/>
      <c r="C1825" s="39"/>
      <c r="D1825" s="6"/>
      <c r="E1825" s="153"/>
      <c r="F1825" s="10"/>
      <c r="G1825" s="54"/>
      <c r="H1825" s="3"/>
      <c r="I1825" s="2"/>
      <c r="J1825" s="2"/>
      <c r="K1825" s="3"/>
      <c r="L1825" s="3"/>
      <c r="M1825" s="3"/>
      <c r="N1825" s="3"/>
      <c r="O1825" s="3"/>
      <c r="P1825" s="59"/>
      <c r="Q1825" s="3"/>
      <c r="R1825" s="3"/>
      <c r="S1825" s="3"/>
      <c r="T1825" s="3"/>
      <c r="U1825" s="3"/>
      <c r="V1825" s="3"/>
      <c r="W1825" s="3"/>
      <c r="X1825" s="3"/>
      <c r="Y1825" s="3"/>
      <c r="Z1825" s="53"/>
      <c r="AA1825" s="3"/>
      <c r="AB1825" s="59"/>
      <c r="AC1825" s="3"/>
      <c r="AD1825" s="53"/>
      <c r="AE1825" s="59"/>
    </row>
    <row r="1826" spans="1:31" customFormat="1" ht="15" x14ac:dyDescent="0.35">
      <c r="A1826" s="50"/>
      <c r="B1826" s="63"/>
      <c r="C1826" s="39"/>
      <c r="D1826" s="6"/>
      <c r="E1826" s="153"/>
      <c r="F1826" s="10"/>
      <c r="G1826" s="54"/>
      <c r="H1826" s="3"/>
      <c r="I1826" s="2"/>
      <c r="J1826" s="2"/>
      <c r="K1826" s="3"/>
      <c r="L1826" s="3"/>
      <c r="M1826" s="3"/>
      <c r="N1826" s="3"/>
      <c r="O1826" s="3"/>
      <c r="P1826" s="59"/>
      <c r="Q1826" s="3"/>
      <c r="R1826" s="3"/>
      <c r="S1826" s="3"/>
      <c r="T1826" s="3"/>
      <c r="U1826" s="3"/>
      <c r="V1826" s="3"/>
      <c r="W1826" s="3"/>
      <c r="X1826" s="3"/>
      <c r="Y1826" s="3"/>
      <c r="Z1826" s="53"/>
      <c r="AA1826" s="3"/>
      <c r="AB1826" s="59"/>
      <c r="AC1826" s="3"/>
      <c r="AD1826" s="53"/>
      <c r="AE1826" s="59"/>
    </row>
    <row r="1827" spans="1:31" customFormat="1" ht="15" x14ac:dyDescent="0.35">
      <c r="A1827" s="50"/>
      <c r="B1827" s="63"/>
      <c r="C1827" s="39"/>
      <c r="D1827" s="6"/>
      <c r="E1827" s="153"/>
      <c r="F1827" s="10"/>
      <c r="G1827" s="53"/>
      <c r="H1827" s="3"/>
      <c r="I1827" s="3"/>
      <c r="J1827" s="3"/>
      <c r="K1827" s="3"/>
      <c r="L1827" s="3"/>
      <c r="M1827" s="3"/>
      <c r="N1827" s="3"/>
      <c r="O1827" s="3"/>
      <c r="P1827" s="59"/>
      <c r="Q1827" s="21"/>
      <c r="R1827" s="21"/>
      <c r="S1827" s="3"/>
      <c r="T1827" s="3"/>
      <c r="U1827" s="3"/>
      <c r="V1827" s="3"/>
      <c r="W1827" s="3"/>
      <c r="X1827" s="3"/>
      <c r="Y1827" s="3"/>
      <c r="Z1827" s="53"/>
      <c r="AA1827" s="3"/>
      <c r="AB1827" s="59"/>
      <c r="AC1827" s="3"/>
      <c r="AD1827" s="53"/>
      <c r="AE1827" s="59"/>
    </row>
    <row r="1828" spans="1:31" customFormat="1" ht="15" x14ac:dyDescent="0.35">
      <c r="A1828" s="50"/>
      <c r="B1828" s="63"/>
      <c r="C1828" s="39"/>
      <c r="D1828" s="6"/>
      <c r="E1828" s="153"/>
      <c r="F1828" s="10"/>
      <c r="G1828" s="53"/>
      <c r="H1828" s="3"/>
      <c r="I1828" s="3"/>
      <c r="J1828" s="3"/>
      <c r="K1828" s="3"/>
      <c r="L1828" s="3"/>
      <c r="M1828" s="3"/>
      <c r="N1828" s="3"/>
      <c r="O1828" s="3"/>
      <c r="P1828" s="59"/>
      <c r="Q1828" s="21"/>
      <c r="R1828" s="21"/>
      <c r="S1828" s="3"/>
      <c r="T1828" s="3"/>
      <c r="U1828" s="3"/>
      <c r="V1828" s="3"/>
      <c r="W1828" s="3"/>
      <c r="X1828" s="3"/>
      <c r="Y1828" s="3"/>
      <c r="Z1828" s="53"/>
      <c r="AA1828" s="3"/>
      <c r="AB1828" s="59"/>
      <c r="AC1828" s="3"/>
      <c r="AD1828" s="53"/>
      <c r="AE1828" s="59"/>
    </row>
    <row r="1829" spans="1:31" customFormat="1" ht="15" x14ac:dyDescent="0.35">
      <c r="A1829" s="50"/>
      <c r="B1829" s="63"/>
      <c r="C1829" s="39"/>
      <c r="D1829" s="6"/>
      <c r="E1829" s="153"/>
      <c r="F1829" s="10"/>
      <c r="G1829" s="53"/>
      <c r="H1829" s="3"/>
      <c r="I1829" s="3"/>
      <c r="J1829" s="3"/>
      <c r="K1829" s="3"/>
      <c r="L1829" s="3"/>
      <c r="M1829" s="3"/>
      <c r="N1829" s="3"/>
      <c r="O1829" s="3"/>
      <c r="P1829" s="59"/>
      <c r="Q1829" s="21"/>
      <c r="R1829" s="21"/>
      <c r="S1829" s="3"/>
      <c r="T1829" s="3"/>
      <c r="U1829" s="3"/>
      <c r="V1829" s="3"/>
      <c r="W1829" s="3"/>
      <c r="X1829" s="3"/>
      <c r="Y1829" s="3"/>
      <c r="Z1829" s="53"/>
      <c r="AA1829" s="3"/>
      <c r="AB1829" s="59"/>
      <c r="AC1829" s="3"/>
      <c r="AD1829" s="53"/>
      <c r="AE1829" s="59"/>
    </row>
    <row r="1830" spans="1:31" customFormat="1" ht="15" x14ac:dyDescent="0.35">
      <c r="A1830" s="50"/>
      <c r="B1830" s="63"/>
      <c r="C1830" s="39"/>
      <c r="D1830" s="6"/>
      <c r="E1830" s="153"/>
      <c r="F1830" s="10"/>
      <c r="G1830" s="54"/>
      <c r="H1830" s="3"/>
      <c r="I1830" s="2"/>
      <c r="J1830" s="2"/>
      <c r="K1830" s="3"/>
      <c r="L1830" s="3"/>
      <c r="M1830" s="3"/>
      <c r="N1830" s="3"/>
      <c r="O1830" s="3"/>
      <c r="P1830" s="59"/>
      <c r="Q1830" s="3"/>
      <c r="R1830" s="3"/>
      <c r="S1830" s="3"/>
      <c r="T1830" s="3"/>
      <c r="U1830" s="3"/>
      <c r="V1830" s="3"/>
      <c r="W1830" s="3"/>
      <c r="X1830" s="3"/>
      <c r="Y1830" s="3"/>
      <c r="Z1830" s="53"/>
      <c r="AA1830" s="3"/>
      <c r="AB1830" s="59"/>
      <c r="AC1830" s="3"/>
      <c r="AD1830" s="53"/>
      <c r="AE1830" s="59"/>
    </row>
    <row r="1831" spans="1:31" customFormat="1" ht="15" x14ac:dyDescent="0.35">
      <c r="A1831" s="50"/>
      <c r="B1831" s="63"/>
      <c r="C1831" s="39"/>
      <c r="D1831" s="6"/>
      <c r="E1831" s="153"/>
      <c r="F1831" s="10"/>
      <c r="G1831" s="54"/>
      <c r="H1831" s="3"/>
      <c r="I1831" s="2"/>
      <c r="J1831" s="2"/>
      <c r="K1831" s="3"/>
      <c r="L1831" s="3"/>
      <c r="M1831" s="3"/>
      <c r="N1831" s="3"/>
      <c r="O1831" s="3"/>
      <c r="P1831" s="59"/>
      <c r="Q1831" s="21"/>
      <c r="R1831" s="21"/>
      <c r="S1831" s="3"/>
      <c r="T1831" s="3"/>
      <c r="U1831" s="3"/>
      <c r="V1831" s="3"/>
      <c r="W1831" s="3"/>
      <c r="X1831" s="3"/>
      <c r="Y1831" s="3"/>
      <c r="Z1831" s="53"/>
      <c r="AA1831" s="3"/>
      <c r="AB1831" s="59"/>
      <c r="AC1831" s="3"/>
      <c r="AD1831" s="53"/>
      <c r="AE1831" s="59"/>
    </row>
    <row r="1832" spans="1:31" customFormat="1" ht="15" x14ac:dyDescent="0.35">
      <c r="A1832" s="50"/>
      <c r="B1832" s="63"/>
      <c r="C1832" s="39"/>
      <c r="D1832" s="6"/>
      <c r="E1832" s="153"/>
      <c r="F1832" s="10"/>
      <c r="G1832" s="53"/>
      <c r="H1832" s="3"/>
      <c r="I1832" s="3"/>
      <c r="J1832" s="3"/>
      <c r="K1832" s="3"/>
      <c r="L1832" s="3"/>
      <c r="M1832" s="3"/>
      <c r="N1832" s="3"/>
      <c r="O1832" s="3"/>
      <c r="P1832" s="59"/>
      <c r="Q1832" s="21"/>
      <c r="R1832" s="21"/>
      <c r="S1832" s="3"/>
      <c r="T1832" s="3"/>
      <c r="U1832" s="3"/>
      <c r="V1832" s="3"/>
      <c r="W1832" s="3"/>
      <c r="X1832" s="3"/>
      <c r="Y1832" s="3"/>
      <c r="Z1832" s="53"/>
      <c r="AA1832" s="3"/>
      <c r="AB1832" s="59"/>
      <c r="AC1832" s="3"/>
      <c r="AD1832" s="53"/>
      <c r="AE1832" s="59"/>
    </row>
    <row r="1833" spans="1:31" customFormat="1" ht="15" x14ac:dyDescent="0.35">
      <c r="A1833" s="50"/>
      <c r="B1833" s="63"/>
      <c r="C1833" s="39"/>
      <c r="D1833" s="6"/>
      <c r="E1833" s="153"/>
      <c r="F1833" s="10"/>
      <c r="G1833" s="53"/>
      <c r="H1833" s="3"/>
      <c r="I1833" s="3"/>
      <c r="J1833" s="3"/>
      <c r="K1833" s="3"/>
      <c r="L1833" s="3"/>
      <c r="M1833" s="3"/>
      <c r="N1833" s="3"/>
      <c r="O1833" s="3"/>
      <c r="P1833" s="59"/>
      <c r="Q1833" s="21"/>
      <c r="R1833" s="21"/>
      <c r="S1833" s="3"/>
      <c r="T1833" s="3"/>
      <c r="U1833" s="3"/>
      <c r="V1833" s="3"/>
      <c r="W1833" s="3"/>
      <c r="X1833" s="3"/>
      <c r="Y1833" s="3"/>
      <c r="Z1833" s="53"/>
      <c r="AA1833" s="3"/>
      <c r="AB1833" s="59"/>
      <c r="AC1833" s="3"/>
      <c r="AD1833" s="53"/>
      <c r="AE1833" s="59"/>
    </row>
    <row r="1834" spans="1:31" customFormat="1" ht="15" x14ac:dyDescent="0.35">
      <c r="A1834" s="50"/>
      <c r="B1834" s="63"/>
      <c r="C1834" s="39"/>
      <c r="D1834" s="6"/>
      <c r="E1834" s="153"/>
      <c r="F1834" s="10"/>
      <c r="G1834" s="54"/>
      <c r="H1834" s="3"/>
      <c r="I1834" s="2"/>
      <c r="J1834" s="2"/>
      <c r="K1834" s="3"/>
      <c r="L1834" s="3"/>
      <c r="M1834" s="3"/>
      <c r="N1834" s="3"/>
      <c r="O1834" s="3"/>
      <c r="P1834" s="59"/>
      <c r="Q1834" s="3"/>
      <c r="R1834" s="3"/>
      <c r="S1834" s="3"/>
      <c r="T1834" s="3"/>
      <c r="U1834" s="3"/>
      <c r="V1834" s="3"/>
      <c r="W1834" s="3"/>
      <c r="X1834" s="3"/>
      <c r="Y1834" s="3"/>
      <c r="Z1834" s="53"/>
      <c r="AA1834" s="3"/>
      <c r="AB1834" s="59"/>
      <c r="AC1834" s="3"/>
      <c r="AD1834" s="53"/>
      <c r="AE1834" s="59"/>
    </row>
    <row r="1835" spans="1:31" customFormat="1" ht="15" x14ac:dyDescent="0.35">
      <c r="A1835" s="19"/>
      <c r="B1835" s="49"/>
      <c r="C1835" s="14"/>
      <c r="D1835" s="1"/>
      <c r="E1835" s="153"/>
      <c r="F1835" s="10"/>
      <c r="G1835" s="20"/>
      <c r="H1835" s="21"/>
      <c r="I1835" s="21"/>
      <c r="J1835" s="21"/>
      <c r="K1835" s="21"/>
      <c r="L1835" s="21"/>
      <c r="M1835" s="21"/>
      <c r="N1835" s="22"/>
      <c r="O1835" s="21"/>
      <c r="P1835" s="24"/>
      <c r="Q1835" s="21"/>
      <c r="R1835" s="21"/>
      <c r="S1835" s="21"/>
      <c r="T1835" s="21"/>
      <c r="U1835" s="21"/>
      <c r="V1835" s="22"/>
      <c r="W1835" s="21"/>
      <c r="X1835" s="22"/>
      <c r="Y1835" s="21"/>
      <c r="Z1835" s="20"/>
      <c r="AA1835" s="21"/>
      <c r="AB1835" s="25"/>
      <c r="AC1835" s="26"/>
      <c r="AD1835" s="27"/>
      <c r="AE1835" s="28"/>
    </row>
    <row r="1836" spans="1:31" customFormat="1" ht="15" x14ac:dyDescent="0.35">
      <c r="A1836" s="19"/>
      <c r="B1836" s="49"/>
      <c r="C1836" s="39"/>
      <c r="D1836" s="1"/>
      <c r="E1836" s="153"/>
      <c r="F1836" s="10"/>
      <c r="G1836" s="20"/>
      <c r="H1836" s="21"/>
      <c r="I1836" s="21"/>
      <c r="J1836" s="21"/>
      <c r="K1836" s="21"/>
      <c r="L1836" s="21"/>
      <c r="M1836" s="21"/>
      <c r="N1836" s="22"/>
      <c r="O1836" s="21"/>
      <c r="P1836" s="24"/>
      <c r="Q1836" s="21"/>
      <c r="R1836" s="21"/>
      <c r="S1836" s="21"/>
      <c r="T1836" s="21"/>
      <c r="U1836" s="21"/>
      <c r="V1836" s="22"/>
      <c r="W1836" s="21"/>
      <c r="X1836" s="22"/>
      <c r="Y1836" s="21"/>
      <c r="Z1836" s="20"/>
      <c r="AA1836" s="21"/>
      <c r="AB1836" s="25"/>
      <c r="AC1836" s="26"/>
      <c r="AD1836" s="27"/>
      <c r="AE1836" s="28"/>
    </row>
    <row r="1837" spans="1:31" customFormat="1" ht="15" x14ac:dyDescent="0.35">
      <c r="A1837" s="50"/>
      <c r="B1837" s="63"/>
      <c r="C1837" s="39"/>
      <c r="D1837" s="6"/>
      <c r="E1837" s="153"/>
      <c r="F1837" s="10"/>
      <c r="G1837" s="53"/>
      <c r="H1837" s="3"/>
      <c r="I1837" s="3"/>
      <c r="J1837" s="3"/>
      <c r="K1837" s="3"/>
      <c r="L1837" s="3"/>
      <c r="M1837" s="3"/>
      <c r="N1837" s="3"/>
      <c r="O1837" s="3"/>
      <c r="P1837" s="59"/>
      <c r="Q1837" s="21"/>
      <c r="R1837" s="21"/>
      <c r="S1837" s="3"/>
      <c r="T1837" s="3"/>
      <c r="U1837" s="3"/>
      <c r="V1837" s="3"/>
      <c r="W1837" s="3"/>
      <c r="X1837" s="3"/>
      <c r="Y1837" s="3"/>
      <c r="Z1837" s="53"/>
      <c r="AA1837" s="3"/>
      <c r="AB1837" s="59"/>
      <c r="AC1837" s="3"/>
      <c r="AD1837" s="53"/>
      <c r="AE1837" s="59"/>
    </row>
    <row r="1838" spans="1:31" customFormat="1" ht="15" x14ac:dyDescent="0.35">
      <c r="A1838" s="50"/>
      <c r="B1838" s="63"/>
      <c r="C1838" s="39"/>
      <c r="D1838" s="6"/>
      <c r="E1838" s="153"/>
      <c r="F1838" s="10"/>
      <c r="G1838" s="54"/>
      <c r="H1838" s="3"/>
      <c r="I1838" s="2"/>
      <c r="J1838" s="2"/>
      <c r="K1838" s="3"/>
      <c r="L1838" s="3"/>
      <c r="M1838" s="3"/>
      <c r="N1838" s="3"/>
      <c r="O1838" s="3"/>
      <c r="P1838" s="59"/>
      <c r="Q1838" s="3"/>
      <c r="R1838" s="3"/>
      <c r="S1838" s="3"/>
      <c r="T1838" s="3"/>
      <c r="U1838" s="3"/>
      <c r="V1838" s="3"/>
      <c r="W1838" s="3"/>
      <c r="X1838" s="3"/>
      <c r="Y1838" s="3"/>
      <c r="Z1838" s="53"/>
      <c r="AA1838" s="3"/>
      <c r="AB1838" s="59"/>
      <c r="AC1838" s="3"/>
      <c r="AD1838" s="53"/>
      <c r="AE1838" s="59"/>
    </row>
    <row r="1839" spans="1:31" customFormat="1" ht="15" x14ac:dyDescent="0.35">
      <c r="A1839" s="50"/>
      <c r="B1839" s="63"/>
      <c r="C1839" s="39"/>
      <c r="D1839" s="6"/>
      <c r="E1839" s="153"/>
      <c r="F1839" s="10"/>
      <c r="G1839" s="53"/>
      <c r="H1839" s="3"/>
      <c r="I1839" s="3"/>
      <c r="J1839" s="3"/>
      <c r="K1839" s="3"/>
      <c r="L1839" s="3"/>
      <c r="M1839" s="3"/>
      <c r="N1839" s="3"/>
      <c r="O1839" s="3"/>
      <c r="P1839" s="59"/>
      <c r="Q1839" s="21"/>
      <c r="R1839" s="21"/>
      <c r="S1839" s="3"/>
      <c r="T1839" s="3"/>
      <c r="U1839" s="3"/>
      <c r="V1839" s="3"/>
      <c r="W1839" s="3"/>
      <c r="X1839" s="3"/>
      <c r="Y1839" s="3"/>
      <c r="Z1839" s="53"/>
      <c r="AA1839" s="3"/>
      <c r="AB1839" s="59"/>
      <c r="AC1839" s="3"/>
      <c r="AD1839" s="53"/>
      <c r="AE1839" s="59"/>
    </row>
    <row r="1840" spans="1:31" customFormat="1" ht="15" x14ac:dyDescent="0.35">
      <c r="A1840" s="50"/>
      <c r="B1840" s="63"/>
      <c r="C1840" s="39"/>
      <c r="D1840" s="6"/>
      <c r="E1840" s="153"/>
      <c r="F1840" s="10"/>
      <c r="G1840" s="53"/>
      <c r="H1840" s="3"/>
      <c r="I1840" s="3"/>
      <c r="J1840" s="3"/>
      <c r="K1840" s="3"/>
      <c r="L1840" s="3"/>
      <c r="M1840" s="3"/>
      <c r="N1840" s="3"/>
      <c r="O1840" s="3"/>
      <c r="P1840" s="59"/>
      <c r="Q1840" s="21"/>
      <c r="R1840" s="21"/>
      <c r="S1840" s="3"/>
      <c r="T1840" s="3"/>
      <c r="U1840" s="3"/>
      <c r="V1840" s="3"/>
      <c r="W1840" s="3"/>
      <c r="X1840" s="3"/>
      <c r="Y1840" s="3"/>
      <c r="Z1840" s="53"/>
      <c r="AA1840" s="3"/>
      <c r="AB1840" s="59"/>
      <c r="AC1840" s="3"/>
      <c r="AD1840" s="53"/>
      <c r="AE1840" s="59"/>
    </row>
    <row r="1841" spans="1:31" customFormat="1" ht="15" x14ac:dyDescent="0.35">
      <c r="A1841" s="50"/>
      <c r="B1841" s="63"/>
      <c r="C1841" s="39"/>
      <c r="D1841" s="6"/>
      <c r="E1841" s="153"/>
      <c r="F1841" s="10"/>
      <c r="G1841" s="54"/>
      <c r="H1841" s="3"/>
      <c r="I1841" s="2"/>
      <c r="J1841" s="2"/>
      <c r="K1841" s="3"/>
      <c r="L1841" s="3"/>
      <c r="M1841" s="3"/>
      <c r="N1841" s="3"/>
      <c r="O1841" s="3"/>
      <c r="P1841" s="59"/>
      <c r="Q1841" s="3"/>
      <c r="R1841" s="3"/>
      <c r="S1841" s="3"/>
      <c r="T1841" s="3"/>
      <c r="U1841" s="3"/>
      <c r="V1841" s="3"/>
      <c r="W1841" s="3"/>
      <c r="X1841" s="3"/>
      <c r="Y1841" s="3"/>
      <c r="Z1841" s="53"/>
      <c r="AA1841" s="3"/>
      <c r="AB1841" s="59"/>
      <c r="AC1841" s="3"/>
      <c r="AD1841" s="53"/>
      <c r="AE1841" s="59"/>
    </row>
    <row r="1842" spans="1:31" customFormat="1" ht="15" x14ac:dyDescent="0.35">
      <c r="A1842" s="19"/>
      <c r="B1842" s="49"/>
      <c r="C1842" s="39"/>
      <c r="D1842" s="1"/>
      <c r="E1842" s="153"/>
      <c r="F1842" s="10"/>
      <c r="G1842" s="20"/>
      <c r="H1842" s="21"/>
      <c r="I1842" s="21"/>
      <c r="J1842" s="21"/>
      <c r="K1842" s="21"/>
      <c r="L1842" s="21"/>
      <c r="M1842" s="21"/>
      <c r="N1842" s="22"/>
      <c r="O1842" s="21"/>
      <c r="P1842" s="24"/>
      <c r="Q1842" s="21"/>
      <c r="R1842" s="21"/>
      <c r="S1842" s="21"/>
      <c r="T1842" s="21"/>
      <c r="U1842" s="21"/>
      <c r="V1842" s="22"/>
      <c r="W1842" s="21"/>
      <c r="X1842" s="22"/>
      <c r="Y1842" s="21"/>
      <c r="Z1842" s="20"/>
      <c r="AA1842" s="21"/>
      <c r="AB1842" s="25"/>
      <c r="AC1842" s="26"/>
      <c r="AD1842" s="27"/>
      <c r="AE1842" s="28"/>
    </row>
    <row r="1843" spans="1:31" customFormat="1" ht="15" x14ac:dyDescent="0.35">
      <c r="A1843" s="50"/>
      <c r="B1843" s="63"/>
      <c r="C1843" s="39"/>
      <c r="D1843" s="6"/>
      <c r="E1843" s="153"/>
      <c r="F1843" s="10"/>
      <c r="G1843" s="54"/>
      <c r="H1843" s="3"/>
      <c r="I1843" s="2"/>
      <c r="J1843" s="2"/>
      <c r="K1843" s="3"/>
      <c r="L1843" s="3"/>
      <c r="M1843" s="3"/>
      <c r="N1843" s="3"/>
      <c r="O1843" s="3"/>
      <c r="P1843" s="59"/>
      <c r="Q1843" s="3"/>
      <c r="R1843" s="3"/>
      <c r="S1843" s="3"/>
      <c r="T1843" s="3"/>
      <c r="U1843" s="3"/>
      <c r="V1843" s="3"/>
      <c r="W1843" s="3"/>
      <c r="X1843" s="3"/>
      <c r="Y1843" s="3"/>
      <c r="Z1843" s="53"/>
      <c r="AA1843" s="3"/>
      <c r="AB1843" s="59"/>
      <c r="AC1843" s="3"/>
      <c r="AD1843" s="53"/>
      <c r="AE1843" s="59"/>
    </row>
    <row r="1844" spans="1:31" customFormat="1" ht="15" x14ac:dyDescent="0.35">
      <c r="A1844" s="19"/>
      <c r="B1844" s="49"/>
      <c r="C1844" s="14"/>
      <c r="D1844" s="1"/>
      <c r="E1844" s="153"/>
      <c r="F1844" s="10"/>
      <c r="G1844" s="20"/>
      <c r="H1844" s="21"/>
      <c r="I1844" s="21"/>
      <c r="J1844" s="21"/>
      <c r="K1844" s="21"/>
      <c r="L1844" s="21"/>
      <c r="M1844" s="21"/>
      <c r="N1844" s="22"/>
      <c r="O1844" s="21"/>
      <c r="P1844" s="24"/>
      <c r="Q1844" s="21"/>
      <c r="R1844" s="21"/>
      <c r="S1844" s="21"/>
      <c r="T1844" s="21"/>
      <c r="U1844" s="21"/>
      <c r="V1844" s="22"/>
      <c r="W1844" s="21"/>
      <c r="X1844" s="22"/>
      <c r="Y1844" s="21"/>
      <c r="Z1844" s="20"/>
      <c r="AA1844" s="21"/>
      <c r="AB1844" s="25"/>
      <c r="AC1844" s="26"/>
      <c r="AD1844" s="27"/>
      <c r="AE1844" s="28"/>
    </row>
    <row r="1845" spans="1:31" customFormat="1" ht="15" x14ac:dyDescent="0.35">
      <c r="A1845" s="50"/>
      <c r="B1845" s="63"/>
      <c r="C1845" s="39"/>
      <c r="D1845" s="6"/>
      <c r="E1845" s="153"/>
      <c r="F1845" s="10"/>
      <c r="G1845" s="53"/>
      <c r="H1845" s="3"/>
      <c r="I1845" s="3"/>
      <c r="J1845" s="3"/>
      <c r="K1845" s="3"/>
      <c r="L1845" s="3"/>
      <c r="M1845" s="3"/>
      <c r="N1845" s="3"/>
      <c r="O1845" s="3"/>
      <c r="P1845" s="59"/>
      <c r="Q1845" s="21"/>
      <c r="R1845" s="21"/>
      <c r="S1845" s="3"/>
      <c r="T1845" s="3"/>
      <c r="U1845" s="3"/>
      <c r="V1845" s="3"/>
      <c r="W1845" s="3"/>
      <c r="X1845" s="3"/>
      <c r="Y1845" s="3"/>
      <c r="Z1845" s="53"/>
      <c r="AA1845" s="3"/>
      <c r="AB1845" s="59"/>
      <c r="AC1845" s="3"/>
      <c r="AD1845" s="53"/>
      <c r="AE1845" s="59"/>
    </row>
    <row r="1846" spans="1:31" customFormat="1" ht="15" x14ac:dyDescent="0.35">
      <c r="A1846" s="50"/>
      <c r="B1846" s="63"/>
      <c r="C1846" s="39"/>
      <c r="D1846" s="6"/>
      <c r="E1846" s="153"/>
      <c r="F1846" s="10"/>
      <c r="G1846" s="54"/>
      <c r="H1846" s="3"/>
      <c r="I1846" s="2"/>
      <c r="J1846" s="2"/>
      <c r="K1846" s="3"/>
      <c r="L1846" s="3"/>
      <c r="M1846" s="3"/>
      <c r="N1846" s="3"/>
      <c r="O1846" s="3"/>
      <c r="P1846" s="59"/>
      <c r="Q1846" s="3"/>
      <c r="R1846" s="3"/>
      <c r="S1846" s="3"/>
      <c r="T1846" s="3"/>
      <c r="U1846" s="3"/>
      <c r="V1846" s="3"/>
      <c r="W1846" s="3"/>
      <c r="X1846" s="3"/>
      <c r="Y1846" s="3"/>
      <c r="Z1846" s="53"/>
      <c r="AA1846" s="3"/>
      <c r="AB1846" s="59"/>
      <c r="AC1846" s="3"/>
      <c r="AD1846" s="53"/>
      <c r="AE1846" s="59"/>
    </row>
    <row r="1847" spans="1:31" customFormat="1" ht="15" x14ac:dyDescent="0.35">
      <c r="A1847" s="50"/>
      <c r="B1847" s="63"/>
      <c r="C1847" s="39"/>
      <c r="D1847" s="6"/>
      <c r="E1847" s="153"/>
      <c r="F1847" s="10"/>
      <c r="G1847" s="53"/>
      <c r="H1847" s="3"/>
      <c r="I1847" s="3"/>
      <c r="J1847" s="3"/>
      <c r="K1847" s="3"/>
      <c r="L1847" s="3"/>
      <c r="M1847" s="3"/>
      <c r="N1847" s="3"/>
      <c r="O1847" s="3"/>
      <c r="P1847" s="59"/>
      <c r="Q1847" s="21"/>
      <c r="R1847" s="21"/>
      <c r="S1847" s="3"/>
      <c r="T1847" s="3"/>
      <c r="U1847" s="3"/>
      <c r="V1847" s="3"/>
      <c r="W1847" s="3"/>
      <c r="X1847" s="3"/>
      <c r="Y1847" s="3"/>
      <c r="Z1847" s="53"/>
      <c r="AA1847" s="3"/>
      <c r="AB1847" s="59"/>
      <c r="AC1847" s="3"/>
      <c r="AD1847" s="53"/>
      <c r="AE1847" s="59"/>
    </row>
    <row r="1848" spans="1:31" customFormat="1" ht="15" x14ac:dyDescent="0.35">
      <c r="A1848" s="19"/>
      <c r="B1848" s="49"/>
      <c r="C1848" s="39"/>
      <c r="D1848" s="1"/>
      <c r="E1848" s="153"/>
      <c r="F1848" s="10"/>
      <c r="G1848" s="20"/>
      <c r="H1848" s="21"/>
      <c r="I1848" s="21"/>
      <c r="J1848" s="21"/>
      <c r="K1848" s="21"/>
      <c r="L1848" s="21"/>
      <c r="M1848" s="21"/>
      <c r="N1848" s="22"/>
      <c r="O1848" s="21"/>
      <c r="P1848" s="24"/>
      <c r="Q1848" s="21"/>
      <c r="R1848" s="21"/>
      <c r="S1848" s="21"/>
      <c r="T1848" s="21"/>
      <c r="U1848" s="21"/>
      <c r="V1848" s="22"/>
      <c r="W1848" s="21"/>
      <c r="X1848" s="22"/>
      <c r="Y1848" s="21"/>
      <c r="Z1848" s="20"/>
      <c r="AA1848" s="21"/>
      <c r="AB1848" s="25"/>
      <c r="AC1848" s="26"/>
      <c r="AD1848" s="27"/>
      <c r="AE1848" s="28"/>
    </row>
    <row r="1849" spans="1:31" customFormat="1" ht="15" x14ac:dyDescent="0.35">
      <c r="A1849" s="50"/>
      <c r="B1849" s="63"/>
      <c r="C1849" s="39"/>
      <c r="D1849" s="6"/>
      <c r="E1849" s="153"/>
      <c r="F1849" s="10"/>
      <c r="G1849" s="53"/>
      <c r="H1849" s="3"/>
      <c r="I1849" s="3"/>
      <c r="J1849" s="3"/>
      <c r="K1849" s="3"/>
      <c r="L1849" s="3"/>
      <c r="M1849" s="3"/>
      <c r="N1849" s="3"/>
      <c r="O1849" s="3"/>
      <c r="P1849" s="59"/>
      <c r="Q1849" s="21"/>
      <c r="R1849" s="21"/>
      <c r="S1849" s="3"/>
      <c r="T1849" s="3"/>
      <c r="U1849" s="3"/>
      <c r="V1849" s="3"/>
      <c r="W1849" s="3"/>
      <c r="X1849" s="3"/>
      <c r="Y1849" s="3"/>
      <c r="Z1849" s="53"/>
      <c r="AA1849" s="3"/>
      <c r="AB1849" s="59"/>
      <c r="AC1849" s="3"/>
      <c r="AD1849" s="53"/>
      <c r="AE1849" s="59"/>
    </row>
    <row r="1850" spans="1:31" customFormat="1" ht="15" x14ac:dyDescent="0.35">
      <c r="A1850" s="50"/>
      <c r="B1850" s="63"/>
      <c r="C1850" s="39"/>
      <c r="D1850" s="6"/>
      <c r="E1850" s="153"/>
      <c r="F1850" s="10"/>
      <c r="G1850" s="53"/>
      <c r="H1850" s="3"/>
      <c r="I1850" s="3"/>
      <c r="J1850" s="3"/>
      <c r="K1850" s="3"/>
      <c r="L1850" s="3"/>
      <c r="M1850" s="3"/>
      <c r="N1850" s="3"/>
      <c r="O1850" s="3"/>
      <c r="P1850" s="59"/>
      <c r="Q1850" s="21"/>
      <c r="R1850" s="21"/>
      <c r="S1850" s="3"/>
      <c r="T1850" s="3"/>
      <c r="U1850" s="3"/>
      <c r="V1850" s="3"/>
      <c r="W1850" s="3"/>
      <c r="X1850" s="3"/>
      <c r="Y1850" s="3"/>
      <c r="Z1850" s="53"/>
      <c r="AA1850" s="3"/>
      <c r="AB1850" s="59"/>
      <c r="AC1850" s="3"/>
      <c r="AD1850" s="53"/>
      <c r="AE1850" s="59"/>
    </row>
    <row r="1851" spans="1:31" customFormat="1" ht="15" x14ac:dyDescent="0.35">
      <c r="A1851" s="19"/>
      <c r="B1851" s="49"/>
      <c r="C1851" s="39"/>
      <c r="D1851" s="1"/>
      <c r="E1851" s="153"/>
      <c r="F1851" s="10"/>
      <c r="G1851" s="20"/>
      <c r="H1851" s="21"/>
      <c r="I1851" s="21"/>
      <c r="J1851" s="21"/>
      <c r="K1851" s="21"/>
      <c r="L1851" s="21"/>
      <c r="M1851" s="21"/>
      <c r="N1851" s="22"/>
      <c r="O1851" s="21"/>
      <c r="P1851" s="24"/>
      <c r="Q1851" s="21"/>
      <c r="R1851" s="21"/>
      <c r="S1851" s="21"/>
      <c r="T1851" s="21"/>
      <c r="U1851" s="21"/>
      <c r="V1851" s="22"/>
      <c r="W1851" s="21"/>
      <c r="X1851" s="22"/>
      <c r="Y1851" s="21"/>
      <c r="Z1851" s="20"/>
      <c r="AA1851" s="21"/>
      <c r="AB1851" s="25"/>
      <c r="AC1851" s="26"/>
      <c r="AD1851" s="27"/>
      <c r="AE1851" s="28"/>
    </row>
    <row r="1852" spans="1:31" customFormat="1" ht="15" x14ac:dyDescent="0.35">
      <c r="A1852" s="50"/>
      <c r="B1852" s="63"/>
      <c r="C1852" s="39"/>
      <c r="D1852" s="6"/>
      <c r="E1852" s="153"/>
      <c r="F1852" s="10"/>
      <c r="G1852" s="53"/>
      <c r="H1852" s="3"/>
      <c r="I1852" s="3"/>
      <c r="J1852" s="3"/>
      <c r="K1852" s="3"/>
      <c r="L1852" s="3"/>
      <c r="M1852" s="3"/>
      <c r="N1852" s="3"/>
      <c r="O1852" s="3"/>
      <c r="P1852" s="59"/>
      <c r="Q1852" s="21"/>
      <c r="R1852" s="21"/>
      <c r="S1852" s="3"/>
      <c r="T1852" s="3"/>
      <c r="U1852" s="3"/>
      <c r="V1852" s="3"/>
      <c r="W1852" s="3"/>
      <c r="X1852" s="3"/>
      <c r="Y1852" s="3"/>
      <c r="Z1852" s="53"/>
      <c r="AA1852" s="3"/>
      <c r="AB1852" s="59"/>
      <c r="AC1852" s="3"/>
      <c r="AD1852" s="53"/>
      <c r="AE1852" s="59"/>
    </row>
    <row r="1853" spans="1:31" customFormat="1" ht="15" x14ac:dyDescent="0.35">
      <c r="A1853" s="50"/>
      <c r="B1853" s="63"/>
      <c r="C1853" s="39"/>
      <c r="D1853" s="6"/>
      <c r="E1853" s="153"/>
      <c r="F1853" s="10"/>
      <c r="G1853" s="54"/>
      <c r="H1853" s="3"/>
      <c r="I1853" s="2"/>
      <c r="J1853" s="2"/>
      <c r="K1853" s="3"/>
      <c r="L1853" s="3"/>
      <c r="M1853" s="3"/>
      <c r="N1853" s="3"/>
      <c r="O1853" s="3"/>
      <c r="P1853" s="59"/>
      <c r="Q1853" s="3"/>
      <c r="R1853" s="3"/>
      <c r="S1853" s="3"/>
      <c r="T1853" s="3"/>
      <c r="U1853" s="3"/>
      <c r="V1853" s="3"/>
      <c r="W1853" s="3"/>
      <c r="X1853" s="3"/>
      <c r="Y1853" s="3"/>
      <c r="Z1853" s="53"/>
      <c r="AA1853" s="3"/>
      <c r="AB1853" s="59"/>
      <c r="AC1853" s="3"/>
      <c r="AD1853" s="53"/>
      <c r="AE1853" s="59"/>
    </row>
    <row r="1854" spans="1:31" customFormat="1" ht="15" x14ac:dyDescent="0.35">
      <c r="A1854" s="19"/>
      <c r="B1854" s="49"/>
      <c r="C1854" s="39"/>
      <c r="D1854" s="1"/>
      <c r="E1854" s="153"/>
      <c r="F1854" s="10"/>
      <c r="G1854" s="20"/>
      <c r="H1854" s="21"/>
      <c r="I1854" s="21"/>
      <c r="J1854" s="21"/>
      <c r="K1854" s="21"/>
      <c r="L1854" s="21"/>
      <c r="M1854" s="21"/>
      <c r="N1854" s="22"/>
      <c r="O1854" s="21"/>
      <c r="P1854" s="24"/>
      <c r="Q1854" s="21"/>
      <c r="R1854" s="21"/>
      <c r="S1854" s="21"/>
      <c r="T1854" s="21"/>
      <c r="U1854" s="21"/>
      <c r="V1854" s="22"/>
      <c r="W1854" s="21"/>
      <c r="X1854" s="22"/>
      <c r="Y1854" s="21"/>
      <c r="Z1854" s="20"/>
      <c r="AA1854" s="21"/>
      <c r="AB1854" s="25"/>
      <c r="AC1854" s="26"/>
      <c r="AD1854" s="27"/>
      <c r="AE1854" s="28"/>
    </row>
    <row r="1855" spans="1:31" customFormat="1" ht="15" x14ac:dyDescent="0.35">
      <c r="A1855" s="19"/>
      <c r="B1855" s="49"/>
      <c r="C1855" s="39"/>
      <c r="D1855" s="1"/>
      <c r="E1855" s="153"/>
      <c r="F1855" s="10"/>
      <c r="G1855" s="20"/>
      <c r="H1855" s="21"/>
      <c r="I1855" s="21"/>
      <c r="J1855" s="21"/>
      <c r="K1855" s="21"/>
      <c r="L1855" s="21"/>
      <c r="M1855" s="21"/>
      <c r="N1855" s="22"/>
      <c r="O1855" s="21"/>
      <c r="P1855" s="24"/>
      <c r="Q1855" s="21"/>
      <c r="R1855" s="21"/>
      <c r="S1855" s="21"/>
      <c r="T1855" s="21"/>
      <c r="U1855" s="21"/>
      <c r="V1855" s="22"/>
      <c r="W1855" s="21"/>
      <c r="X1855" s="22"/>
      <c r="Y1855" s="21"/>
      <c r="Z1855" s="20"/>
      <c r="AA1855" s="21"/>
      <c r="AB1855" s="25"/>
      <c r="AC1855" s="26"/>
      <c r="AD1855" s="27"/>
      <c r="AE1855" s="28"/>
    </row>
    <row r="1856" spans="1:31" customFormat="1" ht="15" x14ac:dyDescent="0.35">
      <c r="A1856" s="19"/>
      <c r="B1856" s="49"/>
      <c r="C1856" s="14"/>
      <c r="D1856" s="1"/>
      <c r="E1856" s="153"/>
      <c r="F1856" s="10"/>
      <c r="G1856" s="20"/>
      <c r="H1856" s="21"/>
      <c r="I1856" s="21"/>
      <c r="J1856" s="21"/>
      <c r="K1856" s="21"/>
      <c r="L1856" s="21"/>
      <c r="M1856" s="21"/>
      <c r="N1856" s="22"/>
      <c r="O1856" s="21"/>
      <c r="P1856" s="24"/>
      <c r="Q1856" s="21"/>
      <c r="R1856" s="21"/>
      <c r="S1856" s="21"/>
      <c r="T1856" s="21"/>
      <c r="U1856" s="21"/>
      <c r="V1856" s="22"/>
      <c r="W1856" s="21"/>
      <c r="X1856" s="22"/>
      <c r="Y1856" s="21"/>
      <c r="Z1856" s="20"/>
      <c r="AA1856" s="21"/>
      <c r="AB1856" s="25"/>
      <c r="AC1856" s="26"/>
      <c r="AD1856" s="27"/>
      <c r="AE1856" s="28"/>
    </row>
    <row r="1857" spans="1:31" customFormat="1" ht="15" x14ac:dyDescent="0.35">
      <c r="A1857" s="50"/>
      <c r="B1857" s="63"/>
      <c r="C1857" s="39"/>
      <c r="D1857" s="6"/>
      <c r="E1857" s="153"/>
      <c r="F1857" s="10"/>
      <c r="G1857" s="54"/>
      <c r="H1857" s="3"/>
      <c r="I1857" s="2"/>
      <c r="J1857" s="2"/>
      <c r="K1857" s="3"/>
      <c r="L1857" s="3"/>
      <c r="M1857" s="3"/>
      <c r="N1857" s="3"/>
      <c r="O1857" s="3"/>
      <c r="P1857" s="59"/>
      <c r="Q1857" s="3"/>
      <c r="R1857" s="3"/>
      <c r="S1857" s="3"/>
      <c r="T1857" s="3"/>
      <c r="U1857" s="3"/>
      <c r="V1857" s="3"/>
      <c r="W1857" s="3"/>
      <c r="X1857" s="3"/>
      <c r="Y1857" s="3"/>
      <c r="Z1857" s="53"/>
      <c r="AA1857" s="3"/>
      <c r="AB1857" s="59"/>
      <c r="AC1857" s="3"/>
      <c r="AD1857" s="53"/>
      <c r="AE1857" s="59"/>
    </row>
    <row r="1858" spans="1:31" customFormat="1" ht="15" x14ac:dyDescent="0.35">
      <c r="A1858" s="50"/>
      <c r="B1858" s="63"/>
      <c r="C1858" s="39"/>
      <c r="D1858" s="6"/>
      <c r="E1858" s="153"/>
      <c r="F1858" s="10"/>
      <c r="G1858" s="54"/>
      <c r="H1858" s="3"/>
      <c r="I1858" s="2"/>
      <c r="J1858" s="2"/>
      <c r="K1858" s="3"/>
      <c r="L1858" s="3"/>
      <c r="M1858" s="3"/>
      <c r="N1858" s="3"/>
      <c r="O1858" s="3"/>
      <c r="P1858" s="59"/>
      <c r="Q1858" s="3"/>
      <c r="R1858" s="3"/>
      <c r="S1858" s="3"/>
      <c r="T1858" s="3"/>
      <c r="U1858" s="3"/>
      <c r="V1858" s="3"/>
      <c r="W1858" s="3"/>
      <c r="X1858" s="3"/>
      <c r="Y1858" s="3"/>
      <c r="Z1858" s="53"/>
      <c r="AA1858" s="3"/>
      <c r="AB1858" s="59"/>
      <c r="AC1858" s="3"/>
      <c r="AD1858" s="53"/>
      <c r="AE1858" s="59"/>
    </row>
    <row r="1859" spans="1:31" customFormat="1" ht="15" x14ac:dyDescent="0.35">
      <c r="A1859" s="50"/>
      <c r="B1859" s="63"/>
      <c r="C1859" s="39"/>
      <c r="D1859" s="6"/>
      <c r="E1859" s="153"/>
      <c r="F1859" s="10"/>
      <c r="G1859" s="53"/>
      <c r="H1859" s="3"/>
      <c r="I1859" s="3"/>
      <c r="J1859" s="3"/>
      <c r="K1859" s="3"/>
      <c r="L1859" s="3"/>
      <c r="M1859" s="3"/>
      <c r="N1859" s="3"/>
      <c r="O1859" s="3"/>
      <c r="P1859" s="59"/>
      <c r="Q1859" s="21"/>
      <c r="R1859" s="21"/>
      <c r="S1859" s="3"/>
      <c r="T1859" s="3"/>
      <c r="U1859" s="3"/>
      <c r="V1859" s="3"/>
      <c r="W1859" s="3"/>
      <c r="X1859" s="3"/>
      <c r="Y1859" s="3"/>
      <c r="Z1859" s="53"/>
      <c r="AA1859" s="3"/>
      <c r="AB1859" s="59"/>
      <c r="AC1859" s="3"/>
      <c r="AD1859" s="53"/>
      <c r="AE1859" s="59"/>
    </row>
    <row r="1860" spans="1:31" customFormat="1" ht="15" x14ac:dyDescent="0.35">
      <c r="A1860" s="50"/>
      <c r="B1860" s="63"/>
      <c r="C1860" s="39"/>
      <c r="D1860" s="6"/>
      <c r="E1860" s="153"/>
      <c r="F1860" s="10"/>
      <c r="G1860" s="54"/>
      <c r="H1860" s="3"/>
      <c r="I1860" s="2"/>
      <c r="J1860" s="2"/>
      <c r="K1860" s="3"/>
      <c r="L1860" s="3"/>
      <c r="M1860" s="3"/>
      <c r="N1860" s="3"/>
      <c r="O1860" s="3"/>
      <c r="P1860" s="59"/>
      <c r="Q1860" s="3"/>
      <c r="R1860" s="3"/>
      <c r="S1860" s="3"/>
      <c r="T1860" s="3"/>
      <c r="U1860" s="3"/>
      <c r="V1860" s="3"/>
      <c r="W1860" s="3"/>
      <c r="X1860" s="3"/>
      <c r="Y1860" s="3"/>
      <c r="Z1860" s="53"/>
      <c r="AA1860" s="3"/>
      <c r="AB1860" s="59"/>
      <c r="AC1860" s="3"/>
      <c r="AD1860" s="53"/>
      <c r="AE1860" s="59"/>
    </row>
    <row r="1861" spans="1:31" customFormat="1" ht="15" x14ac:dyDescent="0.35">
      <c r="A1861" s="50"/>
      <c r="B1861" s="63"/>
      <c r="C1861" s="39"/>
      <c r="D1861" s="6"/>
      <c r="E1861" s="153"/>
      <c r="F1861" s="10"/>
      <c r="G1861" s="54"/>
      <c r="H1861" s="3"/>
      <c r="I1861" s="2"/>
      <c r="J1861" s="2"/>
      <c r="K1861" s="3"/>
      <c r="L1861" s="3"/>
      <c r="M1861" s="3"/>
      <c r="N1861" s="3"/>
      <c r="O1861" s="3"/>
      <c r="P1861" s="59"/>
      <c r="Q1861" s="3"/>
      <c r="R1861" s="3"/>
      <c r="S1861" s="3"/>
      <c r="T1861" s="3"/>
      <c r="U1861" s="3"/>
      <c r="V1861" s="3"/>
      <c r="W1861" s="3"/>
      <c r="X1861" s="3"/>
      <c r="Y1861" s="3"/>
      <c r="Z1861" s="53"/>
      <c r="AA1861" s="3"/>
      <c r="AB1861" s="59"/>
      <c r="AC1861" s="3"/>
      <c r="AD1861" s="53"/>
      <c r="AE1861" s="59"/>
    </row>
    <row r="1862" spans="1:31" customFormat="1" ht="15" x14ac:dyDescent="0.35">
      <c r="A1862" s="50"/>
      <c r="B1862" s="63"/>
      <c r="C1862" s="39"/>
      <c r="D1862" s="6"/>
      <c r="E1862" s="153"/>
      <c r="F1862" s="10"/>
      <c r="G1862" s="53"/>
      <c r="H1862" s="3"/>
      <c r="I1862" s="3"/>
      <c r="J1862" s="3"/>
      <c r="K1862" s="3"/>
      <c r="L1862" s="3"/>
      <c r="M1862" s="3"/>
      <c r="N1862" s="3"/>
      <c r="O1862" s="3"/>
      <c r="P1862" s="59"/>
      <c r="Q1862" s="21"/>
      <c r="R1862" s="21"/>
      <c r="S1862" s="3"/>
      <c r="T1862" s="3"/>
      <c r="U1862" s="3"/>
      <c r="V1862" s="3"/>
      <c r="W1862" s="3"/>
      <c r="X1862" s="3"/>
      <c r="Y1862" s="3"/>
      <c r="Z1862" s="53"/>
      <c r="AA1862" s="3"/>
      <c r="AB1862" s="59"/>
      <c r="AC1862" s="3"/>
      <c r="AD1862" s="53"/>
      <c r="AE1862" s="59"/>
    </row>
    <row r="1863" spans="1:31" customFormat="1" ht="15" x14ac:dyDescent="0.35">
      <c r="A1863" s="50"/>
      <c r="B1863" s="63"/>
      <c r="C1863" s="39"/>
      <c r="D1863" s="6"/>
      <c r="E1863" s="153"/>
      <c r="F1863" s="10"/>
      <c r="G1863" s="54"/>
      <c r="H1863" s="3"/>
      <c r="I1863" s="2"/>
      <c r="J1863" s="2"/>
      <c r="K1863" s="3"/>
      <c r="L1863" s="3"/>
      <c r="M1863" s="3"/>
      <c r="N1863" s="3"/>
      <c r="O1863" s="3"/>
      <c r="P1863" s="59"/>
      <c r="Q1863" s="3"/>
      <c r="R1863" s="3"/>
      <c r="S1863" s="3"/>
      <c r="T1863" s="3"/>
      <c r="U1863" s="3"/>
      <c r="V1863" s="3"/>
      <c r="W1863" s="3"/>
      <c r="X1863" s="3"/>
      <c r="Y1863" s="3"/>
      <c r="Z1863" s="53"/>
      <c r="AA1863" s="3"/>
      <c r="AB1863" s="59"/>
      <c r="AC1863" s="3"/>
      <c r="AD1863" s="53"/>
      <c r="AE1863" s="59"/>
    </row>
    <row r="1864" spans="1:31" customFormat="1" ht="15" x14ac:dyDescent="0.35">
      <c r="A1864" s="50"/>
      <c r="B1864" s="63"/>
      <c r="C1864" s="39"/>
      <c r="D1864" s="6"/>
      <c r="E1864" s="153"/>
      <c r="F1864" s="10"/>
      <c r="G1864" s="54"/>
      <c r="H1864" s="3"/>
      <c r="I1864" s="2"/>
      <c r="J1864" s="2"/>
      <c r="K1864" s="3"/>
      <c r="L1864" s="3"/>
      <c r="M1864" s="3"/>
      <c r="N1864" s="3"/>
      <c r="O1864" s="3"/>
      <c r="P1864" s="59"/>
      <c r="Q1864" s="3"/>
      <c r="R1864" s="3"/>
      <c r="S1864" s="3"/>
      <c r="T1864" s="3"/>
      <c r="U1864" s="3"/>
      <c r="V1864" s="3"/>
      <c r="W1864" s="3"/>
      <c r="X1864" s="3"/>
      <c r="Y1864" s="3"/>
      <c r="Z1864" s="53"/>
      <c r="AA1864" s="3"/>
      <c r="AB1864" s="59"/>
      <c r="AC1864" s="3"/>
      <c r="AD1864" s="53"/>
      <c r="AE1864" s="59"/>
    </row>
    <row r="1865" spans="1:31" customFormat="1" ht="15" x14ac:dyDescent="0.35">
      <c r="A1865" s="50"/>
      <c r="B1865" s="63"/>
      <c r="C1865" s="39"/>
      <c r="D1865" s="6"/>
      <c r="E1865" s="153"/>
      <c r="F1865" s="10"/>
      <c r="G1865" s="53"/>
      <c r="H1865" s="3"/>
      <c r="I1865" s="3"/>
      <c r="J1865" s="3"/>
      <c r="K1865" s="3"/>
      <c r="L1865" s="3"/>
      <c r="M1865" s="3"/>
      <c r="N1865" s="3"/>
      <c r="O1865" s="3"/>
      <c r="P1865" s="59"/>
      <c r="Q1865" s="21"/>
      <c r="R1865" s="21"/>
      <c r="S1865" s="3"/>
      <c r="T1865" s="3"/>
      <c r="U1865" s="3"/>
      <c r="V1865" s="3"/>
      <c r="W1865" s="3"/>
      <c r="X1865" s="3"/>
      <c r="Y1865" s="3"/>
      <c r="Z1865" s="53"/>
      <c r="AA1865" s="3"/>
      <c r="AB1865" s="59"/>
      <c r="AC1865" s="3"/>
      <c r="AD1865" s="53"/>
      <c r="AE1865" s="59"/>
    </row>
    <row r="1866" spans="1:31" customFormat="1" ht="15" x14ac:dyDescent="0.35">
      <c r="A1866" s="50"/>
      <c r="B1866" s="63"/>
      <c r="C1866" s="39"/>
      <c r="D1866" s="6"/>
      <c r="E1866" s="153"/>
      <c r="F1866" s="10"/>
      <c r="G1866" s="53"/>
      <c r="H1866" s="3"/>
      <c r="I1866" s="3"/>
      <c r="J1866" s="3"/>
      <c r="K1866" s="3"/>
      <c r="L1866" s="3"/>
      <c r="M1866" s="3"/>
      <c r="N1866" s="3"/>
      <c r="O1866" s="3"/>
      <c r="P1866" s="59"/>
      <c r="Q1866" s="21"/>
      <c r="R1866" s="21"/>
      <c r="S1866" s="3"/>
      <c r="T1866" s="3"/>
      <c r="U1866" s="3"/>
      <c r="V1866" s="3"/>
      <c r="W1866" s="3"/>
      <c r="X1866" s="3"/>
      <c r="Y1866" s="3"/>
      <c r="Z1866" s="53"/>
      <c r="AA1866" s="3"/>
      <c r="AB1866" s="59"/>
      <c r="AC1866" s="3"/>
      <c r="AD1866" s="53"/>
      <c r="AE1866" s="59"/>
    </row>
    <row r="1867" spans="1:31" customFormat="1" ht="15" x14ac:dyDescent="0.35">
      <c r="A1867" s="50"/>
      <c r="B1867" s="63"/>
      <c r="C1867" s="39"/>
      <c r="D1867" s="6"/>
      <c r="E1867" s="153"/>
      <c r="F1867" s="10"/>
      <c r="G1867" s="53"/>
      <c r="H1867" s="3"/>
      <c r="I1867" s="3"/>
      <c r="J1867" s="3"/>
      <c r="K1867" s="3"/>
      <c r="L1867" s="3"/>
      <c r="M1867" s="3"/>
      <c r="N1867" s="3"/>
      <c r="O1867" s="3"/>
      <c r="P1867" s="59"/>
      <c r="Q1867" s="21"/>
      <c r="R1867" s="21"/>
      <c r="S1867" s="3"/>
      <c r="T1867" s="3"/>
      <c r="U1867" s="3"/>
      <c r="V1867" s="3"/>
      <c r="W1867" s="3"/>
      <c r="X1867" s="3"/>
      <c r="Y1867" s="3"/>
      <c r="Z1867" s="53"/>
      <c r="AA1867" s="3"/>
      <c r="AB1867" s="59"/>
      <c r="AC1867" s="3"/>
      <c r="AD1867" s="53"/>
      <c r="AE1867" s="59"/>
    </row>
    <row r="1868" spans="1:31" customFormat="1" ht="15" x14ac:dyDescent="0.35">
      <c r="A1868" s="19"/>
      <c r="B1868" s="49"/>
      <c r="C1868" s="14"/>
      <c r="D1868" s="1"/>
      <c r="E1868" s="153"/>
      <c r="F1868" s="10"/>
      <c r="G1868" s="20"/>
      <c r="H1868" s="21"/>
      <c r="I1868" s="21"/>
      <c r="J1868" s="21"/>
      <c r="K1868" s="21"/>
      <c r="L1868" s="21"/>
      <c r="M1868" s="21"/>
      <c r="N1868" s="22"/>
      <c r="O1868" s="21"/>
      <c r="P1868" s="24"/>
      <c r="Q1868" s="21"/>
      <c r="R1868" s="21"/>
      <c r="S1868" s="21"/>
      <c r="T1868" s="21"/>
      <c r="U1868" s="21"/>
      <c r="V1868" s="22"/>
      <c r="W1868" s="21"/>
      <c r="X1868" s="22"/>
      <c r="Y1868" s="21"/>
      <c r="Z1868" s="20"/>
      <c r="AA1868" s="21"/>
      <c r="AB1868" s="25"/>
      <c r="AC1868" s="26"/>
      <c r="AD1868" s="27"/>
      <c r="AE1868" s="28"/>
    </row>
    <row r="1869" spans="1:31" customFormat="1" ht="15" x14ac:dyDescent="0.35">
      <c r="A1869" s="19"/>
      <c r="B1869" s="49"/>
      <c r="C1869" s="39"/>
      <c r="D1869" s="1"/>
      <c r="E1869" s="153"/>
      <c r="F1869" s="10"/>
      <c r="G1869" s="20"/>
      <c r="H1869" s="21"/>
      <c r="I1869" s="21"/>
      <c r="J1869" s="21"/>
      <c r="K1869" s="21"/>
      <c r="L1869" s="21"/>
      <c r="M1869" s="21"/>
      <c r="N1869" s="22"/>
      <c r="O1869" s="21"/>
      <c r="P1869" s="24"/>
      <c r="Q1869" s="21"/>
      <c r="R1869" s="21"/>
      <c r="S1869" s="21"/>
      <c r="T1869" s="21"/>
      <c r="U1869" s="21"/>
      <c r="V1869" s="22"/>
      <c r="W1869" s="21"/>
      <c r="X1869" s="22"/>
      <c r="Y1869" s="21"/>
      <c r="Z1869" s="20"/>
      <c r="AA1869" s="21"/>
      <c r="AB1869" s="25"/>
      <c r="AC1869" s="26"/>
      <c r="AD1869" s="27"/>
      <c r="AE1869" s="28"/>
    </row>
    <row r="1870" spans="1:31" customFormat="1" ht="15" x14ac:dyDescent="0.35">
      <c r="A1870" s="50"/>
      <c r="B1870" s="63"/>
      <c r="C1870" s="39"/>
      <c r="D1870" s="6"/>
      <c r="E1870" s="153"/>
      <c r="F1870" s="10"/>
      <c r="G1870" s="54"/>
      <c r="H1870" s="3"/>
      <c r="I1870" s="2"/>
      <c r="J1870" s="2"/>
      <c r="K1870" s="3"/>
      <c r="L1870" s="3"/>
      <c r="M1870" s="3"/>
      <c r="N1870" s="3"/>
      <c r="O1870" s="3"/>
      <c r="P1870" s="59"/>
      <c r="Q1870" s="3"/>
      <c r="R1870" s="3"/>
      <c r="S1870" s="3"/>
      <c r="T1870" s="3"/>
      <c r="U1870" s="3"/>
      <c r="V1870" s="3"/>
      <c r="W1870" s="3"/>
      <c r="X1870" s="3"/>
      <c r="Y1870" s="3"/>
      <c r="Z1870" s="53"/>
      <c r="AA1870" s="3"/>
      <c r="AB1870" s="59"/>
      <c r="AC1870" s="3"/>
      <c r="AD1870" s="53"/>
      <c r="AE1870" s="59"/>
    </row>
    <row r="1871" spans="1:31" customFormat="1" ht="15" x14ac:dyDescent="0.35">
      <c r="A1871" s="19"/>
      <c r="B1871" s="49"/>
      <c r="C1871" s="14"/>
      <c r="D1871" s="1"/>
      <c r="E1871" s="153"/>
      <c r="F1871" s="10"/>
      <c r="G1871" s="20"/>
      <c r="H1871" s="21"/>
      <c r="I1871" s="21"/>
      <c r="J1871" s="21"/>
      <c r="K1871" s="21"/>
      <c r="L1871" s="21"/>
      <c r="M1871" s="21"/>
      <c r="N1871" s="22"/>
      <c r="O1871" s="21"/>
      <c r="P1871" s="24"/>
      <c r="Q1871" s="21"/>
      <c r="R1871" s="21"/>
      <c r="S1871" s="21"/>
      <c r="T1871" s="21"/>
      <c r="U1871" s="21"/>
      <c r="V1871" s="22"/>
      <c r="W1871" s="21"/>
      <c r="X1871" s="22"/>
      <c r="Y1871" s="21"/>
      <c r="Z1871" s="20"/>
      <c r="AA1871" s="21"/>
      <c r="AB1871" s="25"/>
      <c r="AC1871" s="26"/>
      <c r="AD1871" s="27"/>
      <c r="AE1871" s="28"/>
    </row>
    <row r="1872" spans="1:31" customFormat="1" ht="15" x14ac:dyDescent="0.35">
      <c r="A1872" s="50"/>
      <c r="B1872" s="63"/>
      <c r="C1872" s="39"/>
      <c r="D1872" s="6"/>
      <c r="E1872" s="153"/>
      <c r="F1872" s="10"/>
      <c r="G1872" s="53"/>
      <c r="H1872" s="3"/>
      <c r="I1872" s="3"/>
      <c r="J1872" s="3"/>
      <c r="K1872" s="3"/>
      <c r="L1872" s="3"/>
      <c r="M1872" s="3"/>
      <c r="N1872" s="3"/>
      <c r="O1872" s="3"/>
      <c r="P1872" s="59"/>
      <c r="Q1872" s="21"/>
      <c r="R1872" s="21"/>
      <c r="S1872" s="3"/>
      <c r="T1872" s="3"/>
      <c r="U1872" s="3"/>
      <c r="V1872" s="3"/>
      <c r="W1872" s="3"/>
      <c r="X1872" s="3"/>
      <c r="Y1872" s="3"/>
      <c r="Z1872" s="53"/>
      <c r="AA1872" s="3"/>
      <c r="AB1872" s="59"/>
      <c r="AC1872" s="3"/>
      <c r="AD1872" s="53"/>
      <c r="AE1872" s="59"/>
    </row>
    <row r="1873" spans="1:31" customFormat="1" ht="15" x14ac:dyDescent="0.35">
      <c r="A1873" s="50"/>
      <c r="B1873" s="63"/>
      <c r="C1873" s="39"/>
      <c r="D1873" s="6"/>
      <c r="E1873" s="153"/>
      <c r="F1873" s="10"/>
      <c r="G1873" s="53"/>
      <c r="H1873" s="3"/>
      <c r="I1873" s="3"/>
      <c r="J1873" s="3"/>
      <c r="K1873" s="3"/>
      <c r="L1873" s="3"/>
      <c r="M1873" s="3"/>
      <c r="N1873" s="3"/>
      <c r="O1873" s="3"/>
      <c r="P1873" s="59"/>
      <c r="Q1873" s="21"/>
      <c r="R1873" s="21"/>
      <c r="S1873" s="3"/>
      <c r="T1873" s="3"/>
      <c r="U1873" s="3"/>
      <c r="V1873" s="3"/>
      <c r="W1873" s="3"/>
      <c r="X1873" s="3"/>
      <c r="Y1873" s="3"/>
      <c r="Z1873" s="53"/>
      <c r="AA1873" s="3"/>
      <c r="AB1873" s="59"/>
      <c r="AC1873" s="3"/>
      <c r="AD1873" s="53"/>
      <c r="AE1873" s="59"/>
    </row>
    <row r="1874" spans="1:31" customFormat="1" ht="15" x14ac:dyDescent="0.35">
      <c r="A1874" s="19"/>
      <c r="B1874" s="49"/>
      <c r="C1874" s="14"/>
      <c r="D1874" s="6"/>
      <c r="E1874" s="153"/>
      <c r="F1874" s="10"/>
      <c r="G1874" s="20"/>
      <c r="H1874" s="21"/>
      <c r="I1874" s="21"/>
      <c r="J1874" s="21"/>
      <c r="K1874" s="21"/>
      <c r="L1874" s="21"/>
      <c r="M1874" s="21"/>
      <c r="N1874" s="22"/>
      <c r="O1874" s="21"/>
      <c r="P1874" s="24"/>
      <c r="Q1874" s="21"/>
      <c r="R1874" s="21"/>
      <c r="S1874" s="21"/>
      <c r="T1874" s="21"/>
      <c r="U1874" s="21"/>
      <c r="V1874" s="22"/>
      <c r="W1874" s="21"/>
      <c r="X1874" s="22"/>
      <c r="Y1874" s="21"/>
      <c r="Z1874" s="20"/>
      <c r="AA1874" s="21"/>
      <c r="AB1874" s="25"/>
      <c r="AC1874" s="26"/>
      <c r="AD1874" s="27"/>
      <c r="AE1874" s="28"/>
    </row>
    <row r="1875" spans="1:31" customFormat="1" ht="15" x14ac:dyDescent="0.35">
      <c r="A1875" s="50"/>
      <c r="B1875" s="63"/>
      <c r="C1875" s="39"/>
      <c r="D1875" s="6"/>
      <c r="E1875" s="153"/>
      <c r="F1875" s="10"/>
      <c r="G1875" s="53"/>
      <c r="H1875" s="3"/>
      <c r="I1875" s="3"/>
      <c r="J1875" s="3"/>
      <c r="K1875" s="3"/>
      <c r="L1875" s="3"/>
      <c r="M1875" s="3"/>
      <c r="N1875" s="3"/>
      <c r="O1875" s="3"/>
      <c r="P1875" s="59"/>
      <c r="Q1875" s="21"/>
      <c r="R1875" s="21"/>
      <c r="S1875" s="3"/>
      <c r="T1875" s="3"/>
      <c r="U1875" s="3"/>
      <c r="V1875" s="3"/>
      <c r="W1875" s="3"/>
      <c r="X1875" s="3"/>
      <c r="Y1875" s="3"/>
      <c r="Z1875" s="53"/>
      <c r="AA1875" s="3"/>
      <c r="AB1875" s="59"/>
      <c r="AC1875" s="3"/>
      <c r="AD1875" s="53"/>
      <c r="AE1875" s="59"/>
    </row>
    <row r="1876" spans="1:31" customFormat="1" ht="15" x14ac:dyDescent="0.35">
      <c r="A1876" s="19"/>
      <c r="B1876" s="49"/>
      <c r="C1876" s="14"/>
      <c r="D1876" s="1"/>
      <c r="E1876" s="153"/>
      <c r="F1876" s="10"/>
      <c r="G1876" s="20"/>
      <c r="H1876" s="21"/>
      <c r="I1876" s="21"/>
      <c r="J1876" s="21"/>
      <c r="K1876" s="21"/>
      <c r="L1876" s="21"/>
      <c r="M1876" s="21"/>
      <c r="N1876" s="22"/>
      <c r="O1876" s="21"/>
      <c r="P1876" s="24"/>
      <c r="Q1876" s="21"/>
      <c r="R1876" s="21"/>
      <c r="S1876" s="21"/>
      <c r="T1876" s="21"/>
      <c r="U1876" s="21"/>
      <c r="V1876" s="22"/>
      <c r="W1876" s="21"/>
      <c r="X1876" s="22"/>
      <c r="Y1876" s="21"/>
      <c r="Z1876" s="20"/>
      <c r="AA1876" s="21"/>
      <c r="AB1876" s="25"/>
      <c r="AC1876" s="26"/>
      <c r="AD1876" s="27"/>
      <c r="AE1876" s="28"/>
    </row>
    <row r="1877" spans="1:31" customFormat="1" ht="15" x14ac:dyDescent="0.35">
      <c r="A1877" s="50"/>
      <c r="B1877" s="63"/>
      <c r="C1877" s="39"/>
      <c r="D1877" s="6"/>
      <c r="E1877" s="153"/>
      <c r="F1877" s="10"/>
      <c r="G1877" s="53"/>
      <c r="H1877" s="3"/>
      <c r="I1877" s="3"/>
      <c r="J1877" s="3"/>
      <c r="K1877" s="3"/>
      <c r="L1877" s="3"/>
      <c r="M1877" s="3"/>
      <c r="N1877" s="3"/>
      <c r="O1877" s="3"/>
      <c r="P1877" s="59"/>
      <c r="Q1877" s="21"/>
      <c r="R1877" s="21"/>
      <c r="S1877" s="3"/>
      <c r="T1877" s="3"/>
      <c r="U1877" s="3"/>
      <c r="V1877" s="3"/>
      <c r="W1877" s="3"/>
      <c r="X1877" s="3"/>
      <c r="Y1877" s="3"/>
      <c r="Z1877" s="53"/>
      <c r="AA1877" s="3"/>
      <c r="AB1877" s="59"/>
      <c r="AC1877" s="3"/>
      <c r="AD1877" s="53"/>
      <c r="AE1877" s="59"/>
    </row>
    <row r="1878" spans="1:31" customFormat="1" ht="15" x14ac:dyDescent="0.35">
      <c r="A1878" s="50"/>
      <c r="B1878" s="63"/>
      <c r="C1878" s="39"/>
      <c r="D1878" s="6"/>
      <c r="E1878" s="153"/>
      <c r="F1878" s="10"/>
      <c r="G1878" s="53"/>
      <c r="H1878" s="3"/>
      <c r="I1878" s="3"/>
      <c r="J1878" s="3"/>
      <c r="K1878" s="3"/>
      <c r="L1878" s="3"/>
      <c r="M1878" s="3"/>
      <c r="N1878" s="3"/>
      <c r="O1878" s="3"/>
      <c r="P1878" s="59"/>
      <c r="Q1878" s="21"/>
      <c r="R1878" s="21"/>
      <c r="S1878" s="3"/>
      <c r="T1878" s="3"/>
      <c r="U1878" s="3"/>
      <c r="V1878" s="3"/>
      <c r="W1878" s="3"/>
      <c r="X1878" s="3"/>
      <c r="Y1878" s="3"/>
      <c r="Z1878" s="53"/>
      <c r="AA1878" s="3"/>
      <c r="AB1878" s="59"/>
      <c r="AC1878" s="3"/>
      <c r="AD1878" s="53"/>
      <c r="AE1878" s="59"/>
    </row>
    <row r="1879" spans="1:31" customFormat="1" ht="15" x14ac:dyDescent="0.35">
      <c r="A1879" s="19"/>
      <c r="B1879" s="49"/>
      <c r="C1879" s="39"/>
      <c r="D1879" s="1"/>
      <c r="E1879" s="153"/>
      <c r="F1879" s="10"/>
      <c r="G1879" s="20"/>
      <c r="H1879" s="21"/>
      <c r="I1879" s="21"/>
      <c r="J1879" s="21"/>
      <c r="K1879" s="21"/>
      <c r="L1879" s="21"/>
      <c r="M1879" s="21"/>
      <c r="N1879" s="22"/>
      <c r="O1879" s="21"/>
      <c r="P1879" s="24"/>
      <c r="Q1879" s="21"/>
      <c r="R1879" s="21"/>
      <c r="S1879" s="21"/>
      <c r="T1879" s="21"/>
      <c r="U1879" s="21"/>
      <c r="V1879" s="22"/>
      <c r="W1879" s="21"/>
      <c r="X1879" s="22"/>
      <c r="Y1879" s="21"/>
      <c r="Z1879" s="20"/>
      <c r="AA1879" s="21"/>
      <c r="AB1879" s="25"/>
      <c r="AC1879" s="26"/>
      <c r="AD1879" s="27"/>
      <c r="AE1879" s="28"/>
    </row>
    <row r="1880" spans="1:31" customFormat="1" ht="15" x14ac:dyDescent="0.35">
      <c r="A1880" s="50"/>
      <c r="B1880" s="63"/>
      <c r="C1880" s="39"/>
      <c r="D1880" s="6"/>
      <c r="E1880" s="153"/>
      <c r="F1880" s="10"/>
      <c r="G1880" s="54"/>
      <c r="H1880" s="3"/>
      <c r="I1880" s="2"/>
      <c r="J1880" s="2"/>
      <c r="K1880" s="3"/>
      <c r="L1880" s="3"/>
      <c r="M1880" s="3"/>
      <c r="N1880" s="3"/>
      <c r="O1880" s="3"/>
      <c r="P1880" s="59"/>
      <c r="Q1880" s="21"/>
      <c r="R1880" s="21"/>
      <c r="S1880" s="3"/>
      <c r="T1880" s="3"/>
      <c r="U1880" s="3"/>
      <c r="V1880" s="3"/>
      <c r="W1880" s="3"/>
      <c r="X1880" s="3"/>
      <c r="Y1880" s="3"/>
      <c r="Z1880" s="53"/>
      <c r="AA1880" s="3"/>
      <c r="AB1880" s="59"/>
      <c r="AC1880" s="3"/>
      <c r="AD1880" s="53"/>
      <c r="AE1880" s="59"/>
    </row>
    <row r="1881" spans="1:31" customFormat="1" ht="15" x14ac:dyDescent="0.35">
      <c r="A1881" s="50"/>
      <c r="B1881" s="63"/>
      <c r="C1881" s="39"/>
      <c r="D1881" s="6"/>
      <c r="E1881" s="153"/>
      <c r="F1881" s="10"/>
      <c r="G1881" s="53"/>
      <c r="H1881" s="3"/>
      <c r="I1881" s="3"/>
      <c r="J1881" s="3"/>
      <c r="K1881" s="3"/>
      <c r="L1881" s="3"/>
      <c r="M1881" s="3"/>
      <c r="N1881" s="3"/>
      <c r="O1881" s="3"/>
      <c r="P1881" s="59"/>
      <c r="Q1881" s="21"/>
      <c r="R1881" s="21"/>
      <c r="S1881" s="3"/>
      <c r="T1881" s="3"/>
      <c r="U1881" s="3"/>
      <c r="V1881" s="3"/>
      <c r="W1881" s="3"/>
      <c r="X1881" s="3"/>
      <c r="Y1881" s="3"/>
      <c r="Z1881" s="53"/>
      <c r="AA1881" s="3"/>
      <c r="AB1881" s="59"/>
      <c r="AC1881" s="3"/>
      <c r="AD1881" s="53"/>
      <c r="AE1881" s="59"/>
    </row>
    <row r="1882" spans="1:31" customFormat="1" ht="15" x14ac:dyDescent="0.35">
      <c r="A1882" s="19"/>
      <c r="B1882" s="49"/>
      <c r="C1882" s="14"/>
      <c r="D1882" s="1"/>
      <c r="E1882" s="153"/>
      <c r="F1882" s="10"/>
      <c r="G1882" s="20"/>
      <c r="H1882" s="21"/>
      <c r="I1882" s="21"/>
      <c r="J1882" s="21"/>
      <c r="K1882" s="21"/>
      <c r="L1882" s="21"/>
      <c r="M1882" s="21"/>
      <c r="N1882" s="22"/>
      <c r="O1882" s="21"/>
      <c r="P1882" s="24"/>
      <c r="Q1882" s="21"/>
      <c r="R1882" s="21"/>
      <c r="S1882" s="21"/>
      <c r="T1882" s="21"/>
      <c r="U1882" s="21"/>
      <c r="V1882" s="22"/>
      <c r="W1882" s="21"/>
      <c r="X1882" s="22"/>
      <c r="Y1882" s="21"/>
      <c r="Z1882" s="20"/>
      <c r="AA1882" s="21"/>
      <c r="AB1882" s="25"/>
      <c r="AC1882" s="26"/>
      <c r="AD1882" s="27"/>
      <c r="AE1882" s="28"/>
    </row>
    <row r="1883" spans="1:31" customFormat="1" ht="15" x14ac:dyDescent="0.35">
      <c r="A1883" s="19"/>
      <c r="B1883" s="49"/>
      <c r="C1883" s="14"/>
      <c r="D1883" s="1"/>
      <c r="E1883" s="153"/>
      <c r="F1883" s="10"/>
      <c r="G1883" s="20"/>
      <c r="H1883" s="21"/>
      <c r="I1883" s="21"/>
      <c r="J1883" s="21"/>
      <c r="K1883" s="21"/>
      <c r="L1883" s="21"/>
      <c r="M1883" s="21"/>
      <c r="N1883" s="22"/>
      <c r="O1883" s="21"/>
      <c r="P1883" s="24"/>
      <c r="Q1883" s="21"/>
      <c r="R1883" s="21"/>
      <c r="S1883" s="21"/>
      <c r="T1883" s="21"/>
      <c r="U1883" s="21"/>
      <c r="V1883" s="22"/>
      <c r="W1883" s="21"/>
      <c r="X1883" s="22"/>
      <c r="Y1883" s="21"/>
      <c r="Z1883" s="20"/>
      <c r="AA1883" s="21"/>
      <c r="AB1883" s="25"/>
      <c r="AC1883" s="26"/>
      <c r="AD1883" s="27"/>
      <c r="AE1883" s="28"/>
    </row>
    <row r="1884" spans="1:31" customFormat="1" ht="15" x14ac:dyDescent="0.35">
      <c r="A1884" s="50"/>
      <c r="B1884" s="63"/>
      <c r="C1884" s="39"/>
      <c r="D1884" s="6"/>
      <c r="E1884" s="153"/>
      <c r="F1884" s="10"/>
      <c r="G1884" s="54"/>
      <c r="H1884" s="3"/>
      <c r="I1884" s="2"/>
      <c r="J1884" s="2"/>
      <c r="K1884" s="3"/>
      <c r="L1884" s="3"/>
      <c r="M1884" s="3"/>
      <c r="N1884" s="3"/>
      <c r="O1884" s="3"/>
      <c r="P1884" s="59"/>
      <c r="Q1884" s="3"/>
      <c r="R1884" s="3"/>
      <c r="S1884" s="3"/>
      <c r="T1884" s="3"/>
      <c r="U1884" s="3"/>
      <c r="V1884" s="3"/>
      <c r="W1884" s="3"/>
      <c r="X1884" s="3"/>
      <c r="Y1884" s="3"/>
      <c r="Z1884" s="53"/>
      <c r="AA1884" s="3"/>
      <c r="AB1884" s="59"/>
      <c r="AC1884" s="3"/>
      <c r="AD1884" s="53"/>
      <c r="AE1884" s="59"/>
    </row>
    <row r="1885" spans="1:31" customFormat="1" ht="15" x14ac:dyDescent="0.35">
      <c r="A1885" s="50"/>
      <c r="B1885" s="63"/>
      <c r="C1885" s="39"/>
      <c r="D1885" s="6"/>
      <c r="E1885" s="153"/>
      <c r="F1885" s="10"/>
      <c r="G1885" s="53"/>
      <c r="H1885" s="3"/>
      <c r="I1885" s="3"/>
      <c r="J1885" s="3"/>
      <c r="K1885" s="3"/>
      <c r="L1885" s="3"/>
      <c r="M1885" s="3"/>
      <c r="N1885" s="3"/>
      <c r="O1885" s="3"/>
      <c r="P1885" s="59"/>
      <c r="Q1885" s="3"/>
      <c r="R1885" s="3"/>
      <c r="S1885" s="3"/>
      <c r="T1885" s="3"/>
      <c r="U1885" s="3"/>
      <c r="V1885" s="3"/>
      <c r="W1885" s="3"/>
      <c r="X1885" s="3"/>
      <c r="Y1885" s="3"/>
      <c r="Z1885" s="53"/>
      <c r="AA1885" s="3"/>
      <c r="AB1885" s="59"/>
      <c r="AC1885" s="3"/>
      <c r="AD1885" s="53"/>
      <c r="AE1885" s="59"/>
    </row>
    <row r="1886" spans="1:31" customFormat="1" ht="15" x14ac:dyDescent="0.35">
      <c r="A1886" s="19"/>
      <c r="B1886" s="49"/>
      <c r="C1886" s="14"/>
      <c r="D1886" s="1"/>
      <c r="E1886" s="153"/>
      <c r="F1886" s="10"/>
      <c r="G1886" s="20"/>
      <c r="H1886" s="21"/>
      <c r="I1886" s="21"/>
      <c r="J1886" s="21"/>
      <c r="K1886" s="21"/>
      <c r="L1886" s="21"/>
      <c r="M1886" s="21"/>
      <c r="N1886" s="22"/>
      <c r="O1886" s="21"/>
      <c r="P1886" s="24"/>
      <c r="Q1886" s="21"/>
      <c r="R1886" s="21"/>
      <c r="S1886" s="21"/>
      <c r="T1886" s="21"/>
      <c r="U1886" s="21"/>
      <c r="V1886" s="22"/>
      <c r="W1886" s="21"/>
      <c r="X1886" s="22"/>
      <c r="Y1886" s="21"/>
      <c r="Z1886" s="20"/>
      <c r="AA1886" s="21"/>
      <c r="AB1886" s="25"/>
      <c r="AC1886" s="26"/>
      <c r="AD1886" s="27"/>
      <c r="AE1886" s="28"/>
    </row>
    <row r="1887" spans="1:31" customFormat="1" ht="15" x14ac:dyDescent="0.35">
      <c r="A1887" s="19"/>
      <c r="B1887" s="49"/>
      <c r="C1887" s="39"/>
      <c r="D1887" s="1"/>
      <c r="E1887" s="153"/>
      <c r="F1887" s="10"/>
      <c r="G1887" s="20"/>
      <c r="H1887" s="21"/>
      <c r="I1887" s="21"/>
      <c r="J1887" s="21"/>
      <c r="K1887" s="21"/>
      <c r="L1887" s="21"/>
      <c r="M1887" s="21"/>
      <c r="N1887" s="22"/>
      <c r="O1887" s="21"/>
      <c r="P1887" s="24"/>
      <c r="Q1887" s="21"/>
      <c r="R1887" s="21"/>
      <c r="S1887" s="21"/>
      <c r="T1887" s="21"/>
      <c r="U1887" s="21"/>
      <c r="V1887" s="22"/>
      <c r="W1887" s="21"/>
      <c r="X1887" s="22"/>
      <c r="Y1887" s="21"/>
      <c r="Z1887" s="20"/>
      <c r="AA1887" s="21"/>
      <c r="AB1887" s="25"/>
      <c r="AC1887" s="26"/>
      <c r="AD1887" s="27"/>
      <c r="AE1887" s="65"/>
    </row>
    <row r="1888" spans="1:31" customFormat="1" ht="15" x14ac:dyDescent="0.35">
      <c r="A1888" s="50"/>
      <c r="B1888" s="63"/>
      <c r="C1888" s="39"/>
      <c r="D1888" s="6"/>
      <c r="E1888" s="153"/>
      <c r="F1888" s="10"/>
      <c r="G1888" s="53"/>
      <c r="H1888" s="3"/>
      <c r="I1888" s="3"/>
      <c r="J1888" s="3"/>
      <c r="K1888" s="3"/>
      <c r="L1888" s="3"/>
      <c r="M1888" s="3"/>
      <c r="N1888" s="3"/>
      <c r="O1888" s="3"/>
      <c r="P1888" s="59"/>
      <c r="Q1888" s="21"/>
      <c r="R1888" s="21"/>
      <c r="S1888" s="3"/>
      <c r="T1888" s="3"/>
      <c r="U1888" s="3"/>
      <c r="V1888" s="3"/>
      <c r="W1888" s="3"/>
      <c r="X1888" s="3"/>
      <c r="Y1888" s="3"/>
      <c r="Z1888" s="53"/>
      <c r="AA1888" s="3"/>
      <c r="AB1888" s="59"/>
      <c r="AC1888" s="3"/>
      <c r="AD1888" s="53"/>
      <c r="AE1888" s="59"/>
    </row>
    <row r="1889" spans="1:31" customFormat="1" ht="15" x14ac:dyDescent="0.35">
      <c r="A1889" s="50"/>
      <c r="B1889" s="63"/>
      <c r="C1889" s="39"/>
      <c r="D1889" s="6"/>
      <c r="E1889" s="153"/>
      <c r="F1889" s="10"/>
      <c r="G1889" s="54"/>
      <c r="H1889" s="3"/>
      <c r="I1889" s="2"/>
      <c r="J1889" s="2"/>
      <c r="K1889" s="3"/>
      <c r="L1889" s="3"/>
      <c r="M1889" s="3"/>
      <c r="N1889" s="3"/>
      <c r="O1889" s="3"/>
      <c r="P1889" s="59"/>
      <c r="Q1889" s="3"/>
      <c r="R1889" s="3"/>
      <c r="S1889" s="3"/>
      <c r="T1889" s="3"/>
      <c r="U1889" s="3"/>
      <c r="V1889" s="3"/>
      <c r="W1889" s="3"/>
      <c r="X1889" s="3"/>
      <c r="Y1889" s="3"/>
      <c r="Z1889" s="53"/>
      <c r="AA1889" s="3"/>
      <c r="AB1889" s="59"/>
      <c r="AC1889" s="3"/>
      <c r="AD1889" s="53"/>
      <c r="AE1889" s="59"/>
    </row>
    <row r="1890" spans="1:31" customFormat="1" ht="15" x14ac:dyDescent="0.35">
      <c r="A1890" s="50"/>
      <c r="B1890" s="63"/>
      <c r="C1890" s="39"/>
      <c r="D1890" s="6"/>
      <c r="E1890" s="153"/>
      <c r="F1890" s="10"/>
      <c r="G1890" s="54"/>
      <c r="H1890" s="3"/>
      <c r="I1890" s="2"/>
      <c r="J1890" s="2"/>
      <c r="K1890" s="3"/>
      <c r="L1890" s="3"/>
      <c r="M1890" s="3"/>
      <c r="N1890" s="3"/>
      <c r="O1890" s="3"/>
      <c r="P1890" s="59"/>
      <c r="Q1890" s="3"/>
      <c r="R1890" s="3"/>
      <c r="S1890" s="3"/>
      <c r="T1890" s="3"/>
      <c r="U1890" s="3"/>
      <c r="V1890" s="3"/>
      <c r="W1890" s="3"/>
      <c r="X1890" s="3"/>
      <c r="Y1890" s="3"/>
      <c r="Z1890" s="53"/>
      <c r="AA1890" s="3"/>
      <c r="AB1890" s="59"/>
      <c r="AC1890" s="3"/>
      <c r="AD1890" s="53"/>
      <c r="AE1890" s="59"/>
    </row>
    <row r="1891" spans="1:31" customFormat="1" ht="15" x14ac:dyDescent="0.35">
      <c r="A1891" s="50"/>
      <c r="B1891" s="63"/>
      <c r="C1891" s="39"/>
      <c r="D1891" s="6"/>
      <c r="E1891" s="153"/>
      <c r="F1891" s="10"/>
      <c r="G1891" s="53"/>
      <c r="H1891" s="3"/>
      <c r="I1891" s="3"/>
      <c r="J1891" s="3"/>
      <c r="K1891" s="3"/>
      <c r="L1891" s="3"/>
      <c r="M1891" s="3"/>
      <c r="N1891" s="3"/>
      <c r="O1891" s="3"/>
      <c r="P1891" s="59"/>
      <c r="Q1891" s="21"/>
      <c r="R1891" s="21"/>
      <c r="S1891" s="3"/>
      <c r="T1891" s="3"/>
      <c r="U1891" s="3"/>
      <c r="V1891" s="3"/>
      <c r="W1891" s="3"/>
      <c r="X1891" s="3"/>
      <c r="Y1891" s="3"/>
      <c r="Z1891" s="53"/>
      <c r="AA1891" s="3"/>
      <c r="AB1891" s="59"/>
      <c r="AC1891" s="3"/>
      <c r="AD1891" s="53"/>
      <c r="AE1891" s="59"/>
    </row>
    <row r="1892" spans="1:31" customFormat="1" ht="15" x14ac:dyDescent="0.35">
      <c r="A1892" s="50"/>
      <c r="B1892" s="63"/>
      <c r="C1892" s="39"/>
      <c r="D1892" s="6"/>
      <c r="E1892" s="153"/>
      <c r="F1892" s="10"/>
      <c r="G1892" s="54"/>
      <c r="H1892" s="3"/>
      <c r="I1892" s="2"/>
      <c r="J1892" s="2"/>
      <c r="K1892" s="3"/>
      <c r="L1892" s="3"/>
      <c r="M1892" s="3"/>
      <c r="N1892" s="3"/>
      <c r="O1892" s="3"/>
      <c r="P1892" s="59"/>
      <c r="Q1892" s="3"/>
      <c r="R1892" s="3"/>
      <c r="S1892" s="3"/>
      <c r="T1892" s="3"/>
      <c r="U1892" s="3"/>
      <c r="V1892" s="3"/>
      <c r="W1892" s="3"/>
      <c r="X1892" s="3"/>
      <c r="Y1892" s="3"/>
      <c r="Z1892" s="53"/>
      <c r="AA1892" s="3"/>
      <c r="AB1892" s="59"/>
      <c r="AC1892" s="3"/>
      <c r="AD1892" s="53"/>
      <c r="AE1892" s="59"/>
    </row>
    <row r="1893" spans="1:31" customFormat="1" ht="15" x14ac:dyDescent="0.35">
      <c r="A1893" s="50"/>
      <c r="B1893" s="63"/>
      <c r="C1893" s="39"/>
      <c r="D1893" s="6"/>
      <c r="E1893" s="153"/>
      <c r="F1893" s="10"/>
      <c r="G1893" s="53"/>
      <c r="H1893" s="3"/>
      <c r="I1893" s="3"/>
      <c r="J1893" s="3"/>
      <c r="K1893" s="3"/>
      <c r="L1893" s="3"/>
      <c r="M1893" s="3"/>
      <c r="N1893" s="3"/>
      <c r="O1893" s="3"/>
      <c r="P1893" s="59"/>
      <c r="Q1893" s="21"/>
      <c r="R1893" s="21"/>
      <c r="S1893" s="3"/>
      <c r="T1893" s="3"/>
      <c r="U1893" s="3"/>
      <c r="V1893" s="3"/>
      <c r="W1893" s="3"/>
      <c r="X1893" s="3"/>
      <c r="Y1893" s="3"/>
      <c r="Z1893" s="53"/>
      <c r="AA1893" s="3"/>
      <c r="AB1893" s="59"/>
      <c r="AC1893" s="3"/>
      <c r="AD1893" s="53"/>
      <c r="AE1893" s="65"/>
    </row>
    <row r="1894" spans="1:31" customFormat="1" ht="15" x14ac:dyDescent="0.35">
      <c r="A1894" s="19"/>
      <c r="B1894" s="49"/>
      <c r="C1894" s="39"/>
      <c r="D1894" s="1"/>
      <c r="E1894" s="153"/>
      <c r="F1894" s="10"/>
      <c r="G1894" s="20"/>
      <c r="H1894" s="21"/>
      <c r="I1894" s="21"/>
      <c r="J1894" s="21"/>
      <c r="K1894" s="21"/>
      <c r="L1894" s="21"/>
      <c r="M1894" s="21"/>
      <c r="N1894" s="22"/>
      <c r="O1894" s="21"/>
      <c r="P1894" s="24"/>
      <c r="Q1894" s="21"/>
      <c r="R1894" s="21"/>
      <c r="S1894" s="21"/>
      <c r="T1894" s="21"/>
      <c r="U1894" s="21"/>
      <c r="V1894" s="22"/>
      <c r="W1894" s="21"/>
      <c r="X1894" s="22"/>
      <c r="Y1894" s="21"/>
      <c r="Z1894" s="20"/>
      <c r="AA1894" s="21"/>
      <c r="AB1894" s="25"/>
      <c r="AC1894" s="26"/>
      <c r="AD1894" s="27"/>
      <c r="AE1894" s="28"/>
    </row>
    <row r="1895" spans="1:31" customFormat="1" ht="15" x14ac:dyDescent="0.35">
      <c r="A1895" s="50"/>
      <c r="B1895" s="63"/>
      <c r="C1895" s="39"/>
      <c r="D1895" s="6"/>
      <c r="E1895" s="153"/>
      <c r="F1895" s="10"/>
      <c r="G1895" s="54"/>
      <c r="H1895" s="3"/>
      <c r="I1895" s="2"/>
      <c r="J1895" s="2"/>
      <c r="K1895" s="3"/>
      <c r="L1895" s="3"/>
      <c r="M1895" s="3"/>
      <c r="N1895" s="3"/>
      <c r="O1895" s="3"/>
      <c r="P1895" s="59"/>
      <c r="Q1895" s="3"/>
      <c r="R1895" s="3"/>
      <c r="S1895" s="3"/>
      <c r="T1895" s="3"/>
      <c r="U1895" s="3"/>
      <c r="V1895" s="3"/>
      <c r="W1895" s="3"/>
      <c r="X1895" s="3"/>
      <c r="Y1895" s="3"/>
      <c r="Z1895" s="53"/>
      <c r="AA1895" s="3"/>
      <c r="AB1895" s="59"/>
      <c r="AC1895" s="3"/>
      <c r="AD1895" s="53"/>
      <c r="AE1895" s="59"/>
    </row>
    <row r="1896" spans="1:31" customFormat="1" ht="15" x14ac:dyDescent="0.35">
      <c r="A1896" s="50"/>
      <c r="B1896" s="63"/>
      <c r="C1896" s="39"/>
      <c r="D1896" s="6"/>
      <c r="E1896" s="153"/>
      <c r="F1896" s="10"/>
      <c r="G1896" s="54"/>
      <c r="H1896" s="3"/>
      <c r="I1896" s="2"/>
      <c r="J1896" s="2"/>
      <c r="K1896" s="3"/>
      <c r="L1896" s="3"/>
      <c r="M1896" s="3"/>
      <c r="N1896" s="3"/>
      <c r="O1896" s="3"/>
      <c r="P1896" s="59"/>
      <c r="Q1896" s="3"/>
      <c r="R1896" s="3"/>
      <c r="S1896" s="3"/>
      <c r="T1896" s="3"/>
      <c r="U1896" s="3"/>
      <c r="V1896" s="3"/>
      <c r="W1896" s="3"/>
      <c r="X1896" s="3"/>
      <c r="Y1896" s="3"/>
      <c r="Z1896" s="53"/>
      <c r="AA1896" s="3"/>
      <c r="AB1896" s="59"/>
      <c r="AC1896" s="3"/>
      <c r="AD1896" s="53"/>
      <c r="AE1896" s="59"/>
    </row>
    <row r="1897" spans="1:31" customFormat="1" ht="15" x14ac:dyDescent="0.35">
      <c r="A1897" s="50"/>
      <c r="B1897" s="63"/>
      <c r="C1897" s="39"/>
      <c r="D1897" s="6"/>
      <c r="E1897" s="153"/>
      <c r="F1897" s="10"/>
      <c r="G1897" s="53"/>
      <c r="H1897" s="3"/>
      <c r="I1897" s="3"/>
      <c r="J1897" s="3"/>
      <c r="K1897" s="3"/>
      <c r="L1897" s="3"/>
      <c r="M1897" s="3"/>
      <c r="N1897" s="3"/>
      <c r="O1897" s="3"/>
      <c r="P1897" s="59"/>
      <c r="Q1897" s="3"/>
      <c r="R1897" s="3"/>
      <c r="S1897" s="3"/>
      <c r="T1897" s="3"/>
      <c r="U1897" s="3"/>
      <c r="V1897" s="3"/>
      <c r="W1897" s="3"/>
      <c r="X1897" s="3"/>
      <c r="Y1897" s="3"/>
      <c r="Z1897" s="53"/>
      <c r="AA1897" s="3"/>
      <c r="AB1897" s="59"/>
      <c r="AC1897" s="3"/>
      <c r="AD1897" s="53"/>
      <c r="AE1897" s="59"/>
    </row>
    <row r="1898" spans="1:31" customFormat="1" ht="15" x14ac:dyDescent="0.35">
      <c r="A1898" s="50"/>
      <c r="B1898" s="63"/>
      <c r="C1898" s="39"/>
      <c r="D1898" s="6"/>
      <c r="E1898" s="153"/>
      <c r="F1898" s="10"/>
      <c r="G1898" s="54"/>
      <c r="H1898" s="3"/>
      <c r="I1898" s="2"/>
      <c r="J1898" s="2"/>
      <c r="K1898" s="3"/>
      <c r="L1898" s="3"/>
      <c r="M1898" s="3"/>
      <c r="N1898" s="3"/>
      <c r="O1898" s="3"/>
      <c r="P1898" s="59"/>
      <c r="Q1898" s="3"/>
      <c r="R1898" s="3"/>
      <c r="S1898" s="3"/>
      <c r="T1898" s="3"/>
      <c r="U1898" s="3"/>
      <c r="V1898" s="3"/>
      <c r="W1898" s="3"/>
      <c r="X1898" s="3"/>
      <c r="Y1898" s="3"/>
      <c r="Z1898" s="53"/>
      <c r="AA1898" s="3"/>
      <c r="AB1898" s="59"/>
      <c r="AC1898" s="3"/>
      <c r="AD1898" s="53"/>
      <c r="AE1898" s="59"/>
    </row>
    <row r="1899" spans="1:31" customFormat="1" ht="15" x14ac:dyDescent="0.35">
      <c r="A1899" s="19"/>
      <c r="B1899" s="49"/>
      <c r="C1899" s="14"/>
      <c r="D1899" s="1"/>
      <c r="E1899" s="153"/>
      <c r="F1899" s="10"/>
      <c r="G1899" s="20"/>
      <c r="H1899" s="21"/>
      <c r="I1899" s="21"/>
      <c r="J1899" s="21"/>
      <c r="K1899" s="21"/>
      <c r="L1899" s="21"/>
      <c r="M1899" s="21"/>
      <c r="N1899" s="22"/>
      <c r="O1899" s="21"/>
      <c r="P1899" s="24"/>
      <c r="Q1899" s="21"/>
      <c r="R1899" s="21"/>
      <c r="S1899" s="21"/>
      <c r="T1899" s="21"/>
      <c r="U1899" s="21"/>
      <c r="V1899" s="22"/>
      <c r="W1899" s="21"/>
      <c r="X1899" s="22"/>
      <c r="Y1899" s="21"/>
      <c r="Z1899" s="20"/>
      <c r="AA1899" s="21"/>
      <c r="AB1899" s="25"/>
      <c r="AC1899" s="26"/>
      <c r="AD1899" s="27"/>
      <c r="AE1899" s="28"/>
    </row>
    <row r="1900" spans="1:31" customFormat="1" ht="15" x14ac:dyDescent="0.35">
      <c r="A1900" s="19"/>
      <c r="B1900" s="49"/>
      <c r="C1900" s="39"/>
      <c r="D1900" s="1"/>
      <c r="E1900" s="153"/>
      <c r="F1900" s="10"/>
      <c r="G1900" s="20"/>
      <c r="H1900" s="21"/>
      <c r="I1900" s="21"/>
      <c r="J1900" s="21"/>
      <c r="K1900" s="21"/>
      <c r="L1900" s="21"/>
      <c r="M1900" s="21"/>
      <c r="N1900" s="22"/>
      <c r="O1900" s="21"/>
      <c r="P1900" s="24"/>
      <c r="Q1900" s="21"/>
      <c r="R1900" s="21"/>
      <c r="S1900" s="21"/>
      <c r="T1900" s="21"/>
      <c r="U1900" s="21"/>
      <c r="V1900" s="22"/>
      <c r="W1900" s="21"/>
      <c r="X1900" s="22"/>
      <c r="Y1900" s="21"/>
      <c r="Z1900" s="20"/>
      <c r="AA1900" s="21"/>
      <c r="AB1900" s="25"/>
      <c r="AC1900" s="26"/>
      <c r="AD1900" s="27"/>
      <c r="AE1900" s="28"/>
    </row>
    <row r="1901" spans="1:31" customFormat="1" ht="15" x14ac:dyDescent="0.35">
      <c r="A1901" s="50"/>
      <c r="B1901" s="63"/>
      <c r="C1901" s="39"/>
      <c r="D1901" s="6"/>
      <c r="E1901" s="153"/>
      <c r="F1901" s="10"/>
      <c r="G1901" s="53"/>
      <c r="H1901" s="3"/>
      <c r="I1901" s="3"/>
      <c r="J1901" s="3"/>
      <c r="K1901" s="3"/>
      <c r="L1901" s="3"/>
      <c r="M1901" s="3"/>
      <c r="N1901" s="3"/>
      <c r="O1901" s="3"/>
      <c r="P1901" s="59"/>
      <c r="Q1901" s="21"/>
      <c r="R1901" s="21"/>
      <c r="S1901" s="3"/>
      <c r="T1901" s="3"/>
      <c r="U1901" s="3"/>
      <c r="V1901" s="3"/>
      <c r="W1901" s="3"/>
      <c r="X1901" s="3"/>
      <c r="Y1901" s="3"/>
      <c r="Z1901" s="53"/>
      <c r="AA1901" s="3"/>
      <c r="AB1901" s="59"/>
      <c r="AC1901" s="3"/>
      <c r="AD1901" s="53"/>
      <c r="AE1901" s="59"/>
    </row>
    <row r="1902" spans="1:31" customFormat="1" ht="15" x14ac:dyDescent="0.35">
      <c r="A1902" s="50"/>
      <c r="B1902" s="63"/>
      <c r="C1902" s="39"/>
      <c r="D1902" s="6"/>
      <c r="E1902" s="153"/>
      <c r="F1902" s="10"/>
      <c r="G1902" s="53"/>
      <c r="H1902" s="3"/>
      <c r="I1902" s="3"/>
      <c r="J1902" s="3"/>
      <c r="K1902" s="3"/>
      <c r="L1902" s="3"/>
      <c r="M1902" s="3"/>
      <c r="N1902" s="3"/>
      <c r="O1902" s="3"/>
      <c r="P1902" s="59"/>
      <c r="Q1902" s="21"/>
      <c r="R1902" s="21"/>
      <c r="S1902" s="3"/>
      <c r="T1902" s="3"/>
      <c r="U1902" s="3"/>
      <c r="V1902" s="3"/>
      <c r="W1902" s="3"/>
      <c r="X1902" s="3"/>
      <c r="Y1902" s="3"/>
      <c r="Z1902" s="53"/>
      <c r="AA1902" s="3"/>
      <c r="AB1902" s="59"/>
      <c r="AC1902" s="3"/>
      <c r="AD1902" s="53"/>
      <c r="AE1902" s="59"/>
    </row>
    <row r="1903" spans="1:31" customFormat="1" ht="15" x14ac:dyDescent="0.35">
      <c r="A1903" s="19"/>
      <c r="B1903" s="49"/>
      <c r="C1903" s="39"/>
      <c r="D1903" s="1"/>
      <c r="E1903" s="153"/>
      <c r="F1903" s="10"/>
      <c r="G1903" s="20"/>
      <c r="H1903" s="21"/>
      <c r="I1903" s="21"/>
      <c r="J1903" s="21"/>
      <c r="K1903" s="21"/>
      <c r="L1903" s="21"/>
      <c r="M1903" s="21"/>
      <c r="N1903" s="22"/>
      <c r="O1903" s="21"/>
      <c r="P1903" s="24"/>
      <c r="Q1903" s="21"/>
      <c r="R1903" s="21"/>
      <c r="S1903" s="21"/>
      <c r="T1903" s="21"/>
      <c r="U1903" s="21"/>
      <c r="V1903" s="22"/>
      <c r="W1903" s="21"/>
      <c r="X1903" s="22"/>
      <c r="Y1903" s="21"/>
      <c r="Z1903" s="20"/>
      <c r="AA1903" s="21"/>
      <c r="AB1903" s="25"/>
      <c r="AC1903" s="26"/>
      <c r="AD1903" s="27"/>
      <c r="AE1903" s="28"/>
    </row>
    <row r="1904" spans="1:31" customFormat="1" ht="15" x14ac:dyDescent="0.35">
      <c r="A1904" s="50"/>
      <c r="B1904" s="63"/>
      <c r="C1904" s="39"/>
      <c r="D1904" s="6"/>
      <c r="E1904" s="153"/>
      <c r="F1904" s="10"/>
      <c r="G1904" s="54"/>
      <c r="H1904" s="3"/>
      <c r="I1904" s="2"/>
      <c r="J1904" s="2"/>
      <c r="K1904" s="3"/>
      <c r="L1904" s="3"/>
      <c r="M1904" s="3"/>
      <c r="N1904" s="3"/>
      <c r="O1904" s="3"/>
      <c r="P1904" s="59"/>
      <c r="Q1904" s="3"/>
      <c r="R1904" s="3"/>
      <c r="S1904" s="3"/>
      <c r="T1904" s="3"/>
      <c r="U1904" s="3"/>
      <c r="V1904" s="3"/>
      <c r="W1904" s="3"/>
      <c r="X1904" s="3"/>
      <c r="Y1904" s="3"/>
      <c r="Z1904" s="53"/>
      <c r="AA1904" s="3"/>
      <c r="AB1904" s="59"/>
      <c r="AC1904" s="3"/>
      <c r="AD1904" s="53"/>
      <c r="AE1904" s="59"/>
    </row>
    <row r="1905" spans="1:31" customFormat="1" ht="15" x14ac:dyDescent="0.35">
      <c r="A1905" s="50"/>
      <c r="B1905" s="63"/>
      <c r="C1905" s="39"/>
      <c r="D1905" s="6"/>
      <c r="E1905" s="153"/>
      <c r="F1905" s="10"/>
      <c r="G1905" s="54"/>
      <c r="H1905" s="3"/>
      <c r="I1905" s="2"/>
      <c r="J1905" s="2"/>
      <c r="K1905" s="3"/>
      <c r="L1905" s="3"/>
      <c r="M1905" s="3"/>
      <c r="N1905" s="3"/>
      <c r="O1905" s="3"/>
      <c r="P1905" s="59"/>
      <c r="Q1905" s="3"/>
      <c r="R1905" s="3"/>
      <c r="S1905" s="3"/>
      <c r="T1905" s="3"/>
      <c r="U1905" s="3"/>
      <c r="V1905" s="3"/>
      <c r="W1905" s="3"/>
      <c r="X1905" s="3"/>
      <c r="Y1905" s="3"/>
      <c r="Z1905" s="53"/>
      <c r="AA1905" s="3"/>
      <c r="AB1905" s="59"/>
      <c r="AC1905" s="3"/>
      <c r="AD1905" s="53"/>
      <c r="AE1905" s="59"/>
    </row>
    <row r="1906" spans="1:31" customFormat="1" ht="15" x14ac:dyDescent="0.35">
      <c r="A1906" s="50"/>
      <c r="B1906" s="63"/>
      <c r="C1906" s="39"/>
      <c r="D1906" s="6"/>
      <c r="E1906" s="153"/>
      <c r="F1906" s="10"/>
      <c r="G1906" s="53"/>
      <c r="H1906" s="3"/>
      <c r="I1906" s="3"/>
      <c r="J1906" s="3"/>
      <c r="K1906" s="3"/>
      <c r="L1906" s="3"/>
      <c r="M1906" s="3"/>
      <c r="N1906" s="3"/>
      <c r="O1906" s="3"/>
      <c r="P1906" s="59"/>
      <c r="Q1906" s="21"/>
      <c r="R1906" s="21"/>
      <c r="S1906" s="3"/>
      <c r="T1906" s="3"/>
      <c r="U1906" s="3"/>
      <c r="V1906" s="3"/>
      <c r="W1906" s="3"/>
      <c r="X1906" s="3"/>
      <c r="Y1906" s="3"/>
      <c r="Z1906" s="53"/>
      <c r="AA1906" s="3"/>
      <c r="AB1906" s="59"/>
      <c r="AC1906" s="3"/>
      <c r="AD1906" s="53"/>
      <c r="AE1906" s="59"/>
    </row>
    <row r="1907" spans="1:31" customFormat="1" ht="15" x14ac:dyDescent="0.35">
      <c r="A1907" s="50"/>
      <c r="B1907" s="63"/>
      <c r="C1907" s="39"/>
      <c r="D1907" s="6"/>
      <c r="E1907" s="153"/>
      <c r="F1907" s="10"/>
      <c r="G1907" s="53"/>
      <c r="H1907" s="3"/>
      <c r="I1907" s="3"/>
      <c r="J1907" s="3"/>
      <c r="K1907" s="3"/>
      <c r="L1907" s="3"/>
      <c r="M1907" s="3"/>
      <c r="N1907" s="3"/>
      <c r="O1907" s="3"/>
      <c r="P1907" s="59"/>
      <c r="Q1907" s="21"/>
      <c r="R1907" s="21"/>
      <c r="S1907" s="3"/>
      <c r="T1907" s="3"/>
      <c r="U1907" s="3"/>
      <c r="V1907" s="3"/>
      <c r="W1907" s="3"/>
      <c r="X1907" s="3"/>
      <c r="Y1907" s="3"/>
      <c r="Z1907" s="53"/>
      <c r="AA1907" s="3"/>
      <c r="AB1907" s="59"/>
      <c r="AC1907" s="3"/>
      <c r="AD1907" s="53"/>
      <c r="AE1907" s="59"/>
    </row>
    <row r="1908" spans="1:31" customFormat="1" ht="15" x14ac:dyDescent="0.35">
      <c r="A1908" s="50"/>
      <c r="B1908" s="63"/>
      <c r="C1908" s="39"/>
      <c r="D1908" s="6"/>
      <c r="E1908" s="153"/>
      <c r="F1908" s="10"/>
      <c r="G1908" s="53"/>
      <c r="H1908" s="3"/>
      <c r="I1908" s="3"/>
      <c r="J1908" s="3"/>
      <c r="K1908" s="3"/>
      <c r="L1908" s="3"/>
      <c r="M1908" s="3"/>
      <c r="N1908" s="3"/>
      <c r="O1908" s="3"/>
      <c r="P1908" s="59"/>
      <c r="Q1908" s="21"/>
      <c r="R1908" s="21"/>
      <c r="S1908" s="3"/>
      <c r="T1908" s="3"/>
      <c r="U1908" s="3"/>
      <c r="V1908" s="3"/>
      <c r="W1908" s="3"/>
      <c r="X1908" s="3"/>
      <c r="Y1908" s="3"/>
      <c r="Z1908" s="53"/>
      <c r="AA1908" s="3"/>
      <c r="AB1908" s="59"/>
      <c r="AC1908" s="3"/>
      <c r="AD1908" s="53"/>
      <c r="AE1908" s="59"/>
    </row>
    <row r="1909" spans="1:31" customFormat="1" ht="15" x14ac:dyDescent="0.35">
      <c r="A1909" s="19"/>
      <c r="B1909" s="49"/>
      <c r="C1909" s="14"/>
      <c r="D1909" s="1"/>
      <c r="E1909" s="153"/>
      <c r="F1909" s="10"/>
      <c r="G1909" s="20"/>
      <c r="H1909" s="21"/>
      <c r="I1909" s="21"/>
      <c r="J1909" s="21"/>
      <c r="K1909" s="21"/>
      <c r="L1909" s="21"/>
      <c r="M1909" s="21"/>
      <c r="N1909" s="22"/>
      <c r="O1909" s="21"/>
      <c r="P1909" s="24"/>
      <c r="Q1909" s="21"/>
      <c r="R1909" s="21"/>
      <c r="S1909" s="21"/>
      <c r="T1909" s="21"/>
      <c r="U1909" s="21"/>
      <c r="V1909" s="22"/>
      <c r="W1909" s="21"/>
      <c r="X1909" s="22"/>
      <c r="Y1909" s="21"/>
      <c r="Z1909" s="20"/>
      <c r="AA1909" s="21"/>
      <c r="AB1909" s="25"/>
      <c r="AC1909" s="26"/>
      <c r="AD1909" s="27"/>
      <c r="AE1909" s="28"/>
    </row>
    <row r="1910" spans="1:31" customFormat="1" ht="15" x14ac:dyDescent="0.35">
      <c r="A1910" s="50"/>
      <c r="B1910" s="63"/>
      <c r="C1910" s="39"/>
      <c r="D1910" s="6"/>
      <c r="E1910" s="153"/>
      <c r="F1910" s="10"/>
      <c r="G1910" s="53"/>
      <c r="H1910" s="3"/>
      <c r="I1910" s="3"/>
      <c r="J1910" s="3"/>
      <c r="K1910" s="3"/>
      <c r="L1910" s="3"/>
      <c r="M1910" s="3"/>
      <c r="N1910" s="3"/>
      <c r="O1910" s="3"/>
      <c r="P1910" s="59"/>
      <c r="Q1910" s="21"/>
      <c r="R1910" s="21"/>
      <c r="S1910" s="3"/>
      <c r="T1910" s="3"/>
      <c r="U1910" s="3"/>
      <c r="V1910" s="3"/>
      <c r="W1910" s="3"/>
      <c r="X1910" s="3"/>
      <c r="Y1910" s="3"/>
      <c r="Z1910" s="53"/>
      <c r="AA1910" s="3"/>
      <c r="AB1910" s="59"/>
      <c r="AC1910" s="3"/>
      <c r="AD1910" s="53"/>
      <c r="AE1910" s="59"/>
    </row>
    <row r="1911" spans="1:31" customFormat="1" ht="15" x14ac:dyDescent="0.35">
      <c r="A1911" s="19"/>
      <c r="B1911" s="49"/>
      <c r="C1911" s="39"/>
      <c r="D1911" s="1"/>
      <c r="E1911" s="153"/>
      <c r="F1911" s="10"/>
      <c r="G1911" s="20"/>
      <c r="H1911" s="21"/>
      <c r="I1911" s="21"/>
      <c r="J1911" s="21"/>
      <c r="K1911" s="21"/>
      <c r="L1911" s="21"/>
      <c r="M1911" s="21"/>
      <c r="N1911" s="22"/>
      <c r="O1911" s="21"/>
      <c r="P1911" s="24"/>
      <c r="Q1911" s="21"/>
      <c r="R1911" s="21"/>
      <c r="S1911" s="21"/>
      <c r="T1911" s="21"/>
      <c r="U1911" s="21"/>
      <c r="V1911" s="22"/>
      <c r="W1911" s="21"/>
      <c r="X1911" s="22"/>
      <c r="Y1911" s="21"/>
      <c r="Z1911" s="20"/>
      <c r="AA1911" s="21"/>
      <c r="AB1911" s="25"/>
      <c r="AC1911" s="26"/>
      <c r="AD1911" s="27"/>
      <c r="AE1911" s="28"/>
    </row>
    <row r="1912" spans="1:31" customFormat="1" ht="15" x14ac:dyDescent="0.35">
      <c r="A1912" s="19"/>
      <c r="B1912" s="49"/>
      <c r="C1912" s="39"/>
      <c r="D1912" s="1"/>
      <c r="E1912" s="153"/>
      <c r="F1912" s="10"/>
      <c r="G1912" s="20"/>
      <c r="H1912" s="21"/>
      <c r="I1912" s="21"/>
      <c r="J1912" s="21"/>
      <c r="K1912" s="21"/>
      <c r="L1912" s="21"/>
      <c r="M1912" s="21"/>
      <c r="N1912" s="22"/>
      <c r="O1912" s="21"/>
      <c r="P1912" s="24"/>
      <c r="Q1912" s="21"/>
      <c r="R1912" s="21"/>
      <c r="S1912" s="21"/>
      <c r="T1912" s="21"/>
      <c r="U1912" s="21"/>
      <c r="V1912" s="22"/>
      <c r="W1912" s="21"/>
      <c r="X1912" s="22"/>
      <c r="Y1912" s="21"/>
      <c r="Z1912" s="20"/>
      <c r="AA1912" s="21"/>
      <c r="AB1912" s="25"/>
      <c r="AC1912" s="26"/>
      <c r="AD1912" s="27"/>
      <c r="AE1912" s="28"/>
    </row>
    <row r="1913" spans="1:31" customFormat="1" ht="15" x14ac:dyDescent="0.35">
      <c r="A1913" s="50"/>
      <c r="B1913" s="63"/>
      <c r="C1913" s="39"/>
      <c r="D1913" s="6"/>
      <c r="E1913" s="153"/>
      <c r="F1913" s="10"/>
      <c r="G1913" s="54"/>
      <c r="H1913" s="3"/>
      <c r="I1913" s="2"/>
      <c r="J1913" s="2"/>
      <c r="K1913" s="3"/>
      <c r="L1913" s="3"/>
      <c r="M1913" s="3"/>
      <c r="N1913" s="3"/>
      <c r="O1913" s="3"/>
      <c r="P1913" s="59"/>
      <c r="Q1913" s="3"/>
      <c r="R1913" s="3"/>
      <c r="S1913" s="3"/>
      <c r="T1913" s="3"/>
      <c r="U1913" s="3"/>
      <c r="V1913" s="3"/>
      <c r="W1913" s="3"/>
      <c r="X1913" s="3"/>
      <c r="Y1913" s="3"/>
      <c r="Z1913" s="53"/>
      <c r="AA1913" s="3"/>
      <c r="AB1913" s="59"/>
      <c r="AC1913" s="3"/>
      <c r="AD1913" s="53"/>
      <c r="AE1913" s="59"/>
    </row>
    <row r="1914" spans="1:31" customFormat="1" ht="15" x14ac:dyDescent="0.35">
      <c r="A1914" s="19"/>
      <c r="B1914" s="49"/>
      <c r="C1914" s="39"/>
      <c r="D1914" s="1"/>
      <c r="E1914" s="153"/>
      <c r="F1914" s="10"/>
      <c r="G1914" s="20"/>
      <c r="H1914" s="21"/>
      <c r="I1914" s="21"/>
      <c r="J1914" s="21"/>
      <c r="K1914" s="21"/>
      <c r="L1914" s="21"/>
      <c r="M1914" s="21"/>
      <c r="N1914" s="22"/>
      <c r="O1914" s="21"/>
      <c r="P1914" s="24"/>
      <c r="Q1914" s="21"/>
      <c r="R1914" s="21"/>
      <c r="S1914" s="21"/>
      <c r="T1914" s="21"/>
      <c r="U1914" s="21"/>
      <c r="V1914" s="22"/>
      <c r="W1914" s="21"/>
      <c r="X1914" s="22"/>
      <c r="Y1914" s="21"/>
      <c r="Z1914" s="20"/>
      <c r="AA1914" s="21"/>
      <c r="AB1914" s="25"/>
      <c r="AC1914" s="26"/>
      <c r="AD1914" s="27"/>
      <c r="AE1914" s="28"/>
    </row>
    <row r="1915" spans="1:31" customFormat="1" ht="15" x14ac:dyDescent="0.35">
      <c r="A1915" s="19"/>
      <c r="B1915" s="49"/>
      <c r="C1915" s="14"/>
      <c r="D1915" s="1"/>
      <c r="E1915" s="153"/>
      <c r="F1915" s="10"/>
      <c r="G1915" s="20"/>
      <c r="H1915" s="21"/>
      <c r="I1915" s="21"/>
      <c r="J1915" s="21"/>
      <c r="K1915" s="21"/>
      <c r="L1915" s="21"/>
      <c r="M1915" s="21"/>
      <c r="N1915" s="22"/>
      <c r="O1915" s="21"/>
      <c r="P1915" s="24"/>
      <c r="Q1915" s="21"/>
      <c r="R1915" s="21"/>
      <c r="S1915" s="21"/>
      <c r="T1915" s="21"/>
      <c r="U1915" s="21"/>
      <c r="V1915" s="22"/>
      <c r="W1915" s="21"/>
      <c r="X1915" s="22"/>
      <c r="Y1915" s="21"/>
      <c r="Z1915" s="20"/>
      <c r="AA1915" s="21"/>
      <c r="AB1915" s="25"/>
      <c r="AC1915" s="26"/>
      <c r="AD1915" s="27"/>
      <c r="AE1915" s="28"/>
    </row>
    <row r="1916" spans="1:31" customFormat="1" ht="15" x14ac:dyDescent="0.35">
      <c r="A1916" s="50"/>
      <c r="B1916" s="63"/>
      <c r="C1916" s="39"/>
      <c r="D1916" s="6"/>
      <c r="E1916" s="153"/>
      <c r="F1916" s="10"/>
      <c r="G1916" s="54"/>
      <c r="H1916" s="3"/>
      <c r="I1916" s="2"/>
      <c r="J1916" s="2"/>
      <c r="K1916" s="3"/>
      <c r="L1916" s="3"/>
      <c r="M1916" s="3"/>
      <c r="N1916" s="3"/>
      <c r="O1916" s="3"/>
      <c r="P1916" s="59"/>
      <c r="Q1916" s="3"/>
      <c r="R1916" s="3"/>
      <c r="S1916" s="3"/>
      <c r="T1916" s="3"/>
      <c r="U1916" s="3"/>
      <c r="V1916" s="3"/>
      <c r="W1916" s="3"/>
      <c r="X1916" s="3"/>
      <c r="Y1916" s="3"/>
      <c r="Z1916" s="53"/>
      <c r="AA1916" s="3"/>
      <c r="AB1916" s="59"/>
      <c r="AC1916" s="3"/>
      <c r="AD1916" s="53"/>
      <c r="AE1916" s="59"/>
    </row>
    <row r="1917" spans="1:31" customFormat="1" ht="15" x14ac:dyDescent="0.35">
      <c r="A1917" s="50"/>
      <c r="B1917" s="63"/>
      <c r="C1917" s="39"/>
      <c r="D1917" s="6"/>
      <c r="E1917" s="153"/>
      <c r="F1917" s="10"/>
      <c r="G1917" s="53"/>
      <c r="H1917" s="3"/>
      <c r="I1917" s="3"/>
      <c r="J1917" s="3"/>
      <c r="K1917" s="3"/>
      <c r="L1917" s="3"/>
      <c r="M1917" s="3"/>
      <c r="N1917" s="3"/>
      <c r="O1917" s="3"/>
      <c r="P1917" s="59"/>
      <c r="Q1917" s="21"/>
      <c r="R1917" s="21"/>
      <c r="S1917" s="3"/>
      <c r="T1917" s="3"/>
      <c r="U1917" s="3"/>
      <c r="V1917" s="3"/>
      <c r="W1917" s="3"/>
      <c r="X1917" s="3"/>
      <c r="Y1917" s="3"/>
      <c r="Z1917" s="53"/>
      <c r="AA1917" s="3"/>
      <c r="AB1917" s="59"/>
      <c r="AC1917" s="3"/>
      <c r="AD1917" s="53"/>
      <c r="AE1917" s="59"/>
    </row>
    <row r="1918" spans="1:31" customFormat="1" ht="15" x14ac:dyDescent="0.35">
      <c r="A1918" s="50"/>
      <c r="B1918" s="63"/>
      <c r="C1918" s="39"/>
      <c r="D1918" s="6"/>
      <c r="E1918" s="153"/>
      <c r="F1918" s="10"/>
      <c r="G1918" s="53"/>
      <c r="H1918" s="3"/>
      <c r="I1918" s="3"/>
      <c r="J1918" s="3"/>
      <c r="K1918" s="3"/>
      <c r="L1918" s="3"/>
      <c r="M1918" s="3"/>
      <c r="N1918" s="3"/>
      <c r="O1918" s="3"/>
      <c r="P1918" s="59"/>
      <c r="Q1918" s="3"/>
      <c r="R1918" s="3"/>
      <c r="S1918" s="3"/>
      <c r="T1918" s="3"/>
      <c r="U1918" s="3"/>
      <c r="V1918" s="3"/>
      <c r="W1918" s="3"/>
      <c r="X1918" s="3"/>
      <c r="Y1918" s="3"/>
      <c r="Z1918" s="53"/>
      <c r="AA1918" s="3"/>
      <c r="AB1918" s="59"/>
      <c r="AC1918" s="3"/>
      <c r="AD1918" s="53"/>
      <c r="AE1918" s="59"/>
    </row>
    <row r="1919" spans="1:31" customFormat="1" ht="15" x14ac:dyDescent="0.35">
      <c r="A1919" s="19"/>
      <c r="B1919" s="49"/>
      <c r="C1919" s="14"/>
      <c r="D1919" s="1"/>
      <c r="E1919" s="153"/>
      <c r="F1919" s="10"/>
      <c r="G1919" s="20"/>
      <c r="H1919" s="21"/>
      <c r="I1919" s="21"/>
      <c r="J1919" s="21"/>
      <c r="K1919" s="21"/>
      <c r="L1919" s="21"/>
      <c r="M1919" s="21"/>
      <c r="N1919" s="22"/>
      <c r="O1919" s="21"/>
      <c r="P1919" s="24"/>
      <c r="Q1919" s="21"/>
      <c r="R1919" s="21"/>
      <c r="S1919" s="21"/>
      <c r="T1919" s="21"/>
      <c r="U1919" s="21"/>
      <c r="V1919" s="22"/>
      <c r="W1919" s="21"/>
      <c r="X1919" s="22"/>
      <c r="Y1919" s="21"/>
      <c r="Z1919" s="20"/>
      <c r="AA1919" s="21"/>
      <c r="AB1919" s="25"/>
      <c r="AC1919" s="26"/>
      <c r="AD1919" s="27"/>
      <c r="AE1919" s="28"/>
    </row>
    <row r="1920" spans="1:31" customFormat="1" ht="15" x14ac:dyDescent="0.35">
      <c r="A1920" s="50"/>
      <c r="B1920" s="63"/>
      <c r="C1920" s="39"/>
      <c r="D1920" s="6"/>
      <c r="E1920" s="153"/>
      <c r="F1920" s="10"/>
      <c r="G1920" s="53"/>
      <c r="H1920" s="3"/>
      <c r="I1920" s="3"/>
      <c r="J1920" s="3"/>
      <c r="K1920" s="3"/>
      <c r="L1920" s="3"/>
      <c r="M1920" s="3"/>
      <c r="N1920" s="3"/>
      <c r="O1920" s="3"/>
      <c r="P1920" s="59"/>
      <c r="Q1920" s="21"/>
      <c r="R1920" s="21"/>
      <c r="S1920" s="3"/>
      <c r="T1920" s="3"/>
      <c r="U1920" s="3"/>
      <c r="V1920" s="3"/>
      <c r="W1920" s="3"/>
      <c r="X1920" s="3"/>
      <c r="Y1920" s="3"/>
      <c r="Z1920" s="53"/>
      <c r="AA1920" s="3"/>
      <c r="AB1920" s="59"/>
      <c r="AC1920" s="3"/>
      <c r="AD1920" s="53"/>
      <c r="AE1920" s="59"/>
    </row>
    <row r="1921" spans="1:31" customFormat="1" ht="15" x14ac:dyDescent="0.35">
      <c r="A1921" s="50"/>
      <c r="B1921" s="63"/>
      <c r="C1921" s="39"/>
      <c r="D1921" s="6"/>
      <c r="E1921" s="153"/>
      <c r="F1921" s="10"/>
      <c r="G1921" s="53"/>
      <c r="H1921" s="3"/>
      <c r="I1921" s="3"/>
      <c r="J1921" s="3"/>
      <c r="K1921" s="3"/>
      <c r="L1921" s="3"/>
      <c r="M1921" s="3"/>
      <c r="N1921" s="3"/>
      <c r="O1921" s="3"/>
      <c r="P1921" s="59"/>
      <c r="Q1921" s="21"/>
      <c r="R1921" s="21"/>
      <c r="S1921" s="3"/>
      <c r="T1921" s="3"/>
      <c r="U1921" s="3"/>
      <c r="V1921" s="3"/>
      <c r="W1921" s="3"/>
      <c r="X1921" s="3"/>
      <c r="Y1921" s="3"/>
      <c r="Z1921" s="53"/>
      <c r="AA1921" s="3"/>
      <c r="AB1921" s="59"/>
      <c r="AC1921" s="3"/>
      <c r="AD1921" s="53"/>
      <c r="AE1921" s="59"/>
    </row>
    <row r="1922" spans="1:31" customFormat="1" ht="15" x14ac:dyDescent="0.35">
      <c r="A1922" s="19"/>
      <c r="B1922" s="49"/>
      <c r="C1922" s="14"/>
      <c r="D1922" s="1"/>
      <c r="E1922" s="153"/>
      <c r="F1922" s="10"/>
      <c r="G1922" s="20"/>
      <c r="H1922" s="21"/>
      <c r="I1922" s="21"/>
      <c r="J1922" s="21"/>
      <c r="K1922" s="21"/>
      <c r="L1922" s="21"/>
      <c r="M1922" s="21"/>
      <c r="N1922" s="22"/>
      <c r="O1922" s="21"/>
      <c r="P1922" s="24"/>
      <c r="Q1922" s="21"/>
      <c r="R1922" s="21"/>
      <c r="S1922" s="21"/>
      <c r="T1922" s="21"/>
      <c r="U1922" s="21"/>
      <c r="V1922" s="22"/>
      <c r="W1922" s="21"/>
      <c r="X1922" s="22"/>
      <c r="Y1922" s="21"/>
      <c r="Z1922" s="20"/>
      <c r="AA1922" s="21"/>
      <c r="AB1922" s="25"/>
      <c r="AC1922" s="26"/>
      <c r="AD1922" s="27"/>
      <c r="AE1922" s="28"/>
    </row>
    <row r="1923" spans="1:31" customFormat="1" ht="15" x14ac:dyDescent="0.35">
      <c r="A1923" s="19"/>
      <c r="B1923" s="49"/>
      <c r="C1923" s="14"/>
      <c r="D1923" s="1"/>
      <c r="E1923" s="153"/>
      <c r="F1923" s="10"/>
      <c r="G1923" s="20"/>
      <c r="H1923" s="21"/>
      <c r="I1923" s="21"/>
      <c r="J1923" s="21"/>
      <c r="K1923" s="21"/>
      <c r="L1923" s="21"/>
      <c r="M1923" s="21"/>
      <c r="N1923" s="22"/>
      <c r="O1923" s="21"/>
      <c r="P1923" s="24"/>
      <c r="Q1923" s="21"/>
      <c r="R1923" s="21"/>
      <c r="S1923" s="21"/>
      <c r="T1923" s="21"/>
      <c r="U1923" s="21"/>
      <c r="V1923" s="22"/>
      <c r="W1923" s="21"/>
      <c r="X1923" s="22"/>
      <c r="Y1923" s="21"/>
      <c r="Z1923" s="20"/>
      <c r="AA1923" s="21"/>
      <c r="AB1923" s="25"/>
      <c r="AC1923" s="26"/>
      <c r="AD1923" s="27"/>
      <c r="AE1923" s="28"/>
    </row>
    <row r="1924" spans="1:31" customFormat="1" ht="15" x14ac:dyDescent="0.35">
      <c r="A1924" s="50"/>
      <c r="B1924" s="63"/>
      <c r="C1924" s="39"/>
      <c r="D1924" s="6"/>
      <c r="E1924" s="153"/>
      <c r="F1924" s="10"/>
      <c r="G1924" s="54"/>
      <c r="H1924" s="3"/>
      <c r="I1924" s="2"/>
      <c r="J1924" s="2"/>
      <c r="K1924" s="3"/>
      <c r="L1924" s="3"/>
      <c r="M1924" s="3"/>
      <c r="N1924" s="3"/>
      <c r="O1924" s="3"/>
      <c r="P1924" s="59"/>
      <c r="Q1924" s="3"/>
      <c r="R1924" s="3"/>
      <c r="S1924" s="3"/>
      <c r="T1924" s="3"/>
      <c r="U1924" s="3"/>
      <c r="V1924" s="3"/>
      <c r="W1924" s="3"/>
      <c r="X1924" s="3"/>
      <c r="Y1924" s="3"/>
      <c r="Z1924" s="53"/>
      <c r="AA1924" s="3"/>
      <c r="AB1924" s="59"/>
      <c r="AC1924" s="3"/>
      <c r="AD1924" s="53"/>
      <c r="AE1924" s="59"/>
    </row>
    <row r="1925" spans="1:31" customFormat="1" ht="15" x14ac:dyDescent="0.35">
      <c r="A1925" s="50"/>
      <c r="B1925" s="63"/>
      <c r="C1925" s="39"/>
      <c r="D1925" s="6"/>
      <c r="E1925" s="153"/>
      <c r="F1925" s="10"/>
      <c r="G1925" s="54"/>
      <c r="H1925" s="3"/>
      <c r="I1925" s="2"/>
      <c r="J1925" s="2"/>
      <c r="K1925" s="3"/>
      <c r="L1925" s="3"/>
      <c r="M1925" s="3"/>
      <c r="N1925" s="3"/>
      <c r="O1925" s="3"/>
      <c r="P1925" s="59"/>
      <c r="Q1925" s="3"/>
      <c r="R1925" s="3"/>
      <c r="S1925" s="3"/>
      <c r="T1925" s="3"/>
      <c r="U1925" s="3"/>
      <c r="V1925" s="3"/>
      <c r="W1925" s="3"/>
      <c r="X1925" s="3"/>
      <c r="Y1925" s="3"/>
      <c r="Z1925" s="53"/>
      <c r="AA1925" s="3"/>
      <c r="AB1925" s="59"/>
      <c r="AC1925" s="3"/>
      <c r="AD1925" s="53"/>
      <c r="AE1925" s="59"/>
    </row>
    <row r="1926" spans="1:31" customFormat="1" ht="15" x14ac:dyDescent="0.35">
      <c r="A1926" s="50"/>
      <c r="B1926" s="63"/>
      <c r="C1926" s="39"/>
      <c r="D1926" s="6"/>
      <c r="E1926" s="153"/>
      <c r="F1926" s="10"/>
      <c r="G1926" s="53"/>
      <c r="H1926" s="3"/>
      <c r="I1926" s="3"/>
      <c r="J1926" s="3"/>
      <c r="K1926" s="3"/>
      <c r="L1926" s="3"/>
      <c r="M1926" s="3"/>
      <c r="N1926" s="3"/>
      <c r="O1926" s="3"/>
      <c r="P1926" s="59"/>
      <c r="Q1926" s="21"/>
      <c r="R1926" s="21"/>
      <c r="S1926" s="3"/>
      <c r="T1926" s="3"/>
      <c r="U1926" s="3"/>
      <c r="V1926" s="3"/>
      <c r="W1926" s="3"/>
      <c r="X1926" s="3"/>
      <c r="Y1926" s="3"/>
      <c r="Z1926" s="53"/>
      <c r="AA1926" s="3"/>
      <c r="AB1926" s="59"/>
      <c r="AC1926" s="3"/>
      <c r="AD1926" s="53"/>
      <c r="AE1926" s="59"/>
    </row>
    <row r="1927" spans="1:31" customFormat="1" ht="15" x14ac:dyDescent="0.35">
      <c r="A1927" s="50"/>
      <c r="B1927" s="63"/>
      <c r="C1927" s="39"/>
      <c r="D1927" s="6"/>
      <c r="E1927" s="153"/>
      <c r="F1927" s="10"/>
      <c r="G1927" s="53"/>
      <c r="H1927" s="3"/>
      <c r="I1927" s="3"/>
      <c r="J1927" s="3"/>
      <c r="K1927" s="3"/>
      <c r="L1927" s="3"/>
      <c r="M1927" s="3"/>
      <c r="N1927" s="3"/>
      <c r="O1927" s="3"/>
      <c r="P1927" s="59"/>
      <c r="Q1927" s="21"/>
      <c r="R1927" s="21"/>
      <c r="S1927" s="3"/>
      <c r="T1927" s="3"/>
      <c r="U1927" s="3"/>
      <c r="V1927" s="3"/>
      <c r="W1927" s="3"/>
      <c r="X1927" s="3"/>
      <c r="Y1927" s="3"/>
      <c r="Z1927" s="53"/>
      <c r="AA1927" s="3"/>
      <c r="AB1927" s="59"/>
      <c r="AC1927" s="3"/>
      <c r="AD1927" s="53"/>
      <c r="AE1927" s="59"/>
    </row>
    <row r="1928" spans="1:31" customFormat="1" ht="15" x14ac:dyDescent="0.35">
      <c r="A1928" s="50"/>
      <c r="B1928" s="63"/>
      <c r="C1928" s="39"/>
      <c r="D1928" s="6"/>
      <c r="E1928" s="153"/>
      <c r="F1928" s="10"/>
      <c r="G1928" s="53"/>
      <c r="H1928" s="3"/>
      <c r="I1928" s="3"/>
      <c r="J1928" s="3"/>
      <c r="K1928" s="3"/>
      <c r="L1928" s="3"/>
      <c r="M1928" s="3"/>
      <c r="N1928" s="3"/>
      <c r="O1928" s="3"/>
      <c r="P1928" s="59"/>
      <c r="Q1928" s="21"/>
      <c r="R1928" s="21"/>
      <c r="S1928" s="3"/>
      <c r="T1928" s="3"/>
      <c r="U1928" s="3"/>
      <c r="V1928" s="3"/>
      <c r="W1928" s="3"/>
      <c r="X1928" s="3"/>
      <c r="Y1928" s="3"/>
      <c r="Z1928" s="53"/>
      <c r="AA1928" s="3"/>
      <c r="AB1928" s="59"/>
      <c r="AC1928" s="3"/>
      <c r="AD1928" s="53"/>
      <c r="AE1928" s="59"/>
    </row>
    <row r="1929" spans="1:31" customFormat="1" ht="15" x14ac:dyDescent="0.35">
      <c r="A1929" s="50"/>
      <c r="B1929" s="63"/>
      <c r="C1929" s="39"/>
      <c r="D1929" s="6"/>
      <c r="E1929" s="153"/>
      <c r="F1929" s="10"/>
      <c r="G1929" s="54"/>
      <c r="H1929" s="3"/>
      <c r="I1929" s="2"/>
      <c r="J1929" s="2"/>
      <c r="K1929" s="3"/>
      <c r="L1929" s="3"/>
      <c r="M1929" s="3"/>
      <c r="N1929" s="3"/>
      <c r="O1929" s="3"/>
      <c r="P1929" s="59"/>
      <c r="Q1929" s="3"/>
      <c r="R1929" s="3"/>
      <c r="S1929" s="3"/>
      <c r="T1929" s="3"/>
      <c r="U1929" s="3"/>
      <c r="V1929" s="3"/>
      <c r="W1929" s="3"/>
      <c r="X1929" s="3"/>
      <c r="Y1929" s="3"/>
      <c r="Z1929" s="53"/>
      <c r="AA1929" s="3"/>
      <c r="AB1929" s="59"/>
      <c r="AC1929" s="3"/>
      <c r="AD1929" s="53"/>
      <c r="AE1929" s="59"/>
    </row>
    <row r="1930" spans="1:31" customFormat="1" ht="15" x14ac:dyDescent="0.35">
      <c r="A1930" s="50"/>
      <c r="B1930" s="63"/>
      <c r="C1930" s="39"/>
      <c r="D1930" s="6"/>
      <c r="E1930" s="153"/>
      <c r="F1930" s="10"/>
      <c r="G1930" s="54"/>
      <c r="H1930" s="3"/>
      <c r="I1930" s="2"/>
      <c r="J1930" s="2"/>
      <c r="K1930" s="3"/>
      <c r="L1930" s="3"/>
      <c r="M1930" s="3"/>
      <c r="N1930" s="3"/>
      <c r="O1930" s="3"/>
      <c r="P1930" s="59"/>
      <c r="Q1930" s="3"/>
      <c r="R1930" s="3"/>
      <c r="S1930" s="3"/>
      <c r="T1930" s="3"/>
      <c r="U1930" s="3"/>
      <c r="V1930" s="3"/>
      <c r="W1930" s="3"/>
      <c r="X1930" s="3"/>
      <c r="Y1930" s="3"/>
      <c r="Z1930" s="53"/>
      <c r="AA1930" s="3"/>
      <c r="AB1930" s="59"/>
      <c r="AC1930" s="3"/>
      <c r="AD1930" s="53"/>
      <c r="AE1930" s="59"/>
    </row>
    <row r="1931" spans="1:31" customFormat="1" ht="15" x14ac:dyDescent="0.35">
      <c r="A1931" s="50"/>
      <c r="B1931" s="63"/>
      <c r="C1931" s="39"/>
      <c r="D1931" s="6"/>
      <c r="E1931" s="153"/>
      <c r="F1931" s="10"/>
      <c r="G1931" s="53"/>
      <c r="H1931" s="3"/>
      <c r="I1931" s="3"/>
      <c r="J1931" s="3"/>
      <c r="K1931" s="3"/>
      <c r="L1931" s="3"/>
      <c r="M1931" s="3"/>
      <c r="N1931" s="3"/>
      <c r="O1931" s="3"/>
      <c r="P1931" s="59"/>
      <c r="Q1931" s="21"/>
      <c r="R1931" s="21"/>
      <c r="S1931" s="3"/>
      <c r="T1931" s="3"/>
      <c r="U1931" s="3"/>
      <c r="V1931" s="3"/>
      <c r="W1931" s="3"/>
      <c r="X1931" s="3"/>
      <c r="Y1931" s="3"/>
      <c r="Z1931" s="53"/>
      <c r="AA1931" s="3"/>
      <c r="AB1931" s="59"/>
      <c r="AC1931" s="3"/>
      <c r="AD1931" s="53"/>
      <c r="AE1931" s="59"/>
    </row>
    <row r="1932" spans="1:31" customFormat="1" ht="15" x14ac:dyDescent="0.35">
      <c r="A1932" s="50"/>
      <c r="B1932" s="63"/>
      <c r="C1932" s="39"/>
      <c r="D1932" s="6"/>
      <c r="E1932" s="153"/>
      <c r="F1932" s="10"/>
      <c r="G1932" s="53"/>
      <c r="H1932" s="3"/>
      <c r="I1932" s="3"/>
      <c r="J1932" s="3"/>
      <c r="K1932" s="3"/>
      <c r="L1932" s="3"/>
      <c r="M1932" s="3"/>
      <c r="N1932" s="3"/>
      <c r="O1932" s="3"/>
      <c r="P1932" s="59"/>
      <c r="Q1932" s="21"/>
      <c r="R1932" s="21"/>
      <c r="S1932" s="3"/>
      <c r="T1932" s="3"/>
      <c r="U1932" s="3"/>
      <c r="V1932" s="3"/>
      <c r="W1932" s="3"/>
      <c r="X1932" s="3"/>
      <c r="Y1932" s="3"/>
      <c r="Z1932" s="53"/>
      <c r="AA1932" s="3"/>
      <c r="AB1932" s="59"/>
      <c r="AC1932" s="3"/>
      <c r="AD1932" s="53"/>
      <c r="AE1932" s="59"/>
    </row>
    <row r="1933" spans="1:31" customFormat="1" ht="15" x14ac:dyDescent="0.35">
      <c r="A1933" s="50"/>
      <c r="B1933" s="63"/>
      <c r="C1933" s="39"/>
      <c r="D1933" s="6"/>
      <c r="E1933" s="153"/>
      <c r="F1933" s="10"/>
      <c r="G1933" s="53"/>
      <c r="H1933" s="3"/>
      <c r="I1933" s="3"/>
      <c r="J1933" s="3"/>
      <c r="K1933" s="3"/>
      <c r="L1933" s="3"/>
      <c r="M1933" s="3"/>
      <c r="N1933" s="3"/>
      <c r="O1933" s="3"/>
      <c r="P1933" s="59"/>
      <c r="Q1933" s="21"/>
      <c r="R1933" s="21"/>
      <c r="S1933" s="3"/>
      <c r="T1933" s="3"/>
      <c r="U1933" s="3"/>
      <c r="V1933" s="3"/>
      <c r="W1933" s="3"/>
      <c r="X1933" s="3"/>
      <c r="Y1933" s="3"/>
      <c r="Z1933" s="53"/>
      <c r="AA1933" s="3"/>
      <c r="AB1933" s="59"/>
      <c r="AC1933" s="3"/>
      <c r="AD1933" s="53"/>
      <c r="AE1933" s="59"/>
    </row>
    <row r="1934" spans="1:31" customFormat="1" ht="15" x14ac:dyDescent="0.35">
      <c r="A1934" s="50"/>
      <c r="B1934" s="63"/>
      <c r="C1934" s="39"/>
      <c r="D1934" s="6"/>
      <c r="E1934" s="153"/>
      <c r="F1934" s="10"/>
      <c r="G1934" s="54"/>
      <c r="H1934" s="3"/>
      <c r="I1934" s="2"/>
      <c r="J1934" s="2"/>
      <c r="K1934" s="3"/>
      <c r="L1934" s="3"/>
      <c r="M1934" s="3"/>
      <c r="N1934" s="3"/>
      <c r="O1934" s="3"/>
      <c r="P1934" s="59"/>
      <c r="Q1934" s="3"/>
      <c r="R1934" s="3"/>
      <c r="S1934" s="3"/>
      <c r="T1934" s="3"/>
      <c r="U1934" s="3"/>
      <c r="V1934" s="3"/>
      <c r="W1934" s="3"/>
      <c r="X1934" s="3"/>
      <c r="Y1934" s="3"/>
      <c r="Z1934" s="53"/>
      <c r="AA1934" s="3"/>
      <c r="AB1934" s="59"/>
      <c r="AC1934" s="3"/>
      <c r="AD1934" s="53"/>
      <c r="AE1934" s="59"/>
    </row>
    <row r="1935" spans="1:31" customFormat="1" ht="15" x14ac:dyDescent="0.35">
      <c r="A1935" s="50"/>
      <c r="B1935" s="63"/>
      <c r="C1935" s="39"/>
      <c r="D1935" s="6"/>
      <c r="E1935" s="153"/>
      <c r="F1935" s="10"/>
      <c r="G1935" s="54"/>
      <c r="H1935" s="3"/>
      <c r="I1935" s="2"/>
      <c r="J1935" s="2"/>
      <c r="K1935" s="3"/>
      <c r="L1935" s="3"/>
      <c r="M1935" s="3"/>
      <c r="N1935" s="3"/>
      <c r="O1935" s="3"/>
      <c r="P1935" s="59"/>
      <c r="Q1935" s="3"/>
      <c r="R1935" s="3"/>
      <c r="S1935" s="3"/>
      <c r="T1935" s="3"/>
      <c r="U1935" s="3"/>
      <c r="V1935" s="3"/>
      <c r="W1935" s="3"/>
      <c r="X1935" s="3"/>
      <c r="Y1935" s="3"/>
      <c r="Z1935" s="53"/>
      <c r="AA1935" s="3"/>
      <c r="AB1935" s="59"/>
      <c r="AC1935" s="3"/>
      <c r="AD1935" s="53"/>
      <c r="AE1935" s="59"/>
    </row>
    <row r="1936" spans="1:31" customFormat="1" ht="15" x14ac:dyDescent="0.35">
      <c r="A1936" s="50"/>
      <c r="B1936" s="63"/>
      <c r="C1936" s="39"/>
      <c r="D1936" s="6"/>
      <c r="E1936" s="153"/>
      <c r="F1936" s="10"/>
      <c r="G1936" s="53"/>
      <c r="H1936" s="3"/>
      <c r="I1936" s="3"/>
      <c r="J1936" s="3"/>
      <c r="K1936" s="3"/>
      <c r="L1936" s="3"/>
      <c r="M1936" s="3"/>
      <c r="N1936" s="3"/>
      <c r="O1936" s="3"/>
      <c r="P1936" s="59"/>
      <c r="Q1936" s="21"/>
      <c r="R1936" s="21"/>
      <c r="S1936" s="3"/>
      <c r="T1936" s="3"/>
      <c r="U1936" s="3"/>
      <c r="V1936" s="3"/>
      <c r="W1936" s="3"/>
      <c r="X1936" s="3"/>
      <c r="Y1936" s="3"/>
      <c r="Z1936" s="53"/>
      <c r="AA1936" s="3"/>
      <c r="AB1936" s="59"/>
      <c r="AC1936" s="3"/>
      <c r="AD1936" s="53"/>
      <c r="AE1936" s="59"/>
    </row>
    <row r="1937" spans="1:31" customFormat="1" ht="15" x14ac:dyDescent="0.35">
      <c r="A1937" s="50"/>
      <c r="B1937" s="63"/>
      <c r="C1937" s="39"/>
      <c r="D1937" s="6"/>
      <c r="E1937" s="153"/>
      <c r="F1937" s="10"/>
      <c r="G1937" s="54"/>
      <c r="H1937" s="3"/>
      <c r="I1937" s="2"/>
      <c r="J1937" s="2"/>
      <c r="K1937" s="3"/>
      <c r="L1937" s="3"/>
      <c r="M1937" s="3"/>
      <c r="N1937" s="3"/>
      <c r="O1937" s="3"/>
      <c r="P1937" s="59"/>
      <c r="Q1937" s="3"/>
      <c r="R1937" s="3"/>
      <c r="S1937" s="3"/>
      <c r="T1937" s="3"/>
      <c r="U1937" s="3"/>
      <c r="V1937" s="3"/>
      <c r="W1937" s="3"/>
      <c r="X1937" s="3"/>
      <c r="Y1937" s="3"/>
      <c r="Z1937" s="53"/>
      <c r="AA1937" s="3"/>
      <c r="AB1937" s="59"/>
      <c r="AC1937" s="3"/>
      <c r="AD1937" s="53"/>
      <c r="AE1937" s="59"/>
    </row>
    <row r="1938" spans="1:31" customFormat="1" ht="15" x14ac:dyDescent="0.35">
      <c r="A1938" s="50"/>
      <c r="B1938" s="63"/>
      <c r="C1938" s="39"/>
      <c r="D1938" s="6"/>
      <c r="E1938" s="153"/>
      <c r="F1938" s="10"/>
      <c r="G1938" s="53"/>
      <c r="H1938" s="3"/>
      <c r="I1938" s="3"/>
      <c r="J1938" s="3"/>
      <c r="K1938" s="3"/>
      <c r="L1938" s="3"/>
      <c r="M1938" s="3"/>
      <c r="N1938" s="3"/>
      <c r="O1938" s="3"/>
      <c r="P1938" s="59"/>
      <c r="Q1938" s="21"/>
      <c r="R1938" s="21"/>
      <c r="S1938" s="3"/>
      <c r="T1938" s="3"/>
      <c r="U1938" s="3"/>
      <c r="V1938" s="3"/>
      <c r="W1938" s="3"/>
      <c r="X1938" s="3"/>
      <c r="Y1938" s="3"/>
      <c r="Z1938" s="53"/>
      <c r="AA1938" s="3"/>
      <c r="AB1938" s="59"/>
      <c r="AC1938" s="3"/>
      <c r="AD1938" s="53"/>
      <c r="AE1938" s="59"/>
    </row>
    <row r="1939" spans="1:31" customFormat="1" ht="15" x14ac:dyDescent="0.35">
      <c r="A1939" s="50"/>
      <c r="B1939" s="63"/>
      <c r="C1939" s="39"/>
      <c r="D1939" s="6"/>
      <c r="E1939" s="153"/>
      <c r="F1939" s="10"/>
      <c r="G1939" s="54"/>
      <c r="H1939" s="3"/>
      <c r="I1939" s="2"/>
      <c r="J1939" s="2"/>
      <c r="K1939" s="3"/>
      <c r="L1939" s="3"/>
      <c r="M1939" s="3"/>
      <c r="N1939" s="3"/>
      <c r="O1939" s="3"/>
      <c r="P1939" s="59"/>
      <c r="Q1939" s="3"/>
      <c r="R1939" s="3"/>
      <c r="S1939" s="3"/>
      <c r="T1939" s="3"/>
      <c r="U1939" s="3"/>
      <c r="V1939" s="3"/>
      <c r="W1939" s="3"/>
      <c r="X1939" s="3"/>
      <c r="Y1939" s="3"/>
      <c r="Z1939" s="53"/>
      <c r="AA1939" s="3"/>
      <c r="AB1939" s="59"/>
      <c r="AC1939" s="3"/>
      <c r="AD1939" s="53"/>
      <c r="AE1939" s="59"/>
    </row>
    <row r="1940" spans="1:31" customFormat="1" ht="15" x14ac:dyDescent="0.35">
      <c r="A1940" s="50"/>
      <c r="B1940" s="63"/>
      <c r="C1940" s="39"/>
      <c r="D1940" s="6"/>
      <c r="E1940" s="153"/>
      <c r="F1940" s="10"/>
      <c r="G1940" s="54"/>
      <c r="H1940" s="3"/>
      <c r="I1940" s="2"/>
      <c r="J1940" s="2"/>
      <c r="K1940" s="3"/>
      <c r="L1940" s="3"/>
      <c r="M1940" s="3"/>
      <c r="N1940" s="3"/>
      <c r="O1940" s="3"/>
      <c r="P1940" s="59"/>
      <c r="Q1940" s="21"/>
      <c r="R1940" s="21"/>
      <c r="S1940" s="3"/>
      <c r="T1940" s="3"/>
      <c r="U1940" s="3"/>
      <c r="V1940" s="3"/>
      <c r="W1940" s="3"/>
      <c r="X1940" s="3"/>
      <c r="Y1940" s="3"/>
      <c r="Z1940" s="53"/>
      <c r="AA1940" s="3"/>
      <c r="AB1940" s="59"/>
      <c r="AC1940" s="3"/>
      <c r="AD1940" s="53"/>
      <c r="AE1940" s="59"/>
    </row>
    <row r="1941" spans="1:31" customFormat="1" ht="15" x14ac:dyDescent="0.35">
      <c r="A1941" s="50"/>
      <c r="B1941" s="63"/>
      <c r="C1941" s="39"/>
      <c r="D1941" s="6"/>
      <c r="E1941" s="153"/>
      <c r="F1941" s="10"/>
      <c r="G1941" s="53"/>
      <c r="H1941" s="3"/>
      <c r="I1941" s="3"/>
      <c r="J1941" s="3"/>
      <c r="K1941" s="3"/>
      <c r="L1941" s="3"/>
      <c r="M1941" s="3"/>
      <c r="N1941" s="3"/>
      <c r="O1941" s="3"/>
      <c r="P1941" s="59"/>
      <c r="Q1941" s="21"/>
      <c r="R1941" s="21"/>
      <c r="S1941" s="3"/>
      <c r="T1941" s="3"/>
      <c r="U1941" s="3"/>
      <c r="V1941" s="3"/>
      <c r="W1941" s="3"/>
      <c r="X1941" s="3"/>
      <c r="Y1941" s="3"/>
      <c r="Z1941" s="53"/>
      <c r="AA1941" s="3"/>
      <c r="AB1941" s="59"/>
      <c r="AC1941" s="3"/>
      <c r="AD1941" s="53"/>
      <c r="AE1941" s="59"/>
    </row>
    <row r="1942" spans="1:31" customFormat="1" ht="15" x14ac:dyDescent="0.35">
      <c r="A1942" s="50"/>
      <c r="B1942" s="63"/>
      <c r="C1942" s="39"/>
      <c r="D1942" s="6"/>
      <c r="E1942" s="153"/>
      <c r="F1942" s="10"/>
      <c r="G1942" s="54"/>
      <c r="H1942" s="3"/>
      <c r="I1942" s="2"/>
      <c r="J1942" s="2"/>
      <c r="K1942" s="3"/>
      <c r="L1942" s="3"/>
      <c r="M1942" s="3"/>
      <c r="N1942" s="3"/>
      <c r="O1942" s="3"/>
      <c r="P1942" s="59"/>
      <c r="Q1942" s="3"/>
      <c r="R1942" s="3"/>
      <c r="S1942" s="3"/>
      <c r="T1942" s="3"/>
      <c r="U1942" s="3"/>
      <c r="V1942" s="3"/>
      <c r="W1942" s="3"/>
      <c r="X1942" s="3"/>
      <c r="Y1942" s="3"/>
      <c r="Z1942" s="53"/>
      <c r="AA1942" s="3"/>
      <c r="AB1942" s="59"/>
      <c r="AC1942" s="3"/>
      <c r="AD1942" s="53"/>
      <c r="AE1942" s="59"/>
    </row>
    <row r="1943" spans="1:31" customFormat="1" ht="15" x14ac:dyDescent="0.35">
      <c r="A1943" s="19"/>
      <c r="B1943" s="49"/>
      <c r="C1943" s="14"/>
      <c r="D1943" s="1"/>
      <c r="E1943" s="153"/>
      <c r="F1943" s="10"/>
      <c r="G1943" s="20"/>
      <c r="H1943" s="21"/>
      <c r="I1943" s="21"/>
      <c r="J1943" s="21"/>
      <c r="K1943" s="21"/>
      <c r="L1943" s="21"/>
      <c r="M1943" s="21"/>
      <c r="N1943" s="22"/>
      <c r="O1943" s="21"/>
      <c r="P1943" s="24"/>
      <c r="Q1943" s="21"/>
      <c r="R1943" s="21"/>
      <c r="S1943" s="21"/>
      <c r="T1943" s="21"/>
      <c r="U1943" s="21"/>
      <c r="V1943" s="22"/>
      <c r="W1943" s="21"/>
      <c r="X1943" s="22"/>
      <c r="Y1943" s="21"/>
      <c r="Z1943" s="20"/>
      <c r="AA1943" s="21"/>
      <c r="AB1943" s="25"/>
      <c r="AC1943" s="26"/>
      <c r="AD1943" s="27"/>
      <c r="AE1943" s="28"/>
    </row>
    <row r="1944" spans="1:31" customFormat="1" ht="15" x14ac:dyDescent="0.35">
      <c r="A1944" s="19"/>
      <c r="B1944" s="49"/>
      <c r="C1944" s="39"/>
      <c r="D1944" s="1"/>
      <c r="E1944" s="153"/>
      <c r="F1944" s="10"/>
      <c r="G1944" s="20"/>
      <c r="H1944" s="21"/>
      <c r="I1944" s="21"/>
      <c r="J1944" s="21"/>
      <c r="K1944" s="21"/>
      <c r="L1944" s="21"/>
      <c r="M1944" s="21"/>
      <c r="N1944" s="22"/>
      <c r="O1944" s="21"/>
      <c r="P1944" s="24"/>
      <c r="Q1944" s="21"/>
      <c r="R1944" s="21"/>
      <c r="S1944" s="21"/>
      <c r="T1944" s="21"/>
      <c r="U1944" s="21"/>
      <c r="V1944" s="22"/>
      <c r="W1944" s="21"/>
      <c r="X1944" s="22"/>
      <c r="Y1944" s="21"/>
      <c r="Z1944" s="20"/>
      <c r="AA1944" s="21"/>
      <c r="AB1944" s="25"/>
      <c r="AC1944" s="26"/>
      <c r="AD1944" s="27"/>
      <c r="AE1944" s="28"/>
    </row>
    <row r="1945" spans="1:31" customFormat="1" ht="15" x14ac:dyDescent="0.35">
      <c r="A1945" s="50"/>
      <c r="B1945" s="63"/>
      <c r="C1945" s="39"/>
      <c r="D1945" s="6"/>
      <c r="E1945" s="153"/>
      <c r="F1945" s="10"/>
      <c r="G1945" s="54"/>
      <c r="H1945" s="3"/>
      <c r="I1945" s="2"/>
      <c r="J1945" s="2"/>
      <c r="K1945" s="3"/>
      <c r="L1945" s="3"/>
      <c r="M1945" s="3"/>
      <c r="N1945" s="3"/>
      <c r="O1945" s="3"/>
      <c r="P1945" s="59"/>
      <c r="Q1945" s="3"/>
      <c r="R1945" s="3"/>
      <c r="S1945" s="3"/>
      <c r="T1945" s="3"/>
      <c r="U1945" s="3"/>
      <c r="V1945" s="3"/>
      <c r="W1945" s="3"/>
      <c r="X1945" s="3"/>
      <c r="Y1945" s="3"/>
      <c r="Z1945" s="53"/>
      <c r="AA1945" s="3"/>
      <c r="AB1945" s="59"/>
      <c r="AC1945" s="3"/>
      <c r="AD1945" s="53"/>
      <c r="AE1945" s="59"/>
    </row>
    <row r="1946" spans="1:31" customFormat="1" ht="15" x14ac:dyDescent="0.35">
      <c r="A1946" s="50"/>
      <c r="B1946" s="63"/>
      <c r="C1946" s="39"/>
      <c r="D1946" s="6"/>
      <c r="E1946" s="153"/>
      <c r="F1946" s="10"/>
      <c r="G1946" s="53"/>
      <c r="H1946" s="3"/>
      <c r="I1946" s="3"/>
      <c r="J1946" s="3"/>
      <c r="K1946" s="3"/>
      <c r="L1946" s="3"/>
      <c r="M1946" s="3"/>
      <c r="N1946" s="3"/>
      <c r="O1946" s="3"/>
      <c r="P1946" s="59"/>
      <c r="Q1946" s="21"/>
      <c r="R1946" s="21"/>
      <c r="S1946" s="3"/>
      <c r="T1946" s="3"/>
      <c r="U1946" s="3"/>
      <c r="V1946" s="3"/>
      <c r="W1946" s="3"/>
      <c r="X1946" s="3"/>
      <c r="Y1946" s="3"/>
      <c r="Z1946" s="53"/>
      <c r="AA1946" s="3"/>
      <c r="AB1946" s="59"/>
      <c r="AC1946" s="3"/>
      <c r="AD1946" s="53"/>
      <c r="AE1946" s="65"/>
    </row>
    <row r="1947" spans="1:31" customFormat="1" ht="15" x14ac:dyDescent="0.35">
      <c r="A1947" s="19"/>
      <c r="B1947" s="49"/>
      <c r="C1947" s="39"/>
      <c r="D1947" s="1"/>
      <c r="E1947" s="153"/>
      <c r="F1947" s="10"/>
      <c r="G1947" s="20"/>
      <c r="H1947" s="21"/>
      <c r="I1947" s="21"/>
      <c r="J1947" s="21"/>
      <c r="K1947" s="21"/>
      <c r="L1947" s="21"/>
      <c r="M1947" s="21"/>
      <c r="N1947" s="22"/>
      <c r="O1947" s="21"/>
      <c r="P1947" s="24"/>
      <c r="Q1947" s="21"/>
      <c r="R1947" s="21"/>
      <c r="S1947" s="21"/>
      <c r="T1947" s="21"/>
      <c r="U1947" s="21"/>
      <c r="V1947" s="22"/>
      <c r="W1947" s="21"/>
      <c r="X1947" s="22"/>
      <c r="Y1947" s="21"/>
      <c r="Z1947" s="20"/>
      <c r="AA1947" s="21"/>
      <c r="AB1947" s="25"/>
      <c r="AC1947" s="26"/>
      <c r="AD1947" s="27"/>
      <c r="AE1947" s="28"/>
    </row>
    <row r="1948" spans="1:31" customFormat="1" ht="15" x14ac:dyDescent="0.35">
      <c r="A1948" s="50"/>
      <c r="B1948" s="63"/>
      <c r="C1948" s="39"/>
      <c r="D1948" s="6"/>
      <c r="E1948" s="153"/>
      <c r="F1948" s="10"/>
      <c r="G1948" s="54"/>
      <c r="H1948" s="3"/>
      <c r="I1948" s="2"/>
      <c r="J1948" s="2"/>
      <c r="K1948" s="3"/>
      <c r="L1948" s="3"/>
      <c r="M1948" s="3"/>
      <c r="N1948" s="3"/>
      <c r="O1948" s="3"/>
      <c r="P1948" s="59"/>
      <c r="Q1948" s="3"/>
      <c r="R1948" s="3"/>
      <c r="S1948" s="3"/>
      <c r="T1948" s="3"/>
      <c r="U1948" s="3"/>
      <c r="V1948" s="3"/>
      <c r="W1948" s="3"/>
      <c r="X1948" s="3"/>
      <c r="Y1948" s="3"/>
      <c r="Z1948" s="53"/>
      <c r="AA1948" s="3"/>
      <c r="AB1948" s="59"/>
      <c r="AC1948" s="3"/>
      <c r="AD1948" s="53"/>
      <c r="AE1948" s="59"/>
    </row>
    <row r="1949" spans="1:31" customFormat="1" ht="15" x14ac:dyDescent="0.35">
      <c r="A1949" s="50"/>
      <c r="B1949" s="63"/>
      <c r="C1949" s="39"/>
      <c r="D1949" s="6"/>
      <c r="E1949" s="153"/>
      <c r="F1949" s="10"/>
      <c r="G1949" s="53"/>
      <c r="H1949" s="3"/>
      <c r="I1949" s="3"/>
      <c r="J1949" s="3"/>
      <c r="K1949" s="3"/>
      <c r="L1949" s="3"/>
      <c r="M1949" s="3"/>
      <c r="N1949" s="3"/>
      <c r="O1949" s="3"/>
      <c r="P1949" s="59"/>
      <c r="Q1949" s="21"/>
      <c r="R1949" s="21"/>
      <c r="S1949" s="3"/>
      <c r="T1949" s="3"/>
      <c r="U1949" s="3"/>
      <c r="V1949" s="3"/>
      <c r="W1949" s="3"/>
      <c r="X1949" s="3"/>
      <c r="Y1949" s="3"/>
      <c r="Z1949" s="53"/>
      <c r="AA1949" s="3"/>
      <c r="AB1949" s="59"/>
      <c r="AC1949" s="3"/>
      <c r="AD1949" s="53"/>
      <c r="AE1949" s="59"/>
    </row>
    <row r="1950" spans="1:31" customFormat="1" ht="15" x14ac:dyDescent="0.35">
      <c r="A1950" s="50"/>
      <c r="B1950" s="63"/>
      <c r="C1950" s="39"/>
      <c r="D1950" s="6"/>
      <c r="E1950" s="153"/>
      <c r="F1950" s="10"/>
      <c r="G1950" s="54"/>
      <c r="H1950" s="3"/>
      <c r="I1950" s="2"/>
      <c r="J1950" s="2"/>
      <c r="K1950" s="3"/>
      <c r="L1950" s="3"/>
      <c r="M1950" s="3"/>
      <c r="N1950" s="3"/>
      <c r="O1950" s="3"/>
      <c r="P1950" s="59"/>
      <c r="Q1950" s="3"/>
      <c r="R1950" s="3"/>
      <c r="S1950" s="3"/>
      <c r="T1950" s="3"/>
      <c r="U1950" s="3"/>
      <c r="V1950" s="3"/>
      <c r="W1950" s="3"/>
      <c r="X1950" s="3"/>
      <c r="Y1950" s="3"/>
      <c r="Z1950" s="53"/>
      <c r="AA1950" s="3"/>
      <c r="AB1950" s="59"/>
      <c r="AC1950" s="3"/>
      <c r="AD1950" s="53"/>
      <c r="AE1950" s="59"/>
    </row>
    <row r="1951" spans="1:31" customFormat="1" ht="15" x14ac:dyDescent="0.35">
      <c r="A1951" s="19"/>
      <c r="B1951" s="49"/>
      <c r="C1951" s="39"/>
      <c r="D1951" s="1"/>
      <c r="E1951" s="153"/>
      <c r="F1951" s="10"/>
      <c r="G1951" s="20"/>
      <c r="H1951" s="21"/>
      <c r="I1951" s="21"/>
      <c r="J1951" s="21"/>
      <c r="K1951" s="21"/>
      <c r="L1951" s="21"/>
      <c r="M1951" s="21"/>
      <c r="N1951" s="22"/>
      <c r="O1951" s="21"/>
      <c r="P1951" s="24"/>
      <c r="Q1951" s="21"/>
      <c r="R1951" s="21"/>
      <c r="S1951" s="21"/>
      <c r="T1951" s="21"/>
      <c r="U1951" s="21"/>
      <c r="V1951" s="22"/>
      <c r="W1951" s="21"/>
      <c r="X1951" s="22"/>
      <c r="Y1951" s="21"/>
      <c r="Z1951" s="20"/>
      <c r="AA1951" s="21"/>
      <c r="AB1951" s="25"/>
      <c r="AC1951" s="26"/>
      <c r="AD1951" s="27"/>
      <c r="AE1951" s="28"/>
    </row>
    <row r="1952" spans="1:31" customFormat="1" ht="15" x14ac:dyDescent="0.35">
      <c r="A1952" s="50"/>
      <c r="B1952" s="63"/>
      <c r="C1952" s="39"/>
      <c r="D1952" s="6"/>
      <c r="E1952" s="153"/>
      <c r="F1952" s="10"/>
      <c r="G1952" s="53"/>
      <c r="H1952" s="3"/>
      <c r="I1952" s="3"/>
      <c r="J1952" s="3"/>
      <c r="K1952" s="3"/>
      <c r="L1952" s="3"/>
      <c r="M1952" s="3"/>
      <c r="N1952" s="3"/>
      <c r="O1952" s="3"/>
      <c r="P1952" s="59"/>
      <c r="Q1952" s="21"/>
      <c r="R1952" s="21"/>
      <c r="S1952" s="3"/>
      <c r="T1952" s="3"/>
      <c r="U1952" s="3"/>
      <c r="V1952" s="3"/>
      <c r="W1952" s="3"/>
      <c r="X1952" s="3"/>
      <c r="Y1952" s="3"/>
      <c r="Z1952" s="53"/>
      <c r="AA1952" s="3"/>
      <c r="AB1952" s="59"/>
      <c r="AC1952" s="3"/>
      <c r="AD1952" s="53"/>
      <c r="AE1952" s="59"/>
    </row>
    <row r="1953" spans="1:31" customFormat="1" ht="15" x14ac:dyDescent="0.35">
      <c r="A1953" s="50"/>
      <c r="B1953" s="63"/>
      <c r="C1953" s="39"/>
      <c r="D1953" s="6"/>
      <c r="E1953" s="153"/>
      <c r="F1953" s="10"/>
      <c r="G1953" s="54"/>
      <c r="H1953" s="3"/>
      <c r="I1953" s="2"/>
      <c r="J1953" s="2"/>
      <c r="K1953" s="3"/>
      <c r="L1953" s="3"/>
      <c r="M1953" s="3"/>
      <c r="N1953" s="3"/>
      <c r="O1953" s="3"/>
      <c r="P1953" s="59"/>
      <c r="Q1953" s="3"/>
      <c r="R1953" s="3"/>
      <c r="S1953" s="3"/>
      <c r="T1953" s="3"/>
      <c r="U1953" s="3"/>
      <c r="V1953" s="3"/>
      <c r="W1953" s="3"/>
      <c r="X1953" s="3"/>
      <c r="Y1953" s="3"/>
      <c r="Z1953" s="53"/>
      <c r="AA1953" s="3"/>
      <c r="AB1953" s="59"/>
      <c r="AC1953" s="3"/>
      <c r="AD1953" s="53"/>
      <c r="AE1953" s="59"/>
    </row>
    <row r="1954" spans="1:31" customFormat="1" ht="15" x14ac:dyDescent="0.35">
      <c r="A1954" s="50"/>
      <c r="B1954" s="63"/>
      <c r="C1954" s="39"/>
      <c r="D1954" s="6"/>
      <c r="E1954" s="153"/>
      <c r="F1954" s="10"/>
      <c r="G1954" s="53"/>
      <c r="H1954" s="3"/>
      <c r="I1954" s="3"/>
      <c r="J1954" s="3"/>
      <c r="K1954" s="3"/>
      <c r="L1954" s="3"/>
      <c r="M1954" s="3"/>
      <c r="N1954" s="3"/>
      <c r="O1954" s="3"/>
      <c r="P1954" s="59"/>
      <c r="Q1954" s="21"/>
      <c r="R1954" s="21"/>
      <c r="S1954" s="3"/>
      <c r="T1954" s="3"/>
      <c r="U1954" s="3"/>
      <c r="V1954" s="3"/>
      <c r="W1954" s="3"/>
      <c r="X1954" s="3"/>
      <c r="Y1954" s="3"/>
      <c r="Z1954" s="53"/>
      <c r="AA1954" s="3"/>
      <c r="AB1954" s="59"/>
      <c r="AC1954" s="3"/>
      <c r="AD1954" s="53"/>
      <c r="AE1954" s="59"/>
    </row>
    <row r="1955" spans="1:31" customFormat="1" ht="15" x14ac:dyDescent="0.35">
      <c r="A1955" s="50"/>
      <c r="B1955" s="63"/>
      <c r="C1955" s="39"/>
      <c r="D1955" s="6"/>
      <c r="E1955" s="153"/>
      <c r="F1955" s="10"/>
      <c r="G1955" s="54"/>
      <c r="H1955" s="3"/>
      <c r="I1955" s="2"/>
      <c r="J1955" s="2"/>
      <c r="K1955" s="3"/>
      <c r="L1955" s="3"/>
      <c r="M1955" s="3"/>
      <c r="N1955" s="3"/>
      <c r="O1955" s="3"/>
      <c r="P1955" s="59"/>
      <c r="Q1955" s="3"/>
      <c r="R1955" s="3"/>
      <c r="S1955" s="3"/>
      <c r="T1955" s="3"/>
      <c r="U1955" s="3"/>
      <c r="V1955" s="3"/>
      <c r="W1955" s="3"/>
      <c r="X1955" s="3"/>
      <c r="Y1955" s="3"/>
      <c r="Z1955" s="53"/>
      <c r="AA1955" s="3"/>
      <c r="AB1955" s="59"/>
      <c r="AC1955" s="3"/>
      <c r="AD1955" s="53"/>
      <c r="AE1955" s="59"/>
    </row>
    <row r="1956" spans="1:31" customFormat="1" ht="15" x14ac:dyDescent="0.35">
      <c r="A1956" s="50"/>
      <c r="B1956" s="63"/>
      <c r="C1956" s="39"/>
      <c r="D1956" s="6"/>
      <c r="E1956" s="153"/>
      <c r="F1956" s="10"/>
      <c r="G1956" s="53"/>
      <c r="H1956" s="3"/>
      <c r="I1956" s="3"/>
      <c r="J1956" s="3"/>
      <c r="K1956" s="3"/>
      <c r="L1956" s="3"/>
      <c r="M1956" s="3"/>
      <c r="N1956" s="3"/>
      <c r="O1956" s="3"/>
      <c r="P1956" s="59"/>
      <c r="Q1956" s="21"/>
      <c r="R1956" s="21"/>
      <c r="S1956" s="3"/>
      <c r="T1956" s="3"/>
      <c r="U1956" s="3"/>
      <c r="V1956" s="3"/>
      <c r="W1956" s="3"/>
      <c r="X1956" s="3"/>
      <c r="Y1956" s="3"/>
      <c r="Z1956" s="53"/>
      <c r="AA1956" s="3"/>
      <c r="AB1956" s="59"/>
      <c r="AC1956" s="3"/>
      <c r="AD1956" s="53"/>
      <c r="AE1956" s="59"/>
    </row>
    <row r="1957" spans="1:31" customFormat="1" ht="15" x14ac:dyDescent="0.35">
      <c r="A1957" s="50"/>
      <c r="B1957" s="63"/>
      <c r="C1957" s="39"/>
      <c r="D1957" s="6"/>
      <c r="E1957" s="153"/>
      <c r="F1957" s="10"/>
      <c r="G1957" s="54"/>
      <c r="H1957" s="3"/>
      <c r="I1957" s="2"/>
      <c r="J1957" s="2"/>
      <c r="K1957" s="3"/>
      <c r="L1957" s="3"/>
      <c r="M1957" s="3"/>
      <c r="N1957" s="3"/>
      <c r="O1957" s="3"/>
      <c r="P1957" s="59"/>
      <c r="Q1957" s="3"/>
      <c r="R1957" s="3"/>
      <c r="S1957" s="3"/>
      <c r="T1957" s="3"/>
      <c r="U1957" s="3"/>
      <c r="V1957" s="3"/>
      <c r="W1957" s="3"/>
      <c r="X1957" s="3"/>
      <c r="Y1957" s="3"/>
      <c r="Z1957" s="53"/>
      <c r="AA1957" s="3"/>
      <c r="AB1957" s="59"/>
      <c r="AC1957" s="3"/>
      <c r="AD1957" s="53"/>
      <c r="AE1957" s="59"/>
    </row>
    <row r="1958" spans="1:31" customFormat="1" ht="15" x14ac:dyDescent="0.35">
      <c r="A1958" s="19"/>
      <c r="B1958" s="49"/>
      <c r="C1958" s="39"/>
      <c r="D1958" s="1"/>
      <c r="E1958" s="153"/>
      <c r="F1958" s="10"/>
      <c r="G1958" s="20"/>
      <c r="H1958" s="21"/>
      <c r="I1958" s="21"/>
      <c r="J1958" s="21"/>
      <c r="K1958" s="21"/>
      <c r="L1958" s="21"/>
      <c r="M1958" s="21"/>
      <c r="N1958" s="22"/>
      <c r="O1958" s="21"/>
      <c r="P1958" s="24"/>
      <c r="Q1958" s="21"/>
      <c r="R1958" s="21"/>
      <c r="S1958" s="21"/>
      <c r="T1958" s="21"/>
      <c r="U1958" s="21"/>
      <c r="V1958" s="22"/>
      <c r="W1958" s="21"/>
      <c r="X1958" s="22"/>
      <c r="Y1958" s="21"/>
      <c r="Z1958" s="20"/>
      <c r="AA1958" s="21"/>
      <c r="AB1958" s="25"/>
      <c r="AC1958" s="26"/>
      <c r="AD1958" s="27"/>
      <c r="AE1958" s="28"/>
    </row>
    <row r="1959" spans="1:31" customFormat="1" ht="15" x14ac:dyDescent="0.35">
      <c r="A1959" s="50"/>
      <c r="B1959" s="63"/>
      <c r="C1959" s="39"/>
      <c r="D1959" s="6"/>
      <c r="E1959" s="153"/>
      <c r="F1959" s="10"/>
      <c r="G1959" s="54"/>
      <c r="H1959" s="3"/>
      <c r="I1959" s="2"/>
      <c r="J1959" s="2"/>
      <c r="K1959" s="3"/>
      <c r="L1959" s="3"/>
      <c r="M1959" s="3"/>
      <c r="N1959" s="3"/>
      <c r="O1959" s="3"/>
      <c r="P1959" s="59"/>
      <c r="Q1959" s="3"/>
      <c r="R1959" s="3"/>
      <c r="S1959" s="3"/>
      <c r="T1959" s="3"/>
      <c r="U1959" s="3"/>
      <c r="V1959" s="3"/>
      <c r="W1959" s="3"/>
      <c r="X1959" s="3"/>
      <c r="Y1959" s="3"/>
      <c r="Z1959" s="53"/>
      <c r="AA1959" s="3"/>
      <c r="AB1959" s="59"/>
      <c r="AC1959" s="3"/>
      <c r="AD1959" s="53"/>
      <c r="AE1959" s="59"/>
    </row>
    <row r="1960" spans="1:31" customFormat="1" ht="15" x14ac:dyDescent="0.35">
      <c r="A1960" s="50"/>
      <c r="B1960" s="63"/>
      <c r="C1960" s="39"/>
      <c r="D1960" s="6"/>
      <c r="E1960" s="153"/>
      <c r="F1960" s="10"/>
      <c r="G1960" s="54"/>
      <c r="H1960" s="3"/>
      <c r="I1960" s="2"/>
      <c r="J1960" s="2"/>
      <c r="K1960" s="3"/>
      <c r="L1960" s="3"/>
      <c r="M1960" s="3"/>
      <c r="N1960" s="3"/>
      <c r="O1960" s="3"/>
      <c r="P1960" s="59"/>
      <c r="Q1960" s="3"/>
      <c r="R1960" s="3"/>
      <c r="S1960" s="3"/>
      <c r="T1960" s="3"/>
      <c r="U1960" s="3"/>
      <c r="V1960" s="3"/>
      <c r="W1960" s="3"/>
      <c r="X1960" s="3"/>
      <c r="Y1960" s="3"/>
      <c r="Z1960" s="53"/>
      <c r="AA1960" s="3"/>
      <c r="AB1960" s="59"/>
      <c r="AC1960" s="3"/>
      <c r="AD1960" s="53"/>
      <c r="AE1960" s="59"/>
    </row>
    <row r="1961" spans="1:31" customFormat="1" ht="15" x14ac:dyDescent="0.35">
      <c r="A1961" s="19"/>
      <c r="B1961" s="49"/>
      <c r="C1961" s="14"/>
      <c r="D1961" s="1"/>
      <c r="E1961" s="153"/>
      <c r="F1961" s="10"/>
      <c r="G1961" s="20"/>
      <c r="H1961" s="21"/>
      <c r="I1961" s="21"/>
      <c r="J1961" s="21"/>
      <c r="K1961" s="21"/>
      <c r="L1961" s="21"/>
      <c r="M1961" s="21"/>
      <c r="N1961" s="22"/>
      <c r="O1961" s="21"/>
      <c r="P1961" s="24"/>
      <c r="Q1961" s="21"/>
      <c r="R1961" s="21"/>
      <c r="S1961" s="21"/>
      <c r="T1961" s="21"/>
      <c r="U1961" s="21"/>
      <c r="V1961" s="22"/>
      <c r="W1961" s="21"/>
      <c r="X1961" s="22"/>
      <c r="Y1961" s="21"/>
      <c r="Z1961" s="20"/>
      <c r="AA1961" s="21"/>
      <c r="AB1961" s="25"/>
      <c r="AC1961" s="26"/>
      <c r="AD1961" s="27"/>
      <c r="AE1961" s="28"/>
    </row>
    <row r="1962" spans="1:31" customFormat="1" ht="15" x14ac:dyDescent="0.35">
      <c r="A1962" s="50"/>
      <c r="B1962" s="63"/>
      <c r="C1962" s="39"/>
      <c r="D1962" s="6"/>
      <c r="E1962" s="153"/>
      <c r="F1962" s="10"/>
      <c r="G1962" s="53"/>
      <c r="H1962" s="3"/>
      <c r="I1962" s="3"/>
      <c r="J1962" s="3"/>
      <c r="K1962" s="3"/>
      <c r="L1962" s="3"/>
      <c r="M1962" s="3"/>
      <c r="N1962" s="3"/>
      <c r="O1962" s="3"/>
      <c r="P1962" s="59"/>
      <c r="Q1962" s="21"/>
      <c r="R1962" s="21"/>
      <c r="S1962" s="3"/>
      <c r="T1962" s="3"/>
      <c r="U1962" s="3"/>
      <c r="V1962" s="3"/>
      <c r="W1962" s="3"/>
      <c r="X1962" s="3"/>
      <c r="Y1962" s="3"/>
      <c r="Z1962" s="53"/>
      <c r="AA1962" s="3"/>
      <c r="AB1962" s="59"/>
      <c r="AC1962" s="3"/>
      <c r="AD1962" s="53"/>
      <c r="AE1962" s="59"/>
    </row>
    <row r="1963" spans="1:31" customFormat="1" ht="15" x14ac:dyDescent="0.35">
      <c r="A1963" s="50"/>
      <c r="B1963" s="63"/>
      <c r="C1963" s="39"/>
      <c r="D1963" s="6"/>
      <c r="E1963" s="153"/>
      <c r="F1963" s="10"/>
      <c r="G1963" s="53"/>
      <c r="H1963" s="3"/>
      <c r="I1963" s="3"/>
      <c r="J1963" s="3"/>
      <c r="K1963" s="3"/>
      <c r="L1963" s="3"/>
      <c r="M1963" s="3"/>
      <c r="N1963" s="3"/>
      <c r="O1963" s="3"/>
      <c r="P1963" s="59"/>
      <c r="Q1963" s="21"/>
      <c r="R1963" s="21"/>
      <c r="S1963" s="3"/>
      <c r="T1963" s="3"/>
      <c r="U1963" s="3"/>
      <c r="V1963" s="3"/>
      <c r="W1963" s="3"/>
      <c r="X1963" s="3"/>
      <c r="Y1963" s="3"/>
      <c r="Z1963" s="53"/>
      <c r="AA1963" s="3"/>
      <c r="AB1963" s="59"/>
      <c r="AC1963" s="3"/>
      <c r="AD1963" s="53"/>
      <c r="AE1963" s="59"/>
    </row>
    <row r="1964" spans="1:31" customFormat="1" ht="15" x14ac:dyDescent="0.35">
      <c r="A1964" s="50"/>
      <c r="B1964" s="63"/>
      <c r="C1964" s="39"/>
      <c r="D1964" s="6"/>
      <c r="E1964" s="153"/>
      <c r="F1964" s="10"/>
      <c r="G1964" s="53"/>
      <c r="H1964" s="3"/>
      <c r="I1964" s="3"/>
      <c r="J1964" s="3"/>
      <c r="K1964" s="3"/>
      <c r="L1964" s="3"/>
      <c r="M1964" s="3"/>
      <c r="N1964" s="3"/>
      <c r="O1964" s="3"/>
      <c r="P1964" s="59"/>
      <c r="Q1964" s="21"/>
      <c r="R1964" s="21"/>
      <c r="S1964" s="3"/>
      <c r="T1964" s="3"/>
      <c r="U1964" s="3"/>
      <c r="V1964" s="3"/>
      <c r="W1964" s="3"/>
      <c r="X1964" s="3"/>
      <c r="Y1964" s="3"/>
      <c r="Z1964" s="53"/>
      <c r="AA1964" s="3"/>
      <c r="AB1964" s="59"/>
      <c r="AC1964" s="3"/>
      <c r="AD1964" s="53"/>
      <c r="AE1964" s="59"/>
    </row>
    <row r="1965" spans="1:31" customFormat="1" ht="15" x14ac:dyDescent="0.35">
      <c r="A1965" s="19"/>
      <c r="B1965" s="49"/>
      <c r="C1965" s="14"/>
      <c r="D1965" s="1"/>
      <c r="E1965" s="153"/>
      <c r="F1965" s="10"/>
      <c r="G1965" s="20"/>
      <c r="H1965" s="21"/>
      <c r="I1965" s="21"/>
      <c r="J1965" s="21"/>
      <c r="K1965" s="21"/>
      <c r="L1965" s="21"/>
      <c r="M1965" s="21"/>
      <c r="N1965" s="22"/>
      <c r="O1965" s="21"/>
      <c r="P1965" s="24"/>
      <c r="Q1965" s="21"/>
      <c r="R1965" s="21"/>
      <c r="S1965" s="21"/>
      <c r="T1965" s="21"/>
      <c r="U1965" s="21"/>
      <c r="V1965" s="22"/>
      <c r="W1965" s="21"/>
      <c r="X1965" s="22"/>
      <c r="Y1965" s="21"/>
      <c r="Z1965" s="20"/>
      <c r="AA1965" s="21"/>
      <c r="AB1965" s="25"/>
      <c r="AC1965" s="26"/>
      <c r="AD1965" s="27"/>
      <c r="AE1965" s="28"/>
    </row>
    <row r="1966" spans="1:31" customFormat="1" ht="15" x14ac:dyDescent="0.35">
      <c r="A1966" s="50"/>
      <c r="B1966" s="63"/>
      <c r="C1966" s="39"/>
      <c r="D1966" s="6"/>
      <c r="E1966" s="153"/>
      <c r="F1966" s="10"/>
      <c r="G1966" s="53"/>
      <c r="H1966" s="3"/>
      <c r="I1966" s="3"/>
      <c r="J1966" s="3"/>
      <c r="K1966" s="3"/>
      <c r="L1966" s="3"/>
      <c r="M1966" s="3"/>
      <c r="N1966" s="3"/>
      <c r="O1966" s="3"/>
      <c r="P1966" s="59"/>
      <c r="Q1966" s="21"/>
      <c r="R1966" s="21"/>
      <c r="S1966" s="3"/>
      <c r="T1966" s="3"/>
      <c r="U1966" s="3"/>
      <c r="V1966" s="3"/>
      <c r="W1966" s="3"/>
      <c r="X1966" s="3"/>
      <c r="Y1966" s="3"/>
      <c r="Z1966" s="53"/>
      <c r="AA1966" s="3"/>
      <c r="AB1966" s="59"/>
      <c r="AC1966" s="3"/>
      <c r="AD1966" s="53"/>
      <c r="AE1966" s="59"/>
    </row>
    <row r="1967" spans="1:31" customFormat="1" ht="15" x14ac:dyDescent="0.35">
      <c r="A1967" s="50"/>
      <c r="B1967" s="63"/>
      <c r="C1967" s="39"/>
      <c r="D1967" s="6"/>
      <c r="E1967" s="153"/>
      <c r="F1967" s="10"/>
      <c r="G1967" s="53"/>
      <c r="H1967" s="3"/>
      <c r="I1967" s="3"/>
      <c r="J1967" s="3"/>
      <c r="K1967" s="3"/>
      <c r="L1967" s="3"/>
      <c r="M1967" s="3"/>
      <c r="N1967" s="3"/>
      <c r="O1967" s="3"/>
      <c r="P1967" s="59"/>
      <c r="Q1967" s="21"/>
      <c r="R1967" s="21"/>
      <c r="S1967" s="3"/>
      <c r="T1967" s="3"/>
      <c r="U1967" s="3"/>
      <c r="V1967" s="3"/>
      <c r="W1967" s="3"/>
      <c r="X1967" s="3"/>
      <c r="Y1967" s="3"/>
      <c r="Z1967" s="53"/>
      <c r="AA1967" s="3"/>
      <c r="AB1967" s="59"/>
      <c r="AC1967" s="3"/>
      <c r="AD1967" s="53"/>
      <c r="AE1967" s="59"/>
    </row>
    <row r="1968" spans="1:31" customFormat="1" ht="15" x14ac:dyDescent="0.35">
      <c r="A1968" s="19"/>
      <c r="B1968" s="49"/>
      <c r="C1968" s="14"/>
      <c r="D1968" s="1"/>
      <c r="E1968" s="153"/>
      <c r="F1968" s="10"/>
      <c r="G1968" s="20"/>
      <c r="H1968" s="21"/>
      <c r="I1968" s="21"/>
      <c r="J1968" s="21"/>
      <c r="K1968" s="21"/>
      <c r="L1968" s="21"/>
      <c r="M1968" s="21"/>
      <c r="N1968" s="22"/>
      <c r="O1968" s="21"/>
      <c r="P1968" s="24"/>
      <c r="Q1968" s="21"/>
      <c r="R1968" s="21"/>
      <c r="S1968" s="21"/>
      <c r="T1968" s="21"/>
      <c r="U1968" s="21"/>
      <c r="V1968" s="22"/>
      <c r="W1968" s="21"/>
      <c r="X1968" s="22"/>
      <c r="Y1968" s="21"/>
      <c r="Z1968" s="20"/>
      <c r="AA1968" s="21"/>
      <c r="AB1968" s="25"/>
      <c r="AC1968" s="26"/>
      <c r="AD1968" s="27"/>
      <c r="AE1968" s="65"/>
    </row>
    <row r="1969" spans="1:31" customFormat="1" ht="15" x14ac:dyDescent="0.35">
      <c r="A1969" s="50"/>
      <c r="B1969" s="63"/>
      <c r="C1969" s="39"/>
      <c r="D1969" s="6"/>
      <c r="E1969" s="153"/>
      <c r="F1969" s="10"/>
      <c r="G1969" s="53"/>
      <c r="H1969" s="3"/>
      <c r="I1969" s="3"/>
      <c r="J1969" s="3"/>
      <c r="K1969" s="3"/>
      <c r="L1969" s="3"/>
      <c r="M1969" s="3"/>
      <c r="N1969" s="3"/>
      <c r="O1969" s="3"/>
      <c r="P1969" s="59"/>
      <c r="Q1969" s="21"/>
      <c r="R1969" s="21"/>
      <c r="S1969" s="3"/>
      <c r="T1969" s="3"/>
      <c r="U1969" s="3"/>
      <c r="V1969" s="3"/>
      <c r="W1969" s="3"/>
      <c r="X1969" s="3"/>
      <c r="Y1969" s="3"/>
      <c r="Z1969" s="53"/>
      <c r="AA1969" s="3"/>
      <c r="AB1969" s="59"/>
      <c r="AC1969" s="3"/>
      <c r="AD1969" s="53"/>
      <c r="AE1969" s="59"/>
    </row>
    <row r="1970" spans="1:31" customFormat="1" ht="15" x14ac:dyDescent="0.35">
      <c r="A1970" s="50"/>
      <c r="B1970" s="63"/>
      <c r="C1970" s="39"/>
      <c r="D1970" s="6"/>
      <c r="E1970" s="153"/>
      <c r="F1970" s="10"/>
      <c r="G1970" s="53"/>
      <c r="H1970" s="3"/>
      <c r="I1970" s="3"/>
      <c r="J1970" s="3"/>
      <c r="K1970" s="3"/>
      <c r="L1970" s="3"/>
      <c r="M1970" s="3"/>
      <c r="N1970" s="3"/>
      <c r="O1970" s="3"/>
      <c r="P1970" s="59"/>
      <c r="Q1970" s="21"/>
      <c r="R1970" s="21"/>
      <c r="S1970" s="3"/>
      <c r="T1970" s="3"/>
      <c r="U1970" s="3"/>
      <c r="V1970" s="3"/>
      <c r="W1970" s="3"/>
      <c r="X1970" s="3"/>
      <c r="Y1970" s="3"/>
      <c r="Z1970" s="53"/>
      <c r="AA1970" s="3"/>
      <c r="AB1970" s="59"/>
      <c r="AC1970" s="3"/>
      <c r="AD1970" s="53"/>
      <c r="AE1970" s="59"/>
    </row>
    <row r="1971" spans="1:31" customFormat="1" ht="15" x14ac:dyDescent="0.35">
      <c r="A1971" s="50"/>
      <c r="B1971" s="63"/>
      <c r="C1971" s="39"/>
      <c r="D1971" s="6"/>
      <c r="E1971" s="153"/>
      <c r="F1971" s="10"/>
      <c r="G1971" s="54"/>
      <c r="H1971" s="3"/>
      <c r="I1971" s="2"/>
      <c r="J1971" s="2"/>
      <c r="K1971" s="3"/>
      <c r="L1971" s="3"/>
      <c r="M1971" s="3"/>
      <c r="N1971" s="3"/>
      <c r="O1971" s="3"/>
      <c r="P1971" s="59"/>
      <c r="Q1971" s="3"/>
      <c r="R1971" s="3"/>
      <c r="S1971" s="3"/>
      <c r="T1971" s="3"/>
      <c r="U1971" s="3"/>
      <c r="V1971" s="3"/>
      <c r="W1971" s="3"/>
      <c r="X1971" s="3"/>
      <c r="Y1971" s="3"/>
      <c r="Z1971" s="53"/>
      <c r="AA1971" s="3"/>
      <c r="AB1971" s="59"/>
      <c r="AC1971" s="3"/>
      <c r="AD1971" s="53"/>
      <c r="AE1971" s="59"/>
    </row>
    <row r="1972" spans="1:31" customFormat="1" ht="15" x14ac:dyDescent="0.35">
      <c r="A1972" s="50"/>
      <c r="B1972" s="63"/>
      <c r="C1972" s="39"/>
      <c r="D1972" s="6"/>
      <c r="E1972" s="153"/>
      <c r="F1972" s="10"/>
      <c r="G1972" s="53"/>
      <c r="H1972" s="3"/>
      <c r="I1972" s="3"/>
      <c r="J1972" s="3"/>
      <c r="K1972" s="3"/>
      <c r="L1972" s="3"/>
      <c r="M1972" s="3"/>
      <c r="N1972" s="3"/>
      <c r="O1972" s="3"/>
      <c r="P1972" s="59"/>
      <c r="Q1972" s="21"/>
      <c r="R1972" s="21"/>
      <c r="S1972" s="3"/>
      <c r="T1972" s="3"/>
      <c r="U1972" s="3"/>
      <c r="V1972" s="3"/>
      <c r="W1972" s="3"/>
      <c r="X1972" s="3"/>
      <c r="Y1972" s="3"/>
      <c r="Z1972" s="53"/>
      <c r="AA1972" s="3"/>
      <c r="AB1972" s="59"/>
      <c r="AC1972" s="3"/>
      <c r="AD1972" s="53"/>
      <c r="AE1972" s="59"/>
    </row>
    <row r="1973" spans="1:31" customFormat="1" ht="15" x14ac:dyDescent="0.35">
      <c r="A1973" s="19"/>
      <c r="B1973" s="49"/>
      <c r="C1973" s="14"/>
      <c r="D1973" s="1"/>
      <c r="E1973" s="153"/>
      <c r="F1973" s="10"/>
      <c r="G1973" s="20"/>
      <c r="H1973" s="21"/>
      <c r="I1973" s="21"/>
      <c r="J1973" s="21"/>
      <c r="K1973" s="21"/>
      <c r="L1973" s="21"/>
      <c r="M1973" s="21"/>
      <c r="N1973" s="22"/>
      <c r="O1973" s="21"/>
      <c r="P1973" s="24"/>
      <c r="Q1973" s="21"/>
      <c r="R1973" s="21"/>
      <c r="S1973" s="21"/>
      <c r="T1973" s="21"/>
      <c r="U1973" s="21"/>
      <c r="V1973" s="22"/>
      <c r="W1973" s="21"/>
      <c r="X1973" s="22"/>
      <c r="Y1973" s="21"/>
      <c r="Z1973" s="20"/>
      <c r="AA1973" s="21"/>
      <c r="AB1973" s="25"/>
      <c r="AC1973" s="26"/>
      <c r="AD1973" s="27"/>
      <c r="AE1973" s="28"/>
    </row>
    <row r="1974" spans="1:31" customFormat="1" ht="15" x14ac:dyDescent="0.35">
      <c r="A1974" s="50"/>
      <c r="B1974" s="63"/>
      <c r="C1974" s="39"/>
      <c r="D1974" s="6"/>
      <c r="E1974" s="153"/>
      <c r="F1974" s="10"/>
      <c r="G1974" s="53"/>
      <c r="H1974" s="3"/>
      <c r="I1974" s="3"/>
      <c r="J1974" s="3"/>
      <c r="K1974" s="3"/>
      <c r="L1974" s="3"/>
      <c r="M1974" s="3"/>
      <c r="N1974" s="3"/>
      <c r="O1974" s="3"/>
      <c r="P1974" s="59"/>
      <c r="Q1974" s="3"/>
      <c r="R1974" s="3"/>
      <c r="S1974" s="3"/>
      <c r="T1974" s="3"/>
      <c r="U1974" s="3"/>
      <c r="V1974" s="3"/>
      <c r="W1974" s="3"/>
      <c r="X1974" s="3"/>
      <c r="Y1974" s="3"/>
      <c r="Z1974" s="53"/>
      <c r="AA1974" s="3"/>
      <c r="AB1974" s="59"/>
      <c r="AC1974" s="3"/>
      <c r="AD1974" s="53"/>
      <c r="AE1974" s="59"/>
    </row>
    <row r="1975" spans="1:31" customFormat="1" ht="15" x14ac:dyDescent="0.35">
      <c r="A1975" s="19"/>
      <c r="B1975" s="49"/>
      <c r="C1975" s="14"/>
      <c r="D1975" s="1"/>
      <c r="E1975" s="153"/>
      <c r="F1975" s="10"/>
      <c r="G1975" s="20"/>
      <c r="H1975" s="21"/>
      <c r="I1975" s="21"/>
      <c r="J1975" s="21"/>
      <c r="K1975" s="21"/>
      <c r="L1975" s="21"/>
      <c r="M1975" s="21"/>
      <c r="N1975" s="22"/>
      <c r="O1975" s="21"/>
      <c r="P1975" s="24"/>
      <c r="Q1975" s="21"/>
      <c r="R1975" s="21"/>
      <c r="S1975" s="21"/>
      <c r="T1975" s="21"/>
      <c r="U1975" s="21"/>
      <c r="V1975" s="22"/>
      <c r="W1975" s="21"/>
      <c r="X1975" s="22"/>
      <c r="Y1975" s="21"/>
      <c r="Z1975" s="20"/>
      <c r="AA1975" s="21"/>
      <c r="AB1975" s="25"/>
      <c r="AC1975" s="26"/>
      <c r="AD1975" s="27"/>
      <c r="AE1975" s="28"/>
    </row>
    <row r="1976" spans="1:31" customFormat="1" ht="15" x14ac:dyDescent="0.35">
      <c r="A1976" s="19"/>
      <c r="B1976" s="49"/>
      <c r="C1976" s="39"/>
      <c r="D1976" s="1"/>
      <c r="E1976" s="153"/>
      <c r="F1976" s="10"/>
      <c r="G1976" s="20"/>
      <c r="H1976" s="21"/>
      <c r="I1976" s="21"/>
      <c r="J1976" s="21"/>
      <c r="K1976" s="21"/>
      <c r="L1976" s="21"/>
      <c r="M1976" s="21"/>
      <c r="N1976" s="22"/>
      <c r="O1976" s="21"/>
      <c r="P1976" s="24"/>
      <c r="Q1976" s="21"/>
      <c r="R1976" s="21"/>
      <c r="S1976" s="21"/>
      <c r="T1976" s="21"/>
      <c r="U1976" s="21"/>
      <c r="V1976" s="22"/>
      <c r="W1976" s="21"/>
      <c r="X1976" s="22"/>
      <c r="Y1976" s="21"/>
      <c r="Z1976" s="20"/>
      <c r="AA1976" s="21"/>
      <c r="AB1976" s="25"/>
      <c r="AC1976" s="26"/>
      <c r="AD1976" s="27"/>
      <c r="AE1976" s="28"/>
    </row>
    <row r="1977" spans="1:31" customFormat="1" ht="15" x14ac:dyDescent="0.35">
      <c r="A1977" s="50"/>
      <c r="B1977" s="63"/>
      <c r="C1977" s="39"/>
      <c r="D1977" s="6"/>
      <c r="E1977" s="153"/>
      <c r="F1977" s="10"/>
      <c r="G1977" s="53"/>
      <c r="H1977" s="3"/>
      <c r="I1977" s="3"/>
      <c r="J1977" s="3"/>
      <c r="K1977" s="3"/>
      <c r="L1977" s="3"/>
      <c r="M1977" s="3"/>
      <c r="N1977" s="3"/>
      <c r="O1977" s="3"/>
      <c r="P1977" s="59"/>
      <c r="Q1977" s="21"/>
      <c r="R1977" s="21"/>
      <c r="S1977" s="3"/>
      <c r="T1977" s="3"/>
      <c r="U1977" s="3"/>
      <c r="V1977" s="3"/>
      <c r="W1977" s="3"/>
      <c r="X1977" s="3"/>
      <c r="Y1977" s="3"/>
      <c r="Z1977" s="53"/>
      <c r="AA1977" s="3"/>
      <c r="AB1977" s="59"/>
      <c r="AC1977" s="3"/>
      <c r="AD1977" s="53"/>
      <c r="AE1977" s="59"/>
    </row>
    <row r="1978" spans="1:31" customFormat="1" ht="15" x14ac:dyDescent="0.35">
      <c r="A1978" s="50"/>
      <c r="B1978" s="63"/>
      <c r="C1978" s="39"/>
      <c r="D1978" s="6"/>
      <c r="E1978" s="153"/>
      <c r="F1978" s="10"/>
      <c r="G1978" s="53"/>
      <c r="H1978" s="3"/>
      <c r="I1978" s="3"/>
      <c r="J1978" s="3"/>
      <c r="K1978" s="3"/>
      <c r="L1978" s="3"/>
      <c r="M1978" s="3"/>
      <c r="N1978" s="3"/>
      <c r="O1978" s="3"/>
      <c r="P1978" s="59"/>
      <c r="Q1978" s="21"/>
      <c r="R1978" s="21"/>
      <c r="S1978" s="3"/>
      <c r="T1978" s="3"/>
      <c r="U1978" s="3"/>
      <c r="V1978" s="3"/>
      <c r="W1978" s="3"/>
      <c r="X1978" s="3"/>
      <c r="Y1978" s="3"/>
      <c r="Z1978" s="53"/>
      <c r="AA1978" s="3"/>
      <c r="AB1978" s="59"/>
      <c r="AC1978" s="3"/>
      <c r="AD1978" s="53"/>
      <c r="AE1978" s="59"/>
    </row>
    <row r="1979" spans="1:31" customFormat="1" ht="15" x14ac:dyDescent="0.35">
      <c r="A1979" s="50"/>
      <c r="B1979" s="63"/>
      <c r="C1979" s="39"/>
      <c r="D1979" s="6"/>
      <c r="E1979" s="153"/>
      <c r="F1979" s="10"/>
      <c r="G1979" s="54"/>
      <c r="H1979" s="3"/>
      <c r="I1979" s="2"/>
      <c r="J1979" s="2"/>
      <c r="K1979" s="3"/>
      <c r="L1979" s="3"/>
      <c r="M1979" s="3"/>
      <c r="N1979" s="3"/>
      <c r="O1979" s="3"/>
      <c r="P1979" s="59"/>
      <c r="Q1979" s="3"/>
      <c r="R1979" s="3"/>
      <c r="S1979" s="3"/>
      <c r="T1979" s="3"/>
      <c r="U1979" s="3"/>
      <c r="V1979" s="3"/>
      <c r="W1979" s="3"/>
      <c r="X1979" s="3"/>
      <c r="Y1979" s="3"/>
      <c r="Z1979" s="53"/>
      <c r="AA1979" s="3"/>
      <c r="AB1979" s="59"/>
      <c r="AC1979" s="3"/>
      <c r="AD1979" s="53"/>
      <c r="AE1979" s="59"/>
    </row>
    <row r="1980" spans="1:31" customFormat="1" ht="15" x14ac:dyDescent="0.35">
      <c r="A1980" s="50"/>
      <c r="B1980" s="63"/>
      <c r="C1980" s="39"/>
      <c r="D1980" s="6"/>
      <c r="E1980" s="153"/>
      <c r="F1980" s="10"/>
      <c r="G1980" s="54"/>
      <c r="H1980" s="3"/>
      <c r="I1980" s="2"/>
      <c r="J1980" s="2"/>
      <c r="K1980" s="3"/>
      <c r="L1980" s="3"/>
      <c r="M1980" s="3"/>
      <c r="N1980" s="3"/>
      <c r="O1980" s="3"/>
      <c r="P1980" s="59"/>
      <c r="Q1980" s="3"/>
      <c r="R1980" s="3"/>
      <c r="S1980" s="3"/>
      <c r="T1980" s="3"/>
      <c r="U1980" s="3"/>
      <c r="V1980" s="3"/>
      <c r="W1980" s="3"/>
      <c r="X1980" s="3"/>
      <c r="Y1980" s="3"/>
      <c r="Z1980" s="53"/>
      <c r="AA1980" s="3"/>
      <c r="AB1980" s="59"/>
      <c r="AC1980" s="3"/>
      <c r="AD1980" s="53"/>
      <c r="AE1980" s="59"/>
    </row>
    <row r="1981" spans="1:31" customFormat="1" ht="15" x14ac:dyDescent="0.35">
      <c r="A1981" s="50"/>
      <c r="B1981" s="63"/>
      <c r="C1981" s="39"/>
      <c r="D1981" s="6"/>
      <c r="E1981" s="153"/>
      <c r="F1981" s="10"/>
      <c r="G1981" s="53"/>
      <c r="H1981" s="3"/>
      <c r="I1981" s="3"/>
      <c r="J1981" s="3"/>
      <c r="K1981" s="3"/>
      <c r="L1981" s="3"/>
      <c r="M1981" s="3"/>
      <c r="N1981" s="3"/>
      <c r="O1981" s="3"/>
      <c r="P1981" s="59"/>
      <c r="Q1981" s="21"/>
      <c r="R1981" s="21"/>
      <c r="S1981" s="3"/>
      <c r="T1981" s="3"/>
      <c r="U1981" s="3"/>
      <c r="V1981" s="3"/>
      <c r="W1981" s="3"/>
      <c r="X1981" s="3"/>
      <c r="Y1981" s="3"/>
      <c r="Z1981" s="53"/>
      <c r="AA1981" s="3"/>
      <c r="AB1981" s="59"/>
      <c r="AC1981" s="3"/>
      <c r="AD1981" s="53"/>
      <c r="AE1981" s="59"/>
    </row>
    <row r="1982" spans="1:31" customFormat="1" ht="15" x14ac:dyDescent="0.35">
      <c r="A1982" s="19"/>
      <c r="B1982" s="49"/>
      <c r="C1982" s="14"/>
      <c r="D1982" s="1"/>
      <c r="E1982" s="153"/>
      <c r="F1982" s="10"/>
      <c r="G1982" s="20"/>
      <c r="H1982" s="21"/>
      <c r="I1982" s="21"/>
      <c r="J1982" s="21"/>
      <c r="K1982" s="21"/>
      <c r="L1982" s="21"/>
      <c r="M1982" s="21"/>
      <c r="N1982" s="22"/>
      <c r="O1982" s="21"/>
      <c r="P1982" s="24"/>
      <c r="Q1982" s="21"/>
      <c r="R1982" s="21"/>
      <c r="S1982" s="21"/>
      <c r="T1982" s="21"/>
      <c r="U1982" s="21"/>
      <c r="V1982" s="22"/>
      <c r="W1982" s="21"/>
      <c r="X1982" s="22"/>
      <c r="Y1982" s="21"/>
      <c r="Z1982" s="20"/>
      <c r="AA1982" s="21"/>
      <c r="AB1982" s="25"/>
      <c r="AC1982" s="26"/>
      <c r="AD1982" s="27"/>
      <c r="AE1982" s="28"/>
    </row>
    <row r="1983" spans="1:31" customFormat="1" ht="15" x14ac:dyDescent="0.35">
      <c r="A1983" s="19"/>
      <c r="B1983" s="49"/>
      <c r="C1983" s="14"/>
      <c r="D1983" s="1"/>
      <c r="E1983" s="153"/>
      <c r="F1983" s="10"/>
      <c r="G1983" s="20"/>
      <c r="H1983" s="21"/>
      <c r="I1983" s="21"/>
      <c r="J1983" s="21"/>
      <c r="K1983" s="21"/>
      <c r="L1983" s="21"/>
      <c r="M1983" s="21"/>
      <c r="N1983" s="22"/>
      <c r="O1983" s="21"/>
      <c r="P1983" s="24"/>
      <c r="Q1983" s="21"/>
      <c r="R1983" s="21"/>
      <c r="S1983" s="21"/>
      <c r="T1983" s="21"/>
      <c r="U1983" s="21"/>
      <c r="V1983" s="22"/>
      <c r="W1983" s="21"/>
      <c r="X1983" s="22"/>
      <c r="Y1983" s="21"/>
      <c r="Z1983" s="20"/>
      <c r="AA1983" s="21"/>
      <c r="AB1983" s="25"/>
      <c r="AC1983" s="26"/>
      <c r="AD1983" s="27"/>
      <c r="AE1983" s="28"/>
    </row>
    <row r="1984" spans="1:31" customFormat="1" ht="15" x14ac:dyDescent="0.35">
      <c r="A1984" s="50"/>
      <c r="B1984" s="63"/>
      <c r="C1984" s="39"/>
      <c r="D1984" s="6"/>
      <c r="E1984" s="153"/>
      <c r="F1984" s="10"/>
      <c r="G1984" s="53"/>
      <c r="H1984" s="3"/>
      <c r="I1984" s="3"/>
      <c r="J1984" s="3"/>
      <c r="K1984" s="3"/>
      <c r="L1984" s="3"/>
      <c r="M1984" s="3"/>
      <c r="N1984" s="3"/>
      <c r="O1984" s="3"/>
      <c r="P1984" s="59"/>
      <c r="Q1984" s="21"/>
      <c r="R1984" s="21"/>
      <c r="S1984" s="3"/>
      <c r="T1984" s="3"/>
      <c r="U1984" s="3"/>
      <c r="V1984" s="3"/>
      <c r="W1984" s="3"/>
      <c r="X1984" s="3"/>
      <c r="Y1984" s="3"/>
      <c r="Z1984" s="53"/>
      <c r="AA1984" s="3"/>
      <c r="AB1984" s="59"/>
      <c r="AC1984" s="3"/>
      <c r="AD1984" s="53"/>
      <c r="AE1984" s="59"/>
    </row>
    <row r="1985" spans="1:31" customFormat="1" ht="15" x14ac:dyDescent="0.35">
      <c r="A1985" s="19"/>
      <c r="B1985" s="49"/>
      <c r="C1985" s="39"/>
      <c r="D1985" s="1"/>
      <c r="E1985" s="153"/>
      <c r="F1985" s="10"/>
      <c r="G1985" s="20"/>
      <c r="H1985" s="21"/>
      <c r="I1985" s="21"/>
      <c r="J1985" s="21"/>
      <c r="K1985" s="21"/>
      <c r="L1985" s="21"/>
      <c r="M1985" s="21"/>
      <c r="N1985" s="22"/>
      <c r="O1985" s="21"/>
      <c r="P1985" s="24"/>
      <c r="Q1985" s="21"/>
      <c r="R1985" s="21"/>
      <c r="S1985" s="21"/>
      <c r="T1985" s="21"/>
      <c r="U1985" s="21"/>
      <c r="V1985" s="22"/>
      <c r="W1985" s="21"/>
      <c r="X1985" s="22"/>
      <c r="Y1985" s="21"/>
      <c r="Z1985" s="20"/>
      <c r="AA1985" s="21"/>
      <c r="AB1985" s="25"/>
      <c r="AC1985" s="26"/>
      <c r="AD1985" s="27"/>
      <c r="AE1985" s="28"/>
    </row>
    <row r="1986" spans="1:31" customFormat="1" ht="15" x14ac:dyDescent="0.35">
      <c r="A1986" s="50"/>
      <c r="B1986" s="63"/>
      <c r="C1986" s="39"/>
      <c r="D1986" s="6"/>
      <c r="E1986" s="153"/>
      <c r="F1986" s="10"/>
      <c r="G1986" s="53"/>
      <c r="H1986" s="3"/>
      <c r="I1986" s="3"/>
      <c r="J1986" s="3"/>
      <c r="K1986" s="3"/>
      <c r="L1986" s="3"/>
      <c r="M1986" s="3"/>
      <c r="N1986" s="3"/>
      <c r="O1986" s="3"/>
      <c r="P1986" s="59"/>
      <c r="Q1986" s="21"/>
      <c r="R1986" s="21"/>
      <c r="S1986" s="3"/>
      <c r="T1986" s="3"/>
      <c r="U1986" s="3"/>
      <c r="V1986" s="3"/>
      <c r="W1986" s="3"/>
      <c r="X1986" s="3"/>
      <c r="Y1986" s="3"/>
      <c r="Z1986" s="53"/>
      <c r="AA1986" s="3"/>
      <c r="AB1986" s="59"/>
      <c r="AC1986" s="3"/>
      <c r="AD1986" s="53"/>
      <c r="AE1986" s="59"/>
    </row>
    <row r="1987" spans="1:31" customFormat="1" ht="15" x14ac:dyDescent="0.35">
      <c r="A1987" s="50"/>
      <c r="B1987" s="63"/>
      <c r="C1987" s="39"/>
      <c r="D1987" s="6"/>
      <c r="E1987" s="153"/>
      <c r="F1987" s="10"/>
      <c r="G1987" s="53"/>
      <c r="H1987" s="3"/>
      <c r="I1987" s="3"/>
      <c r="J1987" s="3"/>
      <c r="K1987" s="3"/>
      <c r="L1987" s="3"/>
      <c r="M1987" s="3"/>
      <c r="N1987" s="3"/>
      <c r="O1987" s="3"/>
      <c r="P1987" s="59"/>
      <c r="Q1987" s="21"/>
      <c r="R1987" s="21"/>
      <c r="S1987" s="3"/>
      <c r="T1987" s="3"/>
      <c r="U1987" s="3"/>
      <c r="V1987" s="3"/>
      <c r="W1987" s="3"/>
      <c r="X1987" s="3"/>
      <c r="Y1987" s="3"/>
      <c r="Z1987" s="53"/>
      <c r="AA1987" s="3"/>
      <c r="AB1987" s="59"/>
      <c r="AC1987" s="3"/>
      <c r="AD1987" s="53"/>
      <c r="AE1987" s="59"/>
    </row>
    <row r="1988" spans="1:31" customFormat="1" ht="15" x14ac:dyDescent="0.35">
      <c r="A1988" s="50"/>
      <c r="B1988" s="63"/>
      <c r="C1988" s="39"/>
      <c r="D1988" s="6"/>
      <c r="E1988" s="153"/>
      <c r="F1988" s="10"/>
      <c r="G1988" s="54"/>
      <c r="H1988" s="3"/>
      <c r="I1988" s="2"/>
      <c r="J1988" s="2"/>
      <c r="K1988" s="3"/>
      <c r="L1988" s="3"/>
      <c r="M1988" s="3"/>
      <c r="N1988" s="3"/>
      <c r="O1988" s="3"/>
      <c r="P1988" s="59"/>
      <c r="Q1988" s="3"/>
      <c r="R1988" s="3"/>
      <c r="S1988" s="3"/>
      <c r="T1988" s="3"/>
      <c r="U1988" s="3"/>
      <c r="V1988" s="3"/>
      <c r="W1988" s="3"/>
      <c r="X1988" s="3"/>
      <c r="Y1988" s="3"/>
      <c r="Z1988" s="53"/>
      <c r="AA1988" s="3"/>
      <c r="AB1988" s="59"/>
      <c r="AC1988" s="3"/>
      <c r="AD1988" s="53"/>
      <c r="AE1988" s="59"/>
    </row>
    <row r="1989" spans="1:31" customFormat="1" ht="15" x14ac:dyDescent="0.35">
      <c r="A1989" s="50"/>
      <c r="B1989" s="63"/>
      <c r="C1989" s="39"/>
      <c r="D1989" s="6"/>
      <c r="E1989" s="153"/>
      <c r="F1989" s="10"/>
      <c r="G1989" s="54"/>
      <c r="H1989" s="3"/>
      <c r="I1989" s="2"/>
      <c r="J1989" s="2"/>
      <c r="K1989" s="3"/>
      <c r="L1989" s="3"/>
      <c r="M1989" s="3"/>
      <c r="N1989" s="3"/>
      <c r="O1989" s="3"/>
      <c r="P1989" s="59"/>
      <c r="Q1989" s="3"/>
      <c r="R1989" s="3"/>
      <c r="S1989" s="3"/>
      <c r="T1989" s="3"/>
      <c r="U1989" s="3"/>
      <c r="V1989" s="3"/>
      <c r="W1989" s="3"/>
      <c r="X1989" s="3"/>
      <c r="Y1989" s="3"/>
      <c r="Z1989" s="53"/>
      <c r="AA1989" s="3"/>
      <c r="AB1989" s="59"/>
      <c r="AC1989" s="3"/>
      <c r="AD1989" s="53"/>
      <c r="AE1989" s="59"/>
    </row>
    <row r="1990" spans="1:31" customFormat="1" ht="15" x14ac:dyDescent="0.35">
      <c r="A1990" s="50"/>
      <c r="B1990" s="63"/>
      <c r="C1990" s="39"/>
      <c r="D1990" s="6"/>
      <c r="E1990" s="153"/>
      <c r="F1990" s="10"/>
      <c r="G1990" s="53"/>
      <c r="H1990" s="3"/>
      <c r="I1990" s="3"/>
      <c r="J1990" s="3"/>
      <c r="K1990" s="3"/>
      <c r="L1990" s="3"/>
      <c r="M1990" s="3"/>
      <c r="N1990" s="3"/>
      <c r="O1990" s="3"/>
      <c r="P1990" s="59"/>
      <c r="Q1990" s="21"/>
      <c r="R1990" s="21"/>
      <c r="S1990" s="3"/>
      <c r="T1990" s="3"/>
      <c r="U1990" s="3"/>
      <c r="V1990" s="3"/>
      <c r="W1990" s="3"/>
      <c r="X1990" s="3"/>
      <c r="Y1990" s="3"/>
      <c r="Z1990" s="53"/>
      <c r="AA1990" s="3"/>
      <c r="AB1990" s="59"/>
      <c r="AC1990" s="3"/>
      <c r="AD1990" s="53"/>
      <c r="AE1990" s="59"/>
    </row>
    <row r="1991" spans="1:31" customFormat="1" ht="15" x14ac:dyDescent="0.35">
      <c r="A1991" s="19"/>
      <c r="B1991" s="49"/>
      <c r="C1991" s="14"/>
      <c r="D1991" s="1"/>
      <c r="E1991" s="153"/>
      <c r="F1991" s="10"/>
      <c r="G1991" s="20"/>
      <c r="H1991" s="21"/>
      <c r="I1991" s="21"/>
      <c r="J1991" s="21"/>
      <c r="K1991" s="21"/>
      <c r="L1991" s="21"/>
      <c r="M1991" s="21"/>
      <c r="N1991" s="22"/>
      <c r="O1991" s="21"/>
      <c r="P1991" s="24"/>
      <c r="Q1991" s="21"/>
      <c r="R1991" s="21"/>
      <c r="S1991" s="21"/>
      <c r="T1991" s="21"/>
      <c r="U1991" s="21"/>
      <c r="V1991" s="22"/>
      <c r="W1991" s="21"/>
      <c r="X1991" s="22"/>
      <c r="Y1991" s="21"/>
      <c r="Z1991" s="20"/>
      <c r="AA1991" s="21"/>
      <c r="AB1991" s="25"/>
      <c r="AC1991" s="26"/>
      <c r="AD1991" s="27"/>
      <c r="AE1991" s="28"/>
    </row>
    <row r="1992" spans="1:31" customFormat="1" ht="15" x14ac:dyDescent="0.35">
      <c r="A1992" s="19"/>
      <c r="B1992" s="49"/>
      <c r="C1992" s="39"/>
      <c r="D1992" s="1"/>
      <c r="E1992" s="153"/>
      <c r="F1992" s="10"/>
      <c r="G1992" s="20"/>
      <c r="H1992" s="21"/>
      <c r="I1992" s="21"/>
      <c r="J1992" s="21"/>
      <c r="K1992" s="21"/>
      <c r="L1992" s="21"/>
      <c r="M1992" s="21"/>
      <c r="N1992" s="22"/>
      <c r="O1992" s="21"/>
      <c r="P1992" s="24"/>
      <c r="Q1992" s="21"/>
      <c r="R1992" s="21"/>
      <c r="S1992" s="21"/>
      <c r="T1992" s="21"/>
      <c r="U1992" s="21"/>
      <c r="V1992" s="22"/>
      <c r="W1992" s="21"/>
      <c r="X1992" s="22"/>
      <c r="Y1992" s="21"/>
      <c r="Z1992" s="20"/>
      <c r="AA1992" s="21"/>
      <c r="AB1992" s="25"/>
      <c r="AC1992" s="26"/>
      <c r="AD1992" s="27"/>
      <c r="AE1992" s="28"/>
    </row>
    <row r="1993" spans="1:31" customFormat="1" ht="15" x14ac:dyDescent="0.35">
      <c r="A1993" s="50"/>
      <c r="B1993" s="63"/>
      <c r="C1993" s="39"/>
      <c r="D1993" s="6"/>
      <c r="E1993" s="153"/>
      <c r="F1993" s="10"/>
      <c r="G1993" s="53"/>
      <c r="H1993" s="3"/>
      <c r="I1993" s="3"/>
      <c r="J1993" s="3"/>
      <c r="K1993" s="3"/>
      <c r="L1993" s="3"/>
      <c r="M1993" s="3"/>
      <c r="N1993" s="3"/>
      <c r="O1993" s="3"/>
      <c r="P1993" s="59"/>
      <c r="Q1993" s="21"/>
      <c r="R1993" s="21"/>
      <c r="S1993" s="3"/>
      <c r="T1993" s="3"/>
      <c r="U1993" s="3"/>
      <c r="V1993" s="3"/>
      <c r="W1993" s="3"/>
      <c r="X1993" s="3"/>
      <c r="Y1993" s="3"/>
      <c r="Z1993" s="53"/>
      <c r="AA1993" s="3"/>
      <c r="AB1993" s="59"/>
      <c r="AC1993" s="3"/>
      <c r="AD1993" s="53"/>
      <c r="AE1993" s="59"/>
    </row>
    <row r="1994" spans="1:31" customFormat="1" ht="15" x14ac:dyDescent="0.35">
      <c r="A1994" s="50"/>
      <c r="B1994" s="63"/>
      <c r="C1994" s="39"/>
      <c r="D1994" s="6"/>
      <c r="E1994" s="153"/>
      <c r="F1994" s="10"/>
      <c r="G1994" s="53"/>
      <c r="H1994" s="3"/>
      <c r="I1994" s="3"/>
      <c r="J1994" s="3"/>
      <c r="K1994" s="3"/>
      <c r="L1994" s="3"/>
      <c r="M1994" s="3"/>
      <c r="N1994" s="3"/>
      <c r="O1994" s="3"/>
      <c r="P1994" s="59"/>
      <c r="Q1994" s="21"/>
      <c r="R1994" s="21"/>
      <c r="S1994" s="3"/>
      <c r="T1994" s="3"/>
      <c r="U1994" s="3"/>
      <c r="V1994" s="3"/>
      <c r="W1994" s="3"/>
      <c r="X1994" s="3"/>
      <c r="Y1994" s="3"/>
      <c r="Z1994" s="53"/>
      <c r="AA1994" s="3"/>
      <c r="AB1994" s="59"/>
      <c r="AC1994" s="3"/>
      <c r="AD1994" s="53"/>
      <c r="AE1994" s="59"/>
    </row>
    <row r="1995" spans="1:31" customFormat="1" ht="15" x14ac:dyDescent="0.35">
      <c r="A1995" s="50"/>
      <c r="B1995" s="63"/>
      <c r="C1995" s="39"/>
      <c r="D1995" s="6"/>
      <c r="E1995" s="153"/>
      <c r="F1995" s="10"/>
      <c r="G1995" s="53"/>
      <c r="H1995" s="3"/>
      <c r="I1995" s="3"/>
      <c r="J1995" s="3"/>
      <c r="K1995" s="3"/>
      <c r="L1995" s="3"/>
      <c r="M1995" s="3"/>
      <c r="N1995" s="3"/>
      <c r="O1995" s="3"/>
      <c r="P1995" s="59"/>
      <c r="Q1995" s="21"/>
      <c r="R1995" s="21"/>
      <c r="S1995" s="3"/>
      <c r="T1995" s="3"/>
      <c r="U1995" s="3"/>
      <c r="V1995" s="3"/>
      <c r="W1995" s="3"/>
      <c r="X1995" s="3"/>
      <c r="Y1995" s="3"/>
      <c r="Z1995" s="53"/>
      <c r="AA1995" s="3"/>
      <c r="AB1995" s="59"/>
      <c r="AC1995" s="3"/>
      <c r="AD1995" s="53"/>
      <c r="AE1995" s="59"/>
    </row>
    <row r="1996" spans="1:31" customFormat="1" ht="15" x14ac:dyDescent="0.35">
      <c r="A1996" s="50"/>
      <c r="B1996" s="63"/>
      <c r="C1996" s="39"/>
      <c r="D1996" s="6"/>
      <c r="E1996" s="153"/>
      <c r="F1996" s="10"/>
      <c r="G1996" s="54"/>
      <c r="H1996" s="3"/>
      <c r="I1996" s="2"/>
      <c r="J1996" s="2"/>
      <c r="K1996" s="3"/>
      <c r="L1996" s="3"/>
      <c r="M1996" s="3"/>
      <c r="N1996" s="3"/>
      <c r="O1996" s="3"/>
      <c r="P1996" s="59"/>
      <c r="Q1996" s="3"/>
      <c r="R1996" s="3"/>
      <c r="S1996" s="3"/>
      <c r="T1996" s="3"/>
      <c r="U1996" s="3"/>
      <c r="V1996" s="3"/>
      <c r="W1996" s="3"/>
      <c r="X1996" s="3"/>
      <c r="Y1996" s="3"/>
      <c r="Z1996" s="53"/>
      <c r="AA1996" s="3"/>
      <c r="AB1996" s="59"/>
      <c r="AC1996" s="3"/>
      <c r="AD1996" s="53"/>
      <c r="AE1996" s="59"/>
    </row>
    <row r="1997" spans="1:31" customFormat="1" ht="15" x14ac:dyDescent="0.35">
      <c r="A1997" s="50"/>
      <c r="B1997" s="63"/>
      <c r="C1997" s="39"/>
      <c r="D1997" s="6"/>
      <c r="E1997" s="153"/>
      <c r="F1997" s="10"/>
      <c r="G1997" s="53"/>
      <c r="H1997" s="3"/>
      <c r="I1997" s="3"/>
      <c r="J1997" s="3"/>
      <c r="K1997" s="3"/>
      <c r="L1997" s="3"/>
      <c r="M1997" s="3"/>
      <c r="N1997" s="3"/>
      <c r="O1997" s="3"/>
      <c r="P1997" s="59"/>
      <c r="Q1997" s="21"/>
      <c r="R1997" s="21"/>
      <c r="S1997" s="3"/>
      <c r="T1997" s="3"/>
      <c r="U1997" s="3"/>
      <c r="V1997" s="3"/>
      <c r="W1997" s="3"/>
      <c r="X1997" s="3"/>
      <c r="Y1997" s="3"/>
      <c r="Z1997" s="53"/>
      <c r="AA1997" s="3"/>
      <c r="AB1997" s="59"/>
      <c r="AC1997" s="3"/>
      <c r="AD1997" s="53"/>
      <c r="AE1997" s="59"/>
    </row>
    <row r="1998" spans="1:31" customFormat="1" ht="15" x14ac:dyDescent="0.35">
      <c r="A1998" s="50"/>
      <c r="B1998" s="63"/>
      <c r="C1998" s="39"/>
      <c r="D1998" s="6"/>
      <c r="E1998" s="153"/>
      <c r="F1998" s="10"/>
      <c r="G1998" s="53"/>
      <c r="H1998" s="3"/>
      <c r="I1998" s="3"/>
      <c r="J1998" s="3"/>
      <c r="K1998" s="3"/>
      <c r="L1998" s="3"/>
      <c r="M1998" s="3"/>
      <c r="N1998" s="3"/>
      <c r="O1998" s="3"/>
      <c r="P1998" s="59"/>
      <c r="Q1998" s="3"/>
      <c r="R1998" s="3"/>
      <c r="S1998" s="3"/>
      <c r="T1998" s="3"/>
      <c r="U1998" s="3"/>
      <c r="V1998" s="3"/>
      <c r="W1998" s="3"/>
      <c r="X1998" s="3"/>
      <c r="Y1998" s="3"/>
      <c r="Z1998" s="53"/>
      <c r="AA1998" s="3"/>
      <c r="AB1998" s="59"/>
      <c r="AC1998" s="3"/>
      <c r="AD1998" s="53"/>
      <c r="AE1998" s="59"/>
    </row>
    <row r="1999" spans="1:31" customFormat="1" ht="15" x14ac:dyDescent="0.35">
      <c r="A1999" s="19"/>
      <c r="B1999" s="49"/>
      <c r="C1999" s="14"/>
      <c r="D1999" s="1"/>
      <c r="E1999" s="153"/>
      <c r="F1999" s="10"/>
      <c r="G1999" s="20"/>
      <c r="H1999" s="21"/>
      <c r="I1999" s="21"/>
      <c r="J1999" s="21"/>
      <c r="K1999" s="21"/>
      <c r="L1999" s="21"/>
      <c r="M1999" s="21"/>
      <c r="N1999" s="22"/>
      <c r="O1999" s="21"/>
      <c r="P1999" s="24"/>
      <c r="Q1999" s="21"/>
      <c r="R1999" s="21"/>
      <c r="S1999" s="21"/>
      <c r="T1999" s="21"/>
      <c r="U1999" s="21"/>
      <c r="V1999" s="22"/>
      <c r="W1999" s="21"/>
      <c r="X1999" s="22"/>
      <c r="Y1999" s="21"/>
      <c r="Z1999" s="20"/>
      <c r="AA1999" s="21"/>
      <c r="AB1999" s="25"/>
      <c r="AC1999" s="26"/>
      <c r="AD1999" s="27"/>
      <c r="AE1999" s="28"/>
    </row>
    <row r="2000" spans="1:31" customFormat="1" ht="15" x14ac:dyDescent="0.35">
      <c r="A2000" s="50"/>
      <c r="B2000" s="63"/>
      <c r="C2000" s="39"/>
      <c r="D2000" s="6"/>
      <c r="E2000" s="153"/>
      <c r="F2000" s="10"/>
      <c r="G2000" s="54"/>
      <c r="H2000" s="3"/>
      <c r="I2000" s="2"/>
      <c r="J2000" s="2"/>
      <c r="K2000" s="3"/>
      <c r="L2000" s="3"/>
      <c r="M2000" s="3"/>
      <c r="N2000" s="3"/>
      <c r="O2000" s="3"/>
      <c r="P2000" s="59"/>
      <c r="Q2000" s="3"/>
      <c r="R2000" s="3"/>
      <c r="S2000" s="3"/>
      <c r="T2000" s="3"/>
      <c r="U2000" s="3"/>
      <c r="V2000" s="3"/>
      <c r="W2000" s="3"/>
      <c r="X2000" s="3"/>
      <c r="Y2000" s="3"/>
      <c r="Z2000" s="53"/>
      <c r="AA2000" s="3"/>
      <c r="AB2000" s="59"/>
      <c r="AC2000" s="3"/>
      <c r="AD2000" s="53"/>
      <c r="AE2000" s="59"/>
    </row>
    <row r="2001" spans="1:31" customFormat="1" ht="15" x14ac:dyDescent="0.35">
      <c r="A2001" s="19"/>
      <c r="B2001" s="49"/>
      <c r="C2001" s="14"/>
      <c r="D2001" s="1"/>
      <c r="E2001" s="153"/>
      <c r="F2001" s="10"/>
      <c r="G2001" s="20"/>
      <c r="H2001" s="21"/>
      <c r="I2001" s="21"/>
      <c r="J2001" s="21"/>
      <c r="K2001" s="21"/>
      <c r="L2001" s="21"/>
      <c r="M2001" s="21"/>
      <c r="N2001" s="22"/>
      <c r="O2001" s="21"/>
      <c r="P2001" s="24"/>
      <c r="Q2001" s="21"/>
      <c r="R2001" s="21"/>
      <c r="S2001" s="21"/>
      <c r="T2001" s="21"/>
      <c r="U2001" s="21"/>
      <c r="V2001" s="22"/>
      <c r="W2001" s="21"/>
      <c r="X2001" s="22"/>
      <c r="Y2001" s="21"/>
      <c r="Z2001" s="20"/>
      <c r="AA2001" s="21"/>
      <c r="AB2001" s="25"/>
      <c r="AC2001" s="26"/>
      <c r="AD2001" s="27"/>
      <c r="AE2001" s="28"/>
    </row>
    <row r="2002" spans="1:31" customFormat="1" ht="15" x14ac:dyDescent="0.35">
      <c r="A2002" s="50"/>
      <c r="B2002" s="63"/>
      <c r="C2002" s="39"/>
      <c r="D2002" s="6"/>
      <c r="E2002" s="153"/>
      <c r="F2002" s="10"/>
      <c r="G2002" s="53"/>
      <c r="H2002" s="3"/>
      <c r="I2002" s="3"/>
      <c r="J2002" s="3"/>
      <c r="K2002" s="3"/>
      <c r="L2002" s="3"/>
      <c r="M2002" s="3"/>
      <c r="N2002" s="3"/>
      <c r="O2002" s="3"/>
      <c r="P2002" s="59"/>
      <c r="Q2002" s="21"/>
      <c r="R2002" s="21"/>
      <c r="S2002" s="3"/>
      <c r="T2002" s="3"/>
      <c r="U2002" s="3"/>
      <c r="V2002" s="3"/>
      <c r="W2002" s="3"/>
      <c r="X2002" s="3"/>
      <c r="Y2002" s="3"/>
      <c r="Z2002" s="53"/>
      <c r="AA2002" s="3"/>
      <c r="AB2002" s="59"/>
      <c r="AC2002" s="3"/>
      <c r="AD2002" s="53"/>
      <c r="AE2002" s="59"/>
    </row>
    <row r="2003" spans="1:31" customFormat="1" ht="15" x14ac:dyDescent="0.35">
      <c r="A2003" s="50"/>
      <c r="B2003" s="63"/>
      <c r="C2003" s="39"/>
      <c r="D2003" s="6"/>
      <c r="E2003" s="153"/>
      <c r="F2003" s="10"/>
      <c r="G2003" s="54"/>
      <c r="H2003" s="3"/>
      <c r="I2003" s="2"/>
      <c r="J2003" s="2"/>
      <c r="K2003" s="3"/>
      <c r="L2003" s="3"/>
      <c r="M2003" s="3"/>
      <c r="N2003" s="3"/>
      <c r="O2003" s="3"/>
      <c r="P2003" s="59"/>
      <c r="Q2003" s="3"/>
      <c r="R2003" s="3"/>
      <c r="S2003" s="3"/>
      <c r="T2003" s="3"/>
      <c r="U2003" s="3"/>
      <c r="V2003" s="3"/>
      <c r="W2003" s="3"/>
      <c r="X2003" s="3"/>
      <c r="Y2003" s="3"/>
      <c r="Z2003" s="53"/>
      <c r="AA2003" s="3"/>
      <c r="AB2003" s="59"/>
      <c r="AC2003" s="3"/>
      <c r="AD2003" s="53"/>
      <c r="AE2003" s="59"/>
    </row>
    <row r="2004" spans="1:31" customFormat="1" ht="15" x14ac:dyDescent="0.35">
      <c r="A2004" s="50"/>
      <c r="B2004" s="63"/>
      <c r="C2004" s="39"/>
      <c r="D2004" s="6"/>
      <c r="E2004" s="153"/>
      <c r="F2004" s="10"/>
      <c r="G2004" s="54"/>
      <c r="H2004" s="3"/>
      <c r="I2004" s="2"/>
      <c r="J2004" s="2"/>
      <c r="K2004" s="3"/>
      <c r="L2004" s="3"/>
      <c r="M2004" s="3"/>
      <c r="N2004" s="3"/>
      <c r="O2004" s="3"/>
      <c r="P2004" s="59"/>
      <c r="Q2004" s="3"/>
      <c r="R2004" s="3"/>
      <c r="S2004" s="3"/>
      <c r="T2004" s="3"/>
      <c r="U2004" s="3"/>
      <c r="V2004" s="3"/>
      <c r="W2004" s="3"/>
      <c r="X2004" s="3"/>
      <c r="Y2004" s="3"/>
      <c r="Z2004" s="53"/>
      <c r="AA2004" s="3"/>
      <c r="AB2004" s="59"/>
      <c r="AC2004" s="3"/>
      <c r="AD2004" s="53"/>
      <c r="AE2004" s="59"/>
    </row>
    <row r="2005" spans="1:31" customFormat="1" ht="15" x14ac:dyDescent="0.35">
      <c r="A2005" s="50"/>
      <c r="B2005" s="63"/>
      <c r="C2005" s="39"/>
      <c r="D2005" s="6"/>
      <c r="E2005" s="153"/>
      <c r="F2005" s="10"/>
      <c r="G2005" s="54"/>
      <c r="H2005" s="3"/>
      <c r="I2005" s="2"/>
      <c r="J2005" s="2"/>
      <c r="K2005" s="3"/>
      <c r="L2005" s="3"/>
      <c r="M2005" s="3"/>
      <c r="N2005" s="3"/>
      <c r="O2005" s="3"/>
      <c r="P2005" s="59"/>
      <c r="Q2005" s="21"/>
      <c r="R2005" s="21"/>
      <c r="S2005" s="3"/>
      <c r="T2005" s="3"/>
      <c r="U2005" s="3"/>
      <c r="V2005" s="3"/>
      <c r="W2005" s="3"/>
      <c r="X2005" s="3"/>
      <c r="Y2005" s="3"/>
      <c r="Z2005" s="53"/>
      <c r="AA2005" s="3"/>
      <c r="AB2005" s="59"/>
      <c r="AC2005" s="3"/>
      <c r="AD2005" s="53"/>
      <c r="AE2005" s="59"/>
    </row>
    <row r="2006" spans="1:31" customFormat="1" ht="15" x14ac:dyDescent="0.35">
      <c r="A2006" s="50"/>
      <c r="B2006" s="63"/>
      <c r="C2006" s="39"/>
      <c r="D2006" s="6"/>
      <c r="E2006" s="153"/>
      <c r="F2006" s="10"/>
      <c r="G2006" s="54"/>
      <c r="H2006" s="3"/>
      <c r="I2006" s="2"/>
      <c r="J2006" s="2"/>
      <c r="K2006" s="3"/>
      <c r="L2006" s="3"/>
      <c r="M2006" s="3"/>
      <c r="N2006" s="3"/>
      <c r="O2006" s="3"/>
      <c r="P2006" s="59"/>
      <c r="Q2006" s="3"/>
      <c r="R2006" s="3"/>
      <c r="S2006" s="3"/>
      <c r="T2006" s="3"/>
      <c r="U2006" s="3"/>
      <c r="V2006" s="3"/>
      <c r="W2006" s="3"/>
      <c r="X2006" s="3"/>
      <c r="Y2006" s="3"/>
      <c r="Z2006" s="53"/>
      <c r="AA2006" s="3"/>
      <c r="AB2006" s="59"/>
      <c r="AC2006" s="3"/>
      <c r="AD2006" s="53"/>
      <c r="AE2006" s="59"/>
    </row>
    <row r="2007" spans="1:31" customFormat="1" ht="15" x14ac:dyDescent="0.35">
      <c r="A2007" s="19"/>
      <c r="B2007" s="49"/>
      <c r="C2007" s="39"/>
      <c r="D2007" s="1"/>
      <c r="E2007" s="153"/>
      <c r="F2007" s="10"/>
      <c r="G2007" s="20"/>
      <c r="H2007" s="21"/>
      <c r="I2007" s="21"/>
      <c r="J2007" s="21"/>
      <c r="K2007" s="21"/>
      <c r="L2007" s="21"/>
      <c r="M2007" s="21"/>
      <c r="N2007" s="22"/>
      <c r="O2007" s="21"/>
      <c r="P2007" s="24"/>
      <c r="Q2007" s="21"/>
      <c r="R2007" s="21"/>
      <c r="S2007" s="21"/>
      <c r="T2007" s="21"/>
      <c r="U2007" s="21"/>
      <c r="V2007" s="22"/>
      <c r="W2007" s="21"/>
      <c r="X2007" s="22"/>
      <c r="Y2007" s="21"/>
      <c r="Z2007" s="20"/>
      <c r="AA2007" s="21"/>
      <c r="AB2007" s="25"/>
      <c r="AC2007" s="26"/>
      <c r="AD2007" s="27"/>
      <c r="AE2007" s="28"/>
    </row>
    <row r="2008" spans="1:31" customFormat="1" ht="15" x14ac:dyDescent="0.35">
      <c r="A2008" s="19"/>
      <c r="B2008" s="49"/>
      <c r="C2008" s="14"/>
      <c r="D2008" s="1"/>
      <c r="E2008" s="153"/>
      <c r="F2008" s="10"/>
      <c r="G2008" s="20"/>
      <c r="H2008" s="21"/>
      <c r="I2008" s="21"/>
      <c r="J2008" s="21"/>
      <c r="K2008" s="21"/>
      <c r="L2008" s="21"/>
      <c r="M2008" s="21"/>
      <c r="N2008" s="22"/>
      <c r="O2008" s="21"/>
      <c r="P2008" s="24"/>
      <c r="Q2008" s="21"/>
      <c r="R2008" s="21"/>
      <c r="S2008" s="21"/>
      <c r="T2008" s="21"/>
      <c r="U2008" s="21"/>
      <c r="V2008" s="22"/>
      <c r="W2008" s="21"/>
      <c r="X2008" s="22"/>
      <c r="Y2008" s="21"/>
      <c r="Z2008" s="20"/>
      <c r="AA2008" s="21"/>
      <c r="AB2008" s="25"/>
      <c r="AC2008" s="26"/>
      <c r="AD2008" s="27"/>
      <c r="AE2008" s="28"/>
    </row>
    <row r="2009" spans="1:31" customFormat="1" ht="15" x14ac:dyDescent="0.35">
      <c r="A2009" s="50"/>
      <c r="B2009" s="63"/>
      <c r="C2009" s="39"/>
      <c r="D2009" s="6"/>
      <c r="E2009" s="153"/>
      <c r="F2009" s="10"/>
      <c r="G2009" s="54"/>
      <c r="H2009" s="3"/>
      <c r="I2009" s="2"/>
      <c r="J2009" s="2"/>
      <c r="K2009" s="3"/>
      <c r="L2009" s="3"/>
      <c r="M2009" s="3"/>
      <c r="N2009" s="3"/>
      <c r="O2009" s="3"/>
      <c r="P2009" s="59"/>
      <c r="Q2009" s="3"/>
      <c r="R2009" s="3"/>
      <c r="S2009" s="3"/>
      <c r="T2009" s="3"/>
      <c r="U2009" s="3"/>
      <c r="V2009" s="3"/>
      <c r="W2009" s="3"/>
      <c r="X2009" s="3"/>
      <c r="Y2009" s="3"/>
      <c r="Z2009" s="53"/>
      <c r="AA2009" s="3"/>
      <c r="AB2009" s="59"/>
      <c r="AC2009" s="3"/>
      <c r="AD2009" s="53"/>
      <c r="AE2009" s="59"/>
    </row>
    <row r="2010" spans="1:31" customFormat="1" ht="15" x14ac:dyDescent="0.35">
      <c r="A2010" s="19"/>
      <c r="B2010" s="49"/>
      <c r="C2010" s="39"/>
      <c r="D2010" s="1"/>
      <c r="E2010" s="153"/>
      <c r="F2010" s="10"/>
      <c r="G2010" s="20"/>
      <c r="H2010" s="21"/>
      <c r="I2010" s="21"/>
      <c r="J2010" s="21"/>
      <c r="K2010" s="21"/>
      <c r="L2010" s="21"/>
      <c r="M2010" s="21"/>
      <c r="N2010" s="22"/>
      <c r="O2010" s="21"/>
      <c r="P2010" s="24"/>
      <c r="Q2010" s="21"/>
      <c r="R2010" s="21"/>
      <c r="S2010" s="21"/>
      <c r="T2010" s="21"/>
      <c r="U2010" s="21"/>
      <c r="V2010" s="22"/>
      <c r="W2010" s="21"/>
      <c r="X2010" s="22"/>
      <c r="Y2010" s="21"/>
      <c r="Z2010" s="20"/>
      <c r="AA2010" s="21"/>
      <c r="AB2010" s="25"/>
      <c r="AC2010" s="26"/>
      <c r="AD2010" s="27"/>
      <c r="AE2010" s="28"/>
    </row>
    <row r="2011" spans="1:31" customFormat="1" ht="15" x14ac:dyDescent="0.35">
      <c r="A2011" s="50"/>
      <c r="B2011" s="63"/>
      <c r="C2011" s="39"/>
      <c r="D2011" s="6"/>
      <c r="E2011" s="153"/>
      <c r="F2011" s="10"/>
      <c r="G2011" s="53"/>
      <c r="H2011" s="3"/>
      <c r="I2011" s="3"/>
      <c r="J2011" s="3"/>
      <c r="K2011" s="3"/>
      <c r="L2011" s="3"/>
      <c r="M2011" s="3"/>
      <c r="N2011" s="3"/>
      <c r="O2011" s="3"/>
      <c r="P2011" s="59"/>
      <c r="Q2011" s="21"/>
      <c r="R2011" s="21"/>
      <c r="S2011" s="3"/>
      <c r="T2011" s="3"/>
      <c r="U2011" s="3"/>
      <c r="V2011" s="3"/>
      <c r="W2011" s="3"/>
      <c r="X2011" s="3"/>
      <c r="Y2011" s="3"/>
      <c r="Z2011" s="53"/>
      <c r="AA2011" s="3"/>
      <c r="AB2011" s="59"/>
      <c r="AC2011" s="3"/>
      <c r="AD2011" s="53"/>
      <c r="AE2011" s="59"/>
    </row>
    <row r="2012" spans="1:31" customFormat="1" ht="15" x14ac:dyDescent="0.35">
      <c r="A2012" s="50"/>
      <c r="B2012" s="63"/>
      <c r="C2012" s="39"/>
      <c r="D2012" s="6"/>
      <c r="E2012" s="153"/>
      <c r="F2012" s="10"/>
      <c r="G2012" s="53"/>
      <c r="H2012" s="3"/>
      <c r="I2012" s="3"/>
      <c r="J2012" s="3"/>
      <c r="K2012" s="3"/>
      <c r="L2012" s="3"/>
      <c r="M2012" s="3"/>
      <c r="N2012" s="3"/>
      <c r="O2012" s="3"/>
      <c r="P2012" s="59"/>
      <c r="Q2012" s="21"/>
      <c r="R2012" s="21"/>
      <c r="S2012" s="3"/>
      <c r="T2012" s="3"/>
      <c r="U2012" s="3"/>
      <c r="V2012" s="3"/>
      <c r="W2012" s="3"/>
      <c r="X2012" s="3"/>
      <c r="Y2012" s="3"/>
      <c r="Z2012" s="53"/>
      <c r="AA2012" s="3"/>
      <c r="AB2012" s="59"/>
      <c r="AC2012" s="3"/>
      <c r="AD2012" s="53"/>
      <c r="AE2012" s="59"/>
    </row>
    <row r="2013" spans="1:31" customFormat="1" ht="15" x14ac:dyDescent="0.35">
      <c r="A2013" s="50"/>
      <c r="B2013" s="63"/>
      <c r="C2013" s="39"/>
      <c r="D2013" s="6"/>
      <c r="E2013" s="153"/>
      <c r="F2013" s="10"/>
      <c r="G2013" s="54"/>
      <c r="H2013" s="3"/>
      <c r="I2013" s="2"/>
      <c r="J2013" s="2"/>
      <c r="K2013" s="3"/>
      <c r="L2013" s="3"/>
      <c r="M2013" s="3"/>
      <c r="N2013" s="3"/>
      <c r="O2013" s="3"/>
      <c r="P2013" s="59"/>
      <c r="Q2013" s="3"/>
      <c r="R2013" s="3"/>
      <c r="S2013" s="3"/>
      <c r="T2013" s="3"/>
      <c r="U2013" s="3"/>
      <c r="V2013" s="3"/>
      <c r="W2013" s="3"/>
      <c r="X2013" s="3"/>
      <c r="Y2013" s="3"/>
      <c r="Z2013" s="53"/>
      <c r="AA2013" s="3"/>
      <c r="AB2013" s="59"/>
      <c r="AC2013" s="3"/>
      <c r="AD2013" s="53"/>
      <c r="AE2013" s="59"/>
    </row>
    <row r="2014" spans="1:31" customFormat="1" ht="15" x14ac:dyDescent="0.35">
      <c r="A2014" s="19"/>
      <c r="B2014" s="49"/>
      <c r="C2014" s="39"/>
      <c r="D2014" s="1"/>
      <c r="E2014" s="153"/>
      <c r="F2014" s="10"/>
      <c r="G2014" s="20"/>
      <c r="H2014" s="21"/>
      <c r="I2014" s="21"/>
      <c r="J2014" s="21"/>
      <c r="K2014" s="21"/>
      <c r="L2014" s="21"/>
      <c r="M2014" s="21"/>
      <c r="N2014" s="22"/>
      <c r="O2014" s="21"/>
      <c r="P2014" s="24"/>
      <c r="Q2014" s="21"/>
      <c r="R2014" s="21"/>
      <c r="S2014" s="21"/>
      <c r="T2014" s="21"/>
      <c r="U2014" s="21"/>
      <c r="V2014" s="22"/>
      <c r="W2014" s="21"/>
      <c r="X2014" s="22"/>
      <c r="Y2014" s="21"/>
      <c r="Z2014" s="20"/>
      <c r="AA2014" s="21"/>
      <c r="AB2014" s="25"/>
      <c r="AC2014" s="26"/>
      <c r="AD2014" s="27"/>
      <c r="AE2014" s="28"/>
    </row>
    <row r="2015" spans="1:31" customFormat="1" ht="15" x14ac:dyDescent="0.35">
      <c r="A2015" s="19"/>
      <c r="B2015" s="49"/>
      <c r="C2015" s="14"/>
      <c r="D2015" s="1"/>
      <c r="E2015" s="153"/>
      <c r="F2015" s="10"/>
      <c r="G2015" s="20"/>
      <c r="H2015" s="21"/>
      <c r="I2015" s="21"/>
      <c r="J2015" s="21"/>
      <c r="K2015" s="21"/>
      <c r="L2015" s="21"/>
      <c r="M2015" s="21"/>
      <c r="N2015" s="22"/>
      <c r="O2015" s="21"/>
      <c r="P2015" s="24"/>
      <c r="Q2015" s="21"/>
      <c r="R2015" s="21"/>
      <c r="S2015" s="21"/>
      <c r="T2015" s="21"/>
      <c r="U2015" s="21"/>
      <c r="V2015" s="22"/>
      <c r="W2015" s="21"/>
      <c r="X2015" s="22"/>
      <c r="Y2015" s="21"/>
      <c r="Z2015" s="20"/>
      <c r="AA2015" s="21"/>
      <c r="AB2015" s="25"/>
      <c r="AC2015" s="26"/>
      <c r="AD2015" s="27"/>
      <c r="AE2015" s="28"/>
    </row>
    <row r="2016" spans="1:31" customFormat="1" ht="15" x14ac:dyDescent="0.35">
      <c r="A2016" s="50"/>
      <c r="B2016" s="63"/>
      <c r="C2016" s="39"/>
      <c r="D2016" s="6"/>
      <c r="E2016" s="153"/>
      <c r="F2016" s="10"/>
      <c r="G2016" s="54"/>
      <c r="H2016" s="3"/>
      <c r="I2016" s="2"/>
      <c r="J2016" s="2"/>
      <c r="K2016" s="3"/>
      <c r="L2016" s="3"/>
      <c r="M2016" s="3"/>
      <c r="N2016" s="3"/>
      <c r="O2016" s="3"/>
      <c r="P2016" s="59"/>
      <c r="Q2016" s="3"/>
      <c r="R2016" s="3"/>
      <c r="S2016" s="3"/>
      <c r="T2016" s="3"/>
      <c r="U2016" s="3"/>
      <c r="V2016" s="3"/>
      <c r="W2016" s="3"/>
      <c r="X2016" s="3"/>
      <c r="Y2016" s="3"/>
      <c r="Z2016" s="53"/>
      <c r="AA2016" s="3"/>
      <c r="AB2016" s="59"/>
      <c r="AC2016" s="3"/>
      <c r="AD2016" s="53"/>
      <c r="AE2016" s="59"/>
    </row>
    <row r="2017" spans="1:31" customFormat="1" ht="15" x14ac:dyDescent="0.35">
      <c r="A2017" s="19"/>
      <c r="B2017" s="49"/>
      <c r="C2017" s="14"/>
      <c r="D2017" s="1"/>
      <c r="E2017" s="153"/>
      <c r="F2017" s="10"/>
      <c r="G2017" s="20"/>
      <c r="H2017" s="21"/>
      <c r="I2017" s="21"/>
      <c r="J2017" s="21"/>
      <c r="K2017" s="21"/>
      <c r="L2017" s="21"/>
      <c r="M2017" s="21"/>
      <c r="N2017" s="22"/>
      <c r="O2017" s="21"/>
      <c r="P2017" s="24"/>
      <c r="Q2017" s="21"/>
      <c r="R2017" s="21"/>
      <c r="S2017" s="21"/>
      <c r="T2017" s="21"/>
      <c r="U2017" s="21"/>
      <c r="V2017" s="22"/>
      <c r="W2017" s="21"/>
      <c r="X2017" s="22"/>
      <c r="Y2017" s="21"/>
      <c r="Z2017" s="20"/>
      <c r="AA2017" s="21"/>
      <c r="AB2017" s="25"/>
      <c r="AC2017" s="26"/>
      <c r="AD2017" s="27"/>
      <c r="AE2017" s="28"/>
    </row>
    <row r="2018" spans="1:31" customFormat="1" ht="15" x14ac:dyDescent="0.35">
      <c r="A2018" s="50"/>
      <c r="B2018" s="63"/>
      <c r="C2018" s="39"/>
      <c r="D2018" s="6"/>
      <c r="E2018" s="153"/>
      <c r="F2018" s="10"/>
      <c r="G2018" s="53"/>
      <c r="H2018" s="3"/>
      <c r="I2018" s="3"/>
      <c r="J2018" s="3"/>
      <c r="K2018" s="3"/>
      <c r="L2018" s="3"/>
      <c r="M2018" s="3"/>
      <c r="N2018" s="3"/>
      <c r="O2018" s="3"/>
      <c r="P2018" s="59"/>
      <c r="Q2018" s="21"/>
      <c r="R2018" s="21"/>
      <c r="S2018" s="3"/>
      <c r="T2018" s="3"/>
      <c r="U2018" s="3"/>
      <c r="V2018" s="3"/>
      <c r="W2018" s="3"/>
      <c r="X2018" s="3"/>
      <c r="Y2018" s="3"/>
      <c r="Z2018" s="53"/>
      <c r="AA2018" s="3"/>
      <c r="AB2018" s="59"/>
      <c r="AC2018" s="3"/>
      <c r="AD2018" s="53"/>
      <c r="AE2018" s="59"/>
    </row>
    <row r="2019" spans="1:31" customFormat="1" ht="15" x14ac:dyDescent="0.35">
      <c r="A2019" s="50"/>
      <c r="B2019" s="63"/>
      <c r="C2019" s="39"/>
      <c r="D2019" s="6"/>
      <c r="E2019" s="153"/>
      <c r="F2019" s="10"/>
      <c r="G2019" s="54"/>
      <c r="H2019" s="3"/>
      <c r="I2019" s="2"/>
      <c r="J2019" s="2"/>
      <c r="K2019" s="3"/>
      <c r="L2019" s="3"/>
      <c r="M2019" s="3"/>
      <c r="N2019" s="3"/>
      <c r="O2019" s="3"/>
      <c r="P2019" s="59"/>
      <c r="Q2019" s="21"/>
      <c r="R2019" s="21"/>
      <c r="S2019" s="3"/>
      <c r="T2019" s="3"/>
      <c r="U2019" s="3"/>
      <c r="V2019" s="3"/>
      <c r="W2019" s="3"/>
      <c r="X2019" s="3"/>
      <c r="Y2019" s="3"/>
      <c r="Z2019" s="53"/>
      <c r="AA2019" s="3"/>
      <c r="AB2019" s="59"/>
      <c r="AC2019" s="3"/>
      <c r="AD2019" s="53"/>
      <c r="AE2019" s="59"/>
    </row>
    <row r="2020" spans="1:31" customFormat="1" ht="15" x14ac:dyDescent="0.35">
      <c r="A2020" s="50"/>
      <c r="B2020" s="63"/>
      <c r="C2020" s="39"/>
      <c r="D2020" s="6"/>
      <c r="E2020" s="153"/>
      <c r="F2020" s="10"/>
      <c r="G2020" s="54"/>
      <c r="H2020" s="3"/>
      <c r="I2020" s="2"/>
      <c r="J2020" s="2"/>
      <c r="K2020" s="3"/>
      <c r="L2020" s="3"/>
      <c r="M2020" s="3"/>
      <c r="N2020" s="3"/>
      <c r="O2020" s="3"/>
      <c r="P2020" s="59"/>
      <c r="Q2020" s="21"/>
      <c r="R2020" s="21"/>
      <c r="S2020" s="3"/>
      <c r="T2020" s="3"/>
      <c r="U2020" s="3"/>
      <c r="V2020" s="3"/>
      <c r="W2020" s="3"/>
      <c r="X2020" s="3"/>
      <c r="Y2020" s="3"/>
      <c r="Z2020" s="53"/>
      <c r="AA2020" s="3"/>
      <c r="AB2020" s="59"/>
      <c r="AC2020" s="3"/>
      <c r="AD2020" s="53"/>
      <c r="AE2020" s="59"/>
    </row>
    <row r="2021" spans="1:31" customFormat="1" ht="15" x14ac:dyDescent="0.35">
      <c r="A2021" s="50"/>
      <c r="B2021" s="63"/>
      <c r="C2021" s="39"/>
      <c r="D2021" s="6"/>
      <c r="E2021" s="153"/>
      <c r="F2021" s="10"/>
      <c r="G2021" s="54"/>
      <c r="H2021" s="3"/>
      <c r="I2021" s="2"/>
      <c r="J2021" s="2"/>
      <c r="K2021" s="3"/>
      <c r="L2021" s="3"/>
      <c r="M2021" s="3"/>
      <c r="N2021" s="3"/>
      <c r="O2021" s="3"/>
      <c r="P2021" s="59"/>
      <c r="Q2021" s="3"/>
      <c r="R2021" s="3"/>
      <c r="S2021" s="3"/>
      <c r="T2021" s="3"/>
      <c r="U2021" s="3"/>
      <c r="V2021" s="12"/>
      <c r="W2021" s="3"/>
      <c r="X2021" s="3"/>
      <c r="Y2021" s="3"/>
      <c r="Z2021" s="53"/>
      <c r="AA2021" s="3"/>
      <c r="AB2021" s="59"/>
      <c r="AC2021" s="3"/>
      <c r="AD2021" s="53"/>
      <c r="AE2021" s="59"/>
    </row>
    <row r="2022" spans="1:31" customFormat="1" ht="15" x14ac:dyDescent="0.35">
      <c r="A2022" s="50"/>
      <c r="B2022" s="63"/>
      <c r="C2022" s="39"/>
      <c r="D2022" s="6"/>
      <c r="E2022" s="153"/>
      <c r="F2022" s="10"/>
      <c r="G2022" s="53"/>
      <c r="H2022" s="3"/>
      <c r="I2022" s="3"/>
      <c r="J2022" s="3"/>
      <c r="K2022" s="3"/>
      <c r="L2022" s="3"/>
      <c r="M2022" s="3"/>
      <c r="N2022" s="3"/>
      <c r="O2022" s="3"/>
      <c r="P2022" s="59"/>
      <c r="Q2022" s="3"/>
      <c r="R2022" s="3"/>
      <c r="S2022" s="3"/>
      <c r="T2022" s="3"/>
      <c r="U2022" s="3"/>
      <c r="V2022" s="3"/>
      <c r="W2022" s="3"/>
      <c r="X2022" s="3"/>
      <c r="Y2022" s="3"/>
      <c r="Z2022" s="53"/>
      <c r="AA2022" s="3"/>
      <c r="AB2022" s="59"/>
      <c r="AC2022" s="3"/>
      <c r="AD2022" s="53"/>
      <c r="AE2022" s="59"/>
    </row>
    <row r="2023" spans="1:31" customFormat="1" ht="15" x14ac:dyDescent="0.35">
      <c r="A2023" s="50"/>
      <c r="B2023" s="63"/>
      <c r="C2023" s="39"/>
      <c r="D2023" s="6"/>
      <c r="E2023" s="153"/>
      <c r="F2023" s="10"/>
      <c r="G2023" s="54"/>
      <c r="H2023" s="3"/>
      <c r="I2023" s="2"/>
      <c r="J2023" s="2"/>
      <c r="K2023" s="3"/>
      <c r="L2023" s="3"/>
      <c r="M2023" s="3"/>
      <c r="N2023" s="3"/>
      <c r="O2023" s="3"/>
      <c r="P2023" s="59"/>
      <c r="Q2023" s="3"/>
      <c r="R2023" s="3"/>
      <c r="S2023" s="3"/>
      <c r="T2023" s="3"/>
      <c r="U2023" s="3"/>
      <c r="V2023" s="3"/>
      <c r="W2023" s="3"/>
      <c r="X2023" s="3"/>
      <c r="Y2023" s="3"/>
      <c r="Z2023" s="53"/>
      <c r="AA2023" s="3"/>
      <c r="AB2023" s="59"/>
      <c r="AC2023" s="3"/>
      <c r="AD2023" s="53"/>
      <c r="AE2023" s="59"/>
    </row>
    <row r="2024" spans="1:31" customFormat="1" ht="15" x14ac:dyDescent="0.35">
      <c r="A2024" s="19"/>
      <c r="B2024" s="49"/>
      <c r="C2024" s="39"/>
      <c r="D2024" s="1"/>
      <c r="E2024" s="153"/>
      <c r="F2024" s="10"/>
      <c r="G2024" s="20"/>
      <c r="H2024" s="21"/>
      <c r="I2024" s="21"/>
      <c r="J2024" s="21"/>
      <c r="K2024" s="21"/>
      <c r="L2024" s="21"/>
      <c r="M2024" s="21"/>
      <c r="N2024" s="22"/>
      <c r="O2024" s="21"/>
      <c r="P2024" s="24"/>
      <c r="Q2024" s="21"/>
      <c r="R2024" s="21"/>
      <c r="S2024" s="21"/>
      <c r="T2024" s="21"/>
      <c r="U2024" s="21"/>
      <c r="V2024" s="22"/>
      <c r="W2024" s="21"/>
      <c r="X2024" s="22"/>
      <c r="Y2024" s="21"/>
      <c r="Z2024" s="20"/>
      <c r="AA2024" s="21"/>
      <c r="AB2024" s="25"/>
      <c r="AC2024" s="26"/>
      <c r="AD2024" s="27"/>
      <c r="AE2024" s="28"/>
    </row>
    <row r="2025" spans="1:31" customFormat="1" ht="15" x14ac:dyDescent="0.35">
      <c r="A2025" s="50"/>
      <c r="B2025" s="63"/>
      <c r="C2025" s="39"/>
      <c r="D2025" s="6"/>
      <c r="E2025" s="153"/>
      <c r="F2025" s="10"/>
      <c r="G2025" s="53"/>
      <c r="H2025" s="3"/>
      <c r="I2025" s="3"/>
      <c r="J2025" s="3"/>
      <c r="K2025" s="3"/>
      <c r="L2025" s="3"/>
      <c r="M2025" s="3"/>
      <c r="N2025" s="3"/>
      <c r="O2025" s="3"/>
      <c r="P2025" s="59"/>
      <c r="Q2025" s="3"/>
      <c r="R2025" s="3"/>
      <c r="S2025" s="3"/>
      <c r="T2025" s="3"/>
      <c r="U2025" s="3"/>
      <c r="V2025" s="3"/>
      <c r="W2025" s="3"/>
      <c r="X2025" s="3"/>
      <c r="Y2025" s="3"/>
      <c r="Z2025" s="53"/>
      <c r="AA2025" s="3"/>
      <c r="AB2025" s="59"/>
      <c r="AC2025" s="3"/>
      <c r="AD2025" s="53"/>
      <c r="AE2025" s="59"/>
    </row>
    <row r="2026" spans="1:31" customFormat="1" ht="15" x14ac:dyDescent="0.35">
      <c r="A2026" s="19"/>
      <c r="B2026" s="49"/>
      <c r="C2026" s="14"/>
      <c r="D2026" s="1"/>
      <c r="E2026" s="153"/>
      <c r="F2026" s="10"/>
      <c r="G2026" s="20"/>
      <c r="H2026" s="21"/>
      <c r="I2026" s="21"/>
      <c r="J2026" s="21"/>
      <c r="K2026" s="21"/>
      <c r="L2026" s="21"/>
      <c r="M2026" s="21"/>
      <c r="N2026" s="22"/>
      <c r="O2026" s="21"/>
      <c r="P2026" s="24"/>
      <c r="Q2026" s="21"/>
      <c r="R2026" s="21"/>
      <c r="S2026" s="21"/>
      <c r="T2026" s="21"/>
      <c r="U2026" s="21"/>
      <c r="V2026" s="22"/>
      <c r="W2026" s="21"/>
      <c r="X2026" s="22"/>
      <c r="Y2026" s="21"/>
      <c r="Z2026" s="20"/>
      <c r="AA2026" s="21"/>
      <c r="AB2026" s="25"/>
      <c r="AC2026" s="26"/>
      <c r="AD2026" s="27"/>
      <c r="AE2026" s="28"/>
    </row>
    <row r="2027" spans="1:31" customFormat="1" ht="15" x14ac:dyDescent="0.35">
      <c r="A2027" s="50"/>
      <c r="B2027" s="63"/>
      <c r="C2027" s="39"/>
      <c r="D2027" s="6"/>
      <c r="E2027" s="153"/>
      <c r="F2027" s="10"/>
      <c r="G2027" s="53"/>
      <c r="H2027" s="3"/>
      <c r="I2027" s="3"/>
      <c r="J2027" s="3"/>
      <c r="K2027" s="3"/>
      <c r="L2027" s="3"/>
      <c r="M2027" s="3"/>
      <c r="N2027" s="3"/>
      <c r="O2027" s="3"/>
      <c r="P2027" s="59"/>
      <c r="Q2027" s="21"/>
      <c r="R2027" s="21"/>
      <c r="S2027" s="3"/>
      <c r="T2027" s="3"/>
      <c r="U2027" s="3"/>
      <c r="V2027" s="3"/>
      <c r="W2027" s="3"/>
      <c r="X2027" s="3"/>
      <c r="Y2027" s="3"/>
      <c r="Z2027" s="53"/>
      <c r="AA2027" s="3"/>
      <c r="AB2027" s="59"/>
      <c r="AC2027" s="3"/>
      <c r="AD2027" s="53"/>
      <c r="AE2027" s="59"/>
    </row>
    <row r="2028" spans="1:31" customFormat="1" ht="15" x14ac:dyDescent="0.35">
      <c r="A2028" s="50"/>
      <c r="B2028" s="63"/>
      <c r="C2028" s="39"/>
      <c r="D2028" s="6"/>
      <c r="E2028" s="153"/>
      <c r="F2028" s="10"/>
      <c r="G2028" s="53"/>
      <c r="H2028" s="3"/>
      <c r="I2028" s="3"/>
      <c r="J2028" s="3"/>
      <c r="K2028" s="3"/>
      <c r="L2028" s="3"/>
      <c r="M2028" s="3"/>
      <c r="N2028" s="3"/>
      <c r="O2028" s="3"/>
      <c r="P2028" s="59"/>
      <c r="Q2028" s="21"/>
      <c r="R2028" s="21"/>
      <c r="S2028" s="3"/>
      <c r="T2028" s="3"/>
      <c r="U2028" s="3"/>
      <c r="V2028" s="3"/>
      <c r="W2028" s="3"/>
      <c r="X2028" s="3"/>
      <c r="Y2028" s="3"/>
      <c r="Z2028" s="53"/>
      <c r="AA2028" s="3"/>
      <c r="AB2028" s="59"/>
      <c r="AC2028" s="3"/>
      <c r="AD2028" s="53"/>
      <c r="AE2028" s="59"/>
    </row>
    <row r="2029" spans="1:31" customFormat="1" ht="15" x14ac:dyDescent="0.35">
      <c r="A2029" s="19"/>
      <c r="B2029" s="49"/>
      <c r="C2029" s="14"/>
      <c r="D2029" s="6"/>
      <c r="E2029" s="153"/>
      <c r="F2029" s="10"/>
      <c r="G2029" s="20"/>
      <c r="H2029" s="21"/>
      <c r="I2029" s="21"/>
      <c r="J2029" s="21"/>
      <c r="K2029" s="21"/>
      <c r="L2029" s="21"/>
      <c r="M2029" s="21"/>
      <c r="N2029" s="22"/>
      <c r="O2029" s="21"/>
      <c r="P2029" s="24"/>
      <c r="Q2029" s="21"/>
      <c r="R2029" s="21"/>
      <c r="S2029" s="21"/>
      <c r="T2029" s="21"/>
      <c r="U2029" s="21"/>
      <c r="V2029" s="22"/>
      <c r="W2029" s="21"/>
      <c r="X2029" s="22"/>
      <c r="Y2029" s="21"/>
      <c r="Z2029" s="20"/>
      <c r="AA2029" s="21"/>
      <c r="AB2029" s="25"/>
      <c r="AC2029" s="26"/>
      <c r="AD2029" s="27"/>
      <c r="AE2029" s="28"/>
    </row>
    <row r="2030" spans="1:31" customFormat="1" ht="15" x14ac:dyDescent="0.35">
      <c r="A2030" s="50"/>
      <c r="B2030" s="63"/>
      <c r="C2030" s="39"/>
      <c r="D2030" s="6"/>
      <c r="E2030" s="153"/>
      <c r="F2030" s="10"/>
      <c r="G2030" s="53"/>
      <c r="H2030" s="3"/>
      <c r="I2030" s="3"/>
      <c r="J2030" s="3"/>
      <c r="K2030" s="3"/>
      <c r="L2030" s="3"/>
      <c r="M2030" s="3"/>
      <c r="N2030" s="3"/>
      <c r="O2030" s="3"/>
      <c r="P2030" s="59"/>
      <c r="Q2030" s="21"/>
      <c r="R2030" s="21"/>
      <c r="S2030" s="3"/>
      <c r="T2030" s="3"/>
      <c r="U2030" s="3"/>
      <c r="V2030" s="3"/>
      <c r="W2030" s="3"/>
      <c r="X2030" s="3"/>
      <c r="Y2030" s="3"/>
      <c r="Z2030" s="53"/>
      <c r="AA2030" s="3"/>
      <c r="AB2030" s="59"/>
      <c r="AC2030" s="3"/>
      <c r="AD2030" s="53"/>
      <c r="AE2030" s="59"/>
    </row>
    <row r="2031" spans="1:31" customFormat="1" ht="15" x14ac:dyDescent="0.35">
      <c r="A2031" s="19"/>
      <c r="B2031" s="49"/>
      <c r="C2031" s="14"/>
      <c r="D2031" s="1"/>
      <c r="E2031" s="153"/>
      <c r="F2031" s="10"/>
      <c r="G2031" s="20"/>
      <c r="H2031" s="21"/>
      <c r="I2031" s="21"/>
      <c r="J2031" s="21"/>
      <c r="K2031" s="21"/>
      <c r="L2031" s="21"/>
      <c r="M2031" s="21"/>
      <c r="N2031" s="22"/>
      <c r="O2031" s="21"/>
      <c r="P2031" s="24"/>
      <c r="Q2031" s="21"/>
      <c r="R2031" s="21"/>
      <c r="S2031" s="21"/>
      <c r="T2031" s="21"/>
      <c r="U2031" s="21"/>
      <c r="V2031" s="22"/>
      <c r="W2031" s="21"/>
      <c r="X2031" s="22"/>
      <c r="Y2031" s="21"/>
      <c r="Z2031" s="20"/>
      <c r="AA2031" s="21"/>
      <c r="AB2031" s="25"/>
      <c r="AC2031" s="26"/>
      <c r="AD2031" s="27"/>
      <c r="AE2031" s="28"/>
    </row>
    <row r="2032" spans="1:31" customFormat="1" ht="15" x14ac:dyDescent="0.35">
      <c r="A2032" s="50"/>
      <c r="B2032" s="63"/>
      <c r="C2032" s="39"/>
      <c r="D2032" s="6"/>
      <c r="E2032" s="153"/>
      <c r="F2032" s="10"/>
      <c r="G2032" s="53"/>
      <c r="H2032" s="3"/>
      <c r="I2032" s="3"/>
      <c r="J2032" s="3"/>
      <c r="K2032" s="3"/>
      <c r="L2032" s="3"/>
      <c r="M2032" s="3"/>
      <c r="N2032" s="3"/>
      <c r="O2032" s="3"/>
      <c r="P2032" s="59"/>
      <c r="Q2032" s="3"/>
      <c r="R2032" s="3"/>
      <c r="S2032" s="3"/>
      <c r="T2032" s="3"/>
      <c r="U2032" s="3"/>
      <c r="V2032" s="3"/>
      <c r="W2032" s="3"/>
      <c r="X2032" s="3"/>
      <c r="Y2032" s="3"/>
      <c r="Z2032" s="53"/>
      <c r="AA2032" s="3"/>
      <c r="AB2032" s="59"/>
      <c r="AC2032" s="3"/>
      <c r="AD2032" s="53"/>
      <c r="AE2032" s="59"/>
    </row>
    <row r="2033" spans="1:31" customFormat="1" ht="15" x14ac:dyDescent="0.35">
      <c r="A2033" s="50"/>
      <c r="B2033" s="63"/>
      <c r="C2033" s="39"/>
      <c r="D2033" s="6"/>
      <c r="E2033" s="153"/>
      <c r="F2033" s="10"/>
      <c r="G2033" s="53"/>
      <c r="H2033" s="3"/>
      <c r="I2033" s="3"/>
      <c r="J2033" s="3"/>
      <c r="K2033" s="3"/>
      <c r="L2033" s="3"/>
      <c r="M2033" s="3"/>
      <c r="N2033" s="3"/>
      <c r="O2033" s="3"/>
      <c r="P2033" s="59"/>
      <c r="Q2033" s="21"/>
      <c r="R2033" s="21"/>
      <c r="S2033" s="3"/>
      <c r="T2033" s="3"/>
      <c r="U2033" s="3"/>
      <c r="V2033" s="3"/>
      <c r="W2033" s="3"/>
      <c r="X2033" s="3"/>
      <c r="Y2033" s="3"/>
      <c r="Z2033" s="53"/>
      <c r="AA2033" s="3"/>
      <c r="AB2033" s="59"/>
      <c r="AC2033" s="3"/>
      <c r="AD2033" s="53"/>
      <c r="AE2033" s="59"/>
    </row>
    <row r="2034" spans="1:31" customFormat="1" ht="15" x14ac:dyDescent="0.35">
      <c r="A2034" s="50"/>
      <c r="B2034" s="63"/>
      <c r="C2034" s="39"/>
      <c r="D2034" s="6"/>
      <c r="E2034" s="153"/>
      <c r="F2034" s="10"/>
      <c r="G2034" s="53"/>
      <c r="H2034" s="3"/>
      <c r="I2034" s="3"/>
      <c r="J2034" s="3"/>
      <c r="K2034" s="3"/>
      <c r="L2034" s="3"/>
      <c r="M2034" s="3"/>
      <c r="N2034" s="3"/>
      <c r="O2034" s="3"/>
      <c r="P2034" s="59"/>
      <c r="Q2034" s="21"/>
      <c r="R2034" s="21"/>
      <c r="S2034" s="3"/>
      <c r="T2034" s="3"/>
      <c r="U2034" s="3"/>
      <c r="V2034" s="3"/>
      <c r="W2034" s="3"/>
      <c r="X2034" s="3"/>
      <c r="Y2034" s="3"/>
      <c r="Z2034" s="53"/>
      <c r="AA2034" s="3"/>
      <c r="AB2034" s="59"/>
      <c r="AC2034" s="3"/>
      <c r="AD2034" s="53"/>
      <c r="AE2034" s="59"/>
    </row>
    <row r="2035" spans="1:31" customFormat="1" ht="15" x14ac:dyDescent="0.35">
      <c r="A2035" s="19"/>
      <c r="B2035" s="49"/>
      <c r="C2035" s="14"/>
      <c r="D2035" s="1"/>
      <c r="E2035" s="153"/>
      <c r="F2035" s="10"/>
      <c r="G2035" s="20"/>
      <c r="H2035" s="21"/>
      <c r="I2035" s="21"/>
      <c r="J2035" s="21"/>
      <c r="K2035" s="21"/>
      <c r="L2035" s="21"/>
      <c r="M2035" s="21"/>
      <c r="N2035" s="22"/>
      <c r="O2035" s="21"/>
      <c r="P2035" s="24"/>
      <c r="Q2035" s="21"/>
      <c r="R2035" s="21"/>
      <c r="S2035" s="21"/>
      <c r="T2035" s="21"/>
      <c r="U2035" s="21"/>
      <c r="V2035" s="22"/>
      <c r="W2035" s="21"/>
      <c r="X2035" s="22"/>
      <c r="Y2035" s="21"/>
      <c r="Z2035" s="20"/>
      <c r="AA2035" s="21"/>
      <c r="AB2035" s="25"/>
      <c r="AC2035" s="26"/>
      <c r="AD2035" s="27"/>
      <c r="AE2035" s="28"/>
    </row>
    <row r="2036" spans="1:31" customFormat="1" ht="15" x14ac:dyDescent="0.35">
      <c r="A2036" s="50"/>
      <c r="B2036" s="63"/>
      <c r="C2036" s="39"/>
      <c r="D2036" s="6"/>
      <c r="E2036" s="153"/>
      <c r="F2036" s="10"/>
      <c r="G2036" s="53"/>
      <c r="H2036" s="3"/>
      <c r="I2036" s="3"/>
      <c r="J2036" s="3"/>
      <c r="K2036" s="3"/>
      <c r="L2036" s="3"/>
      <c r="M2036" s="3"/>
      <c r="N2036" s="3"/>
      <c r="O2036" s="3"/>
      <c r="P2036" s="59"/>
      <c r="Q2036" s="21"/>
      <c r="R2036" s="21"/>
      <c r="S2036" s="3"/>
      <c r="T2036" s="3"/>
      <c r="U2036" s="3"/>
      <c r="V2036" s="3"/>
      <c r="W2036" s="3"/>
      <c r="X2036" s="3"/>
      <c r="Y2036" s="3"/>
      <c r="Z2036" s="53"/>
      <c r="AA2036" s="3"/>
      <c r="AB2036" s="59"/>
      <c r="AC2036" s="3"/>
      <c r="AD2036" s="53"/>
      <c r="AE2036" s="65"/>
    </row>
    <row r="2037" spans="1:31" customFormat="1" ht="15" x14ac:dyDescent="0.35">
      <c r="A2037" s="50"/>
      <c r="B2037" s="63"/>
      <c r="C2037" s="39"/>
      <c r="D2037" s="6"/>
      <c r="E2037" s="153"/>
      <c r="F2037" s="10"/>
      <c r="G2037" s="54"/>
      <c r="H2037" s="3"/>
      <c r="I2037" s="2"/>
      <c r="J2037" s="2"/>
      <c r="K2037" s="3"/>
      <c r="L2037" s="3"/>
      <c r="M2037" s="3"/>
      <c r="N2037" s="3"/>
      <c r="O2037" s="3"/>
      <c r="P2037" s="59"/>
      <c r="Q2037" s="3"/>
      <c r="R2037" s="3"/>
      <c r="S2037" s="3"/>
      <c r="T2037" s="3"/>
      <c r="U2037" s="3"/>
      <c r="V2037" s="3"/>
      <c r="W2037" s="3"/>
      <c r="X2037" s="3"/>
      <c r="Y2037" s="3"/>
      <c r="Z2037" s="53"/>
      <c r="AA2037" s="3"/>
      <c r="AB2037" s="59"/>
      <c r="AC2037" s="3"/>
      <c r="AD2037" s="53"/>
      <c r="AE2037" s="59"/>
    </row>
    <row r="2038" spans="1:31" customFormat="1" ht="15" x14ac:dyDescent="0.35">
      <c r="A2038" s="50"/>
      <c r="B2038" s="63"/>
      <c r="C2038" s="39"/>
      <c r="D2038" s="6"/>
      <c r="E2038" s="153"/>
      <c r="F2038" s="10"/>
      <c r="G2038" s="54"/>
      <c r="H2038" s="3"/>
      <c r="I2038" s="2"/>
      <c r="J2038" s="2"/>
      <c r="K2038" s="3"/>
      <c r="L2038" s="3"/>
      <c r="M2038" s="3"/>
      <c r="N2038" s="3"/>
      <c r="O2038" s="3"/>
      <c r="P2038" s="59"/>
      <c r="Q2038" s="21"/>
      <c r="R2038" s="21"/>
      <c r="S2038" s="3"/>
      <c r="T2038" s="3"/>
      <c r="U2038" s="3"/>
      <c r="V2038" s="3"/>
      <c r="W2038" s="3"/>
      <c r="X2038" s="3"/>
      <c r="Y2038" s="3"/>
      <c r="Z2038" s="53"/>
      <c r="AA2038" s="3"/>
      <c r="AB2038" s="59"/>
      <c r="AC2038" s="3"/>
      <c r="AD2038" s="53"/>
      <c r="AE2038" s="59"/>
    </row>
    <row r="2039" spans="1:31" customFormat="1" ht="15" x14ac:dyDescent="0.35">
      <c r="A2039" s="50"/>
      <c r="B2039" s="63"/>
      <c r="C2039" s="39"/>
      <c r="D2039" s="6"/>
      <c r="E2039" s="153"/>
      <c r="F2039" s="10"/>
      <c r="G2039" s="53"/>
      <c r="H2039" s="3"/>
      <c r="I2039" s="3"/>
      <c r="J2039" s="3"/>
      <c r="K2039" s="3"/>
      <c r="L2039" s="3"/>
      <c r="M2039" s="3"/>
      <c r="N2039" s="3"/>
      <c r="O2039" s="3"/>
      <c r="P2039" s="59"/>
      <c r="Q2039" s="21"/>
      <c r="R2039" s="21"/>
      <c r="S2039" s="3"/>
      <c r="T2039" s="3"/>
      <c r="U2039" s="3"/>
      <c r="V2039" s="3"/>
      <c r="W2039" s="3"/>
      <c r="X2039" s="3"/>
      <c r="Y2039" s="3"/>
      <c r="Z2039" s="53"/>
      <c r="AA2039" s="3"/>
      <c r="AB2039" s="59"/>
      <c r="AC2039" s="3"/>
      <c r="AD2039" s="53"/>
      <c r="AE2039" s="59"/>
    </row>
    <row r="2040" spans="1:31" customFormat="1" ht="15" x14ac:dyDescent="0.35">
      <c r="A2040" s="50"/>
      <c r="B2040" s="63"/>
      <c r="C2040" s="39"/>
      <c r="D2040" s="6"/>
      <c r="E2040" s="153"/>
      <c r="F2040" s="10"/>
      <c r="G2040" s="54"/>
      <c r="H2040" s="3"/>
      <c r="I2040" s="2"/>
      <c r="J2040" s="2"/>
      <c r="K2040" s="3"/>
      <c r="L2040" s="3"/>
      <c r="M2040" s="3"/>
      <c r="N2040" s="3"/>
      <c r="O2040" s="3"/>
      <c r="P2040" s="59"/>
      <c r="Q2040" s="3"/>
      <c r="R2040" s="3"/>
      <c r="S2040" s="3"/>
      <c r="T2040" s="3"/>
      <c r="U2040" s="3"/>
      <c r="V2040" s="3"/>
      <c r="W2040" s="3"/>
      <c r="X2040" s="3"/>
      <c r="Y2040" s="3"/>
      <c r="Z2040" s="53"/>
      <c r="AA2040" s="3"/>
      <c r="AB2040" s="59"/>
      <c r="AC2040" s="3"/>
      <c r="AD2040" s="53"/>
      <c r="AE2040" s="59"/>
    </row>
    <row r="2041" spans="1:31" customFormat="1" ht="15" x14ac:dyDescent="0.35">
      <c r="A2041" s="19"/>
      <c r="B2041" s="49"/>
      <c r="C2041" s="39"/>
      <c r="D2041" s="1"/>
      <c r="E2041" s="153"/>
      <c r="F2041" s="10"/>
      <c r="G2041" s="20"/>
      <c r="H2041" s="21"/>
      <c r="I2041" s="21"/>
      <c r="J2041" s="21"/>
      <c r="K2041" s="21"/>
      <c r="L2041" s="21"/>
      <c r="M2041" s="21"/>
      <c r="N2041" s="22"/>
      <c r="O2041" s="21"/>
      <c r="P2041" s="24"/>
      <c r="Q2041" s="21"/>
      <c r="R2041" s="21"/>
      <c r="S2041" s="21"/>
      <c r="T2041" s="21"/>
      <c r="U2041" s="21"/>
      <c r="V2041" s="22"/>
      <c r="W2041" s="21"/>
      <c r="X2041" s="22"/>
      <c r="Y2041" s="21"/>
      <c r="Z2041" s="20"/>
      <c r="AA2041" s="21"/>
      <c r="AB2041" s="25"/>
      <c r="AC2041" s="26"/>
      <c r="AD2041" s="27"/>
      <c r="AE2041" s="28"/>
    </row>
    <row r="2042" spans="1:31" customFormat="1" ht="15" x14ac:dyDescent="0.35">
      <c r="A2042" s="50"/>
      <c r="B2042" s="63"/>
      <c r="C2042" s="39"/>
      <c r="D2042" s="6"/>
      <c r="E2042" s="153"/>
      <c r="F2042" s="10"/>
      <c r="G2042" s="54"/>
      <c r="H2042" s="3"/>
      <c r="I2042" s="2"/>
      <c r="J2042" s="2"/>
      <c r="K2042" s="3"/>
      <c r="L2042" s="3"/>
      <c r="M2042" s="3"/>
      <c r="N2042" s="3"/>
      <c r="O2042" s="3"/>
      <c r="P2042" s="59"/>
      <c r="Q2042" s="3"/>
      <c r="R2042" s="3"/>
      <c r="S2042" s="3"/>
      <c r="T2042" s="3"/>
      <c r="U2042" s="3"/>
      <c r="V2042" s="3"/>
      <c r="W2042" s="3"/>
      <c r="X2042" s="3"/>
      <c r="Y2042" s="3"/>
      <c r="Z2042" s="53"/>
      <c r="AA2042" s="3"/>
      <c r="AB2042" s="59"/>
      <c r="AC2042" s="3"/>
      <c r="AD2042" s="53"/>
      <c r="AE2042" s="59"/>
    </row>
    <row r="2043" spans="1:31" customFormat="1" ht="15" x14ac:dyDescent="0.35">
      <c r="A2043" s="50"/>
      <c r="B2043" s="63"/>
      <c r="C2043" s="39"/>
      <c r="D2043" s="6"/>
      <c r="E2043" s="153"/>
      <c r="F2043" s="10"/>
      <c r="G2043" s="54"/>
      <c r="H2043" s="3"/>
      <c r="I2043" s="2"/>
      <c r="J2043" s="2"/>
      <c r="K2043" s="3"/>
      <c r="L2043" s="3"/>
      <c r="M2043" s="3"/>
      <c r="N2043" s="3"/>
      <c r="O2043" s="3"/>
      <c r="P2043" s="59"/>
      <c r="Q2043" s="3"/>
      <c r="R2043" s="3"/>
      <c r="S2043" s="3"/>
      <c r="T2043" s="3"/>
      <c r="U2043" s="3"/>
      <c r="V2043" s="3"/>
      <c r="W2043" s="3"/>
      <c r="X2043" s="3"/>
      <c r="Y2043" s="3"/>
      <c r="Z2043" s="53"/>
      <c r="AA2043" s="3"/>
      <c r="AB2043" s="59"/>
      <c r="AC2043" s="3"/>
      <c r="AD2043" s="53"/>
      <c r="AE2043" s="59"/>
    </row>
    <row r="2044" spans="1:31" customFormat="1" ht="15" x14ac:dyDescent="0.35">
      <c r="A2044" s="50"/>
      <c r="B2044" s="63"/>
      <c r="C2044" s="39"/>
      <c r="D2044" s="6"/>
      <c r="E2044" s="153"/>
      <c r="F2044" s="10"/>
      <c r="G2044" s="53"/>
      <c r="H2044" s="3"/>
      <c r="I2044" s="3"/>
      <c r="J2044" s="3"/>
      <c r="K2044" s="3"/>
      <c r="L2044" s="3"/>
      <c r="M2044" s="3"/>
      <c r="N2044" s="3"/>
      <c r="O2044" s="3"/>
      <c r="P2044" s="59"/>
      <c r="Q2044" s="21"/>
      <c r="R2044" s="21"/>
      <c r="S2044" s="3"/>
      <c r="T2044" s="3"/>
      <c r="U2044" s="3"/>
      <c r="V2044" s="3"/>
      <c r="W2044" s="3"/>
      <c r="X2044" s="3"/>
      <c r="Y2044" s="3"/>
      <c r="Z2044" s="53"/>
      <c r="AA2044" s="3"/>
      <c r="AB2044" s="59"/>
      <c r="AC2044" s="3"/>
      <c r="AD2044" s="53"/>
      <c r="AE2044" s="59"/>
    </row>
    <row r="2045" spans="1:31" customFormat="1" ht="15" x14ac:dyDescent="0.35">
      <c r="A2045" s="50"/>
      <c r="B2045" s="63"/>
      <c r="C2045" s="39"/>
      <c r="D2045" s="6"/>
      <c r="E2045" s="153"/>
      <c r="F2045" s="10"/>
      <c r="G2045" s="54"/>
      <c r="H2045" s="3"/>
      <c r="I2045" s="2"/>
      <c r="J2045" s="2"/>
      <c r="K2045" s="3"/>
      <c r="L2045" s="3"/>
      <c r="M2045" s="3"/>
      <c r="N2045" s="3"/>
      <c r="O2045" s="3"/>
      <c r="P2045" s="59"/>
      <c r="Q2045" s="3"/>
      <c r="R2045" s="3"/>
      <c r="S2045" s="3"/>
      <c r="T2045" s="3"/>
      <c r="U2045" s="3"/>
      <c r="V2045" s="3"/>
      <c r="W2045" s="3"/>
      <c r="X2045" s="3"/>
      <c r="Y2045" s="3"/>
      <c r="Z2045" s="53"/>
      <c r="AA2045" s="3"/>
      <c r="AB2045" s="59"/>
      <c r="AC2045" s="3"/>
      <c r="AD2045" s="53"/>
      <c r="AE2045" s="59"/>
    </row>
    <row r="2046" spans="1:31" customFormat="1" ht="15" x14ac:dyDescent="0.35">
      <c r="A2046" s="50"/>
      <c r="B2046" s="63"/>
      <c r="C2046" s="39"/>
      <c r="D2046" s="6"/>
      <c r="E2046" s="153"/>
      <c r="F2046" s="10"/>
      <c r="G2046" s="53"/>
      <c r="H2046" s="3"/>
      <c r="I2046" s="3"/>
      <c r="J2046" s="3"/>
      <c r="K2046" s="3"/>
      <c r="L2046" s="3"/>
      <c r="M2046" s="3"/>
      <c r="N2046" s="3"/>
      <c r="O2046" s="3"/>
      <c r="P2046" s="59"/>
      <c r="Q2046" s="21"/>
      <c r="R2046" s="21"/>
      <c r="S2046" s="3"/>
      <c r="T2046" s="3"/>
      <c r="U2046" s="3"/>
      <c r="V2046" s="3"/>
      <c r="W2046" s="3"/>
      <c r="X2046" s="3"/>
      <c r="Y2046" s="3"/>
      <c r="Z2046" s="53"/>
      <c r="AA2046" s="3"/>
      <c r="AB2046" s="59"/>
      <c r="AC2046" s="3"/>
      <c r="AD2046" s="53"/>
      <c r="AE2046" s="59"/>
    </row>
    <row r="2047" spans="1:31" customFormat="1" ht="15" x14ac:dyDescent="0.35">
      <c r="A2047" s="50"/>
      <c r="B2047" s="63"/>
      <c r="C2047" s="39"/>
      <c r="D2047" s="6"/>
      <c r="E2047" s="153"/>
      <c r="F2047" s="10"/>
      <c r="G2047" s="53"/>
      <c r="H2047" s="3"/>
      <c r="I2047" s="3"/>
      <c r="J2047" s="3"/>
      <c r="K2047" s="3"/>
      <c r="L2047" s="3"/>
      <c r="M2047" s="3"/>
      <c r="N2047" s="3"/>
      <c r="O2047" s="3"/>
      <c r="P2047" s="59"/>
      <c r="Q2047" s="21"/>
      <c r="R2047" s="21"/>
      <c r="S2047" s="3"/>
      <c r="T2047" s="3"/>
      <c r="U2047" s="3"/>
      <c r="V2047" s="3"/>
      <c r="W2047" s="3"/>
      <c r="X2047" s="3"/>
      <c r="Y2047" s="3"/>
      <c r="Z2047" s="53"/>
      <c r="AA2047" s="3"/>
      <c r="AB2047" s="59"/>
      <c r="AC2047" s="3"/>
      <c r="AD2047" s="53"/>
      <c r="AE2047" s="59"/>
    </row>
    <row r="2048" spans="1:31" customFormat="1" ht="15" x14ac:dyDescent="0.35">
      <c r="A2048" s="19"/>
      <c r="B2048" s="49"/>
      <c r="C2048" s="14"/>
      <c r="D2048" s="1"/>
      <c r="E2048" s="153"/>
      <c r="F2048" s="10"/>
      <c r="G2048" s="20"/>
      <c r="H2048" s="21"/>
      <c r="I2048" s="21"/>
      <c r="J2048" s="21"/>
      <c r="K2048" s="21"/>
      <c r="L2048" s="21"/>
      <c r="M2048" s="21"/>
      <c r="N2048" s="22"/>
      <c r="O2048" s="21"/>
      <c r="P2048" s="24"/>
      <c r="Q2048" s="21"/>
      <c r="R2048" s="21"/>
      <c r="S2048" s="21"/>
      <c r="T2048" s="21"/>
      <c r="U2048" s="21"/>
      <c r="V2048" s="22"/>
      <c r="W2048" s="21"/>
      <c r="X2048" s="22"/>
      <c r="Y2048" s="21"/>
      <c r="Z2048" s="20"/>
      <c r="AA2048" s="21"/>
      <c r="AB2048" s="25"/>
      <c r="AC2048" s="26"/>
      <c r="AD2048" s="27"/>
      <c r="AE2048" s="28"/>
    </row>
    <row r="2049" spans="1:31" customFormat="1" ht="15" x14ac:dyDescent="0.35">
      <c r="A2049" s="19"/>
      <c r="B2049" s="49"/>
      <c r="C2049" s="14"/>
      <c r="D2049" s="1"/>
      <c r="E2049" s="153"/>
      <c r="F2049" s="10"/>
      <c r="G2049" s="20"/>
      <c r="H2049" s="21"/>
      <c r="I2049" s="21"/>
      <c r="J2049" s="21"/>
      <c r="K2049" s="21"/>
      <c r="L2049" s="21"/>
      <c r="M2049" s="21"/>
      <c r="N2049" s="22"/>
      <c r="O2049" s="21"/>
      <c r="P2049" s="24"/>
      <c r="Q2049" s="21"/>
      <c r="R2049" s="21"/>
      <c r="S2049" s="21"/>
      <c r="T2049" s="21"/>
      <c r="U2049" s="21"/>
      <c r="V2049" s="22"/>
      <c r="W2049" s="21"/>
      <c r="X2049" s="22"/>
      <c r="Y2049" s="21"/>
      <c r="Z2049" s="20"/>
      <c r="AA2049" s="21"/>
      <c r="AB2049" s="25"/>
      <c r="AC2049" s="26"/>
      <c r="AD2049" s="27"/>
      <c r="AE2049" s="28"/>
    </row>
    <row r="2050" spans="1:31" customFormat="1" ht="15" x14ac:dyDescent="0.35">
      <c r="A2050" s="50"/>
      <c r="B2050" s="63"/>
      <c r="C2050" s="39"/>
      <c r="D2050" s="6"/>
      <c r="E2050" s="153"/>
      <c r="F2050" s="10"/>
      <c r="G2050" s="53"/>
      <c r="H2050" s="3"/>
      <c r="I2050" s="3"/>
      <c r="J2050" s="3"/>
      <c r="K2050" s="3"/>
      <c r="L2050" s="3"/>
      <c r="M2050" s="3"/>
      <c r="N2050" s="3"/>
      <c r="O2050" s="3"/>
      <c r="P2050" s="59"/>
      <c r="Q2050" s="21"/>
      <c r="R2050" s="21"/>
      <c r="S2050" s="3"/>
      <c r="T2050" s="3"/>
      <c r="U2050" s="3"/>
      <c r="V2050" s="3"/>
      <c r="W2050" s="3"/>
      <c r="X2050" s="3"/>
      <c r="Y2050" s="3"/>
      <c r="Z2050" s="53"/>
      <c r="AA2050" s="3"/>
      <c r="AB2050" s="59"/>
      <c r="AC2050" s="3"/>
      <c r="AD2050" s="53"/>
      <c r="AE2050" s="59"/>
    </row>
    <row r="2051" spans="1:31" customFormat="1" ht="15" x14ac:dyDescent="0.35">
      <c r="A2051" s="19"/>
      <c r="B2051" s="49"/>
      <c r="C2051" s="39"/>
      <c r="D2051" s="1"/>
      <c r="E2051" s="153"/>
      <c r="F2051" s="10"/>
      <c r="G2051" s="20"/>
      <c r="H2051" s="21"/>
      <c r="I2051" s="21"/>
      <c r="J2051" s="21"/>
      <c r="K2051" s="21"/>
      <c r="L2051" s="21"/>
      <c r="M2051" s="21"/>
      <c r="N2051" s="22"/>
      <c r="O2051" s="21"/>
      <c r="P2051" s="24"/>
      <c r="Q2051" s="21"/>
      <c r="R2051" s="21"/>
      <c r="S2051" s="21"/>
      <c r="T2051" s="21"/>
      <c r="U2051" s="21"/>
      <c r="V2051" s="22"/>
      <c r="W2051" s="21"/>
      <c r="X2051" s="22"/>
      <c r="Y2051" s="21"/>
      <c r="Z2051" s="20"/>
      <c r="AA2051" s="21"/>
      <c r="AB2051" s="25"/>
      <c r="AC2051" s="26"/>
      <c r="AD2051" s="27"/>
      <c r="AE2051" s="28"/>
    </row>
    <row r="2052" spans="1:31" customFormat="1" ht="15" x14ac:dyDescent="0.35">
      <c r="A2052" s="19"/>
      <c r="B2052" s="49"/>
      <c r="C2052" s="14"/>
      <c r="D2052" s="1"/>
      <c r="E2052" s="153"/>
      <c r="F2052" s="10"/>
      <c r="G2052" s="20"/>
      <c r="H2052" s="21"/>
      <c r="I2052" s="21"/>
      <c r="J2052" s="21"/>
      <c r="K2052" s="21"/>
      <c r="L2052" s="21"/>
      <c r="M2052" s="21"/>
      <c r="N2052" s="22"/>
      <c r="O2052" s="21"/>
      <c r="P2052" s="24"/>
      <c r="Q2052" s="21"/>
      <c r="R2052" s="21"/>
      <c r="S2052" s="21"/>
      <c r="T2052" s="21"/>
      <c r="U2052" s="21"/>
      <c r="V2052" s="22"/>
      <c r="W2052" s="21"/>
      <c r="X2052" s="22"/>
      <c r="Y2052" s="21"/>
      <c r="Z2052" s="20"/>
      <c r="AA2052" s="21"/>
      <c r="AB2052" s="25"/>
      <c r="AC2052" s="26"/>
      <c r="AD2052" s="27"/>
      <c r="AE2052" s="28"/>
    </row>
    <row r="2053" spans="1:31" customFormat="1" ht="15" x14ac:dyDescent="0.35">
      <c r="A2053" s="50"/>
      <c r="B2053" s="63"/>
      <c r="C2053" s="39"/>
      <c r="D2053" s="6"/>
      <c r="E2053" s="153"/>
      <c r="F2053" s="10"/>
      <c r="G2053" s="53"/>
      <c r="H2053" s="3"/>
      <c r="I2053" s="3"/>
      <c r="J2053" s="3"/>
      <c r="K2053" s="3"/>
      <c r="L2053" s="3"/>
      <c r="M2053" s="3"/>
      <c r="N2053" s="3"/>
      <c r="O2053" s="3"/>
      <c r="P2053" s="59"/>
      <c r="Q2053" s="21"/>
      <c r="R2053" s="21"/>
      <c r="S2053" s="3"/>
      <c r="T2053" s="3"/>
      <c r="U2053" s="3"/>
      <c r="V2053" s="3"/>
      <c r="W2053" s="3"/>
      <c r="X2053" s="3"/>
      <c r="Y2053" s="3"/>
      <c r="Z2053" s="53"/>
      <c r="AA2053" s="3"/>
      <c r="AB2053" s="59"/>
      <c r="AC2053" s="3"/>
      <c r="AD2053" s="53"/>
      <c r="AE2053" s="59"/>
    </row>
    <row r="2054" spans="1:31" customFormat="1" ht="15" x14ac:dyDescent="0.35">
      <c r="A2054" s="19"/>
      <c r="B2054" s="49"/>
      <c r="C2054" s="39"/>
      <c r="D2054" s="1"/>
      <c r="E2054" s="153"/>
      <c r="F2054" s="10"/>
      <c r="G2054" s="20"/>
      <c r="H2054" s="21"/>
      <c r="I2054" s="21"/>
      <c r="J2054" s="21"/>
      <c r="K2054" s="21"/>
      <c r="L2054" s="21"/>
      <c r="M2054" s="21"/>
      <c r="N2054" s="22"/>
      <c r="O2054" s="21"/>
      <c r="P2054" s="24"/>
      <c r="Q2054" s="21"/>
      <c r="R2054" s="21"/>
      <c r="S2054" s="21"/>
      <c r="T2054" s="21"/>
      <c r="U2054" s="21"/>
      <c r="V2054" s="22"/>
      <c r="W2054" s="21"/>
      <c r="X2054" s="22"/>
      <c r="Y2054" s="21"/>
      <c r="Z2054" s="20"/>
      <c r="AA2054" s="21"/>
      <c r="AB2054" s="25"/>
      <c r="AC2054" s="26"/>
      <c r="AD2054" s="27"/>
      <c r="AE2054" s="28"/>
    </row>
    <row r="2055" spans="1:31" customFormat="1" ht="15" x14ac:dyDescent="0.35">
      <c r="A2055" s="19"/>
      <c r="B2055" s="49"/>
      <c r="C2055" s="14"/>
      <c r="D2055" s="1"/>
      <c r="E2055" s="153"/>
      <c r="F2055" s="10"/>
      <c r="G2055" s="20"/>
      <c r="H2055" s="21"/>
      <c r="I2055" s="21"/>
      <c r="J2055" s="21"/>
      <c r="K2055" s="21"/>
      <c r="L2055" s="21"/>
      <c r="M2055" s="21"/>
      <c r="N2055" s="22"/>
      <c r="O2055" s="21"/>
      <c r="P2055" s="24"/>
      <c r="Q2055" s="21"/>
      <c r="R2055" s="21"/>
      <c r="S2055" s="21"/>
      <c r="T2055" s="21"/>
      <c r="U2055" s="21"/>
      <c r="V2055" s="22"/>
      <c r="W2055" s="21"/>
      <c r="X2055" s="22"/>
      <c r="Y2055" s="21"/>
      <c r="Z2055" s="20"/>
      <c r="AA2055" s="21"/>
      <c r="AB2055" s="25"/>
      <c r="AC2055" s="26"/>
      <c r="AD2055" s="27"/>
      <c r="AE2055" s="28"/>
    </row>
    <row r="2056" spans="1:31" customFormat="1" ht="15" x14ac:dyDescent="0.35">
      <c r="A2056" s="50"/>
      <c r="B2056" s="63"/>
      <c r="C2056" s="39"/>
      <c r="D2056" s="6"/>
      <c r="E2056" s="153"/>
      <c r="F2056" s="10"/>
      <c r="G2056" s="53"/>
      <c r="H2056" s="3"/>
      <c r="I2056" s="3"/>
      <c r="J2056" s="3"/>
      <c r="K2056" s="3"/>
      <c r="L2056" s="3"/>
      <c r="M2056" s="3"/>
      <c r="N2056" s="3"/>
      <c r="O2056" s="3"/>
      <c r="P2056" s="59"/>
      <c r="Q2056" s="21"/>
      <c r="R2056" s="21"/>
      <c r="S2056" s="3"/>
      <c r="T2056" s="3"/>
      <c r="U2056" s="3"/>
      <c r="V2056" s="3"/>
      <c r="W2056" s="3"/>
      <c r="X2056" s="3"/>
      <c r="Y2056" s="3"/>
      <c r="Z2056" s="53"/>
      <c r="AA2056" s="3"/>
      <c r="AB2056" s="59"/>
      <c r="AC2056" s="3"/>
      <c r="AD2056" s="53"/>
      <c r="AE2056" s="59"/>
    </row>
    <row r="2057" spans="1:31" customFormat="1" ht="15" x14ac:dyDescent="0.35">
      <c r="A2057" s="19"/>
      <c r="B2057" s="49"/>
      <c r="C2057" s="14"/>
      <c r="D2057" s="1"/>
      <c r="E2057" s="153"/>
      <c r="F2057" s="10"/>
      <c r="G2057" s="20"/>
      <c r="H2057" s="21"/>
      <c r="I2057" s="21"/>
      <c r="J2057" s="21"/>
      <c r="K2057" s="21"/>
      <c r="L2057" s="21"/>
      <c r="M2057" s="21"/>
      <c r="N2057" s="22"/>
      <c r="O2057" s="21"/>
      <c r="P2057" s="24"/>
      <c r="Q2057" s="21"/>
      <c r="R2057" s="21"/>
      <c r="S2057" s="21"/>
      <c r="T2057" s="21"/>
      <c r="U2057" s="21"/>
      <c r="V2057" s="22"/>
      <c r="W2057" s="21"/>
      <c r="X2057" s="22"/>
      <c r="Y2057" s="21"/>
      <c r="Z2057" s="20"/>
      <c r="AA2057" s="21"/>
      <c r="AB2057" s="25"/>
      <c r="AC2057" s="26"/>
      <c r="AD2057" s="27"/>
      <c r="AE2057" s="28"/>
    </row>
    <row r="2058" spans="1:31" customFormat="1" ht="15" x14ac:dyDescent="0.35">
      <c r="A2058" s="50"/>
      <c r="B2058" s="63"/>
      <c r="C2058" s="39"/>
      <c r="D2058" s="6"/>
      <c r="E2058" s="153"/>
      <c r="F2058" s="10"/>
      <c r="G2058" s="54"/>
      <c r="H2058" s="3"/>
      <c r="I2058" s="2"/>
      <c r="J2058" s="2"/>
      <c r="K2058" s="3"/>
      <c r="L2058" s="3"/>
      <c r="M2058" s="3"/>
      <c r="N2058" s="3"/>
      <c r="O2058" s="3"/>
      <c r="P2058" s="59"/>
      <c r="Q2058" s="3"/>
      <c r="R2058" s="3"/>
      <c r="S2058" s="3"/>
      <c r="T2058" s="3"/>
      <c r="U2058" s="3"/>
      <c r="V2058" s="3"/>
      <c r="W2058" s="3"/>
      <c r="X2058" s="3"/>
      <c r="Y2058" s="3"/>
      <c r="Z2058" s="53"/>
      <c r="AA2058" s="3"/>
      <c r="AB2058" s="59"/>
      <c r="AC2058" s="3"/>
      <c r="AD2058" s="53"/>
      <c r="AE2058" s="59"/>
    </row>
    <row r="2059" spans="1:31" customFormat="1" ht="15" x14ac:dyDescent="0.35">
      <c r="A2059" s="19"/>
      <c r="B2059" s="49"/>
      <c r="C2059" s="14"/>
      <c r="D2059" s="1"/>
      <c r="E2059" s="153"/>
      <c r="F2059" s="10"/>
      <c r="G2059" s="20"/>
      <c r="H2059" s="21"/>
      <c r="I2059" s="21"/>
      <c r="J2059" s="21"/>
      <c r="K2059" s="21"/>
      <c r="L2059" s="21"/>
      <c r="M2059" s="21"/>
      <c r="N2059" s="22"/>
      <c r="O2059" s="21"/>
      <c r="P2059" s="24"/>
      <c r="Q2059" s="21"/>
      <c r="R2059" s="21"/>
      <c r="S2059" s="21"/>
      <c r="T2059" s="21"/>
      <c r="U2059" s="21"/>
      <c r="V2059" s="22"/>
      <c r="W2059" s="21"/>
      <c r="X2059" s="22"/>
      <c r="Y2059" s="21"/>
      <c r="Z2059" s="20"/>
      <c r="AA2059" s="21"/>
      <c r="AB2059" s="25"/>
      <c r="AC2059" s="26"/>
      <c r="AD2059" s="27"/>
      <c r="AE2059" s="28"/>
    </row>
    <row r="2060" spans="1:31" customFormat="1" ht="15" x14ac:dyDescent="0.35">
      <c r="A2060" s="50"/>
      <c r="B2060" s="63"/>
      <c r="C2060" s="39"/>
      <c r="D2060" s="6"/>
      <c r="E2060" s="153"/>
      <c r="F2060" s="10"/>
      <c r="G2060" s="54"/>
      <c r="H2060" s="3"/>
      <c r="I2060" s="2"/>
      <c r="J2060" s="2"/>
      <c r="K2060" s="3"/>
      <c r="L2060" s="3"/>
      <c r="M2060" s="3"/>
      <c r="N2060" s="3"/>
      <c r="O2060" s="3"/>
      <c r="P2060" s="59"/>
      <c r="Q2060" s="3"/>
      <c r="R2060" s="3"/>
      <c r="S2060" s="3"/>
      <c r="T2060" s="3"/>
      <c r="U2060" s="3"/>
      <c r="V2060" s="3"/>
      <c r="W2060" s="3"/>
      <c r="X2060" s="3"/>
      <c r="Y2060" s="3"/>
      <c r="Z2060" s="53"/>
      <c r="AA2060" s="3"/>
      <c r="AB2060" s="59"/>
      <c r="AC2060" s="3"/>
      <c r="AD2060" s="53"/>
      <c r="AE2060" s="59"/>
    </row>
    <row r="2061" spans="1:31" customFormat="1" ht="15" x14ac:dyDescent="0.35">
      <c r="A2061" s="50"/>
      <c r="B2061" s="63"/>
      <c r="C2061" s="39"/>
      <c r="D2061" s="6"/>
      <c r="E2061" s="153"/>
      <c r="F2061" s="10"/>
      <c r="G2061" s="54"/>
      <c r="H2061" s="3"/>
      <c r="I2061" s="2"/>
      <c r="J2061" s="2"/>
      <c r="K2061" s="3"/>
      <c r="L2061" s="3"/>
      <c r="M2061" s="3"/>
      <c r="N2061" s="3"/>
      <c r="O2061" s="3"/>
      <c r="P2061" s="59"/>
      <c r="Q2061" s="3"/>
      <c r="R2061" s="3"/>
      <c r="S2061" s="3"/>
      <c r="T2061" s="3"/>
      <c r="U2061" s="3"/>
      <c r="V2061" s="3"/>
      <c r="W2061" s="3"/>
      <c r="X2061" s="3"/>
      <c r="Y2061" s="3"/>
      <c r="Z2061" s="53"/>
      <c r="AA2061" s="3"/>
      <c r="AB2061" s="59"/>
      <c r="AC2061" s="3"/>
      <c r="AD2061" s="53"/>
      <c r="AE2061" s="59"/>
    </row>
    <row r="2062" spans="1:31" customFormat="1" ht="15" x14ac:dyDescent="0.35">
      <c r="A2062" s="19"/>
      <c r="B2062" s="49"/>
      <c r="C2062" s="14"/>
      <c r="D2062" s="1"/>
      <c r="E2062" s="153"/>
      <c r="F2062" s="10"/>
      <c r="G2062" s="20"/>
      <c r="H2062" s="21"/>
      <c r="I2062" s="21"/>
      <c r="J2062" s="21"/>
      <c r="K2062" s="21"/>
      <c r="L2062" s="21"/>
      <c r="M2062" s="21"/>
      <c r="N2062" s="22"/>
      <c r="O2062" s="21"/>
      <c r="P2062" s="24"/>
      <c r="Q2062" s="21"/>
      <c r="R2062" s="21"/>
      <c r="S2062" s="21"/>
      <c r="T2062" s="21"/>
      <c r="U2062" s="21"/>
      <c r="V2062" s="22"/>
      <c r="W2062" s="21"/>
      <c r="X2062" s="22"/>
      <c r="Y2062" s="21"/>
      <c r="Z2062" s="20"/>
      <c r="AA2062" s="21"/>
      <c r="AB2062" s="25"/>
      <c r="AC2062" s="26"/>
      <c r="AD2062" s="27"/>
      <c r="AE2062" s="28"/>
    </row>
    <row r="2063" spans="1:31" customFormat="1" ht="15" x14ac:dyDescent="0.35">
      <c r="A2063" s="19"/>
      <c r="B2063" s="49"/>
      <c r="C2063" s="14"/>
      <c r="D2063" s="1"/>
      <c r="E2063" s="153"/>
      <c r="F2063" s="10"/>
      <c r="G2063" s="20"/>
      <c r="H2063" s="21"/>
      <c r="I2063" s="21"/>
      <c r="J2063" s="21"/>
      <c r="K2063" s="21"/>
      <c r="L2063" s="21"/>
      <c r="M2063" s="21"/>
      <c r="N2063" s="22"/>
      <c r="O2063" s="21"/>
      <c r="P2063" s="24"/>
      <c r="Q2063" s="21"/>
      <c r="R2063" s="21"/>
      <c r="S2063" s="21"/>
      <c r="T2063" s="21"/>
      <c r="U2063" s="21"/>
      <c r="V2063" s="22"/>
      <c r="W2063" s="21"/>
      <c r="X2063" s="22"/>
      <c r="Y2063" s="21"/>
      <c r="Z2063" s="20"/>
      <c r="AA2063" s="21"/>
      <c r="AB2063" s="25"/>
      <c r="AC2063" s="26"/>
      <c r="AD2063" s="27"/>
      <c r="AE2063" s="28"/>
    </row>
    <row r="2064" spans="1:31" customFormat="1" ht="15" x14ac:dyDescent="0.35">
      <c r="A2064" s="19"/>
      <c r="B2064" s="49"/>
      <c r="C2064" s="39"/>
      <c r="D2064" s="1"/>
      <c r="E2064" s="153"/>
      <c r="F2064" s="10"/>
      <c r="G2064" s="20"/>
      <c r="H2064" s="21"/>
      <c r="I2064" s="21"/>
      <c r="J2064" s="21"/>
      <c r="K2064" s="21"/>
      <c r="L2064" s="21"/>
      <c r="M2064" s="21"/>
      <c r="N2064" s="22"/>
      <c r="O2064" s="21"/>
      <c r="P2064" s="24"/>
      <c r="Q2064" s="21"/>
      <c r="R2064" s="21"/>
      <c r="S2064" s="21"/>
      <c r="T2064" s="21"/>
      <c r="U2064" s="21"/>
      <c r="V2064" s="22"/>
      <c r="W2064" s="21"/>
      <c r="X2064" s="22"/>
      <c r="Y2064" s="21"/>
      <c r="Z2064" s="20"/>
      <c r="AA2064" s="21"/>
      <c r="AB2064" s="25"/>
      <c r="AC2064" s="26"/>
      <c r="AD2064" s="27"/>
      <c r="AE2064" s="28"/>
    </row>
    <row r="2065" spans="1:31" customFormat="1" ht="15" x14ac:dyDescent="0.35">
      <c r="A2065" s="19"/>
      <c r="B2065" s="49"/>
      <c r="C2065" s="39"/>
      <c r="D2065" s="1"/>
      <c r="E2065" s="153"/>
      <c r="F2065" s="10"/>
      <c r="G2065" s="20"/>
      <c r="H2065" s="21"/>
      <c r="I2065" s="21"/>
      <c r="J2065" s="21"/>
      <c r="K2065" s="21"/>
      <c r="L2065" s="21"/>
      <c r="M2065" s="21"/>
      <c r="N2065" s="22"/>
      <c r="O2065" s="21"/>
      <c r="P2065" s="24"/>
      <c r="Q2065" s="21"/>
      <c r="R2065" s="21"/>
      <c r="S2065" s="21"/>
      <c r="T2065" s="21"/>
      <c r="U2065" s="21"/>
      <c r="V2065" s="22"/>
      <c r="W2065" s="21"/>
      <c r="X2065" s="22"/>
      <c r="Y2065" s="21"/>
      <c r="Z2065" s="20"/>
      <c r="AA2065" s="21"/>
      <c r="AB2065" s="25"/>
      <c r="AC2065" s="26"/>
      <c r="AD2065" s="27"/>
      <c r="AE2065" s="28"/>
    </row>
    <row r="2066" spans="1:31" customFormat="1" ht="15" x14ac:dyDescent="0.35">
      <c r="A2066" s="50"/>
      <c r="B2066" s="63"/>
      <c r="C2066" s="39"/>
      <c r="D2066" s="6"/>
      <c r="E2066" s="153"/>
      <c r="F2066" s="10"/>
      <c r="G2066" s="53"/>
      <c r="H2066" s="3"/>
      <c r="I2066" s="3"/>
      <c r="J2066" s="3"/>
      <c r="K2066" s="3"/>
      <c r="L2066" s="3"/>
      <c r="M2066" s="3"/>
      <c r="N2066" s="3"/>
      <c r="O2066" s="3"/>
      <c r="P2066" s="59"/>
      <c r="Q2066" s="21"/>
      <c r="R2066" s="21"/>
      <c r="S2066" s="3"/>
      <c r="T2066" s="3"/>
      <c r="U2066" s="3"/>
      <c r="V2066" s="3"/>
      <c r="W2066" s="3"/>
      <c r="X2066" s="3"/>
      <c r="Y2066" s="3"/>
      <c r="Z2066" s="53"/>
      <c r="AA2066" s="3"/>
      <c r="AB2066" s="59"/>
      <c r="AC2066" s="3"/>
      <c r="AD2066" s="53"/>
      <c r="AE2066" s="59"/>
    </row>
    <row r="2067" spans="1:31" customFormat="1" ht="15" x14ac:dyDescent="0.35">
      <c r="A2067" s="50"/>
      <c r="B2067" s="63"/>
      <c r="C2067" s="39"/>
      <c r="D2067" s="6"/>
      <c r="E2067" s="153"/>
      <c r="F2067" s="10"/>
      <c r="G2067" s="53"/>
      <c r="H2067" s="3"/>
      <c r="I2067" s="3"/>
      <c r="J2067" s="3"/>
      <c r="K2067" s="3"/>
      <c r="L2067" s="3"/>
      <c r="M2067" s="3"/>
      <c r="N2067" s="3"/>
      <c r="O2067" s="3"/>
      <c r="P2067" s="59"/>
      <c r="Q2067" s="21"/>
      <c r="R2067" s="21"/>
      <c r="S2067" s="3"/>
      <c r="T2067" s="3"/>
      <c r="U2067" s="3"/>
      <c r="V2067" s="3"/>
      <c r="W2067" s="3"/>
      <c r="X2067" s="3"/>
      <c r="Y2067" s="3"/>
      <c r="Z2067" s="53"/>
      <c r="AA2067" s="3"/>
      <c r="AB2067" s="59"/>
      <c r="AC2067" s="3"/>
      <c r="AD2067" s="53"/>
      <c r="AE2067" s="59"/>
    </row>
    <row r="2068" spans="1:31" customFormat="1" ht="15" x14ac:dyDescent="0.35">
      <c r="A2068" s="19"/>
      <c r="B2068" s="49"/>
      <c r="C2068" s="39"/>
      <c r="D2068" s="1"/>
      <c r="E2068" s="153"/>
      <c r="F2068" s="10"/>
      <c r="G2068" s="20"/>
      <c r="H2068" s="21"/>
      <c r="I2068" s="21"/>
      <c r="J2068" s="21"/>
      <c r="K2068" s="21"/>
      <c r="L2068" s="21"/>
      <c r="M2068" s="21"/>
      <c r="N2068" s="22"/>
      <c r="O2068" s="21"/>
      <c r="P2068" s="24"/>
      <c r="Q2068" s="21"/>
      <c r="R2068" s="21"/>
      <c r="S2068" s="21"/>
      <c r="T2068" s="21"/>
      <c r="U2068" s="21"/>
      <c r="V2068" s="22"/>
      <c r="W2068" s="21"/>
      <c r="X2068" s="22"/>
      <c r="Y2068" s="21"/>
      <c r="Z2068" s="20"/>
      <c r="AA2068" s="21"/>
      <c r="AB2068" s="25"/>
      <c r="AC2068" s="26"/>
      <c r="AD2068" s="27"/>
      <c r="AE2068" s="28"/>
    </row>
    <row r="2069" spans="1:31" customFormat="1" ht="15" x14ac:dyDescent="0.35">
      <c r="A2069" s="19"/>
      <c r="B2069" s="49"/>
      <c r="C2069" s="14"/>
      <c r="D2069" s="1"/>
      <c r="E2069" s="153"/>
      <c r="F2069" s="10"/>
      <c r="G2069" s="20"/>
      <c r="H2069" s="21"/>
      <c r="I2069" s="21"/>
      <c r="J2069" s="21"/>
      <c r="K2069" s="21"/>
      <c r="L2069" s="21"/>
      <c r="M2069" s="21"/>
      <c r="N2069" s="22"/>
      <c r="O2069" s="21"/>
      <c r="P2069" s="24"/>
      <c r="Q2069" s="21"/>
      <c r="R2069" s="21"/>
      <c r="S2069" s="21"/>
      <c r="T2069" s="21"/>
      <c r="U2069" s="21"/>
      <c r="V2069" s="22"/>
      <c r="W2069" s="21"/>
      <c r="X2069" s="22"/>
      <c r="Y2069" s="21"/>
      <c r="Z2069" s="20"/>
      <c r="AA2069" s="21"/>
      <c r="AB2069" s="25"/>
      <c r="AC2069" s="26"/>
      <c r="AD2069" s="27"/>
      <c r="AE2069" s="65"/>
    </row>
    <row r="2070" spans="1:31" customFormat="1" ht="15" x14ac:dyDescent="0.35">
      <c r="A2070" s="50"/>
      <c r="B2070" s="63"/>
      <c r="C2070" s="39"/>
      <c r="D2070" s="6"/>
      <c r="E2070" s="153"/>
      <c r="F2070" s="10"/>
      <c r="G2070" s="54"/>
      <c r="H2070" s="3"/>
      <c r="I2070" s="2"/>
      <c r="J2070" s="2"/>
      <c r="K2070" s="3"/>
      <c r="L2070" s="3"/>
      <c r="M2070" s="3"/>
      <c r="N2070" s="3"/>
      <c r="O2070" s="3"/>
      <c r="P2070" s="59"/>
      <c r="Q2070" s="3"/>
      <c r="R2070" s="3"/>
      <c r="S2070" s="3"/>
      <c r="T2070" s="3"/>
      <c r="U2070" s="3"/>
      <c r="V2070" s="3"/>
      <c r="W2070" s="3"/>
      <c r="X2070" s="3"/>
      <c r="Y2070" s="3"/>
      <c r="Z2070" s="53"/>
      <c r="AA2070" s="3"/>
      <c r="AB2070" s="59"/>
      <c r="AC2070" s="3"/>
      <c r="AD2070" s="53"/>
      <c r="AE2070" s="65"/>
    </row>
    <row r="2071" spans="1:31" customFormat="1" ht="15" x14ac:dyDescent="0.35">
      <c r="A2071" s="50"/>
      <c r="B2071" s="63"/>
      <c r="C2071" s="39"/>
      <c r="D2071" s="6"/>
      <c r="E2071" s="153"/>
      <c r="F2071" s="10"/>
      <c r="G2071" s="53"/>
      <c r="H2071" s="3"/>
      <c r="I2071" s="3"/>
      <c r="J2071" s="3"/>
      <c r="K2071" s="3"/>
      <c r="L2071" s="3"/>
      <c r="M2071" s="3"/>
      <c r="N2071" s="3"/>
      <c r="O2071" s="3"/>
      <c r="P2071" s="59"/>
      <c r="Q2071" s="21"/>
      <c r="R2071" s="21"/>
      <c r="S2071" s="3"/>
      <c r="T2071" s="3"/>
      <c r="U2071" s="3"/>
      <c r="V2071" s="3"/>
      <c r="W2071" s="3"/>
      <c r="X2071" s="3"/>
      <c r="Y2071" s="3"/>
      <c r="Z2071" s="53"/>
      <c r="AA2071" s="3"/>
      <c r="AB2071" s="59"/>
      <c r="AC2071" s="3"/>
      <c r="AD2071" s="53"/>
      <c r="AE2071" s="59"/>
    </row>
    <row r="2072" spans="1:31" customFormat="1" ht="15" x14ac:dyDescent="0.35">
      <c r="A2072" s="19"/>
      <c r="B2072" s="49"/>
      <c r="C2072" s="14"/>
      <c r="D2072" s="1"/>
      <c r="E2072" s="153"/>
      <c r="F2072" s="10"/>
      <c r="G2072" s="20"/>
      <c r="H2072" s="21"/>
      <c r="I2072" s="21"/>
      <c r="J2072" s="21"/>
      <c r="K2072" s="21"/>
      <c r="L2072" s="21"/>
      <c r="M2072" s="21"/>
      <c r="N2072" s="22"/>
      <c r="O2072" s="21"/>
      <c r="P2072" s="24"/>
      <c r="Q2072" s="21"/>
      <c r="R2072" s="21"/>
      <c r="S2072" s="21"/>
      <c r="T2072" s="21"/>
      <c r="U2072" s="21"/>
      <c r="V2072" s="22"/>
      <c r="W2072" s="21"/>
      <c r="X2072" s="22"/>
      <c r="Y2072" s="21"/>
      <c r="Z2072" s="20"/>
      <c r="AA2072" s="21"/>
      <c r="AB2072" s="25"/>
      <c r="AC2072" s="26"/>
      <c r="AD2072" s="27"/>
      <c r="AE2072" s="28"/>
    </row>
    <row r="2073" spans="1:31" customFormat="1" ht="15" x14ac:dyDescent="0.35">
      <c r="A2073" s="50"/>
      <c r="B2073" s="63"/>
      <c r="C2073" s="39"/>
      <c r="D2073" s="6"/>
      <c r="E2073" s="153"/>
      <c r="F2073" s="10"/>
      <c r="G2073" s="53"/>
      <c r="H2073" s="3"/>
      <c r="I2073" s="3"/>
      <c r="J2073" s="3"/>
      <c r="K2073" s="3"/>
      <c r="L2073" s="3"/>
      <c r="M2073" s="3"/>
      <c r="N2073" s="3"/>
      <c r="O2073" s="3"/>
      <c r="P2073" s="59"/>
      <c r="Q2073" s="21"/>
      <c r="R2073" s="21"/>
      <c r="S2073" s="3"/>
      <c r="T2073" s="3"/>
      <c r="U2073" s="3"/>
      <c r="V2073" s="3"/>
      <c r="W2073" s="3"/>
      <c r="X2073" s="3"/>
      <c r="Y2073" s="3"/>
      <c r="Z2073" s="53"/>
      <c r="AA2073" s="3"/>
      <c r="AB2073" s="59"/>
      <c r="AC2073" s="3"/>
      <c r="AD2073" s="53"/>
      <c r="AE2073" s="59"/>
    </row>
    <row r="2074" spans="1:31" customFormat="1" ht="15" x14ac:dyDescent="0.35">
      <c r="A2074" s="50"/>
      <c r="B2074" s="63"/>
      <c r="C2074" s="39"/>
      <c r="D2074" s="6"/>
      <c r="E2074" s="153"/>
      <c r="F2074" s="10"/>
      <c r="G2074" s="53"/>
      <c r="H2074" s="3"/>
      <c r="I2074" s="3"/>
      <c r="J2074" s="3"/>
      <c r="K2074" s="3"/>
      <c r="L2074" s="3"/>
      <c r="M2074" s="3"/>
      <c r="N2074" s="3"/>
      <c r="O2074" s="3"/>
      <c r="P2074" s="59"/>
      <c r="Q2074" s="21"/>
      <c r="R2074" s="21"/>
      <c r="S2074" s="3"/>
      <c r="T2074" s="3"/>
      <c r="U2074" s="3"/>
      <c r="V2074" s="3"/>
      <c r="W2074" s="3"/>
      <c r="X2074" s="3"/>
      <c r="Y2074" s="3"/>
      <c r="Z2074" s="53"/>
      <c r="AA2074" s="3"/>
      <c r="AB2074" s="59"/>
      <c r="AC2074" s="3"/>
      <c r="AD2074" s="53"/>
      <c r="AE2074" s="59"/>
    </row>
    <row r="2075" spans="1:31" customFormat="1" ht="15" x14ac:dyDescent="0.35">
      <c r="A2075" s="50"/>
      <c r="B2075" s="63"/>
      <c r="C2075" s="39"/>
      <c r="D2075" s="6"/>
      <c r="E2075" s="153"/>
      <c r="F2075" s="10"/>
      <c r="G2075" s="54"/>
      <c r="H2075" s="3"/>
      <c r="I2075" s="2"/>
      <c r="J2075" s="2"/>
      <c r="K2075" s="3"/>
      <c r="L2075" s="3"/>
      <c r="M2075" s="3"/>
      <c r="N2075" s="3"/>
      <c r="O2075" s="3"/>
      <c r="P2075" s="59"/>
      <c r="Q2075" s="3"/>
      <c r="R2075" s="3"/>
      <c r="S2075" s="3"/>
      <c r="T2075" s="3"/>
      <c r="U2075" s="3"/>
      <c r="V2075" s="3"/>
      <c r="W2075" s="3"/>
      <c r="X2075" s="3"/>
      <c r="Y2075" s="3"/>
      <c r="Z2075" s="53"/>
      <c r="AA2075" s="3"/>
      <c r="AB2075" s="59"/>
      <c r="AC2075" s="3"/>
      <c r="AD2075" s="53"/>
      <c r="AE2075" s="59"/>
    </row>
    <row r="2076" spans="1:31" customFormat="1" ht="15" x14ac:dyDescent="0.35">
      <c r="A2076" s="50"/>
      <c r="B2076" s="63"/>
      <c r="C2076" s="39"/>
      <c r="D2076" s="6"/>
      <c r="E2076" s="153"/>
      <c r="F2076" s="10"/>
      <c r="G2076" s="54"/>
      <c r="H2076" s="3"/>
      <c r="I2076" s="2"/>
      <c r="J2076" s="2"/>
      <c r="K2076" s="3"/>
      <c r="L2076" s="3"/>
      <c r="M2076" s="3"/>
      <c r="N2076" s="3"/>
      <c r="O2076" s="3"/>
      <c r="P2076" s="59"/>
      <c r="Q2076" s="3"/>
      <c r="R2076" s="3"/>
      <c r="S2076" s="3"/>
      <c r="T2076" s="3"/>
      <c r="U2076" s="3"/>
      <c r="V2076" s="3"/>
      <c r="W2076" s="3"/>
      <c r="X2076" s="3"/>
      <c r="Y2076" s="3"/>
      <c r="Z2076" s="53"/>
      <c r="AA2076" s="3"/>
      <c r="AB2076" s="59"/>
      <c r="AC2076" s="3"/>
      <c r="AD2076" s="53"/>
      <c r="AE2076" s="65"/>
    </row>
    <row r="2077" spans="1:31" customFormat="1" ht="15" x14ac:dyDescent="0.35">
      <c r="A2077" s="50"/>
      <c r="B2077" s="63"/>
      <c r="C2077" s="39"/>
      <c r="D2077" s="6"/>
      <c r="E2077" s="153"/>
      <c r="F2077" s="10"/>
      <c r="G2077" s="53"/>
      <c r="H2077" s="3"/>
      <c r="I2077" s="3"/>
      <c r="J2077" s="3"/>
      <c r="K2077" s="3"/>
      <c r="L2077" s="3"/>
      <c r="M2077" s="3"/>
      <c r="N2077" s="3"/>
      <c r="O2077" s="3"/>
      <c r="P2077" s="59"/>
      <c r="Q2077" s="21"/>
      <c r="R2077" s="21"/>
      <c r="S2077" s="3"/>
      <c r="T2077" s="3"/>
      <c r="U2077" s="3"/>
      <c r="V2077" s="3"/>
      <c r="W2077" s="3"/>
      <c r="X2077" s="3"/>
      <c r="Y2077" s="3"/>
      <c r="Z2077" s="53"/>
      <c r="AA2077" s="3"/>
      <c r="AB2077" s="59"/>
      <c r="AC2077" s="3"/>
      <c r="AD2077" s="53"/>
      <c r="AE2077" s="65"/>
    </row>
    <row r="2078" spans="1:31" customFormat="1" ht="15" x14ac:dyDescent="0.35">
      <c r="A2078" s="50"/>
      <c r="B2078" s="63"/>
      <c r="C2078" s="39"/>
      <c r="D2078" s="6"/>
      <c r="E2078" s="153"/>
      <c r="F2078" s="10"/>
      <c r="G2078" s="53"/>
      <c r="H2078" s="3"/>
      <c r="I2078" s="3"/>
      <c r="J2078" s="3"/>
      <c r="K2078" s="3"/>
      <c r="L2078" s="3"/>
      <c r="M2078" s="3"/>
      <c r="N2078" s="3"/>
      <c r="O2078" s="3"/>
      <c r="P2078" s="59"/>
      <c r="Q2078" s="21"/>
      <c r="R2078" s="21"/>
      <c r="S2078" s="3"/>
      <c r="T2078" s="3"/>
      <c r="U2078" s="3"/>
      <c r="V2078" s="3"/>
      <c r="W2078" s="3"/>
      <c r="X2078" s="3"/>
      <c r="Y2078" s="3"/>
      <c r="Z2078" s="53"/>
      <c r="AA2078" s="3"/>
      <c r="AB2078" s="59"/>
      <c r="AC2078" s="3"/>
      <c r="AD2078" s="53"/>
      <c r="AE2078" s="59"/>
    </row>
    <row r="2079" spans="1:31" customFormat="1" ht="15" x14ac:dyDescent="0.35">
      <c r="A2079" s="50"/>
      <c r="B2079" s="63"/>
      <c r="C2079" s="39"/>
      <c r="D2079" s="6"/>
      <c r="E2079" s="153"/>
      <c r="F2079" s="10"/>
      <c r="G2079" s="54"/>
      <c r="H2079" s="3"/>
      <c r="I2079" s="2"/>
      <c r="J2079" s="2"/>
      <c r="K2079" s="3"/>
      <c r="L2079" s="3"/>
      <c r="M2079" s="3"/>
      <c r="N2079" s="3"/>
      <c r="O2079" s="3"/>
      <c r="P2079" s="59"/>
      <c r="Q2079" s="21"/>
      <c r="R2079" s="21"/>
      <c r="S2079" s="3"/>
      <c r="T2079" s="3"/>
      <c r="U2079" s="3"/>
      <c r="V2079" s="3"/>
      <c r="W2079" s="3"/>
      <c r="X2079" s="3"/>
      <c r="Y2079" s="3"/>
      <c r="Z2079" s="53"/>
      <c r="AA2079" s="3"/>
      <c r="AB2079" s="59"/>
      <c r="AC2079" s="3"/>
      <c r="AD2079" s="53"/>
      <c r="AE2079" s="59"/>
    </row>
    <row r="2080" spans="1:31" customFormat="1" ht="15" x14ac:dyDescent="0.35">
      <c r="A2080" s="19"/>
      <c r="B2080" s="49"/>
      <c r="C2080" s="39"/>
      <c r="D2080" s="1"/>
      <c r="E2080" s="153"/>
      <c r="F2080" s="10"/>
      <c r="G2080" s="20"/>
      <c r="H2080" s="21"/>
      <c r="I2080" s="21"/>
      <c r="J2080" s="21"/>
      <c r="K2080" s="21"/>
      <c r="L2080" s="21"/>
      <c r="M2080" s="21"/>
      <c r="N2080" s="22"/>
      <c r="O2080" s="21"/>
      <c r="P2080" s="24"/>
      <c r="Q2080" s="21"/>
      <c r="R2080" s="21"/>
      <c r="S2080" s="21"/>
      <c r="T2080" s="21"/>
      <c r="U2080" s="21"/>
      <c r="V2080" s="22"/>
      <c r="W2080" s="21"/>
      <c r="X2080" s="22"/>
      <c r="Y2080" s="21"/>
      <c r="Z2080" s="20"/>
      <c r="AA2080" s="21"/>
      <c r="AB2080" s="25"/>
      <c r="AC2080" s="26"/>
      <c r="AD2080" s="27"/>
      <c r="AE2080" s="28"/>
    </row>
    <row r="2081" spans="1:31" customFormat="1" ht="15" x14ac:dyDescent="0.35">
      <c r="A2081" s="50"/>
      <c r="B2081" s="63"/>
      <c r="C2081" s="39"/>
      <c r="D2081" s="6"/>
      <c r="E2081" s="153"/>
      <c r="F2081" s="10"/>
      <c r="G2081" s="54"/>
      <c r="H2081" s="3"/>
      <c r="I2081" s="2"/>
      <c r="J2081" s="2"/>
      <c r="K2081" s="3"/>
      <c r="L2081" s="3"/>
      <c r="M2081" s="3"/>
      <c r="N2081" s="3"/>
      <c r="O2081" s="3"/>
      <c r="P2081" s="59"/>
      <c r="Q2081" s="3"/>
      <c r="R2081" s="3"/>
      <c r="S2081" s="3"/>
      <c r="T2081" s="3"/>
      <c r="U2081" s="3"/>
      <c r="V2081" s="3"/>
      <c r="W2081" s="3"/>
      <c r="X2081" s="3"/>
      <c r="Y2081" s="3"/>
      <c r="Z2081" s="53"/>
      <c r="AA2081" s="3"/>
      <c r="AB2081" s="59"/>
      <c r="AC2081" s="3"/>
      <c r="AD2081" s="53"/>
      <c r="AE2081" s="59"/>
    </row>
    <row r="2082" spans="1:31" customFormat="1" ht="15" x14ac:dyDescent="0.35">
      <c r="A2082" s="50"/>
      <c r="B2082" s="63"/>
      <c r="C2082" s="39"/>
      <c r="D2082" s="6"/>
      <c r="E2082" s="153"/>
      <c r="F2082" s="10"/>
      <c r="G2082" s="53"/>
      <c r="H2082" s="3"/>
      <c r="I2082" s="3"/>
      <c r="J2082" s="3"/>
      <c r="K2082" s="3"/>
      <c r="L2082" s="3"/>
      <c r="M2082" s="3"/>
      <c r="N2082" s="3"/>
      <c r="O2082" s="3"/>
      <c r="P2082" s="59"/>
      <c r="Q2082" s="21"/>
      <c r="R2082" s="21"/>
      <c r="S2082" s="3"/>
      <c r="T2082" s="3"/>
      <c r="U2082" s="3"/>
      <c r="V2082" s="3"/>
      <c r="W2082" s="3"/>
      <c r="X2082" s="3"/>
      <c r="Y2082" s="3"/>
      <c r="Z2082" s="53"/>
      <c r="AA2082" s="3"/>
      <c r="AB2082" s="59"/>
      <c r="AC2082" s="3"/>
      <c r="AD2082" s="53"/>
      <c r="AE2082" s="59"/>
    </row>
    <row r="2083" spans="1:31" customFormat="1" ht="15" x14ac:dyDescent="0.35">
      <c r="A2083" s="50"/>
      <c r="B2083" s="63"/>
      <c r="C2083" s="39"/>
      <c r="D2083" s="6"/>
      <c r="E2083" s="153"/>
      <c r="F2083" s="10"/>
      <c r="G2083" s="54"/>
      <c r="H2083" s="3"/>
      <c r="I2083" s="2"/>
      <c r="J2083" s="2"/>
      <c r="K2083" s="3"/>
      <c r="L2083" s="3"/>
      <c r="M2083" s="3"/>
      <c r="N2083" s="3"/>
      <c r="O2083" s="3"/>
      <c r="P2083" s="59"/>
      <c r="Q2083" s="3"/>
      <c r="R2083" s="3"/>
      <c r="S2083" s="3"/>
      <c r="T2083" s="3"/>
      <c r="U2083" s="3"/>
      <c r="V2083" s="3"/>
      <c r="W2083" s="3"/>
      <c r="X2083" s="3"/>
      <c r="Y2083" s="3"/>
      <c r="Z2083" s="53"/>
      <c r="AA2083" s="3"/>
      <c r="AB2083" s="59"/>
      <c r="AC2083" s="3"/>
      <c r="AD2083" s="53"/>
      <c r="AE2083" s="59"/>
    </row>
    <row r="2084" spans="1:31" customFormat="1" ht="15" x14ac:dyDescent="0.35">
      <c r="A2084" s="50"/>
      <c r="B2084" s="63"/>
      <c r="C2084" s="39"/>
      <c r="D2084" s="6"/>
      <c r="E2084" s="153"/>
      <c r="F2084" s="10"/>
      <c r="G2084" s="53"/>
      <c r="H2084" s="3"/>
      <c r="I2084" s="3"/>
      <c r="J2084" s="3"/>
      <c r="K2084" s="3"/>
      <c r="L2084" s="3"/>
      <c r="M2084" s="3"/>
      <c r="N2084" s="3"/>
      <c r="O2084" s="3"/>
      <c r="P2084" s="59"/>
      <c r="Q2084" s="21"/>
      <c r="R2084" s="21"/>
      <c r="S2084" s="3"/>
      <c r="T2084" s="3"/>
      <c r="U2084" s="3"/>
      <c r="V2084" s="3"/>
      <c r="W2084" s="3"/>
      <c r="X2084" s="3"/>
      <c r="Y2084" s="3"/>
      <c r="Z2084" s="53"/>
      <c r="AA2084" s="3"/>
      <c r="AB2084" s="59"/>
      <c r="AC2084" s="3"/>
      <c r="AD2084" s="53"/>
      <c r="AE2084" s="59"/>
    </row>
    <row r="2085" spans="1:31" customFormat="1" ht="15" x14ac:dyDescent="0.35">
      <c r="A2085" s="50"/>
      <c r="B2085" s="63"/>
      <c r="C2085" s="39"/>
      <c r="D2085" s="6"/>
      <c r="E2085" s="153"/>
      <c r="F2085" s="10"/>
      <c r="G2085" s="53"/>
      <c r="H2085" s="3"/>
      <c r="I2085" s="3"/>
      <c r="J2085" s="3"/>
      <c r="K2085" s="3"/>
      <c r="L2085" s="3"/>
      <c r="M2085" s="3"/>
      <c r="N2085" s="3"/>
      <c r="O2085" s="3"/>
      <c r="P2085" s="59"/>
      <c r="Q2085" s="21"/>
      <c r="R2085" s="21"/>
      <c r="S2085" s="3"/>
      <c r="T2085" s="3"/>
      <c r="U2085" s="3"/>
      <c r="V2085" s="3"/>
      <c r="W2085" s="3"/>
      <c r="X2085" s="3"/>
      <c r="Y2085" s="3"/>
      <c r="Z2085" s="53"/>
      <c r="AA2085" s="3"/>
      <c r="AB2085" s="59"/>
      <c r="AC2085" s="3"/>
      <c r="AD2085" s="53"/>
      <c r="AE2085" s="59"/>
    </row>
    <row r="2086" spans="1:31" customFormat="1" ht="15" x14ac:dyDescent="0.35">
      <c r="A2086" s="19"/>
      <c r="B2086" s="49"/>
      <c r="C2086" s="14"/>
      <c r="D2086" s="1"/>
      <c r="E2086" s="153"/>
      <c r="F2086" s="10"/>
      <c r="G2086" s="20"/>
      <c r="H2086" s="21"/>
      <c r="I2086" s="21"/>
      <c r="J2086" s="21"/>
      <c r="K2086" s="21"/>
      <c r="L2086" s="21"/>
      <c r="M2086" s="21"/>
      <c r="N2086" s="22"/>
      <c r="O2086" s="21"/>
      <c r="P2086" s="24"/>
      <c r="Q2086" s="21"/>
      <c r="R2086" s="21"/>
      <c r="S2086" s="21"/>
      <c r="T2086" s="21"/>
      <c r="U2086" s="21"/>
      <c r="V2086" s="22"/>
      <c r="W2086" s="21"/>
      <c r="X2086" s="22"/>
      <c r="Y2086" s="21"/>
      <c r="Z2086" s="20"/>
      <c r="AA2086" s="21"/>
      <c r="AB2086" s="25"/>
      <c r="AC2086" s="26"/>
      <c r="AD2086" s="27"/>
      <c r="AE2086" s="28"/>
    </row>
    <row r="2087" spans="1:31" customFormat="1" ht="15" x14ac:dyDescent="0.35">
      <c r="A2087" s="19"/>
      <c r="B2087" s="49"/>
      <c r="C2087" s="39"/>
      <c r="D2087" s="1"/>
      <c r="E2087" s="153"/>
      <c r="F2087" s="10"/>
      <c r="G2087" s="20"/>
      <c r="H2087" s="21"/>
      <c r="I2087" s="21"/>
      <c r="J2087" s="21"/>
      <c r="K2087" s="21"/>
      <c r="L2087" s="21"/>
      <c r="M2087" s="21"/>
      <c r="N2087" s="22"/>
      <c r="O2087" s="21"/>
      <c r="P2087" s="24"/>
      <c r="Q2087" s="21"/>
      <c r="R2087" s="21"/>
      <c r="S2087" s="21"/>
      <c r="T2087" s="21"/>
      <c r="U2087" s="21"/>
      <c r="V2087" s="22"/>
      <c r="W2087" s="21"/>
      <c r="X2087" s="22"/>
      <c r="Y2087" s="21"/>
      <c r="Z2087" s="20"/>
      <c r="AA2087" s="21"/>
      <c r="AB2087" s="25"/>
      <c r="AC2087" s="26"/>
      <c r="AD2087" s="27"/>
      <c r="AE2087" s="28"/>
    </row>
    <row r="2088" spans="1:31" customFormat="1" ht="15" x14ac:dyDescent="0.35">
      <c r="A2088" s="50"/>
      <c r="B2088" s="63"/>
      <c r="C2088" s="39"/>
      <c r="D2088" s="6"/>
      <c r="E2088" s="153"/>
      <c r="F2088" s="10"/>
      <c r="G2088" s="53"/>
      <c r="H2088" s="3"/>
      <c r="I2088" s="3"/>
      <c r="J2088" s="3"/>
      <c r="K2088" s="3"/>
      <c r="L2088" s="3"/>
      <c r="M2088" s="3"/>
      <c r="N2088" s="3"/>
      <c r="O2088" s="3"/>
      <c r="P2088" s="59"/>
      <c r="Q2088" s="21"/>
      <c r="R2088" s="21"/>
      <c r="S2088" s="3"/>
      <c r="T2088" s="3"/>
      <c r="U2088" s="3"/>
      <c r="V2088" s="3"/>
      <c r="W2088" s="3"/>
      <c r="X2088" s="3"/>
      <c r="Y2088" s="3"/>
      <c r="Z2088" s="53"/>
      <c r="AA2088" s="3"/>
      <c r="AB2088" s="59"/>
      <c r="AC2088" s="3"/>
      <c r="AD2088" s="53"/>
      <c r="AE2088" s="59"/>
    </row>
    <row r="2089" spans="1:31" customFormat="1" ht="15" x14ac:dyDescent="0.35">
      <c r="A2089" s="50"/>
      <c r="B2089" s="63"/>
      <c r="C2089" s="39"/>
      <c r="D2089" s="6"/>
      <c r="E2089" s="153"/>
      <c r="F2089" s="10"/>
      <c r="G2089" s="54"/>
      <c r="H2089" s="3"/>
      <c r="I2089" s="2"/>
      <c r="J2089" s="2"/>
      <c r="K2089" s="3"/>
      <c r="L2089" s="3"/>
      <c r="M2089" s="3"/>
      <c r="N2089" s="3"/>
      <c r="O2089" s="3"/>
      <c r="P2089" s="59"/>
      <c r="Q2089" s="3"/>
      <c r="R2089" s="3"/>
      <c r="S2089" s="3"/>
      <c r="T2089" s="3"/>
      <c r="U2089" s="3"/>
      <c r="V2089" s="3"/>
      <c r="W2089" s="3"/>
      <c r="X2089" s="3"/>
      <c r="Y2089" s="3"/>
      <c r="Z2089" s="53"/>
      <c r="AA2089" s="3"/>
      <c r="AB2089" s="59"/>
      <c r="AC2089" s="3"/>
      <c r="AD2089" s="53"/>
      <c r="AE2089" s="59"/>
    </row>
    <row r="2090" spans="1:31" customFormat="1" ht="15" x14ac:dyDescent="0.35">
      <c r="A2090" s="19"/>
      <c r="B2090" s="49"/>
      <c r="C2090" s="39"/>
      <c r="D2090" s="1"/>
      <c r="E2090" s="153"/>
      <c r="F2090" s="10"/>
      <c r="G2090" s="20"/>
      <c r="H2090" s="21"/>
      <c r="I2090" s="21"/>
      <c r="J2090" s="21"/>
      <c r="K2090" s="21"/>
      <c r="L2090" s="21"/>
      <c r="M2090" s="21"/>
      <c r="N2090" s="22"/>
      <c r="O2090" s="21"/>
      <c r="P2090" s="24"/>
      <c r="Q2090" s="21"/>
      <c r="R2090" s="21"/>
      <c r="S2090" s="21"/>
      <c r="T2090" s="21"/>
      <c r="U2090" s="21"/>
      <c r="V2090" s="22"/>
      <c r="W2090" s="21"/>
      <c r="X2090" s="22"/>
      <c r="Y2090" s="21"/>
      <c r="Z2090" s="20"/>
      <c r="AA2090" s="21"/>
      <c r="AB2090" s="25"/>
      <c r="AC2090" s="26"/>
      <c r="AD2090" s="27"/>
      <c r="AE2090" s="28"/>
    </row>
    <row r="2091" spans="1:31" customFormat="1" ht="15" x14ac:dyDescent="0.35">
      <c r="A2091" s="50"/>
      <c r="B2091" s="63"/>
      <c r="C2091" s="39"/>
      <c r="D2091" s="6"/>
      <c r="E2091" s="153"/>
      <c r="F2091" s="10"/>
      <c r="G2091" s="54"/>
      <c r="H2091" s="3"/>
      <c r="I2091" s="2"/>
      <c r="J2091" s="2"/>
      <c r="K2091" s="3"/>
      <c r="L2091" s="3"/>
      <c r="M2091" s="3"/>
      <c r="N2091" s="3"/>
      <c r="O2091" s="3"/>
      <c r="P2091" s="59"/>
      <c r="Q2091" s="3"/>
      <c r="R2091" s="3"/>
      <c r="S2091" s="3"/>
      <c r="T2091" s="3"/>
      <c r="U2091" s="3"/>
      <c r="V2091" s="3"/>
      <c r="W2091" s="3"/>
      <c r="X2091" s="3"/>
      <c r="Y2091" s="3"/>
      <c r="Z2091" s="53"/>
      <c r="AA2091" s="3"/>
      <c r="AB2091" s="59"/>
      <c r="AC2091" s="3"/>
      <c r="AD2091" s="53"/>
      <c r="AE2091" s="59"/>
    </row>
    <row r="2092" spans="1:31" customFormat="1" ht="15" x14ac:dyDescent="0.35">
      <c r="A2092" s="50"/>
      <c r="B2092" s="63"/>
      <c r="C2092" s="39"/>
      <c r="D2092" s="6"/>
      <c r="E2092" s="153"/>
      <c r="F2092" s="10"/>
      <c r="G2092" s="53"/>
      <c r="H2092" s="3"/>
      <c r="I2092" s="3"/>
      <c r="J2092" s="3"/>
      <c r="K2092" s="3"/>
      <c r="L2092" s="3"/>
      <c r="M2092" s="3"/>
      <c r="N2092" s="3"/>
      <c r="O2092" s="3"/>
      <c r="P2092" s="59"/>
      <c r="Q2092" s="21"/>
      <c r="R2092" s="21"/>
      <c r="S2092" s="3"/>
      <c r="T2092" s="3"/>
      <c r="U2092" s="3"/>
      <c r="V2092" s="3"/>
      <c r="W2092" s="3"/>
      <c r="X2092" s="3"/>
      <c r="Y2092" s="3"/>
      <c r="Z2092" s="53"/>
      <c r="AA2092" s="3"/>
      <c r="AB2092" s="59"/>
      <c r="AC2092" s="3"/>
      <c r="AD2092" s="53"/>
      <c r="AE2092" s="59"/>
    </row>
    <row r="2093" spans="1:31" customFormat="1" ht="15" x14ac:dyDescent="0.35">
      <c r="A2093" s="50"/>
      <c r="B2093" s="63"/>
      <c r="C2093" s="39"/>
      <c r="D2093" s="6"/>
      <c r="E2093" s="153"/>
      <c r="F2093" s="10"/>
      <c r="G2093" s="53"/>
      <c r="H2093" s="3"/>
      <c r="I2093" s="3"/>
      <c r="J2093" s="3"/>
      <c r="K2093" s="3"/>
      <c r="L2093" s="3"/>
      <c r="M2093" s="3"/>
      <c r="N2093" s="3"/>
      <c r="O2093" s="3"/>
      <c r="P2093" s="59"/>
      <c r="Q2093" s="21"/>
      <c r="R2093" s="21"/>
      <c r="S2093" s="3"/>
      <c r="T2093" s="3"/>
      <c r="U2093" s="3"/>
      <c r="V2093" s="3"/>
      <c r="W2093" s="3"/>
      <c r="X2093" s="3"/>
      <c r="Y2093" s="3"/>
      <c r="Z2093" s="53"/>
      <c r="AA2093" s="3"/>
      <c r="AB2093" s="59"/>
      <c r="AC2093" s="3"/>
      <c r="AD2093" s="53"/>
      <c r="AE2093" s="59"/>
    </row>
    <row r="2094" spans="1:31" customFormat="1" ht="15" x14ac:dyDescent="0.35">
      <c r="A2094" s="19"/>
      <c r="B2094" s="49"/>
      <c r="C2094" s="14"/>
      <c r="D2094" s="1"/>
      <c r="E2094" s="153"/>
      <c r="F2094" s="10"/>
      <c r="G2094" s="20"/>
      <c r="H2094" s="21"/>
      <c r="I2094" s="21"/>
      <c r="J2094" s="21"/>
      <c r="K2094" s="21"/>
      <c r="L2094" s="21"/>
      <c r="M2094" s="21"/>
      <c r="N2094" s="22"/>
      <c r="O2094" s="21"/>
      <c r="P2094" s="24"/>
      <c r="Q2094" s="21"/>
      <c r="R2094" s="21"/>
      <c r="S2094" s="21"/>
      <c r="T2094" s="21"/>
      <c r="U2094" s="21"/>
      <c r="V2094" s="22"/>
      <c r="W2094" s="21"/>
      <c r="X2094" s="22"/>
      <c r="Y2094" s="21"/>
      <c r="Z2094" s="20"/>
      <c r="AA2094" s="21"/>
      <c r="AB2094" s="25"/>
      <c r="AC2094" s="26"/>
      <c r="AD2094" s="27"/>
      <c r="AE2094" s="28"/>
    </row>
    <row r="2095" spans="1:31" customFormat="1" ht="15" x14ac:dyDescent="0.35">
      <c r="A2095" s="19"/>
      <c r="B2095" s="49"/>
      <c r="C2095" s="14"/>
      <c r="D2095" s="1"/>
      <c r="E2095" s="153"/>
      <c r="F2095" s="10"/>
      <c r="G2095" s="20"/>
      <c r="H2095" s="21"/>
      <c r="I2095" s="21"/>
      <c r="J2095" s="21"/>
      <c r="K2095" s="21"/>
      <c r="L2095" s="21"/>
      <c r="M2095" s="21"/>
      <c r="N2095" s="22"/>
      <c r="O2095" s="21"/>
      <c r="P2095" s="24"/>
      <c r="Q2095" s="21"/>
      <c r="R2095" s="21"/>
      <c r="S2095" s="21"/>
      <c r="T2095" s="21"/>
      <c r="U2095" s="21"/>
      <c r="V2095" s="22"/>
      <c r="W2095" s="21"/>
      <c r="X2095" s="22"/>
      <c r="Y2095" s="21"/>
      <c r="Z2095" s="20"/>
      <c r="AA2095" s="21"/>
      <c r="AB2095" s="25"/>
      <c r="AC2095" s="26"/>
      <c r="AD2095" s="27"/>
      <c r="AE2095" s="28"/>
    </row>
    <row r="2096" spans="1:31" customFormat="1" ht="15" x14ac:dyDescent="0.35">
      <c r="A2096" s="19"/>
      <c r="B2096" s="49"/>
      <c r="C2096" s="14"/>
      <c r="D2096" s="1"/>
      <c r="E2096" s="153"/>
      <c r="F2096" s="10"/>
      <c r="G2096" s="20"/>
      <c r="H2096" s="21"/>
      <c r="I2096" s="21"/>
      <c r="J2096" s="21"/>
      <c r="K2096" s="21"/>
      <c r="L2096" s="21"/>
      <c r="M2096" s="21"/>
      <c r="N2096" s="22"/>
      <c r="O2096" s="21"/>
      <c r="P2096" s="24"/>
      <c r="Q2096" s="21"/>
      <c r="R2096" s="21"/>
      <c r="S2096" s="21"/>
      <c r="T2096" s="21"/>
      <c r="U2096" s="21"/>
      <c r="V2096" s="22"/>
      <c r="W2096" s="21"/>
      <c r="X2096" s="22"/>
      <c r="Y2096" s="21"/>
      <c r="Z2096" s="20"/>
      <c r="AA2096" s="21"/>
      <c r="AB2096" s="25"/>
      <c r="AC2096" s="26"/>
      <c r="AD2096" s="27"/>
      <c r="AE2096" s="28"/>
    </row>
    <row r="2097" spans="1:31" customFormat="1" ht="15" x14ac:dyDescent="0.35">
      <c r="A2097" s="50"/>
      <c r="B2097" s="63"/>
      <c r="C2097" s="39"/>
      <c r="D2097" s="6"/>
      <c r="E2097" s="153"/>
      <c r="F2097" s="10"/>
      <c r="G2097" s="53"/>
      <c r="H2097" s="3"/>
      <c r="I2097" s="3"/>
      <c r="J2097" s="3"/>
      <c r="K2097" s="3"/>
      <c r="L2097" s="3"/>
      <c r="M2097" s="3"/>
      <c r="N2097" s="3"/>
      <c r="O2097" s="3"/>
      <c r="P2097" s="59"/>
      <c r="Q2097" s="21"/>
      <c r="R2097" s="21"/>
      <c r="S2097" s="3"/>
      <c r="T2097" s="3"/>
      <c r="U2097" s="3"/>
      <c r="V2097" s="3"/>
      <c r="W2097" s="3"/>
      <c r="X2097" s="3"/>
      <c r="Y2097" s="3"/>
      <c r="Z2097" s="53"/>
      <c r="AA2097" s="3"/>
      <c r="AB2097" s="59"/>
      <c r="AC2097" s="3"/>
      <c r="AD2097" s="53"/>
      <c r="AE2097" s="59"/>
    </row>
    <row r="2098" spans="1:31" customFormat="1" ht="15" x14ac:dyDescent="0.35">
      <c r="A2098" s="50"/>
      <c r="B2098" s="63"/>
      <c r="C2098" s="39"/>
      <c r="D2098" s="6"/>
      <c r="E2098" s="153"/>
      <c r="F2098" s="10"/>
      <c r="G2098" s="54"/>
      <c r="H2098" s="3"/>
      <c r="I2098" s="2"/>
      <c r="J2098" s="2"/>
      <c r="K2098" s="3"/>
      <c r="L2098" s="3"/>
      <c r="M2098" s="3"/>
      <c r="N2098" s="3"/>
      <c r="O2098" s="3"/>
      <c r="P2098" s="59"/>
      <c r="Q2098" s="3"/>
      <c r="R2098" s="3"/>
      <c r="S2098" s="3"/>
      <c r="T2098" s="3"/>
      <c r="U2098" s="3"/>
      <c r="V2098" s="3"/>
      <c r="W2098" s="3"/>
      <c r="X2098" s="3"/>
      <c r="Y2098" s="3"/>
      <c r="Z2098" s="53"/>
      <c r="AA2098" s="3"/>
      <c r="AB2098" s="59"/>
      <c r="AC2098" s="3"/>
      <c r="AD2098" s="53"/>
      <c r="AE2098" s="59"/>
    </row>
    <row r="2099" spans="1:31" customFormat="1" ht="15" x14ac:dyDescent="0.35">
      <c r="A2099" s="19"/>
      <c r="B2099" s="49"/>
      <c r="C2099" s="14"/>
      <c r="D2099" s="1"/>
      <c r="E2099" s="153"/>
      <c r="F2099" s="10"/>
      <c r="G2099" s="20"/>
      <c r="H2099" s="21"/>
      <c r="I2099" s="21"/>
      <c r="J2099" s="21"/>
      <c r="K2099" s="21"/>
      <c r="L2099" s="21"/>
      <c r="M2099" s="21"/>
      <c r="N2099" s="22"/>
      <c r="O2099" s="21"/>
      <c r="P2099" s="24"/>
      <c r="Q2099" s="21"/>
      <c r="R2099" s="21"/>
      <c r="S2099" s="21"/>
      <c r="T2099" s="21"/>
      <c r="U2099" s="21"/>
      <c r="V2099" s="22"/>
      <c r="W2099" s="21"/>
      <c r="X2099" s="22"/>
      <c r="Y2099" s="21"/>
      <c r="Z2099" s="20"/>
      <c r="AA2099" s="21"/>
      <c r="AB2099" s="25"/>
      <c r="AC2099" s="26"/>
      <c r="AD2099" s="27"/>
      <c r="AE2099" s="28"/>
    </row>
    <row r="2100" spans="1:31" customFormat="1" ht="15" x14ac:dyDescent="0.35">
      <c r="A2100" s="50"/>
      <c r="B2100" s="63"/>
      <c r="C2100" s="39"/>
      <c r="D2100" s="6"/>
      <c r="E2100" s="153"/>
      <c r="F2100" s="10"/>
      <c r="G2100" s="54"/>
      <c r="H2100" s="3"/>
      <c r="I2100" s="2"/>
      <c r="J2100" s="2"/>
      <c r="K2100" s="3"/>
      <c r="L2100" s="3"/>
      <c r="M2100" s="3"/>
      <c r="N2100" s="3"/>
      <c r="O2100" s="3"/>
      <c r="P2100" s="59"/>
      <c r="Q2100" s="3"/>
      <c r="R2100" s="3"/>
      <c r="S2100" s="3"/>
      <c r="T2100" s="3"/>
      <c r="U2100" s="3"/>
      <c r="V2100" s="3"/>
      <c r="W2100" s="3"/>
      <c r="X2100" s="3"/>
      <c r="Y2100" s="3"/>
      <c r="Z2100" s="53"/>
      <c r="AA2100" s="3"/>
      <c r="AB2100" s="59"/>
      <c r="AC2100" s="3"/>
      <c r="AD2100" s="53"/>
      <c r="AE2100" s="59"/>
    </row>
    <row r="2101" spans="1:31" customFormat="1" ht="15" x14ac:dyDescent="0.35">
      <c r="A2101" s="50"/>
      <c r="B2101" s="63"/>
      <c r="C2101" s="39"/>
      <c r="D2101" s="6"/>
      <c r="E2101" s="153"/>
      <c r="F2101" s="10"/>
      <c r="G2101" s="53"/>
      <c r="H2101" s="3"/>
      <c r="I2101" s="3"/>
      <c r="J2101" s="3"/>
      <c r="K2101" s="3"/>
      <c r="L2101" s="3"/>
      <c r="M2101" s="3"/>
      <c r="N2101" s="3"/>
      <c r="O2101" s="3"/>
      <c r="P2101" s="59"/>
      <c r="Q2101" s="21"/>
      <c r="R2101" s="21"/>
      <c r="S2101" s="3"/>
      <c r="T2101" s="3"/>
      <c r="U2101" s="3"/>
      <c r="V2101" s="3"/>
      <c r="W2101" s="3"/>
      <c r="X2101" s="3"/>
      <c r="Y2101" s="3"/>
      <c r="Z2101" s="53"/>
      <c r="AA2101" s="3"/>
      <c r="AB2101" s="59"/>
      <c r="AC2101" s="3"/>
      <c r="AD2101" s="53"/>
      <c r="AE2101" s="59"/>
    </row>
    <row r="2102" spans="1:31" customFormat="1" ht="15" x14ac:dyDescent="0.35">
      <c r="A2102" s="50"/>
      <c r="B2102" s="63"/>
      <c r="C2102" s="39"/>
      <c r="D2102" s="6"/>
      <c r="E2102" s="153"/>
      <c r="F2102" s="10"/>
      <c r="G2102" s="53"/>
      <c r="H2102" s="3"/>
      <c r="I2102" s="3"/>
      <c r="J2102" s="3"/>
      <c r="K2102" s="3"/>
      <c r="L2102" s="3"/>
      <c r="M2102" s="3"/>
      <c r="N2102" s="3"/>
      <c r="O2102" s="3"/>
      <c r="P2102" s="59"/>
      <c r="Q2102" s="21"/>
      <c r="R2102" s="21"/>
      <c r="S2102" s="3"/>
      <c r="T2102" s="3"/>
      <c r="U2102" s="3"/>
      <c r="V2102" s="3"/>
      <c r="W2102" s="3"/>
      <c r="X2102" s="3"/>
      <c r="Y2102" s="3"/>
      <c r="Z2102" s="53"/>
      <c r="AA2102" s="3"/>
      <c r="AB2102" s="59"/>
      <c r="AC2102" s="3"/>
      <c r="AD2102" s="53"/>
      <c r="AE2102" s="59"/>
    </row>
    <row r="2103" spans="1:31" customFormat="1" ht="15" x14ac:dyDescent="0.35">
      <c r="A2103" s="50"/>
      <c r="B2103" s="63"/>
      <c r="C2103" s="39"/>
      <c r="D2103" s="6"/>
      <c r="E2103" s="153"/>
      <c r="F2103" s="10"/>
      <c r="G2103" s="54"/>
      <c r="H2103" s="3"/>
      <c r="I2103" s="2"/>
      <c r="J2103" s="2"/>
      <c r="K2103" s="3"/>
      <c r="L2103" s="3"/>
      <c r="M2103" s="3"/>
      <c r="N2103" s="3"/>
      <c r="O2103" s="3"/>
      <c r="P2103" s="59"/>
      <c r="Q2103" s="21"/>
      <c r="R2103" s="21"/>
      <c r="S2103" s="3"/>
      <c r="T2103" s="3"/>
      <c r="U2103" s="3"/>
      <c r="V2103" s="3"/>
      <c r="W2103" s="3"/>
      <c r="X2103" s="3"/>
      <c r="Y2103" s="3"/>
      <c r="Z2103" s="53"/>
      <c r="AA2103" s="3"/>
      <c r="AB2103" s="59"/>
      <c r="AC2103" s="3"/>
      <c r="AD2103" s="53"/>
      <c r="AE2103" s="65"/>
    </row>
    <row r="2104" spans="1:31" customFormat="1" ht="15" x14ac:dyDescent="0.35">
      <c r="A2104" s="19"/>
      <c r="B2104" s="49"/>
      <c r="C2104" s="39"/>
      <c r="D2104" s="1"/>
      <c r="E2104" s="153"/>
      <c r="F2104" s="10"/>
      <c r="G2104" s="20"/>
      <c r="H2104" s="21"/>
      <c r="I2104" s="21"/>
      <c r="J2104" s="21"/>
      <c r="K2104" s="21"/>
      <c r="L2104" s="21"/>
      <c r="M2104" s="21"/>
      <c r="N2104" s="22"/>
      <c r="O2104" s="21"/>
      <c r="P2104" s="24"/>
      <c r="Q2104" s="21"/>
      <c r="R2104" s="21"/>
      <c r="S2104" s="21"/>
      <c r="T2104" s="21"/>
      <c r="U2104" s="21"/>
      <c r="V2104" s="22"/>
      <c r="W2104" s="21"/>
      <c r="X2104" s="22"/>
      <c r="Y2104" s="21"/>
      <c r="Z2104" s="20"/>
      <c r="AA2104" s="21"/>
      <c r="AB2104" s="25"/>
      <c r="AC2104" s="26"/>
      <c r="AD2104" s="27"/>
      <c r="AE2104" s="28"/>
    </row>
    <row r="2105" spans="1:31" customFormat="1" ht="15" x14ac:dyDescent="0.35">
      <c r="A2105" s="19"/>
      <c r="B2105" s="49"/>
      <c r="C2105" s="39"/>
      <c r="D2105" s="1"/>
      <c r="E2105" s="153"/>
      <c r="F2105" s="10"/>
      <c r="G2105" s="20"/>
      <c r="H2105" s="21"/>
      <c r="I2105" s="21"/>
      <c r="J2105" s="21"/>
      <c r="K2105" s="21"/>
      <c r="L2105" s="21"/>
      <c r="M2105" s="21"/>
      <c r="N2105" s="22"/>
      <c r="O2105" s="21"/>
      <c r="P2105" s="24"/>
      <c r="Q2105" s="21"/>
      <c r="R2105" s="21"/>
      <c r="S2105" s="21"/>
      <c r="T2105" s="21"/>
      <c r="U2105" s="21"/>
      <c r="V2105" s="22"/>
      <c r="W2105" s="21"/>
      <c r="X2105" s="22"/>
      <c r="Y2105" s="21"/>
      <c r="Z2105" s="20"/>
      <c r="AA2105" s="21"/>
      <c r="AB2105" s="25"/>
      <c r="AC2105" s="26"/>
      <c r="AD2105" s="27"/>
      <c r="AE2105" s="28"/>
    </row>
    <row r="2106" spans="1:31" customFormat="1" ht="15" x14ac:dyDescent="0.35">
      <c r="A2106" s="19"/>
      <c r="B2106" s="49"/>
      <c r="C2106" s="14"/>
      <c r="D2106" s="1"/>
      <c r="E2106" s="153"/>
      <c r="F2106" s="10"/>
      <c r="G2106" s="20"/>
      <c r="H2106" s="21"/>
      <c r="I2106" s="21"/>
      <c r="J2106" s="21"/>
      <c r="K2106" s="21"/>
      <c r="L2106" s="21"/>
      <c r="M2106" s="21"/>
      <c r="N2106" s="22"/>
      <c r="O2106" s="21"/>
      <c r="P2106" s="24"/>
      <c r="Q2106" s="21"/>
      <c r="R2106" s="21"/>
      <c r="S2106" s="21"/>
      <c r="T2106" s="21"/>
      <c r="U2106" s="21"/>
      <c r="V2106" s="22"/>
      <c r="W2106" s="21"/>
      <c r="X2106" s="22"/>
      <c r="Y2106" s="21"/>
      <c r="Z2106" s="20"/>
      <c r="AA2106" s="21"/>
      <c r="AB2106" s="25"/>
      <c r="AC2106" s="26"/>
      <c r="AD2106" s="27"/>
      <c r="AE2106" s="65"/>
    </row>
    <row r="2107" spans="1:31" customFormat="1" ht="15" x14ac:dyDescent="0.35">
      <c r="A2107" s="50"/>
      <c r="B2107" s="63"/>
      <c r="C2107" s="39"/>
      <c r="D2107" s="6"/>
      <c r="E2107" s="153"/>
      <c r="F2107" s="10"/>
      <c r="G2107" s="53"/>
      <c r="H2107" s="3"/>
      <c r="I2107" s="3"/>
      <c r="J2107" s="3"/>
      <c r="K2107" s="3"/>
      <c r="L2107" s="3"/>
      <c r="M2107" s="3"/>
      <c r="N2107" s="3"/>
      <c r="O2107" s="3"/>
      <c r="P2107" s="59"/>
      <c r="Q2107" s="21"/>
      <c r="R2107" s="21"/>
      <c r="S2107" s="3"/>
      <c r="T2107" s="3"/>
      <c r="U2107" s="3"/>
      <c r="V2107" s="3"/>
      <c r="W2107" s="3"/>
      <c r="X2107" s="3"/>
      <c r="Y2107" s="3"/>
      <c r="Z2107" s="53"/>
      <c r="AA2107" s="3"/>
      <c r="AB2107" s="59"/>
      <c r="AC2107" s="3"/>
      <c r="AD2107" s="53"/>
      <c r="AE2107" s="59"/>
    </row>
    <row r="2108" spans="1:31" customFormat="1" ht="15" x14ac:dyDescent="0.35">
      <c r="A2108" s="50"/>
      <c r="B2108" s="63"/>
      <c r="C2108" s="39"/>
      <c r="D2108" s="6"/>
      <c r="E2108" s="153"/>
      <c r="F2108" s="10"/>
      <c r="G2108" s="53"/>
      <c r="H2108" s="3"/>
      <c r="I2108" s="3"/>
      <c r="J2108" s="3"/>
      <c r="K2108" s="3"/>
      <c r="L2108" s="3"/>
      <c r="M2108" s="3"/>
      <c r="N2108" s="3"/>
      <c r="O2108" s="3"/>
      <c r="P2108" s="59"/>
      <c r="Q2108" s="21"/>
      <c r="R2108" s="21"/>
      <c r="S2108" s="3"/>
      <c r="T2108" s="3"/>
      <c r="U2108" s="3"/>
      <c r="V2108" s="3"/>
      <c r="W2108" s="3"/>
      <c r="X2108" s="3"/>
      <c r="Y2108" s="3"/>
      <c r="Z2108" s="53"/>
      <c r="AA2108" s="3"/>
      <c r="AB2108" s="59"/>
      <c r="AC2108" s="3"/>
      <c r="AD2108" s="53"/>
      <c r="AE2108" s="59"/>
    </row>
    <row r="2109" spans="1:31" customFormat="1" ht="15" x14ac:dyDescent="0.35">
      <c r="A2109" s="50"/>
      <c r="B2109" s="63"/>
      <c r="C2109" s="39"/>
      <c r="D2109" s="6"/>
      <c r="E2109" s="153"/>
      <c r="F2109" s="10"/>
      <c r="G2109" s="54"/>
      <c r="H2109" s="3"/>
      <c r="I2109" s="2"/>
      <c r="J2109" s="2"/>
      <c r="K2109" s="3"/>
      <c r="L2109" s="3"/>
      <c r="M2109" s="3"/>
      <c r="N2109" s="3"/>
      <c r="O2109" s="3"/>
      <c r="P2109" s="59"/>
      <c r="Q2109" s="3"/>
      <c r="R2109" s="3"/>
      <c r="S2109" s="3"/>
      <c r="T2109" s="3"/>
      <c r="U2109" s="3"/>
      <c r="V2109" s="3"/>
      <c r="W2109" s="3"/>
      <c r="X2109" s="3"/>
      <c r="Y2109" s="3"/>
      <c r="Z2109" s="53"/>
      <c r="AA2109" s="3"/>
      <c r="AB2109" s="59"/>
      <c r="AC2109" s="3"/>
      <c r="AD2109" s="53"/>
      <c r="AE2109" s="59"/>
    </row>
    <row r="2110" spans="1:31" customFormat="1" ht="15" x14ac:dyDescent="0.35">
      <c r="A2110" s="50"/>
      <c r="B2110" s="63"/>
      <c r="C2110" s="39"/>
      <c r="D2110" s="6"/>
      <c r="E2110" s="153"/>
      <c r="F2110" s="10"/>
      <c r="G2110" s="53"/>
      <c r="H2110" s="3"/>
      <c r="I2110" s="3"/>
      <c r="J2110" s="3"/>
      <c r="K2110" s="3"/>
      <c r="L2110" s="3"/>
      <c r="M2110" s="3"/>
      <c r="N2110" s="3"/>
      <c r="O2110" s="3"/>
      <c r="P2110" s="59"/>
      <c r="Q2110" s="21"/>
      <c r="R2110" s="21"/>
      <c r="S2110" s="3"/>
      <c r="T2110" s="3"/>
      <c r="U2110" s="3"/>
      <c r="V2110" s="3"/>
      <c r="W2110" s="3"/>
      <c r="X2110" s="3"/>
      <c r="Y2110" s="3"/>
      <c r="Z2110" s="53"/>
      <c r="AA2110" s="3"/>
      <c r="AB2110" s="59"/>
      <c r="AC2110" s="3"/>
      <c r="AD2110" s="53"/>
      <c r="AE2110" s="59"/>
    </row>
    <row r="2111" spans="1:31" customFormat="1" ht="15" x14ac:dyDescent="0.35">
      <c r="A2111" s="19"/>
      <c r="B2111" s="49"/>
      <c r="C2111" s="14"/>
      <c r="D2111" s="1"/>
      <c r="E2111" s="153"/>
      <c r="F2111" s="10"/>
      <c r="G2111" s="20"/>
      <c r="H2111" s="21"/>
      <c r="I2111" s="21"/>
      <c r="J2111" s="21"/>
      <c r="K2111" s="21"/>
      <c r="L2111" s="21"/>
      <c r="M2111" s="21"/>
      <c r="N2111" s="22"/>
      <c r="O2111" s="21"/>
      <c r="P2111" s="24"/>
      <c r="Q2111" s="21"/>
      <c r="R2111" s="21"/>
      <c r="S2111" s="21"/>
      <c r="T2111" s="21"/>
      <c r="U2111" s="21"/>
      <c r="V2111" s="22"/>
      <c r="W2111" s="21"/>
      <c r="X2111" s="22"/>
      <c r="Y2111" s="21"/>
      <c r="Z2111" s="20"/>
      <c r="AA2111" s="21"/>
      <c r="AB2111" s="25"/>
      <c r="AC2111" s="26"/>
      <c r="AD2111" s="27"/>
      <c r="AE2111" s="28"/>
    </row>
    <row r="2112" spans="1:31" customFormat="1" ht="15" x14ac:dyDescent="0.35">
      <c r="A2112" s="50"/>
      <c r="B2112" s="63"/>
      <c r="C2112" s="39"/>
      <c r="D2112" s="6"/>
      <c r="E2112" s="153"/>
      <c r="F2112" s="10"/>
      <c r="G2112" s="53"/>
      <c r="H2112" s="3"/>
      <c r="I2112" s="3"/>
      <c r="J2112" s="3"/>
      <c r="K2112" s="3"/>
      <c r="L2112" s="3"/>
      <c r="M2112" s="3"/>
      <c r="N2112" s="3"/>
      <c r="O2112" s="3"/>
      <c r="P2112" s="59"/>
      <c r="Q2112" s="21"/>
      <c r="R2112" s="21"/>
      <c r="S2112" s="3"/>
      <c r="T2112" s="3"/>
      <c r="U2112" s="3"/>
      <c r="V2112" s="3"/>
      <c r="W2112" s="3"/>
      <c r="X2112" s="3"/>
      <c r="Y2112" s="3"/>
      <c r="Z2112" s="53"/>
      <c r="AA2112" s="3"/>
      <c r="AB2112" s="59"/>
      <c r="AC2112" s="3"/>
      <c r="AD2112" s="53"/>
      <c r="AE2112" s="59"/>
    </row>
    <row r="2113" spans="1:31" customFormat="1" ht="15" x14ac:dyDescent="0.35">
      <c r="A2113" s="50"/>
      <c r="B2113" s="63"/>
      <c r="C2113" s="39"/>
      <c r="D2113" s="6"/>
      <c r="E2113" s="153"/>
      <c r="F2113" s="10"/>
      <c r="G2113" s="53"/>
      <c r="H2113" s="3"/>
      <c r="I2113" s="3"/>
      <c r="J2113" s="3"/>
      <c r="K2113" s="3"/>
      <c r="L2113" s="3"/>
      <c r="M2113" s="3"/>
      <c r="N2113" s="3"/>
      <c r="O2113" s="3"/>
      <c r="P2113" s="59"/>
      <c r="Q2113" s="21"/>
      <c r="R2113" s="21"/>
      <c r="S2113" s="3"/>
      <c r="T2113" s="3"/>
      <c r="U2113" s="3"/>
      <c r="V2113" s="3"/>
      <c r="W2113" s="3"/>
      <c r="X2113" s="3"/>
      <c r="Y2113" s="3"/>
      <c r="Z2113" s="53"/>
      <c r="AA2113" s="3"/>
      <c r="AB2113" s="59"/>
      <c r="AC2113" s="3"/>
      <c r="AD2113" s="53"/>
      <c r="AE2113" s="59"/>
    </row>
    <row r="2114" spans="1:31" customFormat="1" ht="15" x14ac:dyDescent="0.35">
      <c r="A2114" s="50"/>
      <c r="B2114" s="63"/>
      <c r="C2114" s="39"/>
      <c r="D2114" s="6"/>
      <c r="E2114" s="153"/>
      <c r="F2114" s="10"/>
      <c r="G2114" s="54"/>
      <c r="H2114" s="3"/>
      <c r="I2114" s="2"/>
      <c r="J2114" s="2"/>
      <c r="K2114" s="3"/>
      <c r="L2114" s="3"/>
      <c r="M2114" s="3"/>
      <c r="N2114" s="3"/>
      <c r="O2114" s="3"/>
      <c r="P2114" s="59"/>
      <c r="Q2114" s="3"/>
      <c r="R2114" s="3"/>
      <c r="S2114" s="3"/>
      <c r="T2114" s="3"/>
      <c r="U2114" s="3"/>
      <c r="V2114" s="3"/>
      <c r="W2114" s="3"/>
      <c r="X2114" s="3"/>
      <c r="Y2114" s="3"/>
      <c r="Z2114" s="53"/>
      <c r="AA2114" s="3"/>
      <c r="AB2114" s="59"/>
      <c r="AC2114" s="3"/>
      <c r="AD2114" s="53"/>
      <c r="AE2114" s="59"/>
    </row>
    <row r="2115" spans="1:31" customFormat="1" ht="15" x14ac:dyDescent="0.35">
      <c r="A2115" s="50"/>
      <c r="B2115" s="63"/>
      <c r="C2115" s="39"/>
      <c r="D2115" s="6"/>
      <c r="E2115" s="153"/>
      <c r="F2115" s="10"/>
      <c r="G2115" s="53"/>
      <c r="H2115" s="3"/>
      <c r="I2115" s="3"/>
      <c r="J2115" s="3"/>
      <c r="K2115" s="3"/>
      <c r="L2115" s="3"/>
      <c r="M2115" s="3"/>
      <c r="N2115" s="3"/>
      <c r="O2115" s="3"/>
      <c r="P2115" s="59"/>
      <c r="Q2115" s="21"/>
      <c r="R2115" s="21"/>
      <c r="S2115" s="3"/>
      <c r="T2115" s="3"/>
      <c r="U2115" s="3"/>
      <c r="V2115" s="3"/>
      <c r="W2115" s="3"/>
      <c r="X2115" s="3"/>
      <c r="Y2115" s="3"/>
      <c r="Z2115" s="53"/>
      <c r="AA2115" s="3"/>
      <c r="AB2115" s="59"/>
      <c r="AC2115" s="3"/>
      <c r="AD2115" s="53"/>
      <c r="AE2115" s="59"/>
    </row>
    <row r="2116" spans="1:31" customFormat="1" ht="15" x14ac:dyDescent="0.35">
      <c r="A2116" s="19"/>
      <c r="B2116" s="49"/>
      <c r="C2116" s="14"/>
      <c r="D2116" s="1"/>
      <c r="E2116" s="153"/>
      <c r="F2116" s="10"/>
      <c r="G2116" s="20"/>
      <c r="H2116" s="21"/>
      <c r="I2116" s="21"/>
      <c r="J2116" s="21"/>
      <c r="K2116" s="21"/>
      <c r="L2116" s="21"/>
      <c r="M2116" s="21"/>
      <c r="N2116" s="22"/>
      <c r="O2116" s="21"/>
      <c r="P2116" s="24"/>
      <c r="Q2116" s="21"/>
      <c r="R2116" s="21"/>
      <c r="S2116" s="21"/>
      <c r="T2116" s="21"/>
      <c r="U2116" s="21"/>
      <c r="V2116" s="22"/>
      <c r="W2116" s="21"/>
      <c r="X2116" s="22"/>
      <c r="Y2116" s="21"/>
      <c r="Z2116" s="20"/>
      <c r="AA2116" s="21"/>
      <c r="AB2116" s="25"/>
      <c r="AC2116" s="26"/>
      <c r="AD2116" s="27"/>
      <c r="AE2116" s="28"/>
    </row>
    <row r="2117" spans="1:31" customFormat="1" ht="15" x14ac:dyDescent="0.35">
      <c r="A2117" s="50"/>
      <c r="B2117" s="63"/>
      <c r="C2117" s="39"/>
      <c r="D2117" s="6"/>
      <c r="E2117" s="153"/>
      <c r="F2117" s="10"/>
      <c r="G2117" s="53"/>
      <c r="H2117" s="3"/>
      <c r="I2117" s="3"/>
      <c r="J2117" s="3"/>
      <c r="K2117" s="3"/>
      <c r="L2117" s="3"/>
      <c r="M2117" s="3"/>
      <c r="N2117" s="3"/>
      <c r="O2117" s="3"/>
      <c r="P2117" s="59"/>
      <c r="Q2117" s="21"/>
      <c r="R2117" s="21"/>
      <c r="S2117" s="3"/>
      <c r="T2117" s="3"/>
      <c r="U2117" s="3"/>
      <c r="V2117" s="3"/>
      <c r="W2117" s="3"/>
      <c r="X2117" s="3"/>
      <c r="Y2117" s="3"/>
      <c r="Z2117" s="53"/>
      <c r="AA2117" s="3"/>
      <c r="AB2117" s="59"/>
      <c r="AC2117" s="3"/>
      <c r="AD2117" s="53"/>
      <c r="AE2117" s="59"/>
    </row>
    <row r="2118" spans="1:31" customFormat="1" ht="15" x14ac:dyDescent="0.35">
      <c r="A2118" s="50"/>
      <c r="B2118" s="63"/>
      <c r="C2118" s="39"/>
      <c r="D2118" s="6"/>
      <c r="E2118" s="153"/>
      <c r="F2118" s="10"/>
      <c r="G2118" s="54"/>
      <c r="H2118" s="3"/>
      <c r="I2118" s="2"/>
      <c r="J2118" s="2"/>
      <c r="K2118" s="3"/>
      <c r="L2118" s="3"/>
      <c r="M2118" s="3"/>
      <c r="N2118" s="3"/>
      <c r="O2118" s="3"/>
      <c r="P2118" s="59"/>
      <c r="Q2118" s="3"/>
      <c r="R2118" s="3"/>
      <c r="S2118" s="3"/>
      <c r="T2118" s="3"/>
      <c r="U2118" s="3"/>
      <c r="V2118" s="3"/>
      <c r="W2118" s="3"/>
      <c r="X2118" s="3"/>
      <c r="Y2118" s="3"/>
      <c r="Z2118" s="53"/>
      <c r="AA2118" s="3"/>
      <c r="AB2118" s="59"/>
      <c r="AC2118" s="3"/>
      <c r="AD2118" s="53"/>
      <c r="AE2118" s="65"/>
    </row>
    <row r="2119" spans="1:31" customFormat="1" ht="15" x14ac:dyDescent="0.35">
      <c r="A2119" s="50"/>
      <c r="B2119" s="63"/>
      <c r="C2119" s="39"/>
      <c r="D2119" s="6"/>
      <c r="E2119" s="153"/>
      <c r="F2119" s="10"/>
      <c r="G2119" s="54"/>
      <c r="H2119" s="3"/>
      <c r="I2119" s="2"/>
      <c r="J2119" s="2"/>
      <c r="K2119" s="3"/>
      <c r="L2119" s="3"/>
      <c r="M2119" s="3"/>
      <c r="N2119" s="3"/>
      <c r="O2119" s="3"/>
      <c r="P2119" s="59"/>
      <c r="Q2119" s="3"/>
      <c r="R2119" s="3"/>
      <c r="S2119" s="3"/>
      <c r="T2119" s="3"/>
      <c r="U2119" s="3"/>
      <c r="V2119" s="3"/>
      <c r="W2119" s="3"/>
      <c r="X2119" s="3"/>
      <c r="Y2119" s="3"/>
      <c r="Z2119" s="53"/>
      <c r="AA2119" s="3"/>
      <c r="AB2119" s="59"/>
      <c r="AC2119" s="3"/>
      <c r="AD2119" s="53"/>
      <c r="AE2119" s="59"/>
    </row>
    <row r="2120" spans="1:31" customFormat="1" ht="15" x14ac:dyDescent="0.35">
      <c r="A2120" s="19"/>
      <c r="B2120" s="49"/>
      <c r="C2120" s="14"/>
      <c r="D2120" s="1"/>
      <c r="E2120" s="153"/>
      <c r="F2120" s="10"/>
      <c r="G2120" s="20"/>
      <c r="H2120" s="21"/>
      <c r="I2120" s="21"/>
      <c r="J2120" s="21"/>
      <c r="K2120" s="21"/>
      <c r="L2120" s="21"/>
      <c r="M2120" s="21"/>
      <c r="N2120" s="22"/>
      <c r="O2120" s="21"/>
      <c r="P2120" s="24"/>
      <c r="Q2120" s="21"/>
      <c r="R2120" s="21"/>
      <c r="S2120" s="21"/>
      <c r="T2120" s="21"/>
      <c r="U2120" s="21"/>
      <c r="V2120" s="22"/>
      <c r="W2120" s="21"/>
      <c r="X2120" s="22"/>
      <c r="Y2120" s="21"/>
      <c r="Z2120" s="20"/>
      <c r="AA2120" s="21"/>
      <c r="AB2120" s="25"/>
      <c r="AC2120" s="26"/>
      <c r="AD2120" s="27"/>
      <c r="AE2120" s="28"/>
    </row>
    <row r="2121" spans="1:31" customFormat="1" ht="15" x14ac:dyDescent="0.35">
      <c r="A2121" s="19"/>
      <c r="B2121" s="49"/>
      <c r="C2121" s="14"/>
      <c r="D2121" s="1"/>
      <c r="E2121" s="153"/>
      <c r="F2121" s="10"/>
      <c r="G2121" s="20"/>
      <c r="H2121" s="21"/>
      <c r="I2121" s="21"/>
      <c r="J2121" s="21"/>
      <c r="K2121" s="21"/>
      <c r="L2121" s="21"/>
      <c r="M2121" s="21"/>
      <c r="N2121" s="22"/>
      <c r="O2121" s="21"/>
      <c r="P2121" s="24"/>
      <c r="Q2121" s="21"/>
      <c r="R2121" s="21"/>
      <c r="S2121" s="21"/>
      <c r="T2121" s="21"/>
      <c r="U2121" s="21"/>
      <c r="V2121" s="22"/>
      <c r="W2121" s="21"/>
      <c r="X2121" s="22"/>
      <c r="Y2121" s="21"/>
      <c r="Z2121" s="20"/>
      <c r="AA2121" s="21"/>
      <c r="AB2121" s="25"/>
      <c r="AC2121" s="26"/>
      <c r="AD2121" s="27"/>
      <c r="AE2121" s="28"/>
    </row>
    <row r="2122" spans="1:31" customFormat="1" ht="15" x14ac:dyDescent="0.35">
      <c r="A2122" s="50"/>
      <c r="B2122" s="63"/>
      <c r="C2122" s="39"/>
      <c r="D2122" s="6"/>
      <c r="E2122" s="153"/>
      <c r="F2122" s="10"/>
      <c r="G2122" s="54"/>
      <c r="H2122" s="3"/>
      <c r="I2122" s="2"/>
      <c r="J2122" s="2"/>
      <c r="K2122" s="3"/>
      <c r="L2122" s="3"/>
      <c r="M2122" s="3"/>
      <c r="N2122" s="3"/>
      <c r="O2122" s="3"/>
      <c r="P2122" s="59"/>
      <c r="Q2122" s="3"/>
      <c r="R2122" s="3"/>
      <c r="S2122" s="3"/>
      <c r="T2122" s="3"/>
      <c r="U2122" s="3"/>
      <c r="V2122" s="3"/>
      <c r="W2122" s="3"/>
      <c r="X2122" s="3"/>
      <c r="Y2122" s="3"/>
      <c r="Z2122" s="53"/>
      <c r="AA2122" s="3"/>
      <c r="AB2122" s="59"/>
      <c r="AC2122" s="3"/>
      <c r="AD2122" s="53"/>
      <c r="AE2122" s="59"/>
    </row>
    <row r="2123" spans="1:31" customFormat="1" ht="15" x14ac:dyDescent="0.35">
      <c r="A2123" s="50"/>
      <c r="B2123" s="63"/>
      <c r="C2123" s="39"/>
      <c r="D2123" s="6"/>
      <c r="E2123" s="153"/>
      <c r="F2123" s="10"/>
      <c r="G2123" s="53"/>
      <c r="H2123" s="3"/>
      <c r="I2123" s="3"/>
      <c r="J2123" s="3"/>
      <c r="K2123" s="3"/>
      <c r="L2123" s="3"/>
      <c r="M2123" s="3"/>
      <c r="N2123" s="3"/>
      <c r="O2123" s="3"/>
      <c r="P2123" s="59"/>
      <c r="Q2123" s="21"/>
      <c r="R2123" s="21"/>
      <c r="S2123" s="3"/>
      <c r="T2123" s="3"/>
      <c r="U2123" s="3"/>
      <c r="V2123" s="3"/>
      <c r="W2123" s="3"/>
      <c r="X2123" s="3"/>
      <c r="Y2123" s="3"/>
      <c r="Z2123" s="53"/>
      <c r="AA2123" s="3"/>
      <c r="AB2123" s="59"/>
      <c r="AC2123" s="3"/>
      <c r="AD2123" s="53"/>
      <c r="AE2123" s="59"/>
    </row>
    <row r="2124" spans="1:31" customFormat="1" ht="15" x14ac:dyDescent="0.35">
      <c r="A2124" s="50"/>
      <c r="B2124" s="63"/>
      <c r="C2124" s="39"/>
      <c r="D2124" s="6"/>
      <c r="E2124" s="153"/>
      <c r="F2124" s="10"/>
      <c r="G2124" s="54"/>
      <c r="H2124" s="3"/>
      <c r="I2124" s="2"/>
      <c r="J2124" s="2"/>
      <c r="K2124" s="3"/>
      <c r="L2124" s="3"/>
      <c r="M2124" s="3"/>
      <c r="N2124" s="3"/>
      <c r="O2124" s="3"/>
      <c r="P2124" s="59"/>
      <c r="Q2124" s="3"/>
      <c r="R2124" s="3"/>
      <c r="S2124" s="3"/>
      <c r="T2124" s="3"/>
      <c r="U2124" s="3"/>
      <c r="V2124" s="3"/>
      <c r="W2124" s="3"/>
      <c r="X2124" s="3"/>
      <c r="Y2124" s="3"/>
      <c r="Z2124" s="53"/>
      <c r="AA2124" s="3"/>
      <c r="AB2124" s="59"/>
      <c r="AC2124" s="3"/>
      <c r="AD2124" s="53"/>
      <c r="AE2124" s="59"/>
    </row>
    <row r="2125" spans="1:31" customFormat="1" ht="15" x14ac:dyDescent="0.35">
      <c r="A2125" s="19"/>
      <c r="B2125" s="49"/>
      <c r="C2125" s="14"/>
      <c r="D2125" s="1"/>
      <c r="E2125" s="153"/>
      <c r="F2125" s="10"/>
      <c r="G2125" s="20"/>
      <c r="H2125" s="21"/>
      <c r="I2125" s="21"/>
      <c r="J2125" s="21"/>
      <c r="K2125" s="21"/>
      <c r="L2125" s="21"/>
      <c r="M2125" s="21"/>
      <c r="N2125" s="22"/>
      <c r="O2125" s="21"/>
      <c r="P2125" s="24"/>
      <c r="Q2125" s="21"/>
      <c r="R2125" s="21"/>
      <c r="S2125" s="21"/>
      <c r="T2125" s="21"/>
      <c r="U2125" s="21"/>
      <c r="V2125" s="22"/>
      <c r="W2125" s="21"/>
      <c r="X2125" s="22"/>
      <c r="Y2125" s="21"/>
      <c r="Z2125" s="20"/>
      <c r="AA2125" s="21"/>
      <c r="AB2125" s="25"/>
      <c r="AC2125" s="26"/>
      <c r="AD2125" s="27"/>
      <c r="AE2125" s="28"/>
    </row>
    <row r="2126" spans="1:31" customFormat="1" ht="15" x14ac:dyDescent="0.35">
      <c r="A2126" s="50"/>
      <c r="B2126" s="63"/>
      <c r="C2126" s="39"/>
      <c r="D2126" s="6"/>
      <c r="E2126" s="153"/>
      <c r="F2126" s="10"/>
      <c r="G2126" s="53"/>
      <c r="H2126" s="3"/>
      <c r="I2126" s="3"/>
      <c r="J2126" s="3"/>
      <c r="K2126" s="3"/>
      <c r="L2126" s="3"/>
      <c r="M2126" s="3"/>
      <c r="N2126" s="3"/>
      <c r="O2126" s="3"/>
      <c r="P2126" s="59"/>
      <c r="Q2126" s="21"/>
      <c r="R2126" s="21"/>
      <c r="S2126" s="3"/>
      <c r="T2126" s="3"/>
      <c r="U2126" s="3"/>
      <c r="V2126" s="3"/>
      <c r="W2126" s="3"/>
      <c r="X2126" s="3"/>
      <c r="Y2126" s="3"/>
      <c r="Z2126" s="53"/>
      <c r="AA2126" s="3"/>
      <c r="AB2126" s="59"/>
      <c r="AC2126" s="3"/>
      <c r="AD2126" s="53"/>
      <c r="AE2126" s="59"/>
    </row>
    <row r="2127" spans="1:31" customFormat="1" ht="15" x14ac:dyDescent="0.35">
      <c r="A2127" s="19"/>
      <c r="B2127" s="49"/>
      <c r="C2127" s="14"/>
      <c r="D2127" s="1"/>
      <c r="E2127" s="153"/>
      <c r="F2127" s="10"/>
      <c r="G2127" s="20"/>
      <c r="H2127" s="21"/>
      <c r="I2127" s="21"/>
      <c r="J2127" s="21"/>
      <c r="K2127" s="21"/>
      <c r="L2127" s="21"/>
      <c r="M2127" s="21"/>
      <c r="N2127" s="22"/>
      <c r="O2127" s="21"/>
      <c r="P2127" s="24"/>
      <c r="Q2127" s="21"/>
      <c r="R2127" s="21"/>
      <c r="S2127" s="21"/>
      <c r="T2127" s="21"/>
      <c r="U2127" s="21"/>
      <c r="V2127" s="22"/>
      <c r="W2127" s="21"/>
      <c r="X2127" s="22"/>
      <c r="Y2127" s="21"/>
      <c r="Z2127" s="20"/>
      <c r="AA2127" s="21"/>
      <c r="AB2127" s="25"/>
      <c r="AC2127" s="26"/>
      <c r="AD2127" s="27"/>
      <c r="AE2127" s="28"/>
    </row>
    <row r="2128" spans="1:31" customFormat="1" ht="15" x14ac:dyDescent="0.35">
      <c r="A2128" s="50"/>
      <c r="B2128" s="63"/>
      <c r="C2128" s="39"/>
      <c r="D2128" s="6"/>
      <c r="E2128" s="153"/>
      <c r="F2128" s="10"/>
      <c r="G2128" s="54"/>
      <c r="H2128" s="3"/>
      <c r="I2128" s="2"/>
      <c r="J2128" s="2"/>
      <c r="K2128" s="3"/>
      <c r="L2128" s="3"/>
      <c r="M2128" s="3"/>
      <c r="N2128" s="3"/>
      <c r="O2128" s="3"/>
      <c r="P2128" s="59"/>
      <c r="Q2128" s="3"/>
      <c r="R2128" s="3"/>
      <c r="S2128" s="3"/>
      <c r="T2128" s="3"/>
      <c r="U2128" s="3"/>
      <c r="V2128" s="3"/>
      <c r="W2128" s="3"/>
      <c r="X2128" s="3"/>
      <c r="Y2128" s="3"/>
      <c r="Z2128" s="53"/>
      <c r="AA2128" s="3"/>
      <c r="AB2128" s="59"/>
      <c r="AC2128" s="3"/>
      <c r="AD2128" s="53"/>
      <c r="AE2128" s="59"/>
    </row>
    <row r="2129" spans="1:31" customFormat="1" ht="15" x14ac:dyDescent="0.35">
      <c r="A2129" s="19"/>
      <c r="B2129" s="49"/>
      <c r="C2129" s="39"/>
      <c r="D2129" s="1"/>
      <c r="E2129" s="153"/>
      <c r="F2129" s="10"/>
      <c r="G2129" s="20"/>
      <c r="H2129" s="21"/>
      <c r="I2129" s="21"/>
      <c r="J2129" s="21"/>
      <c r="K2129" s="21"/>
      <c r="L2129" s="21"/>
      <c r="M2129" s="21"/>
      <c r="N2129" s="22"/>
      <c r="O2129" s="21"/>
      <c r="P2129" s="24"/>
      <c r="Q2129" s="21"/>
      <c r="R2129" s="21"/>
      <c r="S2129" s="21"/>
      <c r="T2129" s="21"/>
      <c r="U2129" s="21"/>
      <c r="V2129" s="22"/>
      <c r="W2129" s="21"/>
      <c r="X2129" s="22"/>
      <c r="Y2129" s="21"/>
      <c r="Z2129" s="20"/>
      <c r="AA2129" s="21"/>
      <c r="AB2129" s="25"/>
      <c r="AC2129" s="26"/>
      <c r="AD2129" s="27"/>
      <c r="AE2129" s="65"/>
    </row>
    <row r="2130" spans="1:31" customFormat="1" ht="15" x14ac:dyDescent="0.35">
      <c r="A2130" s="19"/>
      <c r="B2130" s="49"/>
      <c r="C2130" s="14"/>
      <c r="D2130" s="1"/>
      <c r="E2130" s="153"/>
      <c r="F2130" s="10"/>
      <c r="G2130" s="20"/>
      <c r="H2130" s="21"/>
      <c r="I2130" s="21"/>
      <c r="J2130" s="21"/>
      <c r="K2130" s="21"/>
      <c r="L2130" s="21"/>
      <c r="M2130" s="21"/>
      <c r="N2130" s="22"/>
      <c r="O2130" s="21"/>
      <c r="P2130" s="24"/>
      <c r="Q2130" s="21"/>
      <c r="R2130" s="21"/>
      <c r="S2130" s="21"/>
      <c r="T2130" s="21"/>
      <c r="U2130" s="21"/>
      <c r="V2130" s="22"/>
      <c r="W2130" s="21"/>
      <c r="X2130" s="22"/>
      <c r="Y2130" s="21"/>
      <c r="Z2130" s="20"/>
      <c r="AA2130" s="21"/>
      <c r="AB2130" s="25"/>
      <c r="AC2130" s="26"/>
      <c r="AD2130" s="27"/>
      <c r="AE2130" s="65"/>
    </row>
    <row r="2131" spans="1:31" customFormat="1" ht="15" x14ac:dyDescent="0.35">
      <c r="A2131" s="19"/>
      <c r="B2131" s="49"/>
      <c r="C2131" s="14"/>
      <c r="D2131" s="1"/>
      <c r="E2131" s="153"/>
      <c r="F2131" s="10"/>
      <c r="G2131" s="20"/>
      <c r="H2131" s="21"/>
      <c r="I2131" s="21"/>
      <c r="J2131" s="21"/>
      <c r="K2131" s="21"/>
      <c r="L2131" s="21"/>
      <c r="M2131" s="21"/>
      <c r="N2131" s="22"/>
      <c r="O2131" s="21"/>
      <c r="P2131" s="24"/>
      <c r="Q2131" s="21"/>
      <c r="R2131" s="21"/>
      <c r="S2131" s="21"/>
      <c r="T2131" s="21"/>
      <c r="U2131" s="21"/>
      <c r="V2131" s="22"/>
      <c r="W2131" s="21"/>
      <c r="X2131" s="22"/>
      <c r="Y2131" s="21"/>
      <c r="Z2131" s="20"/>
      <c r="AA2131" s="21"/>
      <c r="AB2131" s="25"/>
      <c r="AC2131" s="26"/>
      <c r="AD2131" s="27"/>
      <c r="AE2131" s="28"/>
    </row>
    <row r="2132" spans="1:31" customFormat="1" ht="15" x14ac:dyDescent="0.35">
      <c r="A2132" s="19"/>
      <c r="B2132" s="49"/>
      <c r="C2132" s="14"/>
      <c r="D2132" s="6"/>
      <c r="E2132" s="153"/>
      <c r="F2132" s="10"/>
      <c r="G2132" s="20"/>
      <c r="H2132" s="21"/>
      <c r="I2132" s="21"/>
      <c r="J2132" s="21"/>
      <c r="K2132" s="21"/>
      <c r="L2132" s="21"/>
      <c r="M2132" s="21"/>
      <c r="N2132" s="22"/>
      <c r="O2132" s="21"/>
      <c r="P2132" s="24"/>
      <c r="Q2132" s="21"/>
      <c r="R2132" s="21"/>
      <c r="S2132" s="21"/>
      <c r="T2132" s="21"/>
      <c r="U2132" s="21"/>
      <c r="V2132" s="22"/>
      <c r="W2132" s="21"/>
      <c r="X2132" s="22"/>
      <c r="Y2132" s="21"/>
      <c r="Z2132" s="20"/>
      <c r="AA2132" s="21"/>
      <c r="AB2132" s="25"/>
      <c r="AC2132" s="26"/>
      <c r="AD2132" s="27"/>
      <c r="AE2132" s="28"/>
    </row>
    <row r="2133" spans="1:31" customFormat="1" ht="15" x14ac:dyDescent="0.35">
      <c r="A2133" s="50"/>
      <c r="B2133" s="63"/>
      <c r="C2133" s="39"/>
      <c r="D2133" s="6"/>
      <c r="E2133" s="153"/>
      <c r="F2133" s="10"/>
      <c r="G2133" s="54"/>
      <c r="H2133" s="3"/>
      <c r="I2133" s="2"/>
      <c r="J2133" s="2"/>
      <c r="K2133" s="3"/>
      <c r="L2133" s="3"/>
      <c r="M2133" s="3"/>
      <c r="N2133" s="3"/>
      <c r="O2133" s="3"/>
      <c r="P2133" s="59"/>
      <c r="Q2133" s="3"/>
      <c r="R2133" s="3"/>
      <c r="S2133" s="3"/>
      <c r="T2133" s="3"/>
      <c r="U2133" s="3"/>
      <c r="V2133" s="3"/>
      <c r="W2133" s="3"/>
      <c r="X2133" s="3"/>
      <c r="Y2133" s="3"/>
      <c r="Z2133" s="53"/>
      <c r="AA2133" s="3"/>
      <c r="AB2133" s="59"/>
      <c r="AC2133" s="3"/>
      <c r="AD2133" s="53"/>
      <c r="AE2133" s="59"/>
    </row>
    <row r="2134" spans="1:31" customFormat="1" ht="15" x14ac:dyDescent="0.35">
      <c r="A2134" s="19"/>
      <c r="B2134" s="49"/>
      <c r="C2134" s="14"/>
      <c r="D2134" s="1"/>
      <c r="E2134" s="153"/>
      <c r="F2134" s="10"/>
      <c r="G2134" s="20"/>
      <c r="H2134" s="21"/>
      <c r="I2134" s="21"/>
      <c r="J2134" s="21"/>
      <c r="K2134" s="21"/>
      <c r="L2134" s="21"/>
      <c r="M2134" s="21"/>
      <c r="N2134" s="22"/>
      <c r="O2134" s="21"/>
      <c r="P2134" s="24"/>
      <c r="Q2134" s="21"/>
      <c r="R2134" s="21"/>
      <c r="S2134" s="21"/>
      <c r="T2134" s="21"/>
      <c r="U2134" s="21"/>
      <c r="V2134" s="22"/>
      <c r="W2134" s="21"/>
      <c r="X2134" s="22"/>
      <c r="Y2134" s="21"/>
      <c r="Z2134" s="20"/>
      <c r="AA2134" s="21"/>
      <c r="AB2134" s="25"/>
      <c r="AC2134" s="26"/>
      <c r="AD2134" s="27"/>
      <c r="AE2134" s="28"/>
    </row>
    <row r="2135" spans="1:31" customFormat="1" ht="15" x14ac:dyDescent="0.35">
      <c r="A2135" s="50"/>
      <c r="B2135" s="63"/>
      <c r="C2135" s="39"/>
      <c r="D2135" s="6"/>
      <c r="E2135" s="153"/>
      <c r="F2135" s="10"/>
      <c r="G2135" s="54"/>
      <c r="H2135" s="3"/>
      <c r="I2135" s="2"/>
      <c r="J2135" s="2"/>
      <c r="K2135" s="3"/>
      <c r="L2135" s="3"/>
      <c r="M2135" s="3"/>
      <c r="N2135" s="3"/>
      <c r="O2135" s="3"/>
      <c r="P2135" s="59"/>
      <c r="Q2135" s="3"/>
      <c r="R2135" s="3"/>
      <c r="S2135" s="3"/>
      <c r="T2135" s="3"/>
      <c r="U2135" s="3"/>
      <c r="V2135" s="3"/>
      <c r="W2135" s="3"/>
      <c r="X2135" s="3"/>
      <c r="Y2135" s="3"/>
      <c r="Z2135" s="53"/>
      <c r="AA2135" s="3"/>
      <c r="AB2135" s="59"/>
      <c r="AC2135" s="3"/>
      <c r="AD2135" s="53"/>
      <c r="AE2135" s="59"/>
    </row>
    <row r="2136" spans="1:31" customFormat="1" ht="15" x14ac:dyDescent="0.35">
      <c r="A2136" s="19"/>
      <c r="B2136" s="49"/>
      <c r="C2136" s="14"/>
      <c r="D2136" s="1"/>
      <c r="E2136" s="153"/>
      <c r="F2136" s="10"/>
      <c r="G2136" s="20"/>
      <c r="H2136" s="21"/>
      <c r="I2136" s="21"/>
      <c r="J2136" s="21"/>
      <c r="K2136" s="21"/>
      <c r="L2136" s="21"/>
      <c r="M2136" s="21"/>
      <c r="N2136" s="22"/>
      <c r="O2136" s="21"/>
      <c r="P2136" s="24"/>
      <c r="Q2136" s="21"/>
      <c r="R2136" s="21"/>
      <c r="S2136" s="21"/>
      <c r="T2136" s="21"/>
      <c r="U2136" s="21"/>
      <c r="V2136" s="22"/>
      <c r="W2136" s="21"/>
      <c r="X2136" s="22"/>
      <c r="Y2136" s="21"/>
      <c r="Z2136" s="20"/>
      <c r="AA2136" s="21"/>
      <c r="AB2136" s="25"/>
      <c r="AC2136" s="26"/>
      <c r="AD2136" s="27"/>
      <c r="AE2136" s="28"/>
    </row>
    <row r="2137" spans="1:31" customFormat="1" ht="15" x14ac:dyDescent="0.35">
      <c r="A2137" s="50"/>
      <c r="B2137" s="63"/>
      <c r="C2137" s="39"/>
      <c r="D2137" s="6"/>
      <c r="E2137" s="153"/>
      <c r="F2137" s="10"/>
      <c r="G2137" s="53"/>
      <c r="H2137" s="3"/>
      <c r="I2137" s="3"/>
      <c r="J2137" s="3"/>
      <c r="K2137" s="3"/>
      <c r="L2137" s="3"/>
      <c r="M2137" s="3"/>
      <c r="N2137" s="3"/>
      <c r="O2137" s="3"/>
      <c r="P2137" s="59"/>
      <c r="Q2137" s="21"/>
      <c r="R2137" s="21"/>
      <c r="S2137" s="3"/>
      <c r="T2137" s="3"/>
      <c r="U2137" s="3"/>
      <c r="V2137" s="3"/>
      <c r="W2137" s="3"/>
      <c r="X2137" s="3"/>
      <c r="Y2137" s="3"/>
      <c r="Z2137" s="53"/>
      <c r="AA2137" s="3"/>
      <c r="AB2137" s="59"/>
      <c r="AC2137" s="3"/>
      <c r="AD2137" s="53"/>
      <c r="AE2137" s="59"/>
    </row>
    <row r="2138" spans="1:31" customFormat="1" ht="15" x14ac:dyDescent="0.35">
      <c r="A2138" s="50"/>
      <c r="B2138" s="63"/>
      <c r="C2138" s="39"/>
      <c r="D2138" s="6"/>
      <c r="E2138" s="153"/>
      <c r="F2138" s="10"/>
      <c r="G2138" s="54"/>
      <c r="H2138" s="3"/>
      <c r="I2138" s="2"/>
      <c r="J2138" s="2"/>
      <c r="K2138" s="3"/>
      <c r="L2138" s="3"/>
      <c r="M2138" s="3"/>
      <c r="N2138" s="3"/>
      <c r="O2138" s="3"/>
      <c r="P2138" s="59"/>
      <c r="Q2138" s="3"/>
      <c r="R2138" s="3"/>
      <c r="S2138" s="3"/>
      <c r="T2138" s="3"/>
      <c r="U2138" s="3"/>
      <c r="V2138" s="3"/>
      <c r="W2138" s="3"/>
      <c r="X2138" s="3"/>
      <c r="Y2138" s="3"/>
      <c r="Z2138" s="53"/>
      <c r="AA2138" s="3"/>
      <c r="AB2138" s="59"/>
      <c r="AC2138" s="3"/>
      <c r="AD2138" s="53"/>
      <c r="AE2138" s="59"/>
    </row>
    <row r="2139" spans="1:31" customFormat="1" ht="15" x14ac:dyDescent="0.35">
      <c r="A2139" s="50"/>
      <c r="B2139" s="63"/>
      <c r="C2139" s="39"/>
      <c r="D2139" s="6"/>
      <c r="E2139" s="153"/>
      <c r="F2139" s="10"/>
      <c r="G2139" s="53"/>
      <c r="H2139" s="3"/>
      <c r="I2139" s="3"/>
      <c r="J2139" s="3"/>
      <c r="K2139" s="3"/>
      <c r="L2139" s="3"/>
      <c r="M2139" s="3"/>
      <c r="N2139" s="3"/>
      <c r="O2139" s="3"/>
      <c r="P2139" s="59"/>
      <c r="Q2139" s="21"/>
      <c r="R2139" s="21"/>
      <c r="S2139" s="3"/>
      <c r="T2139" s="3"/>
      <c r="U2139" s="3"/>
      <c r="V2139" s="3"/>
      <c r="W2139" s="3"/>
      <c r="X2139" s="3"/>
      <c r="Y2139" s="3"/>
      <c r="Z2139" s="53"/>
      <c r="AA2139" s="3"/>
      <c r="AB2139" s="59"/>
      <c r="AC2139" s="3"/>
      <c r="AD2139" s="53"/>
      <c r="AE2139" s="59"/>
    </row>
    <row r="2140" spans="1:31" customFormat="1" ht="15" x14ac:dyDescent="0.35">
      <c r="A2140" s="50"/>
      <c r="B2140" s="63"/>
      <c r="C2140" s="39"/>
      <c r="D2140" s="6"/>
      <c r="E2140" s="153"/>
      <c r="F2140" s="10"/>
      <c r="G2140" s="53"/>
      <c r="H2140" s="3"/>
      <c r="I2140" s="3"/>
      <c r="J2140" s="3"/>
      <c r="K2140" s="3"/>
      <c r="L2140" s="3"/>
      <c r="M2140" s="3"/>
      <c r="N2140" s="3"/>
      <c r="O2140" s="3"/>
      <c r="P2140" s="59"/>
      <c r="Q2140" s="21"/>
      <c r="R2140" s="21"/>
      <c r="S2140" s="3"/>
      <c r="T2140" s="3"/>
      <c r="U2140" s="3"/>
      <c r="V2140" s="3"/>
      <c r="W2140" s="3"/>
      <c r="X2140" s="3"/>
      <c r="Y2140" s="3"/>
      <c r="Z2140" s="53"/>
      <c r="AA2140" s="3"/>
      <c r="AB2140" s="59"/>
      <c r="AC2140" s="3"/>
      <c r="AD2140" s="53"/>
      <c r="AE2140" s="59"/>
    </row>
    <row r="2141" spans="1:31" customFormat="1" ht="15" x14ac:dyDescent="0.35">
      <c r="A2141" s="50"/>
      <c r="B2141" s="63"/>
      <c r="C2141" s="39"/>
      <c r="D2141" s="6"/>
      <c r="E2141" s="153"/>
      <c r="F2141" s="10"/>
      <c r="G2141" s="53"/>
      <c r="H2141" s="3"/>
      <c r="I2141" s="3"/>
      <c r="J2141" s="3"/>
      <c r="K2141" s="3"/>
      <c r="L2141" s="3"/>
      <c r="M2141" s="3"/>
      <c r="N2141" s="3"/>
      <c r="O2141" s="3"/>
      <c r="P2141" s="59"/>
      <c r="Q2141" s="21"/>
      <c r="R2141" s="21"/>
      <c r="S2141" s="3"/>
      <c r="T2141" s="3"/>
      <c r="U2141" s="3"/>
      <c r="V2141" s="3"/>
      <c r="W2141" s="3"/>
      <c r="X2141" s="3"/>
      <c r="Y2141" s="3"/>
      <c r="Z2141" s="53"/>
      <c r="AA2141" s="3"/>
      <c r="AB2141" s="59"/>
      <c r="AC2141" s="3"/>
      <c r="AD2141" s="53"/>
      <c r="AE2141" s="59"/>
    </row>
    <row r="2142" spans="1:31" customFormat="1" ht="15" x14ac:dyDescent="0.35">
      <c r="A2142" s="50"/>
      <c r="B2142" s="63"/>
      <c r="C2142" s="39"/>
      <c r="D2142" s="6"/>
      <c r="E2142" s="153"/>
      <c r="F2142" s="10"/>
      <c r="G2142" s="53"/>
      <c r="H2142" s="3"/>
      <c r="I2142" s="3"/>
      <c r="J2142" s="3"/>
      <c r="K2142" s="3"/>
      <c r="L2142" s="3"/>
      <c r="M2142" s="3"/>
      <c r="N2142" s="3"/>
      <c r="O2142" s="3"/>
      <c r="P2142" s="59"/>
      <c r="Q2142" s="21"/>
      <c r="R2142" s="21"/>
      <c r="S2142" s="3"/>
      <c r="T2142" s="3"/>
      <c r="U2142" s="3"/>
      <c r="V2142" s="3"/>
      <c r="W2142" s="3"/>
      <c r="X2142" s="3"/>
      <c r="Y2142" s="3"/>
      <c r="Z2142" s="53"/>
      <c r="AA2142" s="3"/>
      <c r="AB2142" s="59"/>
      <c r="AC2142" s="3"/>
      <c r="AD2142" s="53"/>
      <c r="AE2142" s="59"/>
    </row>
    <row r="2143" spans="1:31" customFormat="1" ht="15" x14ac:dyDescent="0.35">
      <c r="A2143" s="19"/>
      <c r="B2143" s="49"/>
      <c r="C2143" s="14"/>
      <c r="D2143" s="1"/>
      <c r="E2143" s="153"/>
      <c r="F2143" s="10"/>
      <c r="G2143" s="20"/>
      <c r="H2143" s="21"/>
      <c r="I2143" s="21"/>
      <c r="J2143" s="21"/>
      <c r="K2143" s="21"/>
      <c r="L2143" s="21"/>
      <c r="M2143" s="21"/>
      <c r="N2143" s="22"/>
      <c r="O2143" s="21"/>
      <c r="P2143" s="24"/>
      <c r="Q2143" s="21"/>
      <c r="R2143" s="21"/>
      <c r="S2143" s="21"/>
      <c r="T2143" s="21"/>
      <c r="U2143" s="21"/>
      <c r="V2143" s="22"/>
      <c r="W2143" s="21"/>
      <c r="X2143" s="22"/>
      <c r="Y2143" s="21"/>
      <c r="Z2143" s="20"/>
      <c r="AA2143" s="21"/>
      <c r="AB2143" s="25"/>
      <c r="AC2143" s="26"/>
      <c r="AD2143" s="27"/>
      <c r="AE2143" s="28"/>
    </row>
    <row r="2144" spans="1:31" customFormat="1" ht="15" x14ac:dyDescent="0.35">
      <c r="A2144" s="50"/>
      <c r="B2144" s="63"/>
      <c r="C2144" s="39"/>
      <c r="D2144" s="6"/>
      <c r="E2144" s="153"/>
      <c r="F2144" s="10"/>
      <c r="G2144" s="53"/>
      <c r="H2144" s="3"/>
      <c r="I2144" s="3"/>
      <c r="J2144" s="3"/>
      <c r="K2144" s="3"/>
      <c r="L2144" s="3"/>
      <c r="M2144" s="3"/>
      <c r="N2144" s="3"/>
      <c r="O2144" s="3"/>
      <c r="P2144" s="59"/>
      <c r="Q2144" s="21"/>
      <c r="R2144" s="21"/>
      <c r="S2144" s="3"/>
      <c r="T2144" s="3"/>
      <c r="U2144" s="3"/>
      <c r="V2144" s="3"/>
      <c r="W2144" s="3"/>
      <c r="X2144" s="3"/>
      <c r="Y2144" s="3"/>
      <c r="Z2144" s="53"/>
      <c r="AA2144" s="3"/>
      <c r="AB2144" s="59"/>
      <c r="AC2144" s="3"/>
      <c r="AD2144" s="53"/>
      <c r="AE2144" s="59"/>
    </row>
    <row r="2145" spans="1:31" customFormat="1" ht="15" x14ac:dyDescent="0.35">
      <c r="A2145" s="50"/>
      <c r="B2145" s="63"/>
      <c r="C2145" s="39"/>
      <c r="D2145" s="6"/>
      <c r="E2145" s="153"/>
      <c r="F2145" s="10"/>
      <c r="G2145" s="53"/>
      <c r="H2145" s="3"/>
      <c r="I2145" s="3"/>
      <c r="J2145" s="3"/>
      <c r="K2145" s="3"/>
      <c r="L2145" s="3"/>
      <c r="M2145" s="3"/>
      <c r="N2145" s="3"/>
      <c r="O2145" s="3"/>
      <c r="P2145" s="59"/>
      <c r="Q2145" s="21"/>
      <c r="R2145" s="21"/>
      <c r="S2145" s="3"/>
      <c r="T2145" s="3"/>
      <c r="U2145" s="3"/>
      <c r="V2145" s="3"/>
      <c r="W2145" s="3"/>
      <c r="X2145" s="3"/>
      <c r="Y2145" s="3"/>
      <c r="Z2145" s="53"/>
      <c r="AA2145" s="3"/>
      <c r="AB2145" s="59"/>
      <c r="AC2145" s="3"/>
      <c r="AD2145" s="53"/>
      <c r="AE2145" s="65"/>
    </row>
    <row r="2146" spans="1:31" customFormat="1" ht="15" x14ac:dyDescent="0.35">
      <c r="A2146" s="50"/>
      <c r="B2146" s="63"/>
      <c r="C2146" s="39"/>
      <c r="D2146" s="6"/>
      <c r="E2146" s="153"/>
      <c r="F2146" s="10"/>
      <c r="G2146" s="53"/>
      <c r="H2146" s="3"/>
      <c r="I2146" s="3"/>
      <c r="J2146" s="3"/>
      <c r="K2146" s="3"/>
      <c r="L2146" s="3"/>
      <c r="M2146" s="3"/>
      <c r="N2146" s="3"/>
      <c r="O2146" s="3"/>
      <c r="P2146" s="59"/>
      <c r="Q2146" s="21"/>
      <c r="R2146" s="21"/>
      <c r="S2146" s="3"/>
      <c r="T2146" s="3"/>
      <c r="U2146" s="3"/>
      <c r="V2146" s="3"/>
      <c r="W2146" s="3"/>
      <c r="X2146" s="3"/>
      <c r="Y2146" s="3"/>
      <c r="Z2146" s="53"/>
      <c r="AA2146" s="3"/>
      <c r="AB2146" s="59"/>
      <c r="AC2146" s="3"/>
      <c r="AD2146" s="53"/>
      <c r="AE2146" s="59"/>
    </row>
    <row r="2147" spans="1:31" customFormat="1" ht="15" x14ac:dyDescent="0.35">
      <c r="A2147" s="50"/>
      <c r="B2147" s="63"/>
      <c r="C2147" s="39"/>
      <c r="D2147" s="6"/>
      <c r="E2147" s="153"/>
      <c r="F2147" s="10"/>
      <c r="G2147" s="54"/>
      <c r="H2147" s="3"/>
      <c r="I2147" s="2"/>
      <c r="J2147" s="2"/>
      <c r="K2147" s="3"/>
      <c r="L2147" s="3"/>
      <c r="M2147" s="3"/>
      <c r="N2147" s="3"/>
      <c r="O2147" s="3"/>
      <c r="P2147" s="59"/>
      <c r="Q2147" s="3"/>
      <c r="R2147" s="3"/>
      <c r="S2147" s="3"/>
      <c r="T2147" s="3"/>
      <c r="U2147" s="3"/>
      <c r="V2147" s="3"/>
      <c r="W2147" s="3"/>
      <c r="X2147" s="3"/>
      <c r="Y2147" s="3"/>
      <c r="Z2147" s="53"/>
      <c r="AA2147" s="3"/>
      <c r="AB2147" s="59"/>
      <c r="AC2147" s="3"/>
      <c r="AD2147" s="53"/>
      <c r="AE2147" s="59"/>
    </row>
    <row r="2148" spans="1:31" customFormat="1" ht="15" x14ac:dyDescent="0.35">
      <c r="A2148" s="50"/>
      <c r="B2148" s="63"/>
      <c r="C2148" s="39"/>
      <c r="D2148" s="6"/>
      <c r="E2148" s="153"/>
      <c r="F2148" s="10"/>
      <c r="G2148" s="54"/>
      <c r="H2148" s="3"/>
      <c r="I2148" s="2"/>
      <c r="J2148" s="2"/>
      <c r="K2148" s="3"/>
      <c r="L2148" s="3"/>
      <c r="M2148" s="3"/>
      <c r="N2148" s="3"/>
      <c r="O2148" s="3"/>
      <c r="P2148" s="59"/>
      <c r="Q2148" s="3"/>
      <c r="R2148" s="3"/>
      <c r="S2148" s="3"/>
      <c r="T2148" s="3"/>
      <c r="U2148" s="3"/>
      <c r="V2148" s="3"/>
      <c r="W2148" s="3"/>
      <c r="X2148" s="3"/>
      <c r="Y2148" s="3"/>
      <c r="Z2148" s="53"/>
      <c r="AA2148" s="3"/>
      <c r="AB2148" s="59"/>
      <c r="AC2148" s="3"/>
      <c r="AD2148" s="53"/>
      <c r="AE2148" s="59"/>
    </row>
    <row r="2149" spans="1:31" customFormat="1" ht="15" x14ac:dyDescent="0.35">
      <c r="A2149" s="19"/>
      <c r="B2149" s="49"/>
      <c r="C2149" s="14"/>
      <c r="D2149" s="1"/>
      <c r="E2149" s="153"/>
      <c r="F2149" s="10"/>
      <c r="G2149" s="20"/>
      <c r="H2149" s="21"/>
      <c r="I2149" s="21"/>
      <c r="J2149" s="21"/>
      <c r="K2149" s="21"/>
      <c r="L2149" s="21"/>
      <c r="M2149" s="21"/>
      <c r="N2149" s="22"/>
      <c r="O2149" s="21"/>
      <c r="P2149" s="24"/>
      <c r="Q2149" s="21"/>
      <c r="R2149" s="21"/>
      <c r="S2149" s="21"/>
      <c r="T2149" s="21"/>
      <c r="U2149" s="21"/>
      <c r="V2149" s="22"/>
      <c r="W2149" s="21"/>
      <c r="X2149" s="22"/>
      <c r="Y2149" s="21"/>
      <c r="Z2149" s="20"/>
      <c r="AA2149" s="21"/>
      <c r="AB2149" s="25"/>
      <c r="AC2149" s="26"/>
      <c r="AD2149" s="27"/>
      <c r="AE2149" s="28"/>
    </row>
    <row r="2150" spans="1:31" customFormat="1" ht="15" x14ac:dyDescent="0.35">
      <c r="A2150" s="50"/>
      <c r="B2150" s="63"/>
      <c r="C2150" s="39"/>
      <c r="D2150" s="6"/>
      <c r="E2150" s="153"/>
      <c r="F2150" s="10"/>
      <c r="G2150" s="53"/>
      <c r="H2150" s="3"/>
      <c r="I2150" s="3"/>
      <c r="J2150" s="3"/>
      <c r="K2150" s="3"/>
      <c r="L2150" s="3"/>
      <c r="M2150" s="3"/>
      <c r="N2150" s="3"/>
      <c r="O2150" s="3"/>
      <c r="P2150" s="59"/>
      <c r="Q2150" s="21"/>
      <c r="R2150" s="21"/>
      <c r="S2150" s="3"/>
      <c r="T2150" s="3"/>
      <c r="U2150" s="3"/>
      <c r="V2150" s="3"/>
      <c r="W2150" s="3"/>
      <c r="X2150" s="3"/>
      <c r="Y2150" s="3"/>
      <c r="Z2150" s="53"/>
      <c r="AA2150" s="3"/>
      <c r="AB2150" s="59"/>
      <c r="AC2150" s="3"/>
      <c r="AD2150" s="53"/>
      <c r="AE2150" s="59"/>
    </row>
    <row r="2151" spans="1:31" customFormat="1" ht="15" x14ac:dyDescent="0.35">
      <c r="A2151" s="50"/>
      <c r="B2151" s="63"/>
      <c r="C2151" s="39"/>
      <c r="D2151" s="6"/>
      <c r="E2151" s="153"/>
      <c r="F2151" s="10"/>
      <c r="G2151" s="53"/>
      <c r="H2151" s="3"/>
      <c r="I2151" s="3"/>
      <c r="J2151" s="3"/>
      <c r="K2151" s="3"/>
      <c r="L2151" s="3"/>
      <c r="M2151" s="3"/>
      <c r="N2151" s="3"/>
      <c r="O2151" s="3"/>
      <c r="P2151" s="59"/>
      <c r="Q2151" s="21"/>
      <c r="R2151" s="21"/>
      <c r="S2151" s="3"/>
      <c r="T2151" s="3"/>
      <c r="U2151" s="3"/>
      <c r="V2151" s="3"/>
      <c r="W2151" s="3"/>
      <c r="X2151" s="3"/>
      <c r="Y2151" s="3"/>
      <c r="Z2151" s="53"/>
      <c r="AA2151" s="3"/>
      <c r="AB2151" s="59"/>
      <c r="AC2151" s="3"/>
      <c r="AD2151" s="53"/>
      <c r="AE2151" s="59"/>
    </row>
    <row r="2152" spans="1:31" customFormat="1" ht="15" x14ac:dyDescent="0.35">
      <c r="A2152" s="50"/>
      <c r="B2152" s="63"/>
      <c r="C2152" s="39"/>
      <c r="D2152" s="6"/>
      <c r="E2152" s="153"/>
      <c r="F2152" s="10"/>
      <c r="G2152" s="53"/>
      <c r="H2152" s="3"/>
      <c r="I2152" s="3"/>
      <c r="J2152" s="3"/>
      <c r="K2152" s="3"/>
      <c r="L2152" s="3"/>
      <c r="M2152" s="3"/>
      <c r="N2152" s="3"/>
      <c r="O2152" s="3"/>
      <c r="P2152" s="59"/>
      <c r="Q2152" s="21"/>
      <c r="R2152" s="21"/>
      <c r="S2152" s="3"/>
      <c r="T2152" s="3"/>
      <c r="U2152" s="3"/>
      <c r="V2152" s="3"/>
      <c r="W2152" s="3"/>
      <c r="X2152" s="3"/>
      <c r="Y2152" s="3"/>
      <c r="Z2152" s="53"/>
      <c r="AA2152" s="3"/>
      <c r="AB2152" s="59"/>
      <c r="AC2152" s="3"/>
      <c r="AD2152" s="53"/>
      <c r="AE2152" s="59"/>
    </row>
    <row r="2153" spans="1:31" customFormat="1" ht="15" x14ac:dyDescent="0.35">
      <c r="A2153" s="19"/>
      <c r="B2153" s="49"/>
      <c r="C2153" s="14"/>
      <c r="D2153" s="1"/>
      <c r="E2153" s="153"/>
      <c r="F2153" s="10"/>
      <c r="G2153" s="20"/>
      <c r="H2153" s="21"/>
      <c r="I2153" s="21"/>
      <c r="J2153" s="21"/>
      <c r="K2153" s="21"/>
      <c r="L2153" s="21"/>
      <c r="M2153" s="21"/>
      <c r="N2153" s="22"/>
      <c r="O2153" s="21"/>
      <c r="P2153" s="24"/>
      <c r="Q2153" s="21"/>
      <c r="R2153" s="21"/>
      <c r="S2153" s="21"/>
      <c r="T2153" s="21"/>
      <c r="U2153" s="21"/>
      <c r="V2153" s="22"/>
      <c r="W2153" s="21"/>
      <c r="X2153" s="22"/>
      <c r="Y2153" s="21"/>
      <c r="Z2153" s="20"/>
      <c r="AA2153" s="21"/>
      <c r="AB2153" s="25"/>
      <c r="AC2153" s="26"/>
      <c r="AD2153" s="27"/>
      <c r="AE2153" s="28"/>
    </row>
    <row r="2154" spans="1:31" customFormat="1" ht="15" x14ac:dyDescent="0.35">
      <c r="A2154" s="50"/>
      <c r="B2154" s="63"/>
      <c r="C2154" s="39"/>
      <c r="D2154" s="6"/>
      <c r="E2154" s="153"/>
      <c r="F2154" s="10"/>
      <c r="G2154" s="53"/>
      <c r="H2154" s="3"/>
      <c r="I2154" s="3"/>
      <c r="J2154" s="3"/>
      <c r="K2154" s="3"/>
      <c r="L2154" s="3"/>
      <c r="M2154" s="3"/>
      <c r="N2154" s="3"/>
      <c r="O2154" s="3"/>
      <c r="P2154" s="59"/>
      <c r="Q2154" s="21"/>
      <c r="R2154" s="21"/>
      <c r="S2154" s="3"/>
      <c r="T2154" s="3"/>
      <c r="U2154" s="3"/>
      <c r="V2154" s="3"/>
      <c r="W2154" s="3"/>
      <c r="X2154" s="3"/>
      <c r="Y2154" s="3"/>
      <c r="Z2154" s="53"/>
      <c r="AA2154" s="3"/>
      <c r="AB2154" s="59"/>
      <c r="AC2154" s="3"/>
      <c r="AD2154" s="53"/>
      <c r="AE2154" s="59"/>
    </row>
    <row r="2155" spans="1:31" customFormat="1" ht="15" x14ac:dyDescent="0.35">
      <c r="A2155" s="19"/>
      <c r="B2155" s="49"/>
      <c r="C2155" s="14"/>
      <c r="D2155" s="1"/>
      <c r="E2155" s="153"/>
      <c r="F2155" s="10"/>
      <c r="G2155" s="20"/>
      <c r="H2155" s="21"/>
      <c r="I2155" s="21"/>
      <c r="J2155" s="21"/>
      <c r="K2155" s="21"/>
      <c r="L2155" s="21"/>
      <c r="M2155" s="21"/>
      <c r="N2155" s="22"/>
      <c r="O2155" s="21"/>
      <c r="P2155" s="24"/>
      <c r="Q2155" s="21"/>
      <c r="R2155" s="21"/>
      <c r="S2155" s="21"/>
      <c r="T2155" s="21"/>
      <c r="U2155" s="21"/>
      <c r="V2155" s="22"/>
      <c r="W2155" s="21"/>
      <c r="X2155" s="22"/>
      <c r="Y2155" s="21"/>
      <c r="Z2155" s="20"/>
      <c r="AA2155" s="21"/>
      <c r="AB2155" s="25"/>
      <c r="AC2155" s="26"/>
      <c r="AD2155" s="27"/>
      <c r="AE2155" s="28"/>
    </row>
    <row r="2156" spans="1:31" customFormat="1" ht="15" x14ac:dyDescent="0.35">
      <c r="A2156" s="50"/>
      <c r="B2156" s="63"/>
      <c r="C2156" s="39"/>
      <c r="D2156" s="6"/>
      <c r="E2156" s="153"/>
      <c r="F2156" s="10"/>
      <c r="G2156" s="54"/>
      <c r="H2156" s="3"/>
      <c r="I2156" s="2"/>
      <c r="J2156" s="2"/>
      <c r="K2156" s="3"/>
      <c r="L2156" s="3"/>
      <c r="M2156" s="3"/>
      <c r="N2156" s="3"/>
      <c r="O2156" s="3"/>
      <c r="P2156" s="59"/>
      <c r="Q2156" s="3"/>
      <c r="R2156" s="3"/>
      <c r="S2156" s="3"/>
      <c r="T2156" s="3"/>
      <c r="U2156" s="3"/>
      <c r="V2156" s="3"/>
      <c r="W2156" s="3"/>
      <c r="X2156" s="3"/>
      <c r="Y2156" s="3"/>
      <c r="Z2156" s="53"/>
      <c r="AA2156" s="3"/>
      <c r="AB2156" s="59"/>
      <c r="AC2156" s="3"/>
      <c r="AD2156" s="53"/>
      <c r="AE2156" s="59"/>
    </row>
    <row r="2157" spans="1:31" customFormat="1" ht="15" x14ac:dyDescent="0.35">
      <c r="A2157" s="50"/>
      <c r="B2157" s="63"/>
      <c r="C2157" s="39"/>
      <c r="D2157" s="6"/>
      <c r="E2157" s="153"/>
      <c r="F2157" s="10"/>
      <c r="G2157" s="54"/>
      <c r="H2157" s="3"/>
      <c r="I2157" s="2"/>
      <c r="J2157" s="2"/>
      <c r="K2157" s="3"/>
      <c r="L2157" s="3"/>
      <c r="M2157" s="3"/>
      <c r="N2157" s="3"/>
      <c r="O2157" s="3"/>
      <c r="P2157" s="59"/>
      <c r="Q2157" s="3"/>
      <c r="R2157" s="3"/>
      <c r="S2157" s="3"/>
      <c r="T2157" s="3"/>
      <c r="U2157" s="3"/>
      <c r="V2157" s="3"/>
      <c r="W2157" s="3"/>
      <c r="X2157" s="3"/>
      <c r="Y2157" s="3"/>
      <c r="Z2157" s="53"/>
      <c r="AA2157" s="3"/>
      <c r="AB2157" s="59"/>
      <c r="AC2157" s="3"/>
      <c r="AD2157" s="53"/>
      <c r="AE2157" s="59"/>
    </row>
    <row r="2158" spans="1:31" customFormat="1" ht="15" x14ac:dyDescent="0.35">
      <c r="A2158" s="50"/>
      <c r="B2158" s="63"/>
      <c r="C2158" s="39"/>
      <c r="D2158" s="6"/>
      <c r="E2158" s="153"/>
      <c r="F2158" s="10"/>
      <c r="G2158" s="54"/>
      <c r="H2158" s="3"/>
      <c r="I2158" s="2"/>
      <c r="J2158" s="2"/>
      <c r="K2158" s="3"/>
      <c r="L2158" s="3"/>
      <c r="M2158" s="3"/>
      <c r="N2158" s="3"/>
      <c r="O2158" s="3"/>
      <c r="P2158" s="59"/>
      <c r="Q2158" s="3"/>
      <c r="R2158" s="3"/>
      <c r="S2158" s="3"/>
      <c r="T2158" s="3"/>
      <c r="U2158" s="3"/>
      <c r="V2158" s="3"/>
      <c r="W2158" s="3"/>
      <c r="X2158" s="3"/>
      <c r="Y2158" s="3"/>
      <c r="Z2158" s="53"/>
      <c r="AA2158" s="3"/>
      <c r="AB2158" s="59"/>
      <c r="AC2158" s="3"/>
      <c r="AD2158" s="53"/>
      <c r="AE2158" s="59"/>
    </row>
    <row r="2159" spans="1:31" customFormat="1" ht="15" x14ac:dyDescent="0.35">
      <c r="A2159" s="50"/>
      <c r="B2159" s="63"/>
      <c r="C2159" s="39"/>
      <c r="D2159" s="6"/>
      <c r="E2159" s="153"/>
      <c r="F2159" s="10"/>
      <c r="G2159" s="53"/>
      <c r="H2159" s="3"/>
      <c r="I2159" s="3"/>
      <c r="J2159" s="3"/>
      <c r="K2159" s="3"/>
      <c r="L2159" s="3"/>
      <c r="M2159" s="3"/>
      <c r="N2159" s="3"/>
      <c r="O2159" s="3"/>
      <c r="P2159" s="59"/>
      <c r="Q2159" s="21"/>
      <c r="R2159" s="21"/>
      <c r="S2159" s="3"/>
      <c r="T2159" s="3"/>
      <c r="U2159" s="3"/>
      <c r="V2159" s="3"/>
      <c r="W2159" s="3"/>
      <c r="X2159" s="3"/>
      <c r="Y2159" s="3"/>
      <c r="Z2159" s="53"/>
      <c r="AA2159" s="3"/>
      <c r="AB2159" s="59"/>
      <c r="AC2159" s="3"/>
      <c r="AD2159" s="53"/>
      <c r="AE2159" s="59"/>
    </row>
    <row r="2160" spans="1:31" customFormat="1" ht="15" x14ac:dyDescent="0.35">
      <c r="A2160" s="19"/>
      <c r="B2160" s="49"/>
      <c r="C2160" s="14"/>
      <c r="D2160" s="1"/>
      <c r="E2160" s="153"/>
      <c r="F2160" s="10"/>
      <c r="G2160" s="20"/>
      <c r="H2160" s="21"/>
      <c r="I2160" s="21"/>
      <c r="J2160" s="21"/>
      <c r="K2160" s="21"/>
      <c r="L2160" s="21"/>
      <c r="M2160" s="21"/>
      <c r="N2160" s="22"/>
      <c r="O2160" s="21"/>
      <c r="P2160" s="24"/>
      <c r="Q2160" s="21"/>
      <c r="R2160" s="21"/>
      <c r="S2160" s="21"/>
      <c r="T2160" s="21"/>
      <c r="U2160" s="21"/>
      <c r="V2160" s="22"/>
      <c r="W2160" s="21"/>
      <c r="X2160" s="22"/>
      <c r="Y2160" s="21"/>
      <c r="Z2160" s="20"/>
      <c r="AA2160" s="21"/>
      <c r="AB2160" s="25"/>
      <c r="AC2160" s="26"/>
      <c r="AD2160" s="27"/>
      <c r="AE2160" s="28"/>
    </row>
    <row r="2161" spans="1:31" customFormat="1" ht="15" x14ac:dyDescent="0.35">
      <c r="A2161" s="19"/>
      <c r="B2161" s="49"/>
      <c r="C2161" s="39"/>
      <c r="D2161" s="1"/>
      <c r="E2161" s="153"/>
      <c r="F2161" s="10"/>
      <c r="G2161" s="20"/>
      <c r="H2161" s="21"/>
      <c r="I2161" s="21"/>
      <c r="J2161" s="21"/>
      <c r="K2161" s="21"/>
      <c r="L2161" s="21"/>
      <c r="M2161" s="21"/>
      <c r="N2161" s="22"/>
      <c r="O2161" s="21"/>
      <c r="P2161" s="24"/>
      <c r="Q2161" s="21"/>
      <c r="R2161" s="21"/>
      <c r="S2161" s="21"/>
      <c r="T2161" s="21"/>
      <c r="U2161" s="21"/>
      <c r="V2161" s="22"/>
      <c r="W2161" s="21"/>
      <c r="X2161" s="22"/>
      <c r="Y2161" s="21"/>
      <c r="Z2161" s="20"/>
      <c r="AA2161" s="21"/>
      <c r="AB2161" s="25"/>
      <c r="AC2161" s="26"/>
      <c r="AD2161" s="27"/>
      <c r="AE2161" s="28"/>
    </row>
    <row r="2162" spans="1:31" customFormat="1" ht="15" x14ac:dyDescent="0.35">
      <c r="A2162" s="50"/>
      <c r="B2162" s="63"/>
      <c r="C2162" s="39"/>
      <c r="D2162" s="6"/>
      <c r="E2162" s="153"/>
      <c r="F2162" s="10"/>
      <c r="G2162" s="54"/>
      <c r="H2162" s="3"/>
      <c r="I2162" s="2"/>
      <c r="J2162" s="2"/>
      <c r="K2162" s="3"/>
      <c r="L2162" s="3"/>
      <c r="M2162" s="3"/>
      <c r="N2162" s="3"/>
      <c r="O2162" s="3"/>
      <c r="P2162" s="59"/>
      <c r="Q2162" s="3"/>
      <c r="R2162" s="3"/>
      <c r="S2162" s="3"/>
      <c r="T2162" s="3"/>
      <c r="U2162" s="3"/>
      <c r="V2162" s="3"/>
      <c r="W2162" s="3"/>
      <c r="X2162" s="3"/>
      <c r="Y2162" s="3"/>
      <c r="Z2162" s="53"/>
      <c r="AA2162" s="3"/>
      <c r="AB2162" s="59"/>
      <c r="AC2162" s="3"/>
      <c r="AD2162" s="53"/>
      <c r="AE2162" s="59"/>
    </row>
    <row r="2163" spans="1:31" customFormat="1" ht="15" x14ac:dyDescent="0.35">
      <c r="A2163" s="50"/>
      <c r="B2163" s="63"/>
      <c r="C2163" s="39"/>
      <c r="D2163" s="6"/>
      <c r="E2163" s="153"/>
      <c r="F2163" s="10"/>
      <c r="G2163" s="54"/>
      <c r="H2163" s="3"/>
      <c r="I2163" s="2"/>
      <c r="J2163" s="2"/>
      <c r="K2163" s="3"/>
      <c r="L2163" s="3"/>
      <c r="M2163" s="3"/>
      <c r="N2163" s="3"/>
      <c r="O2163" s="3"/>
      <c r="P2163" s="59"/>
      <c r="Q2163" s="3"/>
      <c r="R2163" s="3"/>
      <c r="S2163" s="3"/>
      <c r="T2163" s="3"/>
      <c r="U2163" s="3"/>
      <c r="V2163" s="3"/>
      <c r="W2163" s="3"/>
      <c r="X2163" s="3"/>
      <c r="Y2163" s="3"/>
      <c r="Z2163" s="53"/>
      <c r="AA2163" s="3"/>
      <c r="AB2163" s="59"/>
      <c r="AC2163" s="3"/>
      <c r="AD2163" s="53"/>
      <c r="AE2163" s="59"/>
    </row>
    <row r="2164" spans="1:31" customFormat="1" ht="15" x14ac:dyDescent="0.35">
      <c r="A2164" s="50"/>
      <c r="B2164" s="63"/>
      <c r="C2164" s="39"/>
      <c r="D2164" s="6"/>
      <c r="E2164" s="153"/>
      <c r="F2164" s="10"/>
      <c r="G2164" s="53"/>
      <c r="H2164" s="3"/>
      <c r="I2164" s="3"/>
      <c r="J2164" s="3"/>
      <c r="K2164" s="3"/>
      <c r="L2164" s="3"/>
      <c r="M2164" s="3"/>
      <c r="N2164" s="3"/>
      <c r="O2164" s="3"/>
      <c r="P2164" s="59"/>
      <c r="Q2164" s="21"/>
      <c r="R2164" s="21"/>
      <c r="S2164" s="3"/>
      <c r="T2164" s="3"/>
      <c r="U2164" s="3"/>
      <c r="V2164" s="3"/>
      <c r="W2164" s="3"/>
      <c r="X2164" s="3"/>
      <c r="Y2164" s="3"/>
      <c r="Z2164" s="53"/>
      <c r="AA2164" s="3"/>
      <c r="AB2164" s="59"/>
      <c r="AC2164" s="3"/>
      <c r="AD2164" s="53"/>
      <c r="AE2164" s="59"/>
    </row>
    <row r="2165" spans="1:31" customFormat="1" ht="15" x14ac:dyDescent="0.35">
      <c r="A2165" s="19"/>
      <c r="B2165" s="49"/>
      <c r="C2165" s="39"/>
      <c r="D2165" s="1"/>
      <c r="E2165" s="153"/>
      <c r="F2165" s="10"/>
      <c r="G2165" s="20"/>
      <c r="H2165" s="21"/>
      <c r="I2165" s="21"/>
      <c r="J2165" s="21"/>
      <c r="K2165" s="21"/>
      <c r="L2165" s="21"/>
      <c r="M2165" s="21"/>
      <c r="N2165" s="22"/>
      <c r="O2165" s="21"/>
      <c r="P2165" s="24"/>
      <c r="Q2165" s="21"/>
      <c r="R2165" s="21"/>
      <c r="S2165" s="21"/>
      <c r="T2165" s="21"/>
      <c r="U2165" s="21"/>
      <c r="V2165" s="22"/>
      <c r="W2165" s="21"/>
      <c r="X2165" s="22"/>
      <c r="Y2165" s="21"/>
      <c r="Z2165" s="20"/>
      <c r="AA2165" s="21"/>
      <c r="AB2165" s="25"/>
      <c r="AC2165" s="26"/>
      <c r="AD2165" s="27"/>
      <c r="AE2165" s="28"/>
    </row>
    <row r="2166" spans="1:31" customFormat="1" ht="15" x14ac:dyDescent="0.35">
      <c r="A2166" s="19"/>
      <c r="B2166" s="49"/>
      <c r="C2166" s="39"/>
      <c r="D2166" s="1"/>
      <c r="E2166" s="153"/>
      <c r="F2166" s="10"/>
      <c r="G2166" s="20"/>
      <c r="H2166" s="21"/>
      <c r="I2166" s="21"/>
      <c r="J2166" s="21"/>
      <c r="K2166" s="21"/>
      <c r="L2166" s="21"/>
      <c r="M2166" s="21"/>
      <c r="N2166" s="22"/>
      <c r="O2166" s="21"/>
      <c r="P2166" s="24"/>
      <c r="Q2166" s="21"/>
      <c r="R2166" s="21"/>
      <c r="S2166" s="21"/>
      <c r="T2166" s="21"/>
      <c r="U2166" s="21"/>
      <c r="V2166" s="22"/>
      <c r="W2166" s="21"/>
      <c r="X2166" s="22"/>
      <c r="Y2166" s="21"/>
      <c r="Z2166" s="20"/>
      <c r="AA2166" s="21"/>
      <c r="AB2166" s="25"/>
      <c r="AC2166" s="26"/>
      <c r="AD2166" s="27"/>
      <c r="AE2166" s="28"/>
    </row>
    <row r="2167" spans="1:31" customFormat="1" ht="15" x14ac:dyDescent="0.35">
      <c r="A2167" s="19"/>
      <c r="B2167" s="49"/>
      <c r="C2167" s="14"/>
      <c r="D2167" s="1"/>
      <c r="E2167" s="153"/>
      <c r="F2167" s="10"/>
      <c r="G2167" s="20"/>
      <c r="H2167" s="21"/>
      <c r="I2167" s="21"/>
      <c r="J2167" s="21"/>
      <c r="K2167" s="21"/>
      <c r="L2167" s="21"/>
      <c r="M2167" s="21"/>
      <c r="N2167" s="22"/>
      <c r="O2167" s="21"/>
      <c r="P2167" s="24"/>
      <c r="Q2167" s="21"/>
      <c r="R2167" s="21"/>
      <c r="S2167" s="21"/>
      <c r="T2167" s="21"/>
      <c r="U2167" s="21"/>
      <c r="V2167" s="22"/>
      <c r="W2167" s="21"/>
      <c r="X2167" s="22"/>
      <c r="Y2167" s="21"/>
      <c r="Z2167" s="20"/>
      <c r="AA2167" s="21"/>
      <c r="AB2167" s="25"/>
      <c r="AC2167" s="26"/>
      <c r="AD2167" s="27"/>
      <c r="AE2167" s="28"/>
    </row>
    <row r="2168" spans="1:31" customFormat="1" ht="15" x14ac:dyDescent="0.35">
      <c r="A2168" s="50"/>
      <c r="B2168" s="63"/>
      <c r="C2168" s="39"/>
      <c r="D2168" s="6"/>
      <c r="E2168" s="153"/>
      <c r="F2168" s="10"/>
      <c r="G2168" s="54"/>
      <c r="H2168" s="3"/>
      <c r="I2168" s="2"/>
      <c r="J2168" s="2"/>
      <c r="K2168" s="3"/>
      <c r="L2168" s="3"/>
      <c r="M2168" s="3"/>
      <c r="N2168" s="3"/>
      <c r="O2168" s="3"/>
      <c r="P2168" s="59"/>
      <c r="Q2168" s="3"/>
      <c r="R2168" s="3"/>
      <c r="S2168" s="3"/>
      <c r="T2168" s="3"/>
      <c r="U2168" s="3"/>
      <c r="V2168" s="3"/>
      <c r="W2168" s="3"/>
      <c r="X2168" s="3"/>
      <c r="Y2168" s="3"/>
      <c r="Z2168" s="53"/>
      <c r="AA2168" s="3"/>
      <c r="AB2168" s="59"/>
      <c r="AC2168" s="3"/>
      <c r="AD2168" s="53"/>
      <c r="AE2168" s="59"/>
    </row>
    <row r="2169" spans="1:31" customFormat="1" ht="15" x14ac:dyDescent="0.35">
      <c r="A2169" s="19"/>
      <c r="B2169" s="49"/>
      <c r="C2169" s="14"/>
      <c r="D2169" s="1"/>
      <c r="E2169" s="153"/>
      <c r="F2169" s="10"/>
      <c r="G2169" s="20"/>
      <c r="H2169" s="21"/>
      <c r="I2169" s="21"/>
      <c r="J2169" s="21"/>
      <c r="K2169" s="21"/>
      <c r="L2169" s="21"/>
      <c r="M2169" s="21"/>
      <c r="N2169" s="22"/>
      <c r="O2169" s="21"/>
      <c r="P2169" s="24"/>
      <c r="Q2169" s="21"/>
      <c r="R2169" s="21"/>
      <c r="S2169" s="21"/>
      <c r="T2169" s="21"/>
      <c r="U2169" s="21"/>
      <c r="V2169" s="22"/>
      <c r="W2169" s="21"/>
      <c r="X2169" s="22"/>
      <c r="Y2169" s="21"/>
      <c r="Z2169" s="20"/>
      <c r="AA2169" s="21"/>
      <c r="AB2169" s="25"/>
      <c r="AC2169" s="26"/>
      <c r="AD2169" s="27"/>
      <c r="AE2169" s="28"/>
    </row>
    <row r="2170" spans="1:31" customFormat="1" ht="15" x14ac:dyDescent="0.35">
      <c r="A2170" s="19"/>
      <c r="B2170" s="49"/>
      <c r="C2170" s="14"/>
      <c r="D2170" s="1"/>
      <c r="E2170" s="153"/>
      <c r="F2170" s="10"/>
      <c r="G2170" s="20"/>
      <c r="H2170" s="21"/>
      <c r="I2170" s="21"/>
      <c r="J2170" s="21"/>
      <c r="K2170" s="21"/>
      <c r="L2170" s="21"/>
      <c r="M2170" s="21"/>
      <c r="N2170" s="22"/>
      <c r="O2170" s="21"/>
      <c r="P2170" s="24"/>
      <c r="Q2170" s="21"/>
      <c r="R2170" s="21"/>
      <c r="S2170" s="21"/>
      <c r="T2170" s="21"/>
      <c r="U2170" s="21"/>
      <c r="V2170" s="22"/>
      <c r="W2170" s="21"/>
      <c r="X2170" s="22"/>
      <c r="Y2170" s="21"/>
      <c r="Z2170" s="20"/>
      <c r="AA2170" s="21"/>
      <c r="AB2170" s="25"/>
      <c r="AC2170" s="26"/>
      <c r="AD2170" s="27"/>
      <c r="AE2170" s="28"/>
    </row>
    <row r="2171" spans="1:31" customFormat="1" ht="15" x14ac:dyDescent="0.35">
      <c r="A2171" s="19"/>
      <c r="B2171" s="49"/>
      <c r="C2171" s="14"/>
      <c r="D2171" s="1"/>
      <c r="E2171" s="153"/>
      <c r="F2171" s="10"/>
      <c r="G2171" s="20"/>
      <c r="H2171" s="21"/>
      <c r="I2171" s="21"/>
      <c r="J2171" s="21"/>
      <c r="K2171" s="21"/>
      <c r="L2171" s="21"/>
      <c r="M2171" s="21"/>
      <c r="N2171" s="22"/>
      <c r="O2171" s="21"/>
      <c r="P2171" s="24"/>
      <c r="Q2171" s="21"/>
      <c r="R2171" s="21"/>
      <c r="S2171" s="21"/>
      <c r="T2171" s="21"/>
      <c r="U2171" s="21"/>
      <c r="V2171" s="22"/>
      <c r="W2171" s="21"/>
      <c r="X2171" s="22"/>
      <c r="Y2171" s="21"/>
      <c r="Z2171" s="20"/>
      <c r="AA2171" s="21"/>
      <c r="AB2171" s="25"/>
      <c r="AC2171" s="26"/>
      <c r="AD2171" s="27"/>
      <c r="AE2171" s="28"/>
    </row>
    <row r="2172" spans="1:31" customFormat="1" ht="15" x14ac:dyDescent="0.35">
      <c r="A2172" s="19"/>
      <c r="B2172" s="49"/>
      <c r="C2172" s="39"/>
      <c r="D2172" s="1"/>
      <c r="E2172" s="153"/>
      <c r="F2172" s="10"/>
      <c r="G2172" s="20"/>
      <c r="H2172" s="21"/>
      <c r="I2172" s="21"/>
      <c r="J2172" s="21"/>
      <c r="K2172" s="21"/>
      <c r="L2172" s="21"/>
      <c r="M2172" s="21"/>
      <c r="N2172" s="22"/>
      <c r="O2172" s="21"/>
      <c r="P2172" s="24"/>
      <c r="Q2172" s="21"/>
      <c r="R2172" s="21"/>
      <c r="S2172" s="21"/>
      <c r="T2172" s="21"/>
      <c r="U2172" s="21"/>
      <c r="V2172" s="22"/>
      <c r="W2172" s="21"/>
      <c r="X2172" s="22"/>
      <c r="Y2172" s="21"/>
      <c r="Z2172" s="20"/>
      <c r="AA2172" s="21"/>
      <c r="AB2172" s="25"/>
      <c r="AC2172" s="26"/>
      <c r="AD2172" s="27"/>
      <c r="AE2172" s="28"/>
    </row>
    <row r="2173" spans="1:31" customFormat="1" ht="15" x14ac:dyDescent="0.35">
      <c r="A2173" s="51"/>
      <c r="B2173" s="63"/>
      <c r="C2173" s="39"/>
      <c r="D2173" s="6"/>
      <c r="E2173" s="153"/>
      <c r="F2173" s="10"/>
      <c r="G2173" s="55"/>
      <c r="H2173" s="57"/>
      <c r="I2173" s="57"/>
      <c r="J2173" s="57"/>
      <c r="K2173" s="57"/>
      <c r="L2173" s="57"/>
      <c r="M2173" s="57"/>
      <c r="N2173" s="57"/>
      <c r="O2173" s="57"/>
      <c r="P2173" s="60"/>
      <c r="Q2173" s="21"/>
      <c r="R2173" s="21"/>
      <c r="S2173" s="57"/>
      <c r="T2173" s="57"/>
      <c r="U2173" s="57"/>
      <c r="V2173" s="57"/>
      <c r="W2173" s="57"/>
      <c r="X2173" s="57"/>
      <c r="Y2173" s="57"/>
      <c r="Z2173" s="55"/>
      <c r="AA2173" s="57"/>
      <c r="AB2173" s="60"/>
      <c r="AC2173" s="57"/>
      <c r="AD2173" s="55"/>
      <c r="AE2173" s="60"/>
    </row>
    <row r="2174" spans="1:31" ht="13.5" customHeight="1" x14ac:dyDescent="0.35">
      <c r="A2174" s="49"/>
      <c r="B2174" s="49"/>
      <c r="C2174" s="39"/>
      <c r="D2174" s="1"/>
      <c r="E2174" s="153"/>
      <c r="F2174" s="10"/>
      <c r="G2174" s="21"/>
      <c r="H2174" s="21"/>
      <c r="I2174" s="21"/>
      <c r="J2174" s="21"/>
      <c r="K2174" s="21"/>
      <c r="L2174" s="21"/>
      <c r="M2174" s="21"/>
      <c r="N2174" s="22"/>
      <c r="O2174" s="21"/>
      <c r="P2174" s="22"/>
      <c r="Q2174" s="21"/>
      <c r="R2174" s="21"/>
      <c r="S2174" s="21"/>
      <c r="T2174" s="21"/>
      <c r="U2174" s="21"/>
      <c r="V2174" s="22"/>
      <c r="W2174" s="21"/>
      <c r="X2174" s="22"/>
      <c r="Y2174" s="21"/>
      <c r="Z2174" s="21"/>
      <c r="AA2174" s="21"/>
      <c r="AB2174" s="21"/>
      <c r="AC2174" s="26"/>
      <c r="AD2174" s="26"/>
      <c r="AE2174" s="62"/>
    </row>
    <row r="2175" spans="1:31" x14ac:dyDescent="0.3">
      <c r="A2175" s="63"/>
      <c r="B2175" s="63"/>
      <c r="C2175" s="39"/>
      <c r="D2175" s="6"/>
      <c r="E2175" s="153"/>
      <c r="F2175" s="10"/>
      <c r="G2175" s="64"/>
      <c r="H2175" s="3"/>
      <c r="I2175" s="2"/>
      <c r="J2175" s="2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</row>
    <row r="2176" spans="1:31" ht="13.5" customHeight="1" x14ac:dyDescent="0.35">
      <c r="A2176" s="49"/>
      <c r="B2176" s="49"/>
      <c r="C2176" s="39"/>
      <c r="D2176" s="1"/>
      <c r="E2176" s="153"/>
      <c r="F2176" s="10"/>
      <c r="G2176" s="21"/>
      <c r="H2176" s="21"/>
      <c r="I2176" s="21"/>
      <c r="J2176" s="21"/>
      <c r="K2176" s="21"/>
      <c r="L2176" s="21"/>
      <c r="M2176" s="21"/>
      <c r="N2176" s="22"/>
      <c r="O2176" s="21"/>
      <c r="P2176" s="22"/>
      <c r="Q2176" s="21"/>
      <c r="R2176" s="21"/>
      <c r="S2176" s="21"/>
      <c r="T2176" s="21"/>
      <c r="U2176" s="21"/>
      <c r="V2176" s="22"/>
      <c r="W2176" s="21"/>
      <c r="X2176" s="22"/>
      <c r="Y2176" s="21"/>
      <c r="Z2176" s="21"/>
      <c r="AA2176" s="21"/>
      <c r="AB2176" s="21"/>
      <c r="AC2176" s="26"/>
      <c r="AD2176" s="26"/>
      <c r="AE2176" s="62"/>
    </row>
    <row r="2177" spans="1:31" ht="13.5" customHeight="1" x14ac:dyDescent="0.35">
      <c r="A2177" s="49"/>
      <c r="B2177" s="49"/>
      <c r="C2177" s="14"/>
      <c r="D2177" s="1"/>
      <c r="E2177" s="153"/>
      <c r="F2177" s="10"/>
      <c r="G2177" s="21"/>
      <c r="H2177" s="21"/>
      <c r="I2177" s="21"/>
      <c r="J2177" s="21"/>
      <c r="K2177" s="21"/>
      <c r="L2177" s="21"/>
      <c r="M2177" s="21"/>
      <c r="N2177" s="22"/>
      <c r="O2177" s="21"/>
      <c r="P2177" s="22"/>
      <c r="Q2177" s="21"/>
      <c r="R2177" s="21"/>
      <c r="S2177" s="21"/>
      <c r="T2177" s="21"/>
      <c r="U2177" s="21"/>
      <c r="V2177" s="22"/>
      <c r="W2177" s="21"/>
      <c r="X2177" s="22"/>
      <c r="Y2177" s="21"/>
      <c r="Z2177" s="21"/>
      <c r="AA2177" s="21"/>
      <c r="AB2177" s="21"/>
      <c r="AC2177" s="26"/>
      <c r="AD2177" s="26"/>
      <c r="AE2177" s="65"/>
    </row>
    <row r="2178" spans="1:31" x14ac:dyDescent="0.3">
      <c r="A2178" s="63"/>
      <c r="B2178" s="63"/>
      <c r="C2178" s="39"/>
      <c r="D2178" s="6"/>
      <c r="E2178" s="153"/>
      <c r="F2178" s="10"/>
      <c r="G2178" s="64"/>
      <c r="H2178" s="3"/>
      <c r="I2178" s="2"/>
      <c r="J2178" s="2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</row>
    <row r="2179" spans="1:31" x14ac:dyDescent="0.3">
      <c r="A2179" s="6"/>
      <c r="B2179" s="6"/>
      <c r="C2179" s="39"/>
      <c r="D2179" s="6"/>
      <c r="E2179" s="153"/>
      <c r="F2179" s="10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21"/>
      <c r="R2179" s="21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</row>
    <row r="2180" spans="1:31" ht="13.5" customHeight="1" x14ac:dyDescent="0.35">
      <c r="A2180" s="49"/>
      <c r="B2180" s="49"/>
      <c r="C2180" s="14"/>
      <c r="D2180" s="1"/>
      <c r="E2180" s="153"/>
      <c r="F2180" s="10"/>
      <c r="G2180" s="21"/>
      <c r="H2180" s="21"/>
      <c r="I2180" s="21"/>
      <c r="J2180" s="21"/>
      <c r="K2180" s="21"/>
      <c r="L2180" s="21"/>
      <c r="M2180" s="21"/>
      <c r="N2180" s="22"/>
      <c r="O2180" s="21"/>
      <c r="P2180" s="22"/>
      <c r="Q2180" s="21"/>
      <c r="R2180" s="21"/>
      <c r="S2180" s="21"/>
      <c r="T2180" s="21"/>
      <c r="U2180" s="21"/>
      <c r="V2180" s="22"/>
      <c r="W2180" s="21"/>
      <c r="X2180" s="22"/>
      <c r="Y2180" s="21"/>
      <c r="Z2180" s="21"/>
      <c r="AA2180" s="21"/>
      <c r="AB2180" s="21"/>
      <c r="AC2180" s="26"/>
      <c r="AD2180" s="26"/>
      <c r="AE2180" s="62"/>
    </row>
    <row r="2181" spans="1:31" x14ac:dyDescent="0.3">
      <c r="A2181" s="6"/>
      <c r="B2181" s="6"/>
      <c r="C2181" s="39"/>
      <c r="D2181" s="6"/>
      <c r="E2181" s="153"/>
      <c r="F2181" s="10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21"/>
      <c r="R2181" s="21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</row>
    <row r="2182" spans="1:31" x14ac:dyDescent="0.3">
      <c r="A2182" s="63"/>
      <c r="B2182" s="63"/>
      <c r="C2182" s="39"/>
      <c r="D2182" s="6"/>
      <c r="E2182" s="153"/>
      <c r="F2182" s="10"/>
      <c r="G2182" s="64"/>
      <c r="H2182" s="3"/>
      <c r="I2182" s="2"/>
      <c r="J2182" s="2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</row>
    <row r="2183" spans="1:31" x14ac:dyDescent="0.3">
      <c r="A2183" s="63"/>
      <c r="B2183" s="63"/>
      <c r="C2183" s="39"/>
      <c r="D2183" s="6"/>
      <c r="E2183" s="153"/>
      <c r="F2183" s="10"/>
      <c r="G2183" s="64"/>
      <c r="H2183" s="3"/>
      <c r="I2183" s="2"/>
      <c r="J2183" s="2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</row>
    <row r="2184" spans="1:31" x14ac:dyDescent="0.3">
      <c r="A2184" s="6"/>
      <c r="B2184" s="6"/>
      <c r="C2184" s="39"/>
      <c r="D2184" s="6"/>
      <c r="E2184" s="153"/>
      <c r="F2184" s="10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21"/>
      <c r="R2184" s="21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</row>
    <row r="2185" spans="1:31" ht="13.5" customHeight="1" x14ac:dyDescent="0.35">
      <c r="A2185" s="49"/>
      <c r="B2185" s="49"/>
      <c r="C2185" s="14"/>
      <c r="D2185" s="1"/>
      <c r="E2185" s="153"/>
      <c r="F2185" s="10"/>
      <c r="G2185" s="21"/>
      <c r="H2185" s="21"/>
      <c r="I2185" s="21"/>
      <c r="J2185" s="21"/>
      <c r="K2185" s="21"/>
      <c r="L2185" s="21"/>
      <c r="M2185" s="21"/>
      <c r="N2185" s="22"/>
      <c r="O2185" s="21"/>
      <c r="P2185" s="22"/>
      <c r="Q2185" s="21"/>
      <c r="R2185" s="21"/>
      <c r="S2185" s="21"/>
      <c r="T2185" s="21"/>
      <c r="U2185" s="21"/>
      <c r="V2185" s="22"/>
      <c r="W2185" s="21"/>
      <c r="X2185" s="22"/>
      <c r="Y2185" s="21"/>
      <c r="Z2185" s="21"/>
      <c r="AA2185" s="21"/>
      <c r="AB2185" s="21"/>
      <c r="AC2185" s="26"/>
      <c r="AD2185" s="26"/>
      <c r="AE2185" s="62"/>
    </row>
    <row r="2186" spans="1:31" x14ac:dyDescent="0.3">
      <c r="A2186" s="63"/>
      <c r="B2186" s="63"/>
      <c r="C2186" s="39"/>
      <c r="D2186" s="6"/>
      <c r="E2186" s="153"/>
      <c r="F2186" s="10"/>
      <c r="G2186" s="64"/>
      <c r="H2186" s="3"/>
      <c r="I2186" s="2"/>
      <c r="J2186" s="2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</row>
    <row r="2187" spans="1:31" ht="13.5" customHeight="1" x14ac:dyDescent="0.3">
      <c r="A2187" s="49"/>
      <c r="B2187" s="49"/>
      <c r="C2187" s="14"/>
      <c r="D2187" s="6"/>
      <c r="E2187" s="153"/>
      <c r="F2187" s="10"/>
      <c r="G2187" s="21"/>
      <c r="H2187" s="21"/>
      <c r="I2187" s="21"/>
      <c r="J2187" s="21"/>
      <c r="K2187" s="21"/>
      <c r="L2187" s="21"/>
      <c r="M2187" s="21"/>
      <c r="N2187" s="22"/>
      <c r="O2187" s="21"/>
      <c r="P2187" s="22"/>
      <c r="Q2187" s="21"/>
      <c r="R2187" s="21"/>
      <c r="S2187" s="21"/>
      <c r="T2187" s="21"/>
      <c r="U2187" s="21"/>
      <c r="V2187" s="22"/>
      <c r="W2187" s="21"/>
      <c r="X2187" s="22"/>
      <c r="Y2187" s="21"/>
      <c r="Z2187" s="21"/>
      <c r="AA2187" s="21"/>
      <c r="AB2187" s="21"/>
      <c r="AC2187" s="26"/>
      <c r="AD2187" s="26"/>
      <c r="AE2187" s="62"/>
    </row>
    <row r="2188" spans="1:31" x14ac:dyDescent="0.3">
      <c r="A2188" s="6"/>
      <c r="B2188" s="6"/>
      <c r="C2188" s="39"/>
      <c r="D2188" s="6"/>
      <c r="E2188" s="153"/>
      <c r="F2188" s="10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21"/>
      <c r="R2188" s="21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</row>
    <row r="2189" spans="1:31" ht="13.5" customHeight="1" x14ac:dyDescent="0.35">
      <c r="A2189" s="49"/>
      <c r="B2189" s="49"/>
      <c r="C2189" s="14"/>
      <c r="D2189" s="1"/>
      <c r="E2189" s="153"/>
      <c r="F2189" s="10"/>
      <c r="G2189" s="21"/>
      <c r="H2189" s="21"/>
      <c r="I2189" s="21"/>
      <c r="J2189" s="21"/>
      <c r="K2189" s="21"/>
      <c r="L2189" s="21"/>
      <c r="M2189" s="21"/>
      <c r="N2189" s="22"/>
      <c r="O2189" s="21"/>
      <c r="P2189" s="22"/>
      <c r="Q2189" s="21"/>
      <c r="R2189" s="21"/>
      <c r="S2189" s="21"/>
      <c r="T2189" s="21"/>
      <c r="U2189" s="21"/>
      <c r="V2189" s="22"/>
      <c r="W2189" s="21"/>
      <c r="X2189" s="22"/>
      <c r="Y2189" s="21"/>
      <c r="Z2189" s="21"/>
      <c r="AA2189" s="21"/>
      <c r="AB2189" s="21"/>
      <c r="AC2189" s="26"/>
      <c r="AD2189" s="26"/>
      <c r="AE2189" s="62"/>
    </row>
    <row r="2190" spans="1:31" x14ac:dyDescent="0.3">
      <c r="A2190" s="6"/>
      <c r="B2190" s="6"/>
      <c r="C2190" s="39"/>
      <c r="D2190" s="6"/>
      <c r="E2190" s="153"/>
      <c r="F2190" s="10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21"/>
      <c r="R2190" s="21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</row>
    <row r="2191" spans="1:31" x14ac:dyDescent="0.3">
      <c r="A2191" s="6"/>
      <c r="B2191" s="6"/>
      <c r="C2191" s="39"/>
      <c r="D2191" s="6"/>
      <c r="E2191" s="153"/>
      <c r="F2191" s="10"/>
      <c r="G2191" s="2"/>
      <c r="H2191" s="3"/>
      <c r="I2191" s="2"/>
      <c r="J2191" s="2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</row>
    <row r="2192" spans="1:31" x14ac:dyDescent="0.3">
      <c r="A2192" s="6"/>
      <c r="B2192" s="6"/>
      <c r="C2192" s="39"/>
      <c r="D2192" s="6"/>
      <c r="E2192" s="153"/>
      <c r="F2192" s="10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21"/>
      <c r="R2192" s="21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</row>
    <row r="2193" spans="1:31" x14ac:dyDescent="0.3">
      <c r="A2193" s="6"/>
      <c r="B2193" s="6"/>
      <c r="C2193" s="39"/>
      <c r="D2193" s="6"/>
      <c r="E2193" s="153"/>
      <c r="F2193" s="10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21"/>
      <c r="R2193" s="21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</row>
    <row r="2194" spans="1:31" ht="13.5" customHeight="1" x14ac:dyDescent="0.35">
      <c r="A2194" s="49"/>
      <c r="B2194" s="49"/>
      <c r="C2194" s="39"/>
      <c r="D2194" s="1"/>
      <c r="E2194" s="153"/>
      <c r="F2194" s="10"/>
      <c r="G2194" s="21"/>
      <c r="H2194" s="21"/>
      <c r="I2194" s="21"/>
      <c r="J2194" s="21"/>
      <c r="K2194" s="21"/>
      <c r="L2194" s="21"/>
      <c r="M2194" s="21"/>
      <c r="N2194" s="22"/>
      <c r="O2194" s="21"/>
      <c r="P2194" s="22"/>
      <c r="Q2194" s="21"/>
      <c r="R2194" s="21"/>
      <c r="S2194" s="21"/>
      <c r="T2194" s="21"/>
      <c r="U2194" s="21"/>
      <c r="V2194" s="22"/>
      <c r="W2194" s="21"/>
      <c r="X2194" s="22"/>
      <c r="Y2194" s="21"/>
      <c r="Z2194" s="21"/>
      <c r="AA2194" s="21"/>
      <c r="AB2194" s="21"/>
      <c r="AC2194" s="26"/>
      <c r="AD2194" s="26"/>
      <c r="AE2194" s="62"/>
    </row>
    <row r="2195" spans="1:31" x14ac:dyDescent="0.3">
      <c r="A2195" s="6"/>
      <c r="B2195" s="6"/>
      <c r="C2195" s="39"/>
      <c r="D2195" s="6"/>
      <c r="E2195" s="153"/>
      <c r="F2195" s="10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21"/>
      <c r="R2195" s="21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</row>
    <row r="2196" spans="1:31" x14ac:dyDescent="0.3">
      <c r="A2196" s="6"/>
      <c r="B2196" s="6"/>
      <c r="C2196" s="39"/>
      <c r="D2196" s="6"/>
      <c r="E2196" s="153"/>
      <c r="F2196" s="10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21"/>
      <c r="R2196" s="21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</row>
    <row r="2197" spans="1:31" x14ac:dyDescent="0.3">
      <c r="A2197" s="6"/>
      <c r="B2197" s="6"/>
      <c r="C2197" s="39"/>
      <c r="D2197" s="6"/>
      <c r="E2197" s="153"/>
      <c r="F2197" s="10"/>
      <c r="G2197" s="2"/>
      <c r="H2197" s="3"/>
      <c r="I2197" s="2"/>
      <c r="J2197" s="2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</row>
    <row r="2198" spans="1:31" x14ac:dyDescent="0.3">
      <c r="A2198" s="6"/>
      <c r="B2198" s="6"/>
      <c r="C2198" s="39"/>
      <c r="D2198" s="6"/>
      <c r="E2198" s="153"/>
      <c r="F2198" s="10"/>
      <c r="G2198" s="2"/>
      <c r="H2198" s="3"/>
      <c r="I2198" s="2"/>
      <c r="J2198" s="2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</row>
    <row r="2199" spans="1:31" x14ac:dyDescent="0.3">
      <c r="A2199" s="6"/>
      <c r="B2199" s="6"/>
      <c r="C2199" s="39"/>
      <c r="D2199" s="6"/>
      <c r="E2199" s="153"/>
      <c r="F2199" s="10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21"/>
      <c r="R2199" s="21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</row>
    <row r="2200" spans="1:31" x14ac:dyDescent="0.3">
      <c r="A2200" s="6"/>
      <c r="B2200" s="6"/>
      <c r="C2200" s="39"/>
      <c r="D2200" s="6"/>
      <c r="E2200" s="153"/>
      <c r="F2200" s="10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</row>
    <row r="2201" spans="1:31" x14ac:dyDescent="0.3">
      <c r="A2201" s="6"/>
      <c r="B2201" s="6"/>
      <c r="C2201" s="39"/>
      <c r="D2201" s="6"/>
      <c r="E2201" s="153"/>
      <c r="F2201" s="10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21"/>
      <c r="R2201" s="21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</row>
    <row r="2202" spans="1:31" x14ac:dyDescent="0.3">
      <c r="A2202" s="6"/>
      <c r="B2202" s="6"/>
      <c r="C2202" s="39"/>
      <c r="D2202" s="6"/>
      <c r="E2202" s="153"/>
      <c r="F2202" s="10"/>
      <c r="G2202" s="2"/>
      <c r="H2202" s="3"/>
      <c r="I2202" s="2"/>
      <c r="J2202" s="2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</row>
    <row r="2203" spans="1:31" x14ac:dyDescent="0.3">
      <c r="A2203" s="6"/>
      <c r="B2203" s="6"/>
      <c r="C2203" s="39"/>
      <c r="D2203" s="6"/>
      <c r="E2203" s="153"/>
      <c r="F2203" s="10"/>
      <c r="G2203" s="2"/>
      <c r="H2203" s="3"/>
      <c r="I2203" s="2"/>
      <c r="J2203" s="2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</row>
    <row r="2204" spans="1:31" x14ac:dyDescent="0.3">
      <c r="A2204" s="63"/>
      <c r="B2204" s="63"/>
      <c r="C2204" s="39"/>
      <c r="D2204" s="6"/>
      <c r="E2204" s="153"/>
      <c r="F2204" s="10"/>
      <c r="G2204" s="64"/>
      <c r="H2204" s="3"/>
      <c r="I2204" s="2"/>
      <c r="J2204" s="2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</row>
    <row r="2205" spans="1:31" x14ac:dyDescent="0.3">
      <c r="A2205" s="63"/>
      <c r="B2205" s="63"/>
      <c r="C2205" s="39"/>
      <c r="D2205" s="6"/>
      <c r="E2205" s="153"/>
      <c r="F2205" s="10"/>
      <c r="G2205" s="64"/>
      <c r="H2205" s="3"/>
      <c r="I2205" s="2"/>
      <c r="J2205" s="2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</row>
    <row r="2206" spans="1:31" x14ac:dyDescent="0.3">
      <c r="A2206" s="6"/>
      <c r="B2206" s="6"/>
      <c r="C2206" s="39"/>
      <c r="D2206" s="6"/>
      <c r="E2206" s="153"/>
      <c r="F2206" s="10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21"/>
      <c r="R2206" s="21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</row>
    <row r="2207" spans="1:31" x14ac:dyDescent="0.3">
      <c r="A2207" s="63"/>
      <c r="B2207" s="63"/>
      <c r="C2207" s="39"/>
      <c r="D2207" s="6"/>
      <c r="E2207" s="153"/>
      <c r="F2207" s="10"/>
      <c r="G2207" s="64"/>
      <c r="H2207" s="3"/>
      <c r="I2207" s="2"/>
      <c r="J2207" s="2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</row>
    <row r="2208" spans="1:31" ht="13.5" customHeight="1" x14ac:dyDescent="0.35">
      <c r="A2208" s="49"/>
      <c r="B2208" s="49"/>
      <c r="C2208" s="14"/>
      <c r="D2208" s="1"/>
      <c r="E2208" s="153"/>
      <c r="F2208" s="10"/>
      <c r="G2208" s="21"/>
      <c r="H2208" s="21"/>
      <c r="I2208" s="21"/>
      <c r="J2208" s="21"/>
      <c r="K2208" s="21"/>
      <c r="L2208" s="21"/>
      <c r="M2208" s="21"/>
      <c r="N2208" s="22"/>
      <c r="O2208" s="21"/>
      <c r="P2208" s="22"/>
      <c r="Q2208" s="21"/>
      <c r="R2208" s="21"/>
      <c r="S2208" s="21"/>
      <c r="T2208" s="21"/>
      <c r="U2208" s="21"/>
      <c r="V2208" s="22"/>
      <c r="W2208" s="21"/>
      <c r="X2208" s="22"/>
      <c r="Y2208" s="21"/>
      <c r="Z2208" s="21"/>
      <c r="AA2208" s="21"/>
      <c r="AB2208" s="21"/>
      <c r="AC2208" s="26"/>
      <c r="AD2208" s="26"/>
      <c r="AE2208" s="62"/>
    </row>
    <row r="2209" spans="1:31" ht="13.5" customHeight="1" x14ac:dyDescent="0.35">
      <c r="A2209" s="49"/>
      <c r="B2209" s="49"/>
      <c r="C2209" s="14"/>
      <c r="D2209" s="1"/>
      <c r="E2209" s="153"/>
      <c r="F2209" s="10"/>
      <c r="G2209" s="21"/>
      <c r="H2209" s="21"/>
      <c r="I2209" s="21"/>
      <c r="J2209" s="21"/>
      <c r="K2209" s="21"/>
      <c r="L2209" s="21"/>
      <c r="M2209" s="21"/>
      <c r="N2209" s="22"/>
      <c r="O2209" s="21"/>
      <c r="P2209" s="22"/>
      <c r="Q2209" s="21"/>
      <c r="R2209" s="21"/>
      <c r="S2209" s="21"/>
      <c r="T2209" s="21"/>
      <c r="U2209" s="21"/>
      <c r="V2209" s="22"/>
      <c r="W2209" s="21"/>
      <c r="X2209" s="22"/>
      <c r="Y2209" s="21"/>
      <c r="Z2209" s="21"/>
      <c r="AA2209" s="21"/>
      <c r="AB2209" s="21"/>
      <c r="AC2209" s="26"/>
      <c r="AD2209" s="26"/>
      <c r="AE2209" s="62"/>
    </row>
    <row r="2210" spans="1:31" x14ac:dyDescent="0.3">
      <c r="A2210" s="6"/>
      <c r="B2210" s="6"/>
      <c r="C2210" s="39"/>
      <c r="D2210" s="6"/>
      <c r="E2210" s="153"/>
      <c r="F2210" s="10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21"/>
      <c r="R2210" s="21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</row>
    <row r="2211" spans="1:31" x14ac:dyDescent="0.3">
      <c r="A2211" s="6"/>
      <c r="B2211" s="6"/>
      <c r="C2211" s="39"/>
      <c r="D2211" s="6"/>
      <c r="E2211" s="153"/>
      <c r="F2211" s="10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21"/>
      <c r="R2211" s="21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</row>
    <row r="2212" spans="1:31" ht="13.5" customHeight="1" x14ac:dyDescent="0.35">
      <c r="A2212" s="49"/>
      <c r="B2212" s="49"/>
      <c r="C2212" s="14"/>
      <c r="D2212" s="1"/>
      <c r="E2212" s="153"/>
      <c r="F2212" s="10"/>
      <c r="G2212" s="21"/>
      <c r="H2212" s="21"/>
      <c r="I2212" s="21"/>
      <c r="J2212" s="21"/>
      <c r="K2212" s="21"/>
      <c r="L2212" s="21"/>
      <c r="M2212" s="21"/>
      <c r="N2212" s="22"/>
      <c r="O2212" s="21"/>
      <c r="P2212" s="22"/>
      <c r="Q2212" s="21"/>
      <c r="R2212" s="21"/>
      <c r="S2212" s="21"/>
      <c r="T2212" s="21"/>
      <c r="U2212" s="21"/>
      <c r="V2212" s="22"/>
      <c r="W2212" s="21"/>
      <c r="X2212" s="22"/>
      <c r="Y2212" s="21"/>
      <c r="Z2212" s="21"/>
      <c r="AA2212" s="21"/>
      <c r="AB2212" s="21"/>
      <c r="AC2212" s="26"/>
      <c r="AD2212" s="26"/>
      <c r="AE2212" s="62"/>
    </row>
    <row r="2213" spans="1:31" x14ac:dyDescent="0.3">
      <c r="A2213" s="6"/>
      <c r="B2213" s="6"/>
      <c r="C2213" s="39"/>
      <c r="D2213" s="6"/>
      <c r="E2213" s="153"/>
      <c r="F2213" s="10"/>
      <c r="G2213" s="2"/>
      <c r="H2213" s="3"/>
      <c r="I2213" s="2"/>
      <c r="J2213" s="2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</row>
    <row r="2214" spans="1:31" x14ac:dyDescent="0.3">
      <c r="A2214" s="6"/>
      <c r="B2214" s="6"/>
      <c r="C2214" s="39"/>
      <c r="D2214" s="6"/>
      <c r="E2214" s="153"/>
      <c r="F2214" s="10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21"/>
      <c r="R2214" s="21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</row>
    <row r="2215" spans="1:31" x14ac:dyDescent="0.3">
      <c r="A2215" s="63"/>
      <c r="B2215" s="63"/>
      <c r="C2215" s="39"/>
      <c r="D2215" s="6"/>
      <c r="E2215" s="153"/>
      <c r="F2215" s="10"/>
      <c r="G2215" s="64"/>
      <c r="H2215" s="3"/>
      <c r="I2215" s="2"/>
      <c r="J2215" s="2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</row>
    <row r="2216" spans="1:31" x14ac:dyDescent="0.3">
      <c r="A2216" s="6"/>
      <c r="B2216" s="6"/>
      <c r="C2216" s="39"/>
      <c r="D2216" s="6"/>
      <c r="E2216" s="153"/>
      <c r="F2216" s="10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</row>
    <row r="2217" spans="1:31" x14ac:dyDescent="0.3">
      <c r="A2217" s="6"/>
      <c r="B2217" s="6"/>
      <c r="C2217" s="39"/>
      <c r="D2217" s="6"/>
      <c r="E2217" s="153"/>
      <c r="F2217" s="10"/>
      <c r="G2217" s="2"/>
      <c r="H2217" s="3"/>
      <c r="I2217" s="2"/>
      <c r="J2217" s="2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</row>
    <row r="2218" spans="1:31" ht="13.5" customHeight="1" x14ac:dyDescent="0.35">
      <c r="A2218" s="49"/>
      <c r="B2218" s="49"/>
      <c r="C2218" s="14"/>
      <c r="D2218" s="1"/>
      <c r="E2218" s="153"/>
      <c r="F2218" s="10"/>
      <c r="G2218" s="21"/>
      <c r="H2218" s="21"/>
      <c r="I2218" s="21"/>
      <c r="J2218" s="21"/>
      <c r="K2218" s="21"/>
      <c r="L2218" s="21"/>
      <c r="M2218" s="21"/>
      <c r="N2218" s="22"/>
      <c r="O2218" s="21"/>
      <c r="P2218" s="22"/>
      <c r="Q2218" s="21"/>
      <c r="R2218" s="21"/>
      <c r="S2218" s="21"/>
      <c r="T2218" s="21"/>
      <c r="U2218" s="21"/>
      <c r="V2218" s="22"/>
      <c r="W2218" s="21"/>
      <c r="X2218" s="22"/>
      <c r="Y2218" s="21"/>
      <c r="Z2218" s="21"/>
      <c r="AA2218" s="21"/>
      <c r="AB2218" s="21"/>
      <c r="AC2218" s="26"/>
      <c r="AD2218" s="26"/>
      <c r="AE2218" s="62"/>
    </row>
    <row r="2219" spans="1:31" x14ac:dyDescent="0.3">
      <c r="A2219" s="63"/>
      <c r="B2219" s="63"/>
      <c r="C2219" s="39"/>
      <c r="D2219" s="6"/>
      <c r="E2219" s="153"/>
      <c r="F2219" s="10"/>
      <c r="G2219" s="64"/>
      <c r="H2219" s="3"/>
      <c r="I2219" s="2"/>
      <c r="J2219" s="2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</row>
    <row r="2220" spans="1:31" x14ac:dyDescent="0.3">
      <c r="A2220" s="6"/>
      <c r="B2220" s="6"/>
      <c r="C2220" s="39"/>
      <c r="D2220" s="6"/>
      <c r="E2220" s="153"/>
      <c r="F2220" s="10"/>
      <c r="G2220" s="2"/>
      <c r="H2220" s="3"/>
      <c r="I2220" s="2"/>
      <c r="J2220" s="2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</row>
    <row r="2221" spans="1:31" x14ac:dyDescent="0.3">
      <c r="A2221" s="6"/>
      <c r="B2221" s="6"/>
      <c r="C2221" s="39"/>
      <c r="D2221" s="6"/>
      <c r="E2221" s="153"/>
      <c r="F2221" s="10"/>
      <c r="G2221" s="2"/>
      <c r="H2221" s="3"/>
      <c r="I2221" s="2"/>
      <c r="J2221" s="2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</row>
    <row r="2222" spans="1:31" ht="13.5" customHeight="1" x14ac:dyDescent="0.35">
      <c r="A2222" s="49"/>
      <c r="B2222" s="49"/>
      <c r="C2222" s="39"/>
      <c r="D2222" s="1"/>
      <c r="E2222" s="153"/>
      <c r="F2222" s="10"/>
      <c r="G2222" s="21"/>
      <c r="H2222" s="21"/>
      <c r="I2222" s="21"/>
      <c r="J2222" s="21"/>
      <c r="K2222" s="21"/>
      <c r="L2222" s="21"/>
      <c r="M2222" s="21"/>
      <c r="N2222" s="22"/>
      <c r="O2222" s="21"/>
      <c r="P2222" s="22"/>
      <c r="Q2222" s="21"/>
      <c r="R2222" s="21"/>
      <c r="S2222" s="21"/>
      <c r="T2222" s="21"/>
      <c r="U2222" s="21"/>
      <c r="V2222" s="22"/>
      <c r="W2222" s="21"/>
      <c r="X2222" s="22"/>
      <c r="Y2222" s="21"/>
      <c r="Z2222" s="21"/>
      <c r="AA2222" s="21"/>
      <c r="AB2222" s="21"/>
      <c r="AC2222" s="26"/>
      <c r="AD2222" s="26"/>
      <c r="AE2222" s="62"/>
    </row>
    <row r="2223" spans="1:31" x14ac:dyDescent="0.3">
      <c r="A2223" s="6"/>
      <c r="B2223" s="6"/>
      <c r="C2223" s="39"/>
      <c r="D2223" s="6"/>
      <c r="E2223" s="153"/>
      <c r="F2223" s="10"/>
      <c r="G2223" s="2"/>
      <c r="H2223" s="3"/>
      <c r="I2223" s="2"/>
      <c r="J2223" s="2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</row>
    <row r="2224" spans="1:31" x14ac:dyDescent="0.3">
      <c r="A2224" s="6"/>
      <c r="B2224" s="6"/>
      <c r="C2224" s="39"/>
      <c r="D2224" s="6"/>
      <c r="E2224" s="153"/>
      <c r="F2224" s="10"/>
      <c r="G2224" s="2"/>
      <c r="H2224" s="3"/>
      <c r="I2224" s="2"/>
      <c r="J2224" s="2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</row>
    <row r="2225" spans="1:31" x14ac:dyDescent="0.3">
      <c r="A2225" s="6"/>
      <c r="B2225" s="6"/>
      <c r="C2225" s="39"/>
      <c r="D2225" s="6"/>
      <c r="E2225" s="153"/>
      <c r="F2225" s="10"/>
      <c r="G2225" s="2"/>
      <c r="H2225" s="3"/>
      <c r="I2225" s="2"/>
      <c r="J2225" s="2"/>
      <c r="K2225" s="3"/>
      <c r="L2225" s="3"/>
      <c r="M2225" s="3"/>
      <c r="N2225" s="3"/>
      <c r="O2225" s="3"/>
      <c r="P2225" s="3"/>
      <c r="Q2225" s="21"/>
      <c r="R2225" s="21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</row>
    <row r="2226" spans="1:31" ht="13.5" customHeight="1" x14ac:dyDescent="0.35">
      <c r="A2226" s="49"/>
      <c r="B2226" s="49"/>
      <c r="C2226" s="39"/>
      <c r="D2226" s="1"/>
      <c r="E2226" s="153"/>
      <c r="F2226" s="10"/>
      <c r="G2226" s="21"/>
      <c r="H2226" s="21"/>
      <c r="I2226" s="21"/>
      <c r="J2226" s="21"/>
      <c r="K2226" s="21"/>
      <c r="L2226" s="21"/>
      <c r="M2226" s="21"/>
      <c r="N2226" s="22"/>
      <c r="O2226" s="21"/>
      <c r="P2226" s="22"/>
      <c r="Q2226" s="21"/>
      <c r="R2226" s="21"/>
      <c r="S2226" s="21"/>
      <c r="T2226" s="21"/>
      <c r="U2226" s="21"/>
      <c r="V2226" s="22"/>
      <c r="W2226" s="21"/>
      <c r="X2226" s="22"/>
      <c r="Y2226" s="21"/>
      <c r="Z2226" s="21"/>
      <c r="AA2226" s="21"/>
      <c r="AB2226" s="21"/>
      <c r="AC2226" s="26"/>
      <c r="AD2226" s="26"/>
      <c r="AE2226" s="62"/>
    </row>
    <row r="2227" spans="1:31" x14ac:dyDescent="0.3">
      <c r="A2227" s="6"/>
      <c r="B2227" s="6"/>
      <c r="C2227" s="39"/>
      <c r="D2227" s="6"/>
      <c r="E2227" s="153"/>
      <c r="F2227" s="10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21"/>
      <c r="R2227" s="21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</row>
    <row r="2228" spans="1:31" ht="13.5" customHeight="1" x14ac:dyDescent="0.35">
      <c r="A2228" s="49"/>
      <c r="B2228" s="49"/>
      <c r="C2228" s="14"/>
      <c r="D2228" s="1"/>
      <c r="E2228" s="153"/>
      <c r="F2228" s="10"/>
      <c r="G2228" s="21"/>
      <c r="H2228" s="21"/>
      <c r="I2228" s="21"/>
      <c r="J2228" s="21"/>
      <c r="K2228" s="21"/>
      <c r="L2228" s="21"/>
      <c r="M2228" s="21"/>
      <c r="N2228" s="22"/>
      <c r="O2228" s="21"/>
      <c r="P2228" s="22"/>
      <c r="Q2228" s="21"/>
      <c r="R2228" s="21"/>
      <c r="S2228" s="21"/>
      <c r="T2228" s="21"/>
      <c r="U2228" s="21"/>
      <c r="V2228" s="22"/>
      <c r="W2228" s="21"/>
      <c r="X2228" s="22"/>
      <c r="Y2228" s="21"/>
      <c r="Z2228" s="21"/>
      <c r="AA2228" s="21"/>
      <c r="AB2228" s="21"/>
      <c r="AC2228" s="26"/>
      <c r="AD2228" s="26"/>
      <c r="AE2228" s="62"/>
    </row>
    <row r="2229" spans="1:31" x14ac:dyDescent="0.3">
      <c r="A2229" s="6"/>
      <c r="B2229" s="6"/>
      <c r="C2229" s="39"/>
      <c r="D2229" s="6"/>
      <c r="E2229" s="153"/>
      <c r="F2229" s="10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21"/>
      <c r="R2229" s="21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</row>
    <row r="2230" spans="1:31" x14ac:dyDescent="0.3">
      <c r="A2230" s="6"/>
      <c r="B2230" s="6"/>
      <c r="C2230" s="39"/>
      <c r="D2230" s="6"/>
      <c r="E2230" s="153"/>
      <c r="F2230" s="10"/>
      <c r="G2230" s="2"/>
      <c r="H2230" s="3"/>
      <c r="I2230" s="2"/>
      <c r="J2230" s="2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</row>
    <row r="2231" spans="1:31" x14ac:dyDescent="0.3">
      <c r="A2231" s="6"/>
      <c r="B2231" s="6"/>
      <c r="C2231" s="39"/>
      <c r="D2231" s="6"/>
      <c r="E2231" s="153"/>
      <c r="F2231" s="10"/>
      <c r="G2231" s="2"/>
      <c r="H2231" s="3"/>
      <c r="I2231" s="2"/>
      <c r="J2231" s="2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</row>
    <row r="2232" spans="1:31" x14ac:dyDescent="0.3">
      <c r="A2232" s="6"/>
      <c r="B2232" s="6"/>
      <c r="C2232" s="39"/>
      <c r="D2232" s="6"/>
      <c r="E2232" s="153"/>
      <c r="F2232" s="10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21"/>
      <c r="R2232" s="21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</row>
    <row r="2233" spans="1:31" x14ac:dyDescent="0.3">
      <c r="A2233" s="63"/>
      <c r="B2233" s="63"/>
      <c r="C2233" s="39"/>
      <c r="D2233" s="6"/>
      <c r="E2233" s="153"/>
      <c r="F2233" s="10"/>
      <c r="G2233" s="64"/>
      <c r="H2233" s="3"/>
      <c r="I2233" s="2"/>
      <c r="J2233" s="2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</row>
    <row r="2234" spans="1:31" x14ac:dyDescent="0.3">
      <c r="A2234" s="6"/>
      <c r="B2234" s="6"/>
      <c r="C2234" s="39"/>
      <c r="D2234" s="6"/>
      <c r="E2234" s="153"/>
      <c r="F2234" s="10"/>
      <c r="G2234" s="2"/>
      <c r="H2234" s="3"/>
      <c r="I2234" s="2"/>
      <c r="J2234" s="2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</row>
    <row r="2235" spans="1:31" x14ac:dyDescent="0.3">
      <c r="A2235" s="63"/>
      <c r="B2235" s="63"/>
      <c r="C2235" s="39"/>
      <c r="D2235" s="6"/>
      <c r="E2235" s="153"/>
      <c r="F2235" s="10"/>
      <c r="G2235" s="64"/>
      <c r="H2235" s="3"/>
      <c r="I2235" s="2"/>
      <c r="J2235" s="2"/>
      <c r="K2235" s="3"/>
      <c r="L2235" s="3"/>
      <c r="M2235" s="3"/>
      <c r="N2235" s="3"/>
      <c r="O2235" s="3"/>
      <c r="P2235" s="3"/>
      <c r="Q2235" s="21"/>
      <c r="R2235" s="21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</row>
    <row r="2236" spans="1:31" ht="13.5" customHeight="1" x14ac:dyDescent="0.35">
      <c r="A2236" s="49"/>
      <c r="B2236" s="49"/>
      <c r="C2236" s="14"/>
      <c r="D2236" s="1"/>
      <c r="E2236" s="153"/>
      <c r="F2236" s="10"/>
      <c r="G2236" s="21"/>
      <c r="H2236" s="21"/>
      <c r="I2236" s="21"/>
      <c r="J2236" s="21"/>
      <c r="K2236" s="21"/>
      <c r="L2236" s="21"/>
      <c r="M2236" s="21"/>
      <c r="N2236" s="22"/>
      <c r="O2236" s="21"/>
      <c r="P2236" s="22"/>
      <c r="Q2236" s="21"/>
      <c r="R2236" s="21"/>
      <c r="S2236" s="21"/>
      <c r="T2236" s="21"/>
      <c r="U2236" s="21"/>
      <c r="V2236" s="22"/>
      <c r="W2236" s="21"/>
      <c r="X2236" s="22"/>
      <c r="Y2236" s="21"/>
      <c r="Z2236" s="21"/>
      <c r="AA2236" s="21"/>
      <c r="AB2236" s="21"/>
      <c r="AC2236" s="26"/>
      <c r="AD2236" s="26"/>
      <c r="AE2236" s="62"/>
    </row>
    <row r="2237" spans="1:31" x14ac:dyDescent="0.3">
      <c r="A2237" s="6"/>
      <c r="B2237" s="6"/>
      <c r="C2237" s="39"/>
      <c r="D2237" s="6"/>
      <c r="E2237" s="153"/>
      <c r="F2237" s="10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21"/>
      <c r="R2237" s="21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</row>
    <row r="2238" spans="1:31" x14ac:dyDescent="0.3">
      <c r="A2238" s="6"/>
      <c r="B2238" s="6"/>
      <c r="C2238" s="39"/>
      <c r="D2238" s="6"/>
      <c r="E2238" s="153"/>
      <c r="F2238" s="10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21"/>
      <c r="R2238" s="21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</row>
    <row r="2239" spans="1:31" ht="13.5" customHeight="1" x14ac:dyDescent="0.35">
      <c r="A2239" s="49"/>
      <c r="B2239" s="49"/>
      <c r="C2239" s="39"/>
      <c r="D2239" s="1"/>
      <c r="E2239" s="153"/>
      <c r="F2239" s="10"/>
      <c r="G2239" s="21"/>
      <c r="H2239" s="21"/>
      <c r="I2239" s="21"/>
      <c r="J2239" s="21"/>
      <c r="K2239" s="21"/>
      <c r="L2239" s="21"/>
      <c r="M2239" s="21"/>
      <c r="N2239" s="22"/>
      <c r="O2239" s="21"/>
      <c r="P2239" s="22"/>
      <c r="Q2239" s="21"/>
      <c r="R2239" s="21"/>
      <c r="S2239" s="21"/>
      <c r="T2239" s="21"/>
      <c r="U2239" s="21"/>
      <c r="V2239" s="22"/>
      <c r="W2239" s="21"/>
      <c r="X2239" s="22"/>
      <c r="Y2239" s="21"/>
      <c r="Z2239" s="21"/>
      <c r="AA2239" s="21"/>
      <c r="AB2239" s="21"/>
      <c r="AC2239" s="26"/>
      <c r="AD2239" s="26"/>
      <c r="AE2239" s="62"/>
    </row>
    <row r="2240" spans="1:31" x14ac:dyDescent="0.3">
      <c r="A2240" s="63"/>
      <c r="B2240" s="63"/>
      <c r="C2240" s="39"/>
      <c r="D2240" s="6"/>
      <c r="E2240" s="153"/>
      <c r="F2240" s="10"/>
      <c r="G2240" s="64"/>
      <c r="H2240" s="3"/>
      <c r="I2240" s="2"/>
      <c r="J2240" s="2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</row>
    <row r="2241" spans="1:31" ht="13.5" customHeight="1" x14ac:dyDescent="0.35">
      <c r="A2241" s="49"/>
      <c r="B2241" s="49"/>
      <c r="C2241" s="39"/>
      <c r="D2241" s="1"/>
      <c r="E2241" s="153"/>
      <c r="F2241" s="10"/>
      <c r="G2241" s="21"/>
      <c r="H2241" s="21"/>
      <c r="I2241" s="21"/>
      <c r="J2241" s="21"/>
      <c r="K2241" s="21"/>
      <c r="L2241" s="21"/>
      <c r="M2241" s="21"/>
      <c r="N2241" s="22"/>
      <c r="O2241" s="21"/>
      <c r="P2241" s="22"/>
      <c r="Q2241" s="21"/>
      <c r="R2241" s="21"/>
      <c r="S2241" s="21"/>
      <c r="T2241" s="21"/>
      <c r="U2241" s="21"/>
      <c r="V2241" s="22"/>
      <c r="W2241" s="21"/>
      <c r="X2241" s="22"/>
      <c r="Y2241" s="21"/>
      <c r="Z2241" s="21"/>
      <c r="AA2241" s="21"/>
      <c r="AB2241" s="21"/>
      <c r="AC2241" s="26"/>
      <c r="AD2241" s="26"/>
      <c r="AE2241" s="62"/>
    </row>
    <row r="2242" spans="1:31" x14ac:dyDescent="0.3">
      <c r="A2242" s="6"/>
      <c r="B2242" s="6"/>
      <c r="C2242" s="39"/>
      <c r="D2242" s="6"/>
      <c r="E2242" s="153"/>
      <c r="F2242" s="10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21"/>
      <c r="R2242" s="21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</row>
    <row r="2243" spans="1:31" x14ac:dyDescent="0.3">
      <c r="A2243" s="63"/>
      <c r="B2243" s="63"/>
      <c r="C2243" s="39"/>
      <c r="D2243" s="6"/>
      <c r="E2243" s="153"/>
      <c r="F2243" s="10"/>
      <c r="G2243" s="64"/>
      <c r="H2243" s="3"/>
      <c r="I2243" s="2"/>
      <c r="J2243" s="2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</row>
    <row r="2244" spans="1:31" ht="13.5" customHeight="1" x14ac:dyDescent="0.35">
      <c r="A2244" s="49"/>
      <c r="B2244" s="49"/>
      <c r="C2244" s="14"/>
      <c r="D2244" s="1"/>
      <c r="E2244" s="153"/>
      <c r="F2244" s="10"/>
      <c r="G2244" s="21"/>
      <c r="H2244" s="21"/>
      <c r="I2244" s="21"/>
      <c r="J2244" s="21"/>
      <c r="K2244" s="21"/>
      <c r="L2244" s="21"/>
      <c r="M2244" s="21"/>
      <c r="N2244" s="22"/>
      <c r="O2244" s="21"/>
      <c r="P2244" s="22"/>
      <c r="Q2244" s="21"/>
      <c r="R2244" s="21"/>
      <c r="S2244" s="21"/>
      <c r="T2244" s="21"/>
      <c r="U2244" s="21"/>
      <c r="V2244" s="22"/>
      <c r="W2244" s="21"/>
      <c r="X2244" s="22"/>
      <c r="Y2244" s="21"/>
      <c r="Z2244" s="21"/>
      <c r="AA2244" s="21"/>
      <c r="AB2244" s="21"/>
      <c r="AC2244" s="26"/>
      <c r="AD2244" s="26"/>
      <c r="AE2244" s="62"/>
    </row>
    <row r="2245" spans="1:31" ht="13.5" customHeight="1" x14ac:dyDescent="0.35">
      <c r="A2245" s="49"/>
      <c r="B2245" s="49"/>
      <c r="C2245" s="14"/>
      <c r="D2245" s="1"/>
      <c r="E2245" s="153"/>
      <c r="F2245" s="10"/>
      <c r="G2245" s="21"/>
      <c r="H2245" s="21"/>
      <c r="I2245" s="21"/>
      <c r="J2245" s="21"/>
      <c r="K2245" s="21"/>
      <c r="L2245" s="21"/>
      <c r="M2245" s="21"/>
      <c r="N2245" s="22"/>
      <c r="O2245" s="21"/>
      <c r="P2245" s="22"/>
      <c r="Q2245" s="21"/>
      <c r="R2245" s="21"/>
      <c r="S2245" s="21"/>
      <c r="T2245" s="21"/>
      <c r="U2245" s="21"/>
      <c r="V2245" s="22"/>
      <c r="W2245" s="21"/>
      <c r="X2245" s="22"/>
      <c r="Y2245" s="21"/>
      <c r="Z2245" s="21"/>
      <c r="AA2245" s="21"/>
      <c r="AB2245" s="21"/>
      <c r="AC2245" s="26"/>
      <c r="AD2245" s="26"/>
      <c r="AE2245" s="62"/>
    </row>
    <row r="2246" spans="1:31" x14ac:dyDescent="0.3">
      <c r="A2246" s="63"/>
      <c r="B2246" s="63"/>
      <c r="C2246" s="39"/>
      <c r="D2246" s="6"/>
      <c r="E2246" s="153"/>
      <c r="F2246" s="10"/>
      <c r="G2246" s="64"/>
      <c r="H2246" s="3"/>
      <c r="I2246" s="2"/>
      <c r="J2246" s="2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</row>
    <row r="2247" spans="1:31" x14ac:dyDescent="0.3">
      <c r="A2247" s="63"/>
      <c r="B2247" s="63"/>
      <c r="C2247" s="39"/>
      <c r="D2247" s="6"/>
      <c r="E2247" s="153"/>
      <c r="F2247" s="10"/>
      <c r="G2247" s="64"/>
      <c r="H2247" s="3"/>
      <c r="I2247" s="2"/>
      <c r="J2247" s="2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</row>
    <row r="2248" spans="1:31" x14ac:dyDescent="0.3">
      <c r="A2248" s="6"/>
      <c r="B2248" s="6"/>
      <c r="C2248" s="39"/>
      <c r="D2248" s="6"/>
      <c r="E2248" s="153"/>
      <c r="F2248" s="10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21"/>
      <c r="R2248" s="21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</row>
    <row r="2249" spans="1:31" x14ac:dyDescent="0.3">
      <c r="A2249" s="63"/>
      <c r="B2249" s="63"/>
      <c r="C2249" s="39"/>
      <c r="D2249" s="6"/>
      <c r="E2249" s="153"/>
      <c r="F2249" s="10"/>
      <c r="G2249" s="64"/>
      <c r="H2249" s="3"/>
      <c r="I2249" s="2"/>
      <c r="J2249" s="2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</row>
    <row r="2250" spans="1:31" ht="13.5" customHeight="1" x14ac:dyDescent="0.35">
      <c r="A2250" s="49"/>
      <c r="B2250" s="49"/>
      <c r="C2250" s="14"/>
      <c r="D2250" s="1"/>
      <c r="E2250" s="153"/>
      <c r="F2250" s="10"/>
      <c r="G2250" s="21"/>
      <c r="H2250" s="21"/>
      <c r="I2250" s="21"/>
      <c r="J2250" s="21"/>
      <c r="K2250" s="21"/>
      <c r="L2250" s="21"/>
      <c r="M2250" s="21"/>
      <c r="N2250" s="22"/>
      <c r="O2250" s="21"/>
      <c r="P2250" s="22"/>
      <c r="Q2250" s="21"/>
      <c r="R2250" s="21"/>
      <c r="S2250" s="21"/>
      <c r="T2250" s="21"/>
      <c r="U2250" s="21"/>
      <c r="V2250" s="22"/>
      <c r="W2250" s="21"/>
      <c r="X2250" s="22"/>
      <c r="Y2250" s="21"/>
      <c r="Z2250" s="21"/>
      <c r="AA2250" s="21"/>
      <c r="AB2250" s="21"/>
      <c r="AC2250" s="26"/>
      <c r="AD2250" s="26"/>
      <c r="AE2250" s="62"/>
    </row>
    <row r="2251" spans="1:31" x14ac:dyDescent="0.3">
      <c r="A2251" s="6"/>
      <c r="B2251" s="6"/>
      <c r="C2251" s="39"/>
      <c r="D2251" s="6"/>
      <c r="E2251" s="153"/>
      <c r="F2251" s="10"/>
      <c r="G2251" s="2"/>
      <c r="H2251" s="3"/>
      <c r="I2251" s="2"/>
      <c r="J2251" s="2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</row>
    <row r="2252" spans="1:31" x14ac:dyDescent="0.3">
      <c r="A2252" s="6"/>
      <c r="B2252" s="6"/>
      <c r="C2252" s="39"/>
      <c r="D2252" s="6"/>
      <c r="E2252" s="153"/>
      <c r="F2252" s="10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21"/>
      <c r="R2252" s="21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</row>
    <row r="2253" spans="1:31" ht="13.5" customHeight="1" x14ac:dyDescent="0.35">
      <c r="A2253" s="49"/>
      <c r="B2253" s="49"/>
      <c r="C2253" s="14"/>
      <c r="D2253" s="1"/>
      <c r="E2253" s="153"/>
      <c r="F2253" s="10"/>
      <c r="G2253" s="21"/>
      <c r="H2253" s="21"/>
      <c r="I2253" s="21"/>
      <c r="J2253" s="21"/>
      <c r="K2253" s="21"/>
      <c r="L2253" s="21"/>
      <c r="M2253" s="21"/>
      <c r="N2253" s="22"/>
      <c r="O2253" s="21"/>
      <c r="P2253" s="22"/>
      <c r="Q2253" s="21"/>
      <c r="R2253" s="21"/>
      <c r="S2253" s="21"/>
      <c r="T2253" s="21"/>
      <c r="U2253" s="21"/>
      <c r="V2253" s="22"/>
      <c r="W2253" s="21"/>
      <c r="X2253" s="22"/>
      <c r="Y2253" s="21"/>
      <c r="Z2253" s="21"/>
      <c r="AA2253" s="21"/>
      <c r="AB2253" s="21"/>
      <c r="AC2253" s="26"/>
      <c r="AD2253" s="26"/>
      <c r="AE2253" s="62"/>
    </row>
    <row r="2254" spans="1:31" x14ac:dyDescent="0.3">
      <c r="A2254" s="63"/>
      <c r="B2254" s="63"/>
      <c r="C2254" s="39"/>
      <c r="D2254" s="6"/>
      <c r="E2254" s="153"/>
      <c r="F2254" s="10"/>
      <c r="G2254" s="64"/>
      <c r="H2254" s="3"/>
      <c r="I2254" s="2"/>
      <c r="J2254" s="2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</row>
    <row r="2255" spans="1:31" ht="13.5" customHeight="1" x14ac:dyDescent="0.35">
      <c r="A2255" s="49"/>
      <c r="B2255" s="49"/>
      <c r="C2255" s="39"/>
      <c r="D2255" s="1"/>
      <c r="E2255" s="153"/>
      <c r="F2255" s="10"/>
      <c r="G2255" s="21"/>
      <c r="H2255" s="21"/>
      <c r="I2255" s="21"/>
      <c r="J2255" s="21"/>
      <c r="K2255" s="21"/>
      <c r="L2255" s="21"/>
      <c r="M2255" s="21"/>
      <c r="N2255" s="22"/>
      <c r="O2255" s="21"/>
      <c r="P2255" s="22"/>
      <c r="Q2255" s="21"/>
      <c r="R2255" s="21"/>
      <c r="S2255" s="21"/>
      <c r="T2255" s="21"/>
      <c r="U2255" s="21"/>
      <c r="V2255" s="22"/>
      <c r="W2255" s="21"/>
      <c r="X2255" s="22"/>
      <c r="Y2255" s="21"/>
      <c r="Z2255" s="21"/>
      <c r="AA2255" s="21"/>
      <c r="AB2255" s="21"/>
      <c r="AC2255" s="26"/>
      <c r="AD2255" s="26"/>
      <c r="AE2255" s="62"/>
    </row>
    <row r="2256" spans="1:31" x14ac:dyDescent="0.3">
      <c r="A2256" s="6"/>
      <c r="B2256" s="6"/>
      <c r="C2256" s="39"/>
      <c r="D2256" s="6"/>
      <c r="E2256" s="153"/>
      <c r="F2256" s="10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21"/>
      <c r="R2256" s="21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</row>
    <row r="2257" spans="1:31" x14ac:dyDescent="0.3">
      <c r="A2257" s="6"/>
      <c r="B2257" s="6"/>
      <c r="C2257" s="39"/>
      <c r="D2257" s="6"/>
      <c r="E2257" s="153"/>
      <c r="F2257" s="10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21"/>
      <c r="R2257" s="21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</row>
    <row r="2258" spans="1:31" x14ac:dyDescent="0.3">
      <c r="A2258" s="6"/>
      <c r="B2258" s="6"/>
      <c r="C2258" s="39"/>
      <c r="D2258" s="6"/>
      <c r="E2258" s="153"/>
      <c r="F2258" s="10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21"/>
      <c r="R2258" s="21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</row>
    <row r="2259" spans="1:31" x14ac:dyDescent="0.3">
      <c r="A2259" s="6"/>
      <c r="B2259" s="6"/>
      <c r="C2259" s="39"/>
      <c r="D2259" s="6"/>
      <c r="E2259" s="153"/>
      <c r="F2259" s="10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21"/>
      <c r="R2259" s="21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</row>
    <row r="2260" spans="1:31" x14ac:dyDescent="0.3">
      <c r="A2260" s="6"/>
      <c r="B2260" s="6"/>
      <c r="C2260" s="39"/>
      <c r="D2260" s="6"/>
      <c r="E2260" s="153"/>
      <c r="F2260" s="10"/>
      <c r="G2260" s="2"/>
      <c r="H2260" s="3"/>
      <c r="I2260" s="2"/>
      <c r="J2260" s="2"/>
      <c r="K2260" s="3"/>
      <c r="L2260" s="3"/>
      <c r="M2260" s="3"/>
      <c r="N2260" s="3"/>
      <c r="O2260" s="3"/>
      <c r="P2260" s="3"/>
      <c r="Q2260" s="21"/>
      <c r="R2260" s="21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</row>
    <row r="2261" spans="1:31" x14ac:dyDescent="0.3">
      <c r="A2261" s="6"/>
      <c r="B2261" s="6"/>
      <c r="C2261" s="39"/>
      <c r="D2261" s="6"/>
      <c r="E2261" s="153"/>
      <c r="F2261" s="10"/>
      <c r="G2261" s="2"/>
      <c r="H2261" s="3"/>
      <c r="I2261" s="2"/>
      <c r="J2261" s="2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</row>
    <row r="2262" spans="1:31" ht="13.5" customHeight="1" x14ac:dyDescent="0.35">
      <c r="A2262" s="49"/>
      <c r="B2262" s="49"/>
      <c r="C2262" s="14"/>
      <c r="D2262" s="1"/>
      <c r="E2262" s="153"/>
      <c r="F2262" s="10"/>
      <c r="G2262" s="21"/>
      <c r="H2262" s="21"/>
      <c r="I2262" s="21"/>
      <c r="J2262" s="21"/>
      <c r="K2262" s="21"/>
      <c r="L2262" s="21"/>
      <c r="M2262" s="21"/>
      <c r="N2262" s="22"/>
      <c r="O2262" s="21"/>
      <c r="P2262" s="22"/>
      <c r="Q2262" s="21"/>
      <c r="R2262" s="21"/>
      <c r="S2262" s="21"/>
      <c r="T2262" s="21"/>
      <c r="U2262" s="21"/>
      <c r="V2262" s="22"/>
      <c r="W2262" s="21"/>
      <c r="X2262" s="22"/>
      <c r="Y2262" s="21"/>
      <c r="Z2262" s="21"/>
      <c r="AA2262" s="21"/>
      <c r="AB2262" s="21"/>
      <c r="AC2262" s="26"/>
      <c r="AD2262" s="26"/>
      <c r="AE2262" s="62"/>
    </row>
    <row r="2263" spans="1:31" x14ac:dyDescent="0.3">
      <c r="A2263" s="6"/>
      <c r="B2263" s="6"/>
      <c r="C2263" s="39"/>
      <c r="D2263" s="6"/>
      <c r="E2263" s="153"/>
      <c r="F2263" s="10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21"/>
      <c r="R2263" s="21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</row>
    <row r="2264" spans="1:31" x14ac:dyDescent="0.3">
      <c r="A2264" s="6"/>
      <c r="B2264" s="6"/>
      <c r="C2264" s="39"/>
      <c r="D2264" s="6"/>
      <c r="E2264" s="153"/>
      <c r="F2264" s="10"/>
      <c r="G2264" s="2"/>
      <c r="H2264" s="3"/>
      <c r="I2264" s="2"/>
      <c r="J2264" s="2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</row>
    <row r="2265" spans="1:31" x14ac:dyDescent="0.3">
      <c r="A2265" s="6"/>
      <c r="B2265" s="6"/>
      <c r="C2265" s="39"/>
      <c r="D2265" s="6"/>
      <c r="E2265" s="153"/>
      <c r="F2265" s="10"/>
      <c r="G2265" s="2"/>
      <c r="H2265" s="3"/>
      <c r="I2265" s="2"/>
      <c r="J2265" s="2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</row>
    <row r="2266" spans="1:31" x14ac:dyDescent="0.3">
      <c r="A2266" s="63"/>
      <c r="B2266" s="63"/>
      <c r="C2266" s="39"/>
      <c r="D2266" s="6"/>
      <c r="E2266" s="153"/>
      <c r="F2266" s="10"/>
      <c r="G2266" s="64"/>
      <c r="H2266" s="3"/>
      <c r="I2266" s="2"/>
      <c r="J2266" s="2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</row>
    <row r="2267" spans="1:31" x14ac:dyDescent="0.3">
      <c r="A2267" s="6"/>
      <c r="B2267" s="6"/>
      <c r="C2267" s="39"/>
      <c r="D2267" s="6"/>
      <c r="E2267" s="153"/>
      <c r="F2267" s="10"/>
      <c r="G2267" s="2"/>
      <c r="H2267" s="3"/>
      <c r="I2267" s="2"/>
      <c r="J2267" s="2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</row>
    <row r="2268" spans="1:31" x14ac:dyDescent="0.3">
      <c r="A2268" s="63"/>
      <c r="B2268" s="63"/>
      <c r="C2268" s="39"/>
      <c r="D2268" s="6"/>
      <c r="E2268" s="153"/>
      <c r="F2268" s="10"/>
      <c r="G2268" s="64"/>
      <c r="H2268" s="3"/>
      <c r="I2268" s="2"/>
      <c r="J2268" s="2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</row>
    <row r="2269" spans="1:31" x14ac:dyDescent="0.3">
      <c r="A2269" s="6"/>
      <c r="B2269" s="6"/>
      <c r="C2269" s="39"/>
      <c r="D2269" s="6"/>
      <c r="E2269" s="153"/>
      <c r="F2269" s="10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</row>
    <row r="2270" spans="1:31" ht="13.5" customHeight="1" x14ac:dyDescent="0.3">
      <c r="A2270" s="49"/>
      <c r="B2270" s="49"/>
      <c r="C2270" s="14"/>
      <c r="D2270" s="6"/>
      <c r="E2270" s="153"/>
      <c r="F2270" s="10"/>
      <c r="G2270" s="21"/>
      <c r="H2270" s="21"/>
      <c r="I2270" s="21"/>
      <c r="J2270" s="21"/>
      <c r="K2270" s="21"/>
      <c r="L2270" s="21"/>
      <c r="M2270" s="21"/>
      <c r="N2270" s="22"/>
      <c r="O2270" s="21"/>
      <c r="P2270" s="22"/>
      <c r="Q2270" s="21"/>
      <c r="R2270" s="21"/>
      <c r="S2270" s="21"/>
      <c r="T2270" s="21"/>
      <c r="U2270" s="21"/>
      <c r="V2270" s="22"/>
      <c r="W2270" s="21"/>
      <c r="X2270" s="22"/>
      <c r="Y2270" s="21"/>
      <c r="Z2270" s="21"/>
      <c r="AA2270" s="21"/>
      <c r="AB2270" s="21"/>
      <c r="AC2270" s="26"/>
      <c r="AD2270" s="26"/>
      <c r="AE2270" s="62"/>
    </row>
    <row r="2271" spans="1:31" x14ac:dyDescent="0.3">
      <c r="A2271" s="6"/>
      <c r="B2271" s="6"/>
      <c r="C2271" s="39"/>
      <c r="D2271" s="6"/>
      <c r="E2271" s="153"/>
      <c r="F2271" s="10"/>
      <c r="G2271" s="2"/>
      <c r="H2271" s="3"/>
      <c r="I2271" s="2"/>
      <c r="J2271" s="2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</row>
    <row r="2272" spans="1:31" x14ac:dyDescent="0.3">
      <c r="A2272" s="6"/>
      <c r="B2272" s="6"/>
      <c r="C2272" s="39"/>
      <c r="D2272" s="6"/>
      <c r="E2272" s="153"/>
      <c r="F2272" s="10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21"/>
      <c r="R2272" s="21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</row>
    <row r="2273" spans="1:31" ht="13.5" customHeight="1" x14ac:dyDescent="0.35">
      <c r="A2273" s="49"/>
      <c r="B2273" s="49"/>
      <c r="C2273" s="39"/>
      <c r="D2273" s="1"/>
      <c r="E2273" s="153"/>
      <c r="F2273" s="10"/>
      <c r="G2273" s="21"/>
      <c r="H2273" s="21"/>
      <c r="I2273" s="21"/>
      <c r="J2273" s="21"/>
      <c r="K2273" s="21"/>
      <c r="L2273" s="21"/>
      <c r="M2273" s="21"/>
      <c r="N2273" s="22"/>
      <c r="O2273" s="21"/>
      <c r="P2273" s="22"/>
      <c r="Q2273" s="21"/>
      <c r="R2273" s="21"/>
      <c r="S2273" s="21"/>
      <c r="T2273" s="21"/>
      <c r="U2273" s="21"/>
      <c r="V2273" s="22"/>
      <c r="W2273" s="21"/>
      <c r="X2273" s="22"/>
      <c r="Y2273" s="21"/>
      <c r="Z2273" s="21"/>
      <c r="AA2273" s="21"/>
      <c r="AB2273" s="21"/>
      <c r="AC2273" s="26"/>
      <c r="AD2273" s="26"/>
      <c r="AE2273" s="62"/>
    </row>
    <row r="2274" spans="1:31" x14ac:dyDescent="0.3">
      <c r="A2274" s="63"/>
      <c r="B2274" s="63"/>
      <c r="C2274" s="39"/>
      <c r="D2274" s="6"/>
      <c r="E2274" s="153"/>
      <c r="F2274" s="10"/>
      <c r="G2274" s="64"/>
      <c r="H2274" s="3"/>
      <c r="I2274" s="2"/>
      <c r="J2274" s="2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</row>
    <row r="2275" spans="1:31" ht="13.5" customHeight="1" x14ac:dyDescent="0.35">
      <c r="A2275" s="49"/>
      <c r="B2275" s="49"/>
      <c r="C2275" s="14"/>
      <c r="D2275" s="1"/>
      <c r="E2275" s="153"/>
      <c r="F2275" s="10"/>
      <c r="G2275" s="21"/>
      <c r="H2275" s="21"/>
      <c r="I2275" s="21"/>
      <c r="J2275" s="21"/>
      <c r="K2275" s="21"/>
      <c r="L2275" s="21"/>
      <c r="M2275" s="21"/>
      <c r="N2275" s="22"/>
      <c r="O2275" s="21"/>
      <c r="P2275" s="22"/>
      <c r="Q2275" s="21"/>
      <c r="R2275" s="21"/>
      <c r="S2275" s="21"/>
      <c r="T2275" s="21"/>
      <c r="U2275" s="21"/>
      <c r="V2275" s="22"/>
      <c r="W2275" s="21"/>
      <c r="X2275" s="22"/>
      <c r="Y2275" s="21"/>
      <c r="Z2275" s="21"/>
      <c r="AA2275" s="21"/>
      <c r="AB2275" s="21"/>
      <c r="AC2275" s="26"/>
      <c r="AD2275" s="26"/>
      <c r="AE2275" s="62"/>
    </row>
    <row r="2276" spans="1:31" x14ac:dyDescent="0.3">
      <c r="A2276" s="6"/>
      <c r="B2276" s="6"/>
      <c r="C2276" s="39"/>
      <c r="D2276" s="6"/>
      <c r="E2276" s="153"/>
      <c r="F2276" s="10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21"/>
      <c r="R2276" s="21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</row>
    <row r="2277" spans="1:31" x14ac:dyDescent="0.3">
      <c r="A2277" s="6"/>
      <c r="B2277" s="6"/>
      <c r="C2277" s="39"/>
      <c r="D2277" s="6"/>
      <c r="E2277" s="153"/>
      <c r="F2277" s="10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21"/>
      <c r="R2277" s="21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</row>
    <row r="2278" spans="1:31" x14ac:dyDescent="0.3">
      <c r="A2278" s="6"/>
      <c r="B2278" s="6"/>
      <c r="C2278" s="39"/>
      <c r="D2278" s="6"/>
      <c r="E2278" s="153"/>
      <c r="F2278" s="10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21"/>
      <c r="R2278" s="21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</row>
    <row r="2279" spans="1:31" x14ac:dyDescent="0.3">
      <c r="A2279" s="6"/>
      <c r="B2279" s="6"/>
      <c r="C2279" s="39"/>
      <c r="D2279" s="6"/>
      <c r="E2279" s="153"/>
      <c r="F2279" s="10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</row>
    <row r="2280" spans="1:31" ht="15" x14ac:dyDescent="0.35">
      <c r="A2280" s="6"/>
      <c r="B2280" s="6"/>
      <c r="C2280" s="39"/>
      <c r="D2280" s="6"/>
      <c r="E2280" s="153"/>
      <c r="F2280" s="10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21"/>
      <c r="R2280" s="21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65"/>
    </row>
    <row r="2281" spans="1:31" x14ac:dyDescent="0.3">
      <c r="A2281" s="6"/>
      <c r="B2281" s="6"/>
      <c r="C2281" s="39"/>
      <c r="D2281" s="6"/>
      <c r="E2281" s="153"/>
      <c r="F2281" s="10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21"/>
      <c r="R2281" s="21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</row>
    <row r="2282" spans="1:31" x14ac:dyDescent="0.3">
      <c r="A2282" s="6"/>
      <c r="B2282" s="6"/>
      <c r="C2282" s="39"/>
      <c r="D2282" s="6"/>
      <c r="E2282" s="153"/>
      <c r="F2282" s="10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21"/>
      <c r="R2282" s="21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</row>
    <row r="2283" spans="1:31" x14ac:dyDescent="0.3">
      <c r="A2283" s="6"/>
      <c r="B2283" s="6"/>
      <c r="C2283" s="39"/>
      <c r="D2283" s="6"/>
      <c r="E2283" s="153"/>
      <c r="F2283" s="10"/>
      <c r="G2283" s="2"/>
      <c r="H2283" s="3"/>
      <c r="I2283" s="2"/>
      <c r="J2283" s="2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</row>
    <row r="2284" spans="1:31" ht="13.5" customHeight="1" x14ac:dyDescent="0.35">
      <c r="A2284" s="49"/>
      <c r="B2284" s="49"/>
      <c r="C2284" s="14"/>
      <c r="D2284" s="1"/>
      <c r="E2284" s="153"/>
      <c r="F2284" s="10"/>
      <c r="G2284" s="21"/>
      <c r="H2284" s="21"/>
      <c r="I2284" s="21"/>
      <c r="J2284" s="21"/>
      <c r="K2284" s="21"/>
      <c r="L2284" s="21"/>
      <c r="M2284" s="21"/>
      <c r="N2284" s="22"/>
      <c r="O2284" s="21"/>
      <c r="P2284" s="22"/>
      <c r="Q2284" s="21"/>
      <c r="R2284" s="21"/>
      <c r="S2284" s="21"/>
      <c r="T2284" s="21"/>
      <c r="U2284" s="21"/>
      <c r="V2284" s="22"/>
      <c r="W2284" s="21"/>
      <c r="X2284" s="22"/>
      <c r="Y2284" s="21"/>
      <c r="Z2284" s="21"/>
      <c r="AA2284" s="21"/>
      <c r="AB2284" s="21"/>
      <c r="AC2284" s="26"/>
      <c r="AD2284" s="26"/>
      <c r="AE2284" s="62"/>
    </row>
    <row r="2285" spans="1:31" x14ac:dyDescent="0.3">
      <c r="A2285" s="63"/>
      <c r="B2285" s="63"/>
      <c r="C2285" s="39"/>
      <c r="D2285" s="6"/>
      <c r="E2285" s="153"/>
      <c r="F2285" s="10"/>
      <c r="G2285" s="64"/>
      <c r="H2285" s="3"/>
      <c r="I2285" s="2"/>
      <c r="J2285" s="2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</row>
    <row r="2286" spans="1:31" x14ac:dyDescent="0.3">
      <c r="A2286" s="6"/>
      <c r="B2286" s="6"/>
      <c r="C2286" s="39"/>
      <c r="D2286" s="6"/>
      <c r="E2286" s="153"/>
      <c r="F2286" s="10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21"/>
      <c r="R2286" s="21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</row>
    <row r="2287" spans="1:31" ht="13.5" customHeight="1" x14ac:dyDescent="0.35">
      <c r="A2287" s="49"/>
      <c r="B2287" s="49"/>
      <c r="C2287" s="39"/>
      <c r="D2287" s="1"/>
      <c r="E2287" s="153"/>
      <c r="F2287" s="10"/>
      <c r="G2287" s="21"/>
      <c r="H2287" s="21"/>
      <c r="I2287" s="21"/>
      <c r="J2287" s="21"/>
      <c r="K2287" s="21"/>
      <c r="L2287" s="21"/>
      <c r="M2287" s="21"/>
      <c r="N2287" s="22"/>
      <c r="O2287" s="21"/>
      <c r="P2287" s="22"/>
      <c r="Q2287" s="21"/>
      <c r="R2287" s="21"/>
      <c r="S2287" s="21"/>
      <c r="T2287" s="21"/>
      <c r="U2287" s="21"/>
      <c r="V2287" s="22"/>
      <c r="W2287" s="21"/>
      <c r="X2287" s="22"/>
      <c r="Y2287" s="21"/>
      <c r="Z2287" s="21"/>
      <c r="AA2287" s="21"/>
      <c r="AB2287" s="21"/>
      <c r="AC2287" s="26"/>
      <c r="AD2287" s="26"/>
      <c r="AE2287" s="62"/>
    </row>
    <row r="2288" spans="1:31" x14ac:dyDescent="0.3">
      <c r="A2288" s="63"/>
      <c r="B2288" s="63"/>
      <c r="C2288" s="39"/>
      <c r="D2288" s="6"/>
      <c r="E2288" s="153"/>
      <c r="F2288" s="10"/>
      <c r="G2288" s="64"/>
      <c r="H2288" s="3"/>
      <c r="I2288" s="2"/>
      <c r="J2288" s="2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</row>
    <row r="2289" spans="1:31" ht="13.5" customHeight="1" x14ac:dyDescent="0.35">
      <c r="A2289" s="49"/>
      <c r="B2289" s="49"/>
      <c r="C2289" s="39"/>
      <c r="D2289" s="1"/>
      <c r="E2289" s="153"/>
      <c r="F2289" s="10"/>
      <c r="G2289" s="21"/>
      <c r="H2289" s="21"/>
      <c r="I2289" s="21"/>
      <c r="J2289" s="21"/>
      <c r="K2289" s="21"/>
      <c r="L2289" s="21"/>
      <c r="M2289" s="21"/>
      <c r="N2289" s="22"/>
      <c r="O2289" s="21"/>
      <c r="P2289" s="22"/>
      <c r="Q2289" s="21"/>
      <c r="R2289" s="21"/>
      <c r="S2289" s="21"/>
      <c r="T2289" s="21"/>
      <c r="U2289" s="21"/>
      <c r="V2289" s="22"/>
      <c r="W2289" s="21"/>
      <c r="X2289" s="22"/>
      <c r="Y2289" s="21"/>
      <c r="Z2289" s="21"/>
      <c r="AA2289" s="21"/>
      <c r="AB2289" s="21"/>
      <c r="AC2289" s="26"/>
      <c r="AD2289" s="26"/>
      <c r="AE2289" s="62"/>
    </row>
    <row r="2290" spans="1:31" x14ac:dyDescent="0.3">
      <c r="A2290" s="63"/>
      <c r="B2290" s="63"/>
      <c r="C2290" s="39"/>
      <c r="D2290" s="6"/>
      <c r="E2290" s="153"/>
      <c r="F2290" s="10"/>
      <c r="G2290" s="64"/>
      <c r="H2290" s="3"/>
      <c r="I2290" s="2"/>
      <c r="J2290" s="2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</row>
    <row r="2291" spans="1:31" x14ac:dyDescent="0.3">
      <c r="A2291" s="63"/>
      <c r="B2291" s="63"/>
      <c r="C2291" s="39"/>
      <c r="D2291" s="6"/>
      <c r="E2291" s="153"/>
      <c r="F2291" s="10"/>
      <c r="G2291" s="64"/>
      <c r="H2291" s="3"/>
      <c r="I2291" s="2"/>
      <c r="J2291" s="2"/>
      <c r="K2291" s="3"/>
      <c r="L2291" s="3"/>
      <c r="M2291" s="3"/>
      <c r="N2291" s="3"/>
      <c r="O2291" s="3"/>
      <c r="P2291" s="3"/>
      <c r="Q2291" s="21"/>
      <c r="R2291" s="21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</row>
    <row r="2292" spans="1:31" ht="13.5" customHeight="1" x14ac:dyDescent="0.35">
      <c r="A2292" s="49"/>
      <c r="B2292" s="49"/>
      <c r="C2292" s="14"/>
      <c r="D2292" s="1"/>
      <c r="E2292" s="153"/>
      <c r="F2292" s="10"/>
      <c r="G2292" s="21"/>
      <c r="H2292" s="21"/>
      <c r="I2292" s="21"/>
      <c r="J2292" s="21"/>
      <c r="K2292" s="21"/>
      <c r="L2292" s="21"/>
      <c r="M2292" s="21"/>
      <c r="N2292" s="22"/>
      <c r="O2292" s="21"/>
      <c r="P2292" s="22"/>
      <c r="Q2292" s="21"/>
      <c r="R2292" s="21"/>
      <c r="S2292" s="21"/>
      <c r="T2292" s="21"/>
      <c r="U2292" s="21"/>
      <c r="V2292" s="22"/>
      <c r="W2292" s="21"/>
      <c r="X2292" s="22"/>
      <c r="Y2292" s="21"/>
      <c r="Z2292" s="21"/>
      <c r="AA2292" s="21"/>
      <c r="AB2292" s="21"/>
      <c r="AC2292" s="26"/>
      <c r="AD2292" s="26"/>
      <c r="AE2292" s="62"/>
    </row>
    <row r="2293" spans="1:31" x14ac:dyDescent="0.3">
      <c r="A2293" s="6"/>
      <c r="B2293" s="6"/>
      <c r="C2293" s="39"/>
      <c r="D2293" s="6"/>
      <c r="E2293" s="153"/>
      <c r="F2293" s="10"/>
      <c r="G2293" s="2"/>
      <c r="H2293" s="3"/>
      <c r="I2293" s="2"/>
      <c r="J2293" s="2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</row>
    <row r="2294" spans="1:31" x14ac:dyDescent="0.3">
      <c r="A2294" s="6"/>
      <c r="B2294" s="6"/>
      <c r="C2294" s="39"/>
      <c r="D2294" s="6"/>
      <c r="E2294" s="153"/>
      <c r="F2294" s="10"/>
      <c r="G2294" s="2"/>
      <c r="H2294" s="3"/>
      <c r="I2294" s="2"/>
      <c r="J2294" s="2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</row>
    <row r="2295" spans="1:31" ht="13.5" customHeight="1" x14ac:dyDescent="0.35">
      <c r="A2295" s="49"/>
      <c r="B2295" s="49"/>
      <c r="C2295" s="14"/>
      <c r="D2295" s="1"/>
      <c r="E2295" s="153"/>
      <c r="F2295" s="10"/>
      <c r="G2295" s="21"/>
      <c r="H2295" s="21"/>
      <c r="I2295" s="21"/>
      <c r="J2295" s="21"/>
      <c r="K2295" s="21"/>
      <c r="L2295" s="21"/>
      <c r="M2295" s="21"/>
      <c r="N2295" s="22"/>
      <c r="O2295" s="21"/>
      <c r="P2295" s="22"/>
      <c r="Q2295" s="21"/>
      <c r="R2295" s="21"/>
      <c r="S2295" s="21"/>
      <c r="T2295" s="21"/>
      <c r="U2295" s="21"/>
      <c r="V2295" s="22"/>
      <c r="W2295" s="21"/>
      <c r="X2295" s="22"/>
      <c r="Y2295" s="21"/>
      <c r="Z2295" s="21"/>
      <c r="AA2295" s="21"/>
      <c r="AB2295" s="21"/>
      <c r="AC2295" s="26"/>
      <c r="AD2295" s="26"/>
      <c r="AE2295" s="62"/>
    </row>
    <row r="2296" spans="1:31" ht="13.5" customHeight="1" x14ac:dyDescent="0.35">
      <c r="A2296" s="49"/>
      <c r="B2296" s="49"/>
      <c r="C2296" s="39"/>
      <c r="D2296" s="1"/>
      <c r="E2296" s="153"/>
      <c r="F2296" s="10"/>
      <c r="G2296" s="21"/>
      <c r="H2296" s="21"/>
      <c r="I2296" s="21"/>
      <c r="J2296" s="21"/>
      <c r="K2296" s="21"/>
      <c r="L2296" s="21"/>
      <c r="M2296" s="21"/>
      <c r="N2296" s="22"/>
      <c r="O2296" s="21"/>
      <c r="P2296" s="22"/>
      <c r="Q2296" s="21"/>
      <c r="R2296" s="21"/>
      <c r="S2296" s="21"/>
      <c r="T2296" s="21"/>
      <c r="U2296" s="21"/>
      <c r="V2296" s="22"/>
      <c r="W2296" s="21"/>
      <c r="X2296" s="22"/>
      <c r="Y2296" s="21"/>
      <c r="Z2296" s="21"/>
      <c r="AA2296" s="21"/>
      <c r="AB2296" s="21"/>
      <c r="AC2296" s="26"/>
      <c r="AD2296" s="26"/>
      <c r="AE2296" s="62"/>
    </row>
    <row r="2297" spans="1:31" x14ac:dyDescent="0.3">
      <c r="A2297" s="6"/>
      <c r="B2297" s="6"/>
      <c r="C2297" s="39"/>
      <c r="D2297" s="6"/>
      <c r="E2297" s="153"/>
      <c r="F2297" s="10"/>
      <c r="G2297" s="2"/>
      <c r="H2297" s="3"/>
      <c r="I2297" s="2"/>
      <c r="J2297" s="2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</row>
    <row r="2298" spans="1:31" x14ac:dyDescent="0.3">
      <c r="A2298" s="6"/>
      <c r="B2298" s="6"/>
      <c r="C2298" s="39"/>
      <c r="D2298" s="6"/>
      <c r="E2298" s="153"/>
      <c r="F2298" s="10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21"/>
      <c r="R2298" s="21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</row>
    <row r="2299" spans="1:31" ht="13.5" customHeight="1" x14ac:dyDescent="0.35">
      <c r="A2299" s="49"/>
      <c r="B2299" s="49"/>
      <c r="C2299" s="14"/>
      <c r="D2299" s="1"/>
      <c r="E2299" s="153"/>
      <c r="F2299" s="10"/>
      <c r="G2299" s="21"/>
      <c r="H2299" s="21"/>
      <c r="I2299" s="21"/>
      <c r="J2299" s="21"/>
      <c r="K2299" s="21"/>
      <c r="L2299" s="21"/>
      <c r="M2299" s="21"/>
      <c r="N2299" s="22"/>
      <c r="O2299" s="21"/>
      <c r="P2299" s="22"/>
      <c r="Q2299" s="21"/>
      <c r="R2299" s="21"/>
      <c r="S2299" s="21"/>
      <c r="T2299" s="21"/>
      <c r="U2299" s="21"/>
      <c r="V2299" s="22"/>
      <c r="W2299" s="21"/>
      <c r="X2299" s="22"/>
      <c r="Y2299" s="21"/>
      <c r="Z2299" s="21"/>
      <c r="AA2299" s="21"/>
      <c r="AB2299" s="21"/>
      <c r="AC2299" s="26"/>
      <c r="AD2299" s="26"/>
      <c r="AE2299" s="62"/>
    </row>
    <row r="2300" spans="1:31" ht="13.5" customHeight="1" x14ac:dyDescent="0.35">
      <c r="A2300" s="49"/>
      <c r="B2300" s="49"/>
      <c r="C2300" s="14"/>
      <c r="D2300" s="1"/>
      <c r="E2300" s="153"/>
      <c r="F2300" s="10"/>
      <c r="G2300" s="21"/>
      <c r="H2300" s="21"/>
      <c r="I2300" s="21"/>
      <c r="J2300" s="21"/>
      <c r="K2300" s="21"/>
      <c r="L2300" s="21"/>
      <c r="M2300" s="21"/>
      <c r="N2300" s="22"/>
      <c r="O2300" s="21"/>
      <c r="P2300" s="22"/>
      <c r="Q2300" s="21"/>
      <c r="R2300" s="21"/>
      <c r="S2300" s="21"/>
      <c r="T2300" s="21"/>
      <c r="U2300" s="21"/>
      <c r="V2300" s="22"/>
      <c r="W2300" s="21"/>
      <c r="X2300" s="22"/>
      <c r="Y2300" s="21"/>
      <c r="Z2300" s="21"/>
      <c r="AA2300" s="21"/>
      <c r="AB2300" s="21"/>
      <c r="AC2300" s="26"/>
      <c r="AD2300" s="26"/>
      <c r="AE2300" s="62"/>
    </row>
    <row r="2301" spans="1:31" ht="13.5" customHeight="1" x14ac:dyDescent="0.35">
      <c r="A2301" s="49"/>
      <c r="B2301" s="49"/>
      <c r="C2301" s="14"/>
      <c r="D2301" s="1"/>
      <c r="E2301" s="153"/>
      <c r="F2301" s="10"/>
      <c r="G2301" s="21"/>
      <c r="H2301" s="21"/>
      <c r="I2301" s="21"/>
      <c r="J2301" s="21"/>
      <c r="K2301" s="21"/>
      <c r="L2301" s="21"/>
      <c r="M2301" s="21"/>
      <c r="N2301" s="22"/>
      <c r="O2301" s="21"/>
      <c r="P2301" s="22"/>
      <c r="Q2301" s="21"/>
      <c r="R2301" s="21"/>
      <c r="S2301" s="21"/>
      <c r="T2301" s="21"/>
      <c r="U2301" s="21"/>
      <c r="V2301" s="22"/>
      <c r="W2301" s="21"/>
      <c r="X2301" s="22"/>
      <c r="Y2301" s="21"/>
      <c r="Z2301" s="21"/>
      <c r="AA2301" s="21"/>
      <c r="AB2301" s="21"/>
      <c r="AC2301" s="26"/>
      <c r="AD2301" s="26"/>
      <c r="AE2301" s="62"/>
    </row>
    <row r="2302" spans="1:31" x14ac:dyDescent="0.3">
      <c r="A2302" s="63"/>
      <c r="B2302" s="63"/>
      <c r="C2302" s="39"/>
      <c r="D2302" s="6"/>
      <c r="E2302" s="153"/>
      <c r="F2302" s="10"/>
      <c r="G2302" s="64"/>
      <c r="H2302" s="3"/>
      <c r="I2302" s="2"/>
      <c r="J2302" s="2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</row>
    <row r="2303" spans="1:31" x14ac:dyDescent="0.3">
      <c r="A2303" s="6"/>
      <c r="B2303" s="6"/>
      <c r="C2303" s="39"/>
      <c r="D2303" s="6"/>
      <c r="E2303" s="153"/>
      <c r="F2303" s="10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21"/>
      <c r="R2303" s="21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</row>
    <row r="2304" spans="1:31" x14ac:dyDescent="0.3">
      <c r="A2304" s="6"/>
      <c r="B2304" s="6"/>
      <c r="C2304" s="39"/>
      <c r="D2304" s="6"/>
      <c r="E2304" s="153"/>
      <c r="F2304" s="10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21"/>
      <c r="R2304" s="21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</row>
    <row r="2305" spans="1:31" x14ac:dyDescent="0.3">
      <c r="A2305" s="6"/>
      <c r="B2305" s="6"/>
      <c r="C2305" s="39"/>
      <c r="D2305" s="6"/>
      <c r="E2305" s="153"/>
      <c r="F2305" s="10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</row>
    <row r="2306" spans="1:31" ht="13.5" customHeight="1" x14ac:dyDescent="0.35">
      <c r="A2306" s="49"/>
      <c r="B2306" s="49"/>
      <c r="C2306" s="39"/>
      <c r="D2306" s="1"/>
      <c r="E2306" s="153"/>
      <c r="F2306" s="10"/>
      <c r="G2306" s="21"/>
      <c r="H2306" s="21"/>
      <c r="I2306" s="21"/>
      <c r="J2306" s="21"/>
      <c r="K2306" s="21"/>
      <c r="L2306" s="21"/>
      <c r="M2306" s="21"/>
      <c r="N2306" s="22"/>
      <c r="O2306" s="21"/>
      <c r="P2306" s="22"/>
      <c r="Q2306" s="21"/>
      <c r="R2306" s="21"/>
      <c r="S2306" s="21"/>
      <c r="T2306" s="21"/>
      <c r="U2306" s="21"/>
      <c r="V2306" s="22"/>
      <c r="W2306" s="21"/>
      <c r="X2306" s="22"/>
      <c r="Y2306" s="21"/>
      <c r="Z2306" s="21"/>
      <c r="AA2306" s="21"/>
      <c r="AB2306" s="21"/>
      <c r="AC2306" s="26"/>
      <c r="AD2306" s="26"/>
      <c r="AE2306" s="62"/>
    </row>
    <row r="2307" spans="1:31" ht="13.5" customHeight="1" x14ac:dyDescent="0.35">
      <c r="A2307" s="49"/>
      <c r="B2307" s="49"/>
      <c r="C2307" s="14"/>
      <c r="D2307" s="1"/>
      <c r="E2307" s="153"/>
      <c r="F2307" s="10"/>
      <c r="G2307" s="21"/>
      <c r="H2307" s="21"/>
      <c r="I2307" s="21"/>
      <c r="J2307" s="21"/>
      <c r="K2307" s="21"/>
      <c r="L2307" s="21"/>
      <c r="M2307" s="21"/>
      <c r="N2307" s="22"/>
      <c r="O2307" s="21"/>
      <c r="P2307" s="22"/>
      <c r="Q2307" s="21"/>
      <c r="R2307" s="21"/>
      <c r="S2307" s="21"/>
      <c r="T2307" s="21"/>
      <c r="U2307" s="21"/>
      <c r="V2307" s="22"/>
      <c r="W2307" s="21"/>
      <c r="X2307" s="22"/>
      <c r="Y2307" s="21"/>
      <c r="Z2307" s="21"/>
      <c r="AA2307" s="21"/>
      <c r="AB2307" s="21"/>
      <c r="AC2307" s="26"/>
      <c r="AD2307" s="26"/>
      <c r="AE2307" s="62"/>
    </row>
    <row r="2308" spans="1:31" x14ac:dyDescent="0.3">
      <c r="A2308" s="6"/>
      <c r="B2308" s="6"/>
      <c r="C2308" s="39"/>
      <c r="D2308" s="6"/>
      <c r="E2308" s="153"/>
      <c r="F2308" s="10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</row>
    <row r="2309" spans="1:31" x14ac:dyDescent="0.3">
      <c r="A2309" s="63"/>
      <c r="B2309" s="63"/>
      <c r="C2309" s="39"/>
      <c r="D2309" s="6"/>
      <c r="E2309" s="153"/>
      <c r="F2309" s="10"/>
      <c r="G2309" s="64"/>
      <c r="H2309" s="3"/>
      <c r="I2309" s="2"/>
      <c r="J2309" s="2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</row>
    <row r="2310" spans="1:31" ht="13.5" customHeight="1" x14ac:dyDescent="0.35">
      <c r="A2310" s="49"/>
      <c r="B2310" s="49"/>
      <c r="C2310" s="39"/>
      <c r="D2310" s="1"/>
      <c r="E2310" s="153"/>
      <c r="F2310" s="10"/>
      <c r="G2310" s="21"/>
      <c r="H2310" s="21"/>
      <c r="I2310" s="21"/>
      <c r="J2310" s="21"/>
      <c r="K2310" s="21"/>
      <c r="L2310" s="21"/>
      <c r="M2310" s="21"/>
      <c r="N2310" s="22"/>
      <c r="O2310" s="21"/>
      <c r="P2310" s="22"/>
      <c r="Q2310" s="21"/>
      <c r="R2310" s="21"/>
      <c r="S2310" s="21"/>
      <c r="T2310" s="21"/>
      <c r="U2310" s="21"/>
      <c r="V2310" s="22"/>
      <c r="W2310" s="21"/>
      <c r="X2310" s="22"/>
      <c r="Y2310" s="21"/>
      <c r="Z2310" s="21"/>
      <c r="AA2310" s="21"/>
      <c r="AB2310" s="21"/>
      <c r="AC2310" s="26"/>
      <c r="AD2310" s="26"/>
      <c r="AE2310" s="62"/>
    </row>
    <row r="2311" spans="1:31" ht="13.5" customHeight="1" x14ac:dyDescent="0.35">
      <c r="A2311" s="49"/>
      <c r="B2311" s="49"/>
      <c r="C2311" s="39"/>
      <c r="D2311" s="1"/>
      <c r="E2311" s="153"/>
      <c r="F2311" s="10"/>
      <c r="G2311" s="21"/>
      <c r="H2311" s="21"/>
      <c r="I2311" s="21"/>
      <c r="J2311" s="21"/>
      <c r="K2311" s="21"/>
      <c r="L2311" s="21"/>
      <c r="M2311" s="21"/>
      <c r="N2311" s="22"/>
      <c r="O2311" s="21"/>
      <c r="P2311" s="22"/>
      <c r="Q2311" s="21"/>
      <c r="R2311" s="21"/>
      <c r="S2311" s="21"/>
      <c r="T2311" s="21"/>
      <c r="U2311" s="21"/>
      <c r="V2311" s="22"/>
      <c r="W2311" s="21"/>
      <c r="X2311" s="22"/>
      <c r="Y2311" s="21"/>
      <c r="Z2311" s="21"/>
      <c r="AA2311" s="21"/>
      <c r="AB2311" s="21"/>
      <c r="AC2311" s="26"/>
      <c r="AD2311" s="26"/>
      <c r="AE2311" s="62"/>
    </row>
    <row r="2312" spans="1:31" ht="13.5" customHeight="1" x14ac:dyDescent="0.35">
      <c r="A2312" s="49"/>
      <c r="B2312" s="49"/>
      <c r="C2312" s="14"/>
      <c r="D2312" s="1"/>
      <c r="E2312" s="153"/>
      <c r="F2312" s="10"/>
      <c r="G2312" s="21"/>
      <c r="H2312" s="21"/>
      <c r="I2312" s="21"/>
      <c r="J2312" s="21"/>
      <c r="K2312" s="21"/>
      <c r="L2312" s="21"/>
      <c r="M2312" s="21"/>
      <c r="N2312" s="22"/>
      <c r="O2312" s="21"/>
      <c r="P2312" s="22"/>
      <c r="Q2312" s="21"/>
      <c r="R2312" s="21"/>
      <c r="S2312" s="21"/>
      <c r="T2312" s="21"/>
      <c r="U2312" s="21"/>
      <c r="V2312" s="22"/>
      <c r="W2312" s="21"/>
      <c r="X2312" s="22"/>
      <c r="Y2312" s="21"/>
      <c r="Z2312" s="21"/>
      <c r="AA2312" s="21"/>
      <c r="AB2312" s="21"/>
      <c r="AC2312" s="26"/>
      <c r="AD2312" s="26"/>
      <c r="AE2312" s="62"/>
    </row>
    <row r="2313" spans="1:31" x14ac:dyDescent="0.3">
      <c r="A2313" s="6"/>
      <c r="B2313" s="6"/>
      <c r="C2313" s="39"/>
      <c r="D2313" s="6"/>
      <c r="E2313" s="153"/>
      <c r="F2313" s="10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21"/>
      <c r="R2313" s="21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</row>
    <row r="2314" spans="1:31" ht="13.5" customHeight="1" x14ac:dyDescent="0.35">
      <c r="A2314" s="49"/>
      <c r="B2314" s="49"/>
      <c r="C2314" s="14"/>
      <c r="D2314" s="1"/>
      <c r="E2314" s="153"/>
      <c r="F2314" s="10"/>
      <c r="G2314" s="21"/>
      <c r="H2314" s="21"/>
      <c r="I2314" s="21"/>
      <c r="J2314" s="21"/>
      <c r="K2314" s="21"/>
      <c r="L2314" s="21"/>
      <c r="M2314" s="21"/>
      <c r="N2314" s="22"/>
      <c r="O2314" s="21"/>
      <c r="P2314" s="22"/>
      <c r="Q2314" s="21"/>
      <c r="R2314" s="21"/>
      <c r="S2314" s="21"/>
      <c r="T2314" s="21"/>
      <c r="U2314" s="21"/>
      <c r="V2314" s="22"/>
      <c r="W2314" s="21"/>
      <c r="X2314" s="22"/>
      <c r="Y2314" s="21"/>
      <c r="Z2314" s="21"/>
      <c r="AA2314" s="21"/>
      <c r="AB2314" s="21"/>
      <c r="AC2314" s="26"/>
      <c r="AD2314" s="26"/>
      <c r="AE2314" s="62"/>
    </row>
    <row r="2315" spans="1:31" x14ac:dyDescent="0.3">
      <c r="A2315" s="63"/>
      <c r="B2315" s="63"/>
      <c r="C2315" s="39"/>
      <c r="D2315" s="6"/>
      <c r="E2315" s="153"/>
      <c r="F2315" s="10"/>
      <c r="G2315" s="64"/>
      <c r="H2315" s="3"/>
      <c r="I2315" s="2"/>
      <c r="J2315" s="2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</row>
    <row r="2316" spans="1:31" ht="13.5" customHeight="1" x14ac:dyDescent="0.35">
      <c r="A2316" s="49"/>
      <c r="B2316" s="49"/>
      <c r="C2316" s="39"/>
      <c r="D2316" s="1"/>
      <c r="E2316" s="153"/>
      <c r="F2316" s="10"/>
      <c r="G2316" s="21"/>
      <c r="H2316" s="21"/>
      <c r="I2316" s="21"/>
      <c r="J2316" s="21"/>
      <c r="K2316" s="21"/>
      <c r="L2316" s="21"/>
      <c r="M2316" s="21"/>
      <c r="N2316" s="22"/>
      <c r="O2316" s="21"/>
      <c r="P2316" s="22"/>
      <c r="Q2316" s="21"/>
      <c r="R2316" s="21"/>
      <c r="S2316" s="21"/>
      <c r="T2316" s="21"/>
      <c r="U2316" s="21"/>
      <c r="V2316" s="22"/>
      <c r="W2316" s="21"/>
      <c r="X2316" s="22"/>
      <c r="Y2316" s="21"/>
      <c r="Z2316" s="21"/>
      <c r="AA2316" s="21"/>
      <c r="AB2316" s="21"/>
      <c r="AC2316" s="26"/>
      <c r="AD2316" s="26"/>
      <c r="AE2316" s="62"/>
    </row>
    <row r="2317" spans="1:31" x14ac:dyDescent="0.3">
      <c r="A2317" s="6"/>
      <c r="B2317" s="6"/>
      <c r="C2317" s="39"/>
      <c r="D2317" s="6"/>
      <c r="E2317" s="153"/>
      <c r="F2317" s="10"/>
      <c r="G2317" s="2"/>
      <c r="H2317" s="3"/>
      <c r="I2317" s="2"/>
      <c r="J2317" s="2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</row>
    <row r="2318" spans="1:31" x14ac:dyDescent="0.3">
      <c r="A2318" s="6"/>
      <c r="B2318" s="6"/>
      <c r="C2318" s="39"/>
      <c r="D2318" s="6"/>
      <c r="E2318" s="153"/>
      <c r="F2318" s="10"/>
      <c r="G2318" s="2"/>
      <c r="H2318" s="3"/>
      <c r="I2318" s="2"/>
      <c r="J2318" s="2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</row>
    <row r="2319" spans="1:31" ht="13.5" customHeight="1" x14ac:dyDescent="0.35">
      <c r="A2319" s="49"/>
      <c r="B2319" s="49"/>
      <c r="C2319" s="39"/>
      <c r="D2319" s="1"/>
      <c r="E2319" s="153"/>
      <c r="F2319" s="10"/>
      <c r="G2319" s="21"/>
      <c r="H2319" s="21"/>
      <c r="I2319" s="21"/>
      <c r="J2319" s="21"/>
      <c r="K2319" s="21"/>
      <c r="L2319" s="21"/>
      <c r="M2319" s="21"/>
      <c r="N2319" s="22"/>
      <c r="O2319" s="21"/>
      <c r="P2319" s="22"/>
      <c r="Q2319" s="21"/>
      <c r="R2319" s="21"/>
      <c r="S2319" s="21"/>
      <c r="T2319" s="21"/>
      <c r="U2319" s="21"/>
      <c r="V2319" s="22"/>
      <c r="W2319" s="21"/>
      <c r="X2319" s="22"/>
      <c r="Y2319" s="21"/>
      <c r="Z2319" s="21"/>
      <c r="AA2319" s="21"/>
      <c r="AB2319" s="21"/>
      <c r="AC2319" s="26"/>
      <c r="AD2319" s="26"/>
      <c r="AE2319" s="62"/>
    </row>
    <row r="2320" spans="1:31" ht="13.5" customHeight="1" x14ac:dyDescent="0.35">
      <c r="A2320" s="49"/>
      <c r="B2320" s="49"/>
      <c r="C2320" s="14"/>
      <c r="D2320" s="1"/>
      <c r="E2320" s="153"/>
      <c r="F2320" s="10"/>
      <c r="G2320" s="21"/>
      <c r="H2320" s="21"/>
      <c r="I2320" s="21"/>
      <c r="J2320" s="21"/>
      <c r="K2320" s="21"/>
      <c r="L2320" s="21"/>
      <c r="M2320" s="21"/>
      <c r="N2320" s="22"/>
      <c r="O2320" s="21"/>
      <c r="P2320" s="22"/>
      <c r="Q2320" s="21"/>
      <c r="R2320" s="21"/>
      <c r="S2320" s="21"/>
      <c r="T2320" s="21"/>
      <c r="U2320" s="21"/>
      <c r="V2320" s="22"/>
      <c r="W2320" s="21"/>
      <c r="X2320" s="22"/>
      <c r="Y2320" s="21"/>
      <c r="Z2320" s="21"/>
      <c r="AA2320" s="21"/>
      <c r="AB2320" s="21"/>
      <c r="AC2320" s="26"/>
      <c r="AD2320" s="26"/>
      <c r="AE2320" s="62"/>
    </row>
    <row r="2321" spans="1:31" ht="13.5" customHeight="1" x14ac:dyDescent="0.35">
      <c r="A2321" s="49"/>
      <c r="B2321" s="49"/>
      <c r="C2321" s="39"/>
      <c r="D2321" s="1"/>
      <c r="E2321" s="153"/>
      <c r="F2321" s="10"/>
      <c r="G2321" s="21"/>
      <c r="H2321" s="21"/>
      <c r="I2321" s="21"/>
      <c r="J2321" s="21"/>
      <c r="K2321" s="21"/>
      <c r="L2321" s="21"/>
      <c r="M2321" s="21"/>
      <c r="N2321" s="22"/>
      <c r="O2321" s="21"/>
      <c r="P2321" s="22"/>
      <c r="Q2321" s="21"/>
      <c r="R2321" s="21"/>
      <c r="S2321" s="21"/>
      <c r="T2321" s="21"/>
      <c r="U2321" s="21"/>
      <c r="V2321" s="22"/>
      <c r="W2321" s="21"/>
      <c r="X2321" s="22"/>
      <c r="Y2321" s="21"/>
      <c r="Z2321" s="21"/>
      <c r="AA2321" s="21"/>
      <c r="AB2321" s="21"/>
      <c r="AC2321" s="26"/>
      <c r="AD2321" s="26"/>
      <c r="AE2321" s="62"/>
    </row>
    <row r="2322" spans="1:31" x14ac:dyDescent="0.3">
      <c r="A2322" s="63"/>
      <c r="B2322" s="63"/>
      <c r="C2322" s="39"/>
      <c r="D2322" s="6"/>
      <c r="E2322" s="153"/>
      <c r="F2322" s="10"/>
      <c r="G2322" s="64"/>
      <c r="H2322" s="3"/>
      <c r="I2322" s="2"/>
      <c r="J2322" s="2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</row>
    <row r="2323" spans="1:31" x14ac:dyDescent="0.3">
      <c r="A2323" s="6"/>
      <c r="B2323" s="6"/>
      <c r="C2323" s="39"/>
      <c r="D2323" s="6"/>
      <c r="E2323" s="153"/>
      <c r="F2323" s="10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21"/>
      <c r="R2323" s="21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</row>
    <row r="2324" spans="1:31" x14ac:dyDescent="0.3">
      <c r="A2324" s="63"/>
      <c r="B2324" s="63"/>
      <c r="C2324" s="39"/>
      <c r="D2324" s="6"/>
      <c r="E2324" s="153"/>
      <c r="F2324" s="10"/>
      <c r="G2324" s="64"/>
      <c r="H2324" s="3"/>
      <c r="I2324" s="2"/>
      <c r="J2324" s="2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</row>
    <row r="2325" spans="1:31" ht="13.5" customHeight="1" x14ac:dyDescent="0.35">
      <c r="A2325" s="49"/>
      <c r="B2325" s="49"/>
      <c r="C2325" s="39"/>
      <c r="D2325" s="1"/>
      <c r="E2325" s="153"/>
      <c r="F2325" s="10"/>
      <c r="G2325" s="21"/>
      <c r="H2325" s="21"/>
      <c r="I2325" s="21"/>
      <c r="J2325" s="21"/>
      <c r="K2325" s="21"/>
      <c r="L2325" s="21"/>
      <c r="M2325" s="21"/>
      <c r="N2325" s="22"/>
      <c r="O2325" s="21"/>
      <c r="P2325" s="22"/>
      <c r="Q2325" s="21"/>
      <c r="R2325" s="21"/>
      <c r="S2325" s="21"/>
      <c r="T2325" s="21"/>
      <c r="U2325" s="21"/>
      <c r="V2325" s="22"/>
      <c r="W2325" s="21"/>
      <c r="X2325" s="22"/>
      <c r="Y2325" s="21"/>
      <c r="Z2325" s="21"/>
      <c r="AA2325" s="21"/>
      <c r="AB2325" s="21"/>
      <c r="AC2325" s="26"/>
      <c r="AD2325" s="26"/>
      <c r="AE2325" s="62"/>
    </row>
    <row r="2326" spans="1:31" ht="13.5" customHeight="1" x14ac:dyDescent="0.35">
      <c r="A2326" s="49"/>
      <c r="B2326" s="49"/>
      <c r="C2326" s="39"/>
      <c r="D2326" s="1"/>
      <c r="E2326" s="153"/>
      <c r="F2326" s="10"/>
      <c r="G2326" s="21"/>
      <c r="H2326" s="21"/>
      <c r="I2326" s="21"/>
      <c r="J2326" s="21"/>
      <c r="K2326" s="21"/>
      <c r="L2326" s="21"/>
      <c r="M2326" s="21"/>
      <c r="N2326" s="22"/>
      <c r="O2326" s="21"/>
      <c r="P2326" s="22"/>
      <c r="Q2326" s="21"/>
      <c r="R2326" s="21"/>
      <c r="S2326" s="21"/>
      <c r="T2326" s="21"/>
      <c r="U2326" s="21"/>
      <c r="V2326" s="22"/>
      <c r="W2326" s="21"/>
      <c r="X2326" s="22"/>
      <c r="Y2326" s="21"/>
      <c r="Z2326" s="21"/>
      <c r="AA2326" s="21"/>
      <c r="AB2326" s="21"/>
      <c r="AC2326" s="26"/>
      <c r="AD2326" s="26"/>
      <c r="AE2326" s="62"/>
    </row>
    <row r="2327" spans="1:31" x14ac:dyDescent="0.3">
      <c r="A2327" s="63"/>
      <c r="B2327" s="63"/>
      <c r="C2327" s="39"/>
      <c r="D2327" s="6"/>
      <c r="E2327" s="153"/>
      <c r="F2327" s="10"/>
      <c r="G2327" s="64"/>
      <c r="H2327" s="3"/>
      <c r="I2327" s="2"/>
      <c r="J2327" s="2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</row>
    <row r="2328" spans="1:31" x14ac:dyDescent="0.3">
      <c r="A2328" s="6"/>
      <c r="B2328" s="6"/>
      <c r="C2328" s="39"/>
      <c r="D2328" s="6"/>
      <c r="E2328" s="153"/>
      <c r="F2328" s="10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21"/>
      <c r="R2328" s="21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</row>
    <row r="2329" spans="1:31" ht="13.5" customHeight="1" x14ac:dyDescent="0.35">
      <c r="A2329" s="49"/>
      <c r="B2329" s="49"/>
      <c r="C2329" s="39"/>
      <c r="D2329" s="1"/>
      <c r="E2329" s="153"/>
      <c r="F2329" s="10"/>
      <c r="G2329" s="21"/>
      <c r="H2329" s="21"/>
      <c r="I2329" s="21"/>
      <c r="J2329" s="21"/>
      <c r="K2329" s="21"/>
      <c r="L2329" s="21"/>
      <c r="M2329" s="21"/>
      <c r="N2329" s="22"/>
      <c r="O2329" s="21"/>
      <c r="P2329" s="22"/>
      <c r="Q2329" s="21"/>
      <c r="R2329" s="21"/>
      <c r="S2329" s="21"/>
      <c r="T2329" s="21"/>
      <c r="U2329" s="21"/>
      <c r="V2329" s="22"/>
      <c r="W2329" s="21"/>
      <c r="X2329" s="22"/>
      <c r="Y2329" s="21"/>
      <c r="Z2329" s="21"/>
      <c r="AA2329" s="21"/>
      <c r="AB2329" s="21"/>
      <c r="AC2329" s="26"/>
      <c r="AD2329" s="26"/>
      <c r="AE2329" s="62"/>
    </row>
    <row r="2330" spans="1:31" x14ac:dyDescent="0.3">
      <c r="A2330" s="6"/>
      <c r="B2330" s="6"/>
      <c r="C2330" s="39"/>
      <c r="D2330" s="6"/>
      <c r="E2330" s="153"/>
      <c r="F2330" s="10"/>
      <c r="G2330" s="2"/>
      <c r="H2330" s="3"/>
      <c r="I2330" s="2"/>
      <c r="J2330" s="2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</row>
    <row r="2331" spans="1:31" ht="13.5" customHeight="1" x14ac:dyDescent="0.35">
      <c r="A2331" s="49"/>
      <c r="B2331" s="49"/>
      <c r="C2331" s="14"/>
      <c r="D2331" s="1"/>
      <c r="E2331" s="153"/>
      <c r="F2331" s="10"/>
      <c r="G2331" s="21"/>
      <c r="H2331" s="21"/>
      <c r="I2331" s="21"/>
      <c r="J2331" s="21"/>
      <c r="K2331" s="21"/>
      <c r="L2331" s="21"/>
      <c r="M2331" s="21"/>
      <c r="N2331" s="22"/>
      <c r="O2331" s="21"/>
      <c r="P2331" s="22"/>
      <c r="Q2331" s="21"/>
      <c r="R2331" s="21"/>
      <c r="S2331" s="21"/>
      <c r="T2331" s="21"/>
      <c r="U2331" s="21"/>
      <c r="V2331" s="22"/>
      <c r="W2331" s="21"/>
      <c r="X2331" s="22"/>
      <c r="Y2331" s="21"/>
      <c r="Z2331" s="21"/>
      <c r="AA2331" s="21"/>
      <c r="AB2331" s="21"/>
      <c r="AC2331" s="26"/>
      <c r="AD2331" s="26"/>
      <c r="AE2331" s="62"/>
    </row>
    <row r="2332" spans="1:31" x14ac:dyDescent="0.3">
      <c r="A2332" s="6"/>
      <c r="B2332" s="6"/>
      <c r="C2332" s="39"/>
      <c r="D2332" s="6"/>
      <c r="E2332" s="153"/>
      <c r="F2332" s="10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21"/>
      <c r="R2332" s="21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</row>
    <row r="2333" spans="1:31" ht="13.5" customHeight="1" x14ac:dyDescent="0.35">
      <c r="A2333" s="49"/>
      <c r="B2333" s="49"/>
      <c r="C2333" s="14"/>
      <c r="D2333" s="1"/>
      <c r="E2333" s="153"/>
      <c r="F2333" s="10"/>
      <c r="G2333" s="21"/>
      <c r="H2333" s="21"/>
      <c r="I2333" s="21"/>
      <c r="J2333" s="21"/>
      <c r="K2333" s="21"/>
      <c r="L2333" s="21"/>
      <c r="M2333" s="21"/>
      <c r="N2333" s="22"/>
      <c r="O2333" s="21"/>
      <c r="P2333" s="22"/>
      <c r="Q2333" s="21"/>
      <c r="R2333" s="21"/>
      <c r="S2333" s="21"/>
      <c r="T2333" s="21"/>
      <c r="U2333" s="21"/>
      <c r="V2333" s="22"/>
      <c r="W2333" s="21"/>
      <c r="X2333" s="22"/>
      <c r="Y2333" s="21"/>
      <c r="Z2333" s="21"/>
      <c r="AA2333" s="21"/>
      <c r="AB2333" s="21"/>
      <c r="AC2333" s="26"/>
      <c r="AD2333" s="26"/>
      <c r="AE2333" s="62"/>
    </row>
    <row r="2334" spans="1:31" ht="13.5" customHeight="1" x14ac:dyDescent="0.35">
      <c r="A2334" s="49"/>
      <c r="B2334" s="49"/>
      <c r="C2334" s="39"/>
      <c r="D2334" s="1"/>
      <c r="E2334" s="153"/>
      <c r="F2334" s="10"/>
      <c r="G2334" s="21"/>
      <c r="H2334" s="21"/>
      <c r="I2334" s="21"/>
      <c r="J2334" s="21"/>
      <c r="K2334" s="21"/>
      <c r="L2334" s="21"/>
      <c r="M2334" s="21"/>
      <c r="N2334" s="22"/>
      <c r="O2334" s="21"/>
      <c r="P2334" s="22"/>
      <c r="Q2334" s="21"/>
      <c r="R2334" s="21"/>
      <c r="S2334" s="21"/>
      <c r="T2334" s="21"/>
      <c r="U2334" s="21"/>
      <c r="V2334" s="22"/>
      <c r="W2334" s="21"/>
      <c r="X2334" s="22"/>
      <c r="Y2334" s="21"/>
      <c r="Z2334" s="21"/>
      <c r="AA2334" s="21"/>
      <c r="AB2334" s="21"/>
      <c r="AC2334" s="26"/>
      <c r="AD2334" s="26"/>
      <c r="AE2334" s="65"/>
    </row>
    <row r="2335" spans="1:31" x14ac:dyDescent="0.3">
      <c r="A2335" s="6"/>
      <c r="B2335" s="6"/>
      <c r="C2335" s="39"/>
      <c r="D2335" s="6"/>
      <c r="E2335" s="153"/>
      <c r="F2335" s="10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21"/>
      <c r="R2335" s="21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</row>
    <row r="2336" spans="1:31" ht="13.5" customHeight="1" x14ac:dyDescent="0.35">
      <c r="A2336" s="49"/>
      <c r="B2336" s="49"/>
      <c r="C2336" s="14"/>
      <c r="D2336" s="1"/>
      <c r="E2336" s="153"/>
      <c r="F2336" s="10"/>
      <c r="G2336" s="21"/>
      <c r="H2336" s="21"/>
      <c r="I2336" s="21"/>
      <c r="J2336" s="21"/>
      <c r="K2336" s="21"/>
      <c r="L2336" s="21"/>
      <c r="M2336" s="21"/>
      <c r="N2336" s="22"/>
      <c r="O2336" s="21"/>
      <c r="P2336" s="22"/>
      <c r="Q2336" s="21"/>
      <c r="R2336" s="21"/>
      <c r="S2336" s="21"/>
      <c r="T2336" s="21"/>
      <c r="U2336" s="21"/>
      <c r="V2336" s="22"/>
      <c r="W2336" s="21"/>
      <c r="X2336" s="22"/>
      <c r="Y2336" s="21"/>
      <c r="Z2336" s="21"/>
      <c r="AA2336" s="21"/>
      <c r="AB2336" s="21"/>
      <c r="AC2336" s="26"/>
      <c r="AD2336" s="26"/>
      <c r="AE2336" s="62"/>
    </row>
    <row r="2337" spans="1:31" x14ac:dyDescent="0.3">
      <c r="A2337" s="63"/>
      <c r="B2337" s="63"/>
      <c r="C2337" s="39"/>
      <c r="D2337" s="6"/>
      <c r="E2337" s="153"/>
      <c r="F2337" s="10"/>
      <c r="G2337" s="64"/>
      <c r="H2337" s="3"/>
      <c r="I2337" s="2"/>
      <c r="J2337" s="2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</row>
    <row r="2338" spans="1:31" ht="13.5" customHeight="1" x14ac:dyDescent="0.35">
      <c r="A2338" s="49"/>
      <c r="B2338" s="49"/>
      <c r="C2338" s="39"/>
      <c r="D2338" s="1"/>
      <c r="E2338" s="153"/>
      <c r="F2338" s="10"/>
      <c r="G2338" s="21"/>
      <c r="H2338" s="21"/>
      <c r="I2338" s="21"/>
      <c r="J2338" s="21"/>
      <c r="K2338" s="21"/>
      <c r="L2338" s="21"/>
      <c r="M2338" s="21"/>
      <c r="N2338" s="22"/>
      <c r="O2338" s="21"/>
      <c r="P2338" s="22"/>
      <c r="Q2338" s="21"/>
      <c r="R2338" s="21"/>
      <c r="S2338" s="21"/>
      <c r="T2338" s="21"/>
      <c r="U2338" s="21"/>
      <c r="V2338" s="22"/>
      <c r="W2338" s="21"/>
      <c r="X2338" s="22"/>
      <c r="Y2338" s="21"/>
      <c r="Z2338" s="21"/>
      <c r="AA2338" s="21"/>
      <c r="AB2338" s="21"/>
      <c r="AC2338" s="26"/>
      <c r="AD2338" s="26"/>
      <c r="AE2338" s="62"/>
    </row>
    <row r="2339" spans="1:31" ht="13.5" customHeight="1" x14ac:dyDescent="0.35">
      <c r="A2339" s="49"/>
      <c r="B2339" s="49"/>
      <c r="C2339" s="39"/>
      <c r="D2339" s="1"/>
      <c r="E2339" s="153"/>
      <c r="F2339" s="10"/>
      <c r="G2339" s="21"/>
      <c r="H2339" s="21"/>
      <c r="I2339" s="21"/>
      <c r="J2339" s="21"/>
      <c r="K2339" s="21"/>
      <c r="L2339" s="21"/>
      <c r="M2339" s="21"/>
      <c r="N2339" s="22"/>
      <c r="O2339" s="21"/>
      <c r="P2339" s="22"/>
      <c r="Q2339" s="21"/>
      <c r="R2339" s="21"/>
      <c r="S2339" s="21"/>
      <c r="T2339" s="21"/>
      <c r="U2339" s="21"/>
      <c r="V2339" s="22"/>
      <c r="W2339" s="21"/>
      <c r="X2339" s="22"/>
      <c r="Y2339" s="21"/>
      <c r="Z2339" s="21"/>
      <c r="AA2339" s="21"/>
      <c r="AB2339" s="21"/>
      <c r="AC2339" s="26"/>
      <c r="AD2339" s="26"/>
      <c r="AE2339" s="62"/>
    </row>
    <row r="2340" spans="1:31" x14ac:dyDescent="0.3">
      <c r="A2340" s="63"/>
      <c r="B2340" s="63"/>
      <c r="C2340" s="39"/>
      <c r="D2340" s="6"/>
      <c r="E2340" s="153"/>
      <c r="F2340" s="10"/>
      <c r="G2340" s="64"/>
      <c r="H2340" s="3"/>
      <c r="I2340" s="2"/>
      <c r="J2340" s="2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</row>
    <row r="2341" spans="1:31" ht="13.5" customHeight="1" x14ac:dyDescent="0.35">
      <c r="A2341" s="49"/>
      <c r="B2341" s="49"/>
      <c r="C2341" s="14"/>
      <c r="D2341" s="1"/>
      <c r="E2341" s="153"/>
      <c r="F2341" s="10"/>
      <c r="G2341" s="21"/>
      <c r="H2341" s="21"/>
      <c r="I2341" s="21"/>
      <c r="J2341" s="21"/>
      <c r="K2341" s="21"/>
      <c r="L2341" s="21"/>
      <c r="M2341" s="21"/>
      <c r="N2341" s="22"/>
      <c r="O2341" s="21"/>
      <c r="P2341" s="22"/>
      <c r="Q2341" s="21"/>
      <c r="R2341" s="21"/>
      <c r="S2341" s="21"/>
      <c r="T2341" s="21"/>
      <c r="U2341" s="21"/>
      <c r="V2341" s="22"/>
      <c r="W2341" s="21"/>
      <c r="X2341" s="22"/>
      <c r="Y2341" s="21"/>
      <c r="Z2341" s="21"/>
      <c r="AA2341" s="21"/>
      <c r="AB2341" s="21"/>
      <c r="AC2341" s="26"/>
      <c r="AD2341" s="26"/>
      <c r="AE2341" s="62"/>
    </row>
    <row r="2342" spans="1:31" x14ac:dyDescent="0.3">
      <c r="A2342" s="6"/>
      <c r="B2342" s="6"/>
      <c r="C2342" s="39"/>
      <c r="D2342" s="6"/>
      <c r="E2342" s="153"/>
      <c r="F2342" s="10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21"/>
      <c r="R2342" s="21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</row>
    <row r="2343" spans="1:31" x14ac:dyDescent="0.3">
      <c r="A2343" s="6"/>
      <c r="B2343" s="6"/>
      <c r="C2343" s="39"/>
      <c r="D2343" s="6"/>
      <c r="E2343" s="153"/>
      <c r="F2343" s="10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21"/>
      <c r="R2343" s="21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</row>
    <row r="2344" spans="1:31" x14ac:dyDescent="0.3">
      <c r="A2344" s="6"/>
      <c r="B2344" s="6"/>
      <c r="C2344" s="39"/>
      <c r="D2344" s="6"/>
      <c r="E2344" s="153"/>
      <c r="F2344" s="10"/>
      <c r="G2344" s="2"/>
      <c r="H2344" s="3"/>
      <c r="I2344" s="2"/>
      <c r="J2344" s="2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</row>
    <row r="2345" spans="1:31" x14ac:dyDescent="0.3">
      <c r="A2345" s="6"/>
      <c r="B2345" s="6"/>
      <c r="C2345" s="39"/>
      <c r="D2345" s="6"/>
      <c r="E2345" s="153"/>
      <c r="F2345" s="10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21"/>
      <c r="R2345" s="21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</row>
    <row r="2346" spans="1:31" x14ac:dyDescent="0.3">
      <c r="A2346" s="6"/>
      <c r="B2346" s="6"/>
      <c r="C2346" s="39"/>
      <c r="D2346" s="6"/>
      <c r="E2346" s="153"/>
      <c r="F2346" s="10"/>
      <c r="G2346" s="2"/>
      <c r="H2346" s="3"/>
      <c r="I2346" s="2"/>
      <c r="J2346" s="2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</row>
    <row r="2347" spans="1:31" x14ac:dyDescent="0.3">
      <c r="A2347" s="63"/>
      <c r="B2347" s="63"/>
      <c r="C2347" s="39"/>
      <c r="D2347" s="6"/>
      <c r="E2347" s="153"/>
      <c r="F2347" s="10"/>
      <c r="G2347" s="64"/>
      <c r="H2347" s="3"/>
      <c r="I2347" s="2"/>
      <c r="J2347" s="2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</row>
    <row r="2348" spans="1:31" x14ac:dyDescent="0.3">
      <c r="A2348" s="63"/>
      <c r="B2348" s="63"/>
      <c r="C2348" s="39"/>
      <c r="D2348" s="6"/>
      <c r="E2348" s="153"/>
      <c r="F2348" s="10"/>
      <c r="G2348" s="64"/>
      <c r="H2348" s="3"/>
      <c r="I2348" s="2"/>
      <c r="J2348" s="2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</row>
    <row r="2349" spans="1:31" ht="13.5" customHeight="1" x14ac:dyDescent="0.35">
      <c r="A2349" s="49"/>
      <c r="B2349" s="49"/>
      <c r="C2349" s="14"/>
      <c r="D2349" s="1"/>
      <c r="E2349" s="153"/>
      <c r="F2349" s="10"/>
      <c r="G2349" s="21"/>
      <c r="H2349" s="21"/>
      <c r="I2349" s="21"/>
      <c r="J2349" s="21"/>
      <c r="K2349" s="21"/>
      <c r="L2349" s="21"/>
      <c r="M2349" s="21"/>
      <c r="N2349" s="22"/>
      <c r="O2349" s="21"/>
      <c r="P2349" s="22"/>
      <c r="Q2349" s="21"/>
      <c r="R2349" s="21"/>
      <c r="S2349" s="21"/>
      <c r="T2349" s="21"/>
      <c r="U2349" s="21"/>
      <c r="V2349" s="22"/>
      <c r="W2349" s="21"/>
      <c r="X2349" s="22"/>
      <c r="Y2349" s="21"/>
      <c r="Z2349" s="21"/>
      <c r="AA2349" s="21"/>
      <c r="AB2349" s="21"/>
      <c r="AC2349" s="26"/>
      <c r="AD2349" s="26"/>
      <c r="AE2349" s="62"/>
    </row>
    <row r="2350" spans="1:31" ht="13.5" customHeight="1" x14ac:dyDescent="0.35">
      <c r="A2350" s="49"/>
      <c r="B2350" s="49"/>
      <c r="C2350" s="14"/>
      <c r="D2350" s="1"/>
      <c r="E2350" s="153"/>
      <c r="F2350" s="10"/>
      <c r="G2350" s="21"/>
      <c r="H2350" s="21"/>
      <c r="I2350" s="21"/>
      <c r="J2350" s="21"/>
      <c r="K2350" s="21"/>
      <c r="L2350" s="21"/>
      <c r="M2350" s="21"/>
      <c r="N2350" s="22"/>
      <c r="O2350" s="21"/>
      <c r="P2350" s="22"/>
      <c r="Q2350" s="21"/>
      <c r="R2350" s="21"/>
      <c r="S2350" s="21"/>
      <c r="T2350" s="21"/>
      <c r="U2350" s="21"/>
      <c r="V2350" s="22"/>
      <c r="W2350" s="21"/>
      <c r="X2350" s="22"/>
      <c r="Y2350" s="21"/>
      <c r="Z2350" s="21"/>
      <c r="AA2350" s="21"/>
      <c r="AB2350" s="21"/>
      <c r="AC2350" s="26"/>
      <c r="AD2350" s="26"/>
      <c r="AE2350" s="62"/>
    </row>
    <row r="2351" spans="1:31" x14ac:dyDescent="0.3">
      <c r="A2351" s="6"/>
      <c r="B2351" s="6"/>
      <c r="C2351" s="39"/>
      <c r="D2351" s="6"/>
      <c r="E2351" s="153"/>
      <c r="F2351" s="10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</row>
    <row r="2352" spans="1:31" ht="13.5" customHeight="1" x14ac:dyDescent="0.35">
      <c r="A2352" s="49"/>
      <c r="B2352" s="49"/>
      <c r="C2352" s="14"/>
      <c r="D2352" s="1"/>
      <c r="E2352" s="153"/>
      <c r="F2352" s="10"/>
      <c r="G2352" s="21"/>
      <c r="H2352" s="21"/>
      <c r="I2352" s="21"/>
      <c r="J2352" s="21"/>
      <c r="K2352" s="21"/>
      <c r="L2352" s="21"/>
      <c r="M2352" s="21"/>
      <c r="N2352" s="22"/>
      <c r="O2352" s="21"/>
      <c r="P2352" s="22"/>
      <c r="Q2352" s="21"/>
      <c r="R2352" s="21"/>
      <c r="S2352" s="21"/>
      <c r="T2352" s="21"/>
      <c r="U2352" s="21"/>
      <c r="V2352" s="22"/>
      <c r="W2352" s="21"/>
      <c r="X2352" s="22"/>
      <c r="Y2352" s="21"/>
      <c r="Z2352" s="21"/>
      <c r="AA2352" s="21"/>
      <c r="AB2352" s="21"/>
      <c r="AC2352" s="26"/>
      <c r="AD2352" s="26"/>
      <c r="AE2352" s="62"/>
    </row>
    <row r="2353" spans="1:31" x14ac:dyDescent="0.3">
      <c r="A2353" s="6"/>
      <c r="B2353" s="6"/>
      <c r="C2353" s="39"/>
      <c r="D2353" s="6"/>
      <c r="E2353" s="153"/>
      <c r="F2353" s="10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21"/>
      <c r="R2353" s="21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</row>
    <row r="2354" spans="1:31" x14ac:dyDescent="0.3">
      <c r="A2354" s="6"/>
      <c r="B2354" s="6"/>
      <c r="C2354" s="39"/>
      <c r="D2354" s="6"/>
      <c r="E2354" s="153"/>
      <c r="F2354" s="10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21"/>
      <c r="R2354" s="21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</row>
    <row r="2355" spans="1:31" x14ac:dyDescent="0.3">
      <c r="A2355" s="63"/>
      <c r="B2355" s="63"/>
      <c r="C2355" s="39"/>
      <c r="D2355" s="6"/>
      <c r="E2355" s="153"/>
      <c r="F2355" s="10"/>
      <c r="G2355" s="64"/>
      <c r="H2355" s="3"/>
      <c r="I2355" s="2"/>
      <c r="J2355" s="2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</row>
    <row r="2356" spans="1:31" x14ac:dyDescent="0.3">
      <c r="A2356" s="6"/>
      <c r="B2356" s="6"/>
      <c r="C2356" s="39"/>
      <c r="D2356" s="6"/>
      <c r="E2356" s="153"/>
      <c r="F2356" s="10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21"/>
      <c r="R2356" s="21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</row>
    <row r="2357" spans="1:31" x14ac:dyDescent="0.3">
      <c r="A2357" s="6"/>
      <c r="B2357" s="6"/>
      <c r="C2357" s="39"/>
      <c r="D2357" s="6"/>
      <c r="E2357" s="153"/>
      <c r="F2357" s="10"/>
      <c r="G2357" s="2"/>
      <c r="H2357" s="3"/>
      <c r="I2357" s="2"/>
      <c r="J2357" s="2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</row>
    <row r="2358" spans="1:31" ht="13.5" customHeight="1" x14ac:dyDescent="0.35">
      <c r="A2358" s="49"/>
      <c r="B2358" s="49"/>
      <c r="C2358" s="14"/>
      <c r="D2358" s="1"/>
      <c r="E2358" s="153"/>
      <c r="F2358" s="10"/>
      <c r="G2358" s="21"/>
      <c r="H2358" s="21"/>
      <c r="I2358" s="21"/>
      <c r="J2358" s="21"/>
      <c r="K2358" s="21"/>
      <c r="L2358" s="21"/>
      <c r="M2358" s="21"/>
      <c r="N2358" s="22"/>
      <c r="O2358" s="21"/>
      <c r="P2358" s="22"/>
      <c r="Q2358" s="21"/>
      <c r="R2358" s="21"/>
      <c r="S2358" s="21"/>
      <c r="T2358" s="21"/>
      <c r="U2358" s="21"/>
      <c r="V2358" s="22"/>
      <c r="W2358" s="21"/>
      <c r="X2358" s="22"/>
      <c r="Y2358" s="21"/>
      <c r="Z2358" s="21"/>
      <c r="AA2358" s="21"/>
      <c r="AB2358" s="21"/>
      <c r="AC2358" s="26"/>
      <c r="AD2358" s="26"/>
      <c r="AE2358" s="62"/>
    </row>
    <row r="2359" spans="1:31" ht="13.5" customHeight="1" x14ac:dyDescent="0.35">
      <c r="A2359" s="49"/>
      <c r="B2359" s="49"/>
      <c r="C2359" s="14"/>
      <c r="D2359" s="1"/>
      <c r="E2359" s="153"/>
      <c r="F2359" s="10"/>
      <c r="G2359" s="21"/>
      <c r="H2359" s="21"/>
      <c r="I2359" s="21"/>
      <c r="J2359" s="21"/>
      <c r="K2359" s="21"/>
      <c r="L2359" s="21"/>
      <c r="M2359" s="21"/>
      <c r="N2359" s="22"/>
      <c r="O2359" s="21"/>
      <c r="P2359" s="22"/>
      <c r="Q2359" s="21"/>
      <c r="R2359" s="21"/>
      <c r="S2359" s="21"/>
      <c r="T2359" s="21"/>
      <c r="U2359" s="21"/>
      <c r="V2359" s="22"/>
      <c r="W2359" s="21"/>
      <c r="X2359" s="22"/>
      <c r="Y2359" s="21"/>
      <c r="Z2359" s="21"/>
      <c r="AA2359" s="21"/>
      <c r="AB2359" s="21"/>
      <c r="AC2359" s="26"/>
      <c r="AD2359" s="26"/>
      <c r="AE2359" s="62"/>
    </row>
    <row r="2360" spans="1:31" x14ac:dyDescent="0.3">
      <c r="A2360" s="6"/>
      <c r="B2360" s="6"/>
      <c r="C2360" s="39"/>
      <c r="D2360" s="6"/>
      <c r="E2360" s="153"/>
      <c r="F2360" s="10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21"/>
      <c r="R2360" s="21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</row>
    <row r="2361" spans="1:31" x14ac:dyDescent="0.3">
      <c r="A2361" s="6"/>
      <c r="B2361" s="6"/>
      <c r="C2361" s="39"/>
      <c r="D2361" s="6"/>
      <c r="E2361" s="153"/>
      <c r="F2361" s="10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21"/>
      <c r="R2361" s="21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</row>
    <row r="2362" spans="1:31" ht="13.5" customHeight="1" x14ac:dyDescent="0.35">
      <c r="A2362" s="49"/>
      <c r="B2362" s="49"/>
      <c r="C2362" s="14"/>
      <c r="D2362" s="1"/>
      <c r="E2362" s="153"/>
      <c r="F2362" s="10"/>
      <c r="G2362" s="21"/>
      <c r="H2362" s="21"/>
      <c r="I2362" s="21"/>
      <c r="J2362" s="21"/>
      <c r="K2362" s="21"/>
      <c r="L2362" s="21"/>
      <c r="M2362" s="21"/>
      <c r="N2362" s="22"/>
      <c r="O2362" s="21"/>
      <c r="P2362" s="22"/>
      <c r="Q2362" s="21"/>
      <c r="R2362" s="21"/>
      <c r="S2362" s="21"/>
      <c r="T2362" s="21"/>
      <c r="U2362" s="21"/>
      <c r="V2362" s="22"/>
      <c r="W2362" s="21"/>
      <c r="X2362" s="22"/>
      <c r="Y2362" s="21"/>
      <c r="Z2362" s="21"/>
      <c r="AA2362" s="21"/>
      <c r="AB2362" s="21"/>
      <c r="AC2362" s="26"/>
      <c r="AD2362" s="26"/>
      <c r="AE2362" s="62"/>
    </row>
    <row r="2363" spans="1:31" x14ac:dyDescent="0.3">
      <c r="A2363" s="6"/>
      <c r="B2363" s="6"/>
      <c r="C2363" s="39"/>
      <c r="D2363" s="6"/>
      <c r="E2363" s="153"/>
      <c r="F2363" s="10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21"/>
      <c r="R2363" s="21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</row>
    <row r="2364" spans="1:31" x14ac:dyDescent="0.3">
      <c r="A2364" s="6"/>
      <c r="B2364" s="6"/>
      <c r="C2364" s="39"/>
      <c r="D2364" s="6"/>
      <c r="E2364" s="153"/>
      <c r="F2364" s="10"/>
      <c r="G2364" s="2"/>
      <c r="H2364" s="3"/>
      <c r="I2364" s="2"/>
      <c r="J2364" s="2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</row>
    <row r="2365" spans="1:31" x14ac:dyDescent="0.3">
      <c r="A2365" s="6"/>
      <c r="B2365" s="6"/>
      <c r="C2365" s="39"/>
      <c r="D2365" s="6"/>
      <c r="E2365" s="153"/>
      <c r="F2365" s="10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21"/>
      <c r="R2365" s="21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</row>
    <row r="2366" spans="1:31" x14ac:dyDescent="0.3">
      <c r="A2366" s="63"/>
      <c r="B2366" s="63"/>
      <c r="C2366" s="39"/>
      <c r="D2366" s="6"/>
      <c r="E2366" s="153"/>
      <c r="F2366" s="10"/>
      <c r="G2366" s="64"/>
      <c r="H2366" s="3"/>
      <c r="I2366" s="2"/>
      <c r="J2366" s="2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</row>
    <row r="2367" spans="1:31" x14ac:dyDescent="0.3">
      <c r="A2367" s="6"/>
      <c r="B2367" s="6"/>
      <c r="C2367" s="39"/>
      <c r="D2367" s="6"/>
      <c r="E2367" s="153"/>
      <c r="F2367" s="10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21"/>
      <c r="R2367" s="21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</row>
    <row r="2368" spans="1:31" ht="13.5" customHeight="1" x14ac:dyDescent="0.35">
      <c r="A2368" s="49"/>
      <c r="B2368" s="49"/>
      <c r="C2368" s="39"/>
      <c r="D2368" s="1"/>
      <c r="E2368" s="153"/>
      <c r="F2368" s="10"/>
      <c r="G2368" s="21"/>
      <c r="H2368" s="21"/>
      <c r="I2368" s="21"/>
      <c r="J2368" s="21"/>
      <c r="K2368" s="21"/>
      <c r="L2368" s="21"/>
      <c r="M2368" s="21"/>
      <c r="N2368" s="22"/>
      <c r="O2368" s="21"/>
      <c r="P2368" s="22"/>
      <c r="Q2368" s="21"/>
      <c r="R2368" s="21"/>
      <c r="S2368" s="21"/>
      <c r="T2368" s="21"/>
      <c r="U2368" s="21"/>
      <c r="V2368" s="22"/>
      <c r="W2368" s="21"/>
      <c r="X2368" s="22"/>
      <c r="Y2368" s="21"/>
      <c r="Z2368" s="21"/>
      <c r="AA2368" s="21"/>
      <c r="AB2368" s="21"/>
      <c r="AC2368" s="26"/>
      <c r="AD2368" s="26"/>
      <c r="AE2368" s="62"/>
    </row>
    <row r="2369" spans="1:31" x14ac:dyDescent="0.3">
      <c r="A2369" s="63"/>
      <c r="B2369" s="63"/>
      <c r="C2369" s="39"/>
      <c r="D2369" s="6"/>
      <c r="E2369" s="153"/>
      <c r="F2369" s="10"/>
      <c r="G2369" s="64"/>
      <c r="H2369" s="3"/>
      <c r="I2369" s="2"/>
      <c r="J2369" s="2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</row>
    <row r="2370" spans="1:31" ht="13.5" customHeight="1" x14ac:dyDescent="0.35">
      <c r="A2370" s="49"/>
      <c r="B2370" s="49"/>
      <c r="C2370" s="14"/>
      <c r="D2370" s="1"/>
      <c r="E2370" s="153"/>
      <c r="F2370" s="10"/>
      <c r="G2370" s="21"/>
      <c r="H2370" s="21"/>
      <c r="I2370" s="21"/>
      <c r="J2370" s="21"/>
      <c r="K2370" s="21"/>
      <c r="L2370" s="21"/>
      <c r="M2370" s="21"/>
      <c r="N2370" s="22"/>
      <c r="O2370" s="21"/>
      <c r="P2370" s="22"/>
      <c r="Q2370" s="21"/>
      <c r="R2370" s="21"/>
      <c r="S2370" s="21"/>
      <c r="T2370" s="21"/>
      <c r="U2370" s="21"/>
      <c r="V2370" s="22"/>
      <c r="W2370" s="21"/>
      <c r="X2370" s="22"/>
      <c r="Y2370" s="21"/>
      <c r="Z2370" s="21"/>
      <c r="AA2370" s="21"/>
      <c r="AB2370" s="21"/>
      <c r="AC2370" s="26"/>
      <c r="AD2370" s="26"/>
      <c r="AE2370" s="62"/>
    </row>
    <row r="2371" spans="1:31" x14ac:dyDescent="0.3">
      <c r="A2371" s="63"/>
      <c r="B2371" s="63"/>
      <c r="C2371" s="39"/>
      <c r="D2371" s="6"/>
      <c r="E2371" s="153"/>
      <c r="F2371" s="10"/>
      <c r="G2371" s="64"/>
      <c r="H2371" s="3"/>
      <c r="I2371" s="2"/>
      <c r="J2371" s="2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</row>
    <row r="2372" spans="1:31" x14ac:dyDescent="0.3">
      <c r="A2372" s="6"/>
      <c r="B2372" s="6"/>
      <c r="C2372" s="39"/>
      <c r="D2372" s="6"/>
      <c r="E2372" s="153"/>
      <c r="F2372" s="10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21"/>
      <c r="R2372" s="21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</row>
    <row r="2373" spans="1:31" ht="13.5" customHeight="1" x14ac:dyDescent="0.35">
      <c r="A2373" s="49"/>
      <c r="B2373" s="49"/>
      <c r="C2373" s="14"/>
      <c r="D2373" s="1"/>
      <c r="E2373" s="153"/>
      <c r="F2373" s="10"/>
      <c r="G2373" s="21"/>
      <c r="H2373" s="21"/>
      <c r="I2373" s="21"/>
      <c r="J2373" s="21"/>
      <c r="K2373" s="21"/>
      <c r="L2373" s="21"/>
      <c r="M2373" s="21"/>
      <c r="N2373" s="22"/>
      <c r="O2373" s="21"/>
      <c r="P2373" s="22"/>
      <c r="Q2373" s="21"/>
      <c r="R2373" s="21"/>
      <c r="S2373" s="21"/>
      <c r="T2373" s="21"/>
      <c r="U2373" s="21"/>
      <c r="V2373" s="22"/>
      <c r="W2373" s="21"/>
      <c r="X2373" s="22"/>
      <c r="Y2373" s="21"/>
      <c r="Z2373" s="21"/>
      <c r="AA2373" s="21"/>
      <c r="AB2373" s="21"/>
      <c r="AC2373" s="26"/>
      <c r="AD2373" s="26"/>
      <c r="AE2373" s="62"/>
    </row>
    <row r="2374" spans="1:31" x14ac:dyDescent="0.3">
      <c r="A2374" s="6"/>
      <c r="B2374" s="6"/>
      <c r="C2374" s="39"/>
      <c r="D2374" s="6"/>
      <c r="E2374" s="153"/>
      <c r="F2374" s="10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21"/>
      <c r="R2374" s="21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</row>
    <row r="2375" spans="1:31" x14ac:dyDescent="0.3">
      <c r="A2375" s="63"/>
      <c r="B2375" s="63"/>
      <c r="C2375" s="39"/>
      <c r="D2375" s="6"/>
      <c r="E2375" s="153"/>
      <c r="F2375" s="10"/>
      <c r="G2375" s="64"/>
      <c r="H2375" s="3"/>
      <c r="I2375" s="2"/>
      <c r="J2375" s="2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</row>
    <row r="2376" spans="1:31" ht="13.5" customHeight="1" x14ac:dyDescent="0.35">
      <c r="A2376" s="49"/>
      <c r="B2376" s="49"/>
      <c r="C2376" s="14"/>
      <c r="D2376" s="1"/>
      <c r="E2376" s="153"/>
      <c r="F2376" s="10"/>
      <c r="G2376" s="21"/>
      <c r="H2376" s="21"/>
      <c r="I2376" s="21"/>
      <c r="J2376" s="21"/>
      <c r="K2376" s="21"/>
      <c r="L2376" s="21"/>
      <c r="M2376" s="21"/>
      <c r="N2376" s="22"/>
      <c r="O2376" s="21"/>
      <c r="P2376" s="22"/>
      <c r="Q2376" s="21"/>
      <c r="R2376" s="21"/>
      <c r="S2376" s="21"/>
      <c r="T2376" s="21"/>
      <c r="U2376" s="21"/>
      <c r="V2376" s="22"/>
      <c r="W2376" s="21"/>
      <c r="X2376" s="22"/>
      <c r="Y2376" s="21"/>
      <c r="Z2376" s="21"/>
      <c r="AA2376" s="21"/>
      <c r="AB2376" s="21"/>
      <c r="AC2376" s="26"/>
      <c r="AD2376" s="26"/>
      <c r="AE2376" s="62"/>
    </row>
    <row r="2377" spans="1:31" x14ac:dyDescent="0.3">
      <c r="A2377" s="6"/>
      <c r="B2377" s="6"/>
      <c r="C2377" s="39"/>
      <c r="D2377" s="6"/>
      <c r="E2377" s="153"/>
      <c r="F2377" s="10"/>
      <c r="G2377" s="2"/>
      <c r="H2377" s="3"/>
      <c r="I2377" s="2"/>
      <c r="J2377" s="2"/>
      <c r="K2377" s="3"/>
      <c r="L2377" s="3"/>
      <c r="M2377" s="3"/>
      <c r="N2377" s="3"/>
      <c r="O2377" s="3"/>
      <c r="P2377" s="3"/>
      <c r="Q2377" s="21"/>
      <c r="R2377" s="21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</row>
    <row r="2378" spans="1:31" ht="13.5" customHeight="1" x14ac:dyDescent="0.35">
      <c r="A2378" s="49"/>
      <c r="B2378" s="49"/>
      <c r="C2378" s="39"/>
      <c r="D2378" s="1"/>
      <c r="E2378" s="153"/>
      <c r="F2378" s="10"/>
      <c r="G2378" s="21"/>
      <c r="H2378" s="21"/>
      <c r="I2378" s="21"/>
      <c r="J2378" s="21"/>
      <c r="K2378" s="21"/>
      <c r="L2378" s="21"/>
      <c r="M2378" s="21"/>
      <c r="N2378" s="22"/>
      <c r="O2378" s="21"/>
      <c r="P2378" s="22"/>
      <c r="Q2378" s="21"/>
      <c r="R2378" s="21"/>
      <c r="S2378" s="21"/>
      <c r="T2378" s="21"/>
      <c r="U2378" s="21"/>
      <c r="V2378" s="22"/>
      <c r="W2378" s="21"/>
      <c r="X2378" s="22"/>
      <c r="Y2378" s="21"/>
      <c r="Z2378" s="21"/>
      <c r="AA2378" s="21"/>
      <c r="AB2378" s="21"/>
      <c r="AC2378" s="26"/>
      <c r="AD2378" s="26"/>
      <c r="AE2378" s="62"/>
    </row>
    <row r="2379" spans="1:31" x14ac:dyDescent="0.3">
      <c r="A2379" s="6"/>
      <c r="B2379" s="6"/>
      <c r="C2379" s="39"/>
      <c r="D2379" s="6"/>
      <c r="E2379" s="153"/>
      <c r="F2379" s="10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21"/>
      <c r="R2379" s="21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</row>
    <row r="2380" spans="1:31" ht="13.5" customHeight="1" x14ac:dyDescent="0.35">
      <c r="A2380" s="49"/>
      <c r="B2380" s="49"/>
      <c r="C2380" s="14"/>
      <c r="D2380" s="1"/>
      <c r="E2380" s="153"/>
      <c r="F2380" s="10"/>
      <c r="G2380" s="21"/>
      <c r="H2380" s="21"/>
      <c r="I2380" s="21"/>
      <c r="J2380" s="21"/>
      <c r="K2380" s="21"/>
      <c r="L2380" s="21"/>
      <c r="M2380" s="21"/>
      <c r="N2380" s="22"/>
      <c r="O2380" s="21"/>
      <c r="P2380" s="22"/>
      <c r="Q2380" s="21"/>
      <c r="R2380" s="21"/>
      <c r="S2380" s="21"/>
      <c r="T2380" s="21"/>
      <c r="U2380" s="21"/>
      <c r="V2380" s="22"/>
      <c r="W2380" s="21"/>
      <c r="X2380" s="22"/>
      <c r="Y2380" s="21"/>
      <c r="Z2380" s="21"/>
      <c r="AA2380" s="21"/>
      <c r="AB2380" s="21"/>
      <c r="AC2380" s="26"/>
      <c r="AD2380" s="26"/>
      <c r="AE2380" s="62"/>
    </row>
    <row r="2381" spans="1:31" ht="13.5" customHeight="1" x14ac:dyDescent="0.35">
      <c r="A2381" s="49"/>
      <c r="B2381" s="49"/>
      <c r="C2381" s="39"/>
      <c r="D2381" s="1"/>
      <c r="E2381" s="153"/>
      <c r="F2381" s="10"/>
      <c r="G2381" s="21"/>
      <c r="H2381" s="21"/>
      <c r="I2381" s="21"/>
      <c r="J2381" s="21"/>
      <c r="K2381" s="21"/>
      <c r="L2381" s="21"/>
      <c r="M2381" s="21"/>
      <c r="N2381" s="22"/>
      <c r="O2381" s="21"/>
      <c r="P2381" s="22"/>
      <c r="Q2381" s="21"/>
      <c r="R2381" s="21"/>
      <c r="S2381" s="21"/>
      <c r="T2381" s="21"/>
      <c r="U2381" s="21"/>
      <c r="V2381" s="22"/>
      <c r="W2381" s="21"/>
      <c r="X2381" s="22"/>
      <c r="Y2381" s="21"/>
      <c r="Z2381" s="21"/>
      <c r="AA2381" s="21"/>
      <c r="AB2381" s="21"/>
      <c r="AC2381" s="26"/>
      <c r="AD2381" s="26"/>
      <c r="AE2381" s="62"/>
    </row>
    <row r="2382" spans="1:31" ht="13.5" customHeight="1" x14ac:dyDescent="0.35">
      <c r="A2382" s="49"/>
      <c r="B2382" s="49"/>
      <c r="C2382" s="14"/>
      <c r="D2382" s="1"/>
      <c r="E2382" s="153"/>
      <c r="F2382" s="10"/>
      <c r="G2382" s="21"/>
      <c r="H2382" s="21"/>
      <c r="I2382" s="21"/>
      <c r="J2382" s="21"/>
      <c r="K2382" s="21"/>
      <c r="L2382" s="21"/>
      <c r="M2382" s="21"/>
      <c r="N2382" s="22"/>
      <c r="O2382" s="21"/>
      <c r="P2382" s="22"/>
      <c r="Q2382" s="21"/>
      <c r="R2382" s="21"/>
      <c r="S2382" s="21"/>
      <c r="T2382" s="21"/>
      <c r="U2382" s="21"/>
      <c r="V2382" s="22"/>
      <c r="W2382" s="21"/>
      <c r="X2382" s="22"/>
      <c r="Y2382" s="21"/>
      <c r="Z2382" s="21"/>
      <c r="AA2382" s="21"/>
      <c r="AB2382" s="21"/>
      <c r="AC2382" s="26"/>
      <c r="AD2382" s="26"/>
      <c r="AE2382" s="62"/>
    </row>
    <row r="2383" spans="1:31" x14ac:dyDescent="0.3">
      <c r="A2383" s="6"/>
      <c r="B2383" s="6"/>
      <c r="C2383" s="39"/>
      <c r="D2383" s="6"/>
      <c r="E2383" s="153"/>
      <c r="F2383" s="10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21"/>
      <c r="R2383" s="21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</row>
    <row r="2384" spans="1:31" x14ac:dyDescent="0.3">
      <c r="A2384" s="6"/>
      <c r="B2384" s="6"/>
      <c r="C2384" s="39"/>
      <c r="D2384" s="6"/>
      <c r="E2384" s="153"/>
      <c r="F2384" s="10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21"/>
      <c r="R2384" s="21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</row>
    <row r="2385" spans="1:31" x14ac:dyDescent="0.3">
      <c r="A2385" s="63"/>
      <c r="B2385" s="63"/>
      <c r="C2385" s="39"/>
      <c r="D2385" s="6"/>
      <c r="E2385" s="153"/>
      <c r="F2385" s="10"/>
      <c r="G2385" s="64"/>
      <c r="H2385" s="3"/>
      <c r="I2385" s="2"/>
      <c r="J2385" s="2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</row>
    <row r="2386" spans="1:31" x14ac:dyDescent="0.3">
      <c r="A2386" s="6"/>
      <c r="B2386" s="6"/>
      <c r="C2386" s="39"/>
      <c r="D2386" s="6"/>
      <c r="E2386" s="153"/>
      <c r="F2386" s="10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21"/>
      <c r="R2386" s="21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</row>
    <row r="2387" spans="1:31" ht="13.5" customHeight="1" x14ac:dyDescent="0.35">
      <c r="A2387" s="49"/>
      <c r="B2387" s="49"/>
      <c r="C2387" s="14"/>
      <c r="D2387" s="1"/>
      <c r="E2387" s="153"/>
      <c r="F2387" s="10"/>
      <c r="G2387" s="21"/>
      <c r="H2387" s="21"/>
      <c r="I2387" s="21"/>
      <c r="J2387" s="21"/>
      <c r="K2387" s="21"/>
      <c r="L2387" s="21"/>
      <c r="M2387" s="21"/>
      <c r="N2387" s="22"/>
      <c r="O2387" s="21"/>
      <c r="P2387" s="22"/>
      <c r="Q2387" s="21"/>
      <c r="R2387" s="21"/>
      <c r="S2387" s="21"/>
      <c r="T2387" s="21"/>
      <c r="U2387" s="21"/>
      <c r="V2387" s="22"/>
      <c r="W2387" s="21"/>
      <c r="X2387" s="22"/>
      <c r="Y2387" s="21"/>
      <c r="Z2387" s="21"/>
      <c r="AA2387" s="21"/>
      <c r="AB2387" s="21"/>
      <c r="AC2387" s="26"/>
      <c r="AD2387" s="26"/>
      <c r="AE2387" s="62"/>
    </row>
    <row r="2388" spans="1:31" x14ac:dyDescent="0.3">
      <c r="A2388" s="6"/>
      <c r="B2388" s="6"/>
      <c r="C2388" s="39"/>
      <c r="D2388" s="6"/>
      <c r="E2388" s="153"/>
      <c r="F2388" s="10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21"/>
      <c r="R2388" s="21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</row>
    <row r="2389" spans="1:31" ht="13.5" customHeight="1" x14ac:dyDescent="0.35">
      <c r="A2389" s="49"/>
      <c r="B2389" s="49"/>
      <c r="C2389" s="14"/>
      <c r="D2389" s="1"/>
      <c r="E2389" s="153"/>
      <c r="F2389" s="10"/>
      <c r="G2389" s="21"/>
      <c r="H2389" s="21"/>
      <c r="I2389" s="21"/>
      <c r="J2389" s="21"/>
      <c r="K2389" s="21"/>
      <c r="L2389" s="21"/>
      <c r="M2389" s="21"/>
      <c r="N2389" s="22"/>
      <c r="O2389" s="21"/>
      <c r="P2389" s="22"/>
      <c r="Q2389" s="21"/>
      <c r="R2389" s="21"/>
      <c r="S2389" s="21"/>
      <c r="T2389" s="21"/>
      <c r="U2389" s="21"/>
      <c r="V2389" s="22"/>
      <c r="W2389" s="21"/>
      <c r="X2389" s="22"/>
      <c r="Y2389" s="21"/>
      <c r="Z2389" s="21"/>
      <c r="AA2389" s="21"/>
      <c r="AB2389" s="21"/>
      <c r="AC2389" s="26"/>
      <c r="AD2389" s="26"/>
      <c r="AE2389" s="62"/>
    </row>
    <row r="2390" spans="1:31" ht="13.5" customHeight="1" x14ac:dyDescent="0.35">
      <c r="A2390" s="49"/>
      <c r="B2390" s="49"/>
      <c r="C2390" s="14"/>
      <c r="D2390" s="1"/>
      <c r="E2390" s="153"/>
      <c r="F2390" s="10"/>
      <c r="G2390" s="21"/>
      <c r="H2390" s="21"/>
      <c r="I2390" s="21"/>
      <c r="J2390" s="21"/>
      <c r="K2390" s="21"/>
      <c r="L2390" s="21"/>
      <c r="M2390" s="21"/>
      <c r="N2390" s="22"/>
      <c r="O2390" s="21"/>
      <c r="P2390" s="22"/>
      <c r="Q2390" s="21"/>
      <c r="R2390" s="21"/>
      <c r="S2390" s="21"/>
      <c r="T2390" s="21"/>
      <c r="U2390" s="21"/>
      <c r="V2390" s="22"/>
      <c r="W2390" s="21"/>
      <c r="X2390" s="22"/>
      <c r="Y2390" s="21"/>
      <c r="Z2390" s="21"/>
      <c r="AA2390" s="21"/>
      <c r="AB2390" s="21"/>
      <c r="AC2390" s="26"/>
      <c r="AD2390" s="26"/>
      <c r="AE2390" s="62"/>
    </row>
    <row r="2391" spans="1:31" ht="13.5" customHeight="1" x14ac:dyDescent="0.35">
      <c r="A2391" s="49"/>
      <c r="B2391" s="49"/>
      <c r="C2391" s="14"/>
      <c r="D2391" s="1"/>
      <c r="E2391" s="153"/>
      <c r="F2391" s="10"/>
      <c r="G2391" s="21"/>
      <c r="H2391" s="21"/>
      <c r="I2391" s="21"/>
      <c r="J2391" s="21"/>
      <c r="K2391" s="21"/>
      <c r="L2391" s="21"/>
      <c r="M2391" s="21"/>
      <c r="N2391" s="22"/>
      <c r="O2391" s="21"/>
      <c r="P2391" s="22"/>
      <c r="Q2391" s="21"/>
      <c r="R2391" s="21"/>
      <c r="S2391" s="21"/>
      <c r="T2391" s="21"/>
      <c r="U2391" s="21"/>
      <c r="V2391" s="22"/>
      <c r="W2391" s="21"/>
      <c r="X2391" s="22"/>
      <c r="Y2391" s="21"/>
      <c r="Z2391" s="21"/>
      <c r="AA2391" s="21"/>
      <c r="AB2391" s="21"/>
      <c r="AC2391" s="26"/>
      <c r="AD2391" s="26"/>
      <c r="AE2391" s="62"/>
    </row>
    <row r="2392" spans="1:31" x14ac:dyDescent="0.3">
      <c r="A2392" s="63"/>
      <c r="B2392" s="63"/>
      <c r="C2392" s="39"/>
      <c r="D2392" s="6"/>
      <c r="E2392" s="153"/>
      <c r="F2392" s="10"/>
      <c r="G2392" s="64"/>
      <c r="H2392" s="3"/>
      <c r="I2392" s="2"/>
      <c r="J2392" s="2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</row>
    <row r="2393" spans="1:31" x14ac:dyDescent="0.3">
      <c r="A2393" s="6"/>
      <c r="B2393" s="6"/>
      <c r="C2393" s="39"/>
      <c r="D2393" s="6"/>
      <c r="E2393" s="153"/>
      <c r="F2393" s="10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</row>
    <row r="2394" spans="1:31" ht="13.5" customHeight="1" x14ac:dyDescent="0.35">
      <c r="A2394" s="49"/>
      <c r="B2394" s="49"/>
      <c r="C2394" s="14"/>
      <c r="D2394" s="1"/>
      <c r="E2394" s="153"/>
      <c r="F2394" s="10"/>
      <c r="G2394" s="21"/>
      <c r="H2394" s="21"/>
      <c r="I2394" s="21"/>
      <c r="J2394" s="21"/>
      <c r="K2394" s="21"/>
      <c r="L2394" s="21"/>
      <c r="M2394" s="21"/>
      <c r="N2394" s="22"/>
      <c r="O2394" s="21"/>
      <c r="P2394" s="22"/>
      <c r="Q2394" s="21"/>
      <c r="R2394" s="21"/>
      <c r="S2394" s="21"/>
      <c r="T2394" s="21"/>
      <c r="U2394" s="21"/>
      <c r="V2394" s="22"/>
      <c r="W2394" s="21"/>
      <c r="X2394" s="22"/>
      <c r="Y2394" s="21"/>
      <c r="Z2394" s="21"/>
      <c r="AA2394" s="21"/>
      <c r="AB2394" s="21"/>
      <c r="AC2394" s="26"/>
      <c r="AD2394" s="26"/>
      <c r="AE2394" s="62"/>
    </row>
    <row r="2395" spans="1:31" x14ac:dyDescent="0.3">
      <c r="A2395" s="6"/>
      <c r="B2395" s="6"/>
      <c r="C2395" s="39"/>
      <c r="D2395" s="6"/>
      <c r="E2395" s="153"/>
      <c r="F2395" s="10"/>
      <c r="G2395" s="2"/>
      <c r="H2395" s="3"/>
      <c r="I2395" s="2"/>
      <c r="J2395" s="2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</row>
    <row r="2396" spans="1:31" ht="13.5" customHeight="1" x14ac:dyDescent="0.35">
      <c r="A2396" s="49"/>
      <c r="B2396" s="49"/>
      <c r="C2396" s="14"/>
      <c r="D2396" s="1"/>
      <c r="E2396" s="153"/>
      <c r="F2396" s="10"/>
      <c r="G2396" s="21"/>
      <c r="H2396" s="21"/>
      <c r="I2396" s="21"/>
      <c r="J2396" s="21"/>
      <c r="K2396" s="21"/>
      <c r="L2396" s="21"/>
      <c r="M2396" s="21"/>
      <c r="N2396" s="22"/>
      <c r="O2396" s="21"/>
      <c r="P2396" s="22"/>
      <c r="Q2396" s="21"/>
      <c r="R2396" s="21"/>
      <c r="S2396" s="21"/>
      <c r="T2396" s="21"/>
      <c r="U2396" s="21"/>
      <c r="V2396" s="22"/>
      <c r="W2396" s="21"/>
      <c r="X2396" s="22"/>
      <c r="Y2396" s="21"/>
      <c r="Z2396" s="21"/>
      <c r="AA2396" s="21"/>
      <c r="AB2396" s="21"/>
      <c r="AC2396" s="26"/>
      <c r="AD2396" s="26"/>
      <c r="AE2396" s="62"/>
    </row>
    <row r="2397" spans="1:31" x14ac:dyDescent="0.3">
      <c r="A2397" s="63"/>
      <c r="B2397" s="63"/>
      <c r="C2397" s="39"/>
      <c r="D2397" s="6"/>
      <c r="E2397" s="153"/>
      <c r="F2397" s="10"/>
      <c r="G2397" s="64"/>
      <c r="H2397" s="3"/>
      <c r="I2397" s="2"/>
      <c r="J2397" s="2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</row>
    <row r="2398" spans="1:31" x14ac:dyDescent="0.3">
      <c r="A2398" s="6"/>
      <c r="B2398" s="6"/>
      <c r="C2398" s="39"/>
      <c r="D2398" s="6"/>
      <c r="E2398" s="153"/>
      <c r="F2398" s="10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21"/>
      <c r="R2398" s="21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</row>
    <row r="2399" spans="1:31" x14ac:dyDescent="0.3">
      <c r="A2399" s="63"/>
      <c r="B2399" s="63"/>
      <c r="C2399" s="39"/>
      <c r="D2399" s="6"/>
      <c r="E2399" s="153"/>
      <c r="F2399" s="10"/>
      <c r="G2399" s="64"/>
      <c r="H2399" s="3"/>
      <c r="I2399" s="2"/>
      <c r="J2399" s="2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</row>
    <row r="2400" spans="1:31" ht="13.5" customHeight="1" x14ac:dyDescent="0.35">
      <c r="A2400" s="49"/>
      <c r="B2400" s="49"/>
      <c r="C2400" s="14"/>
      <c r="D2400" s="1"/>
      <c r="E2400" s="153"/>
      <c r="F2400" s="10"/>
      <c r="G2400" s="21"/>
      <c r="H2400" s="21"/>
      <c r="I2400" s="21"/>
      <c r="J2400" s="21"/>
      <c r="K2400" s="21"/>
      <c r="L2400" s="21"/>
      <c r="M2400" s="21"/>
      <c r="N2400" s="22"/>
      <c r="O2400" s="21"/>
      <c r="P2400" s="22"/>
      <c r="Q2400" s="21"/>
      <c r="R2400" s="21"/>
      <c r="S2400" s="21"/>
      <c r="T2400" s="21"/>
      <c r="U2400" s="21"/>
      <c r="V2400" s="22"/>
      <c r="W2400" s="21"/>
      <c r="X2400" s="22"/>
      <c r="Y2400" s="21"/>
      <c r="Z2400" s="21"/>
      <c r="AA2400" s="21"/>
      <c r="AB2400" s="21"/>
      <c r="AC2400" s="26"/>
      <c r="AD2400" s="26"/>
      <c r="AE2400" s="62"/>
    </row>
    <row r="2401" spans="1:31" ht="13.5" customHeight="1" x14ac:dyDescent="0.35">
      <c r="A2401" s="49"/>
      <c r="B2401" s="49"/>
      <c r="C2401" s="39"/>
      <c r="D2401" s="1"/>
      <c r="E2401" s="153"/>
      <c r="F2401" s="10"/>
      <c r="G2401" s="21"/>
      <c r="H2401" s="21"/>
      <c r="I2401" s="21"/>
      <c r="J2401" s="21"/>
      <c r="K2401" s="21"/>
      <c r="L2401" s="21"/>
      <c r="M2401" s="21"/>
      <c r="N2401" s="22"/>
      <c r="O2401" s="21"/>
      <c r="P2401" s="22"/>
      <c r="Q2401" s="21"/>
      <c r="R2401" s="21"/>
      <c r="S2401" s="21"/>
      <c r="T2401" s="21"/>
      <c r="U2401" s="21"/>
      <c r="V2401" s="22"/>
      <c r="W2401" s="21"/>
      <c r="X2401" s="22"/>
      <c r="Y2401" s="21"/>
      <c r="Z2401" s="21"/>
      <c r="AA2401" s="21"/>
      <c r="AB2401" s="21"/>
      <c r="AC2401" s="26"/>
      <c r="AD2401" s="26"/>
      <c r="AE2401" s="62"/>
    </row>
    <row r="2402" spans="1:31" x14ac:dyDescent="0.3">
      <c r="A2402" s="6"/>
      <c r="B2402" s="6"/>
      <c r="C2402" s="39"/>
      <c r="D2402" s="6"/>
      <c r="E2402" s="153"/>
      <c r="F2402" s="10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21"/>
      <c r="R2402" s="21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</row>
    <row r="2403" spans="1:31" x14ac:dyDescent="0.3">
      <c r="A2403" s="6"/>
      <c r="B2403" s="6"/>
      <c r="C2403" s="39"/>
      <c r="D2403" s="6"/>
      <c r="E2403" s="153"/>
      <c r="F2403" s="10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21"/>
      <c r="R2403" s="21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</row>
    <row r="2404" spans="1:31" x14ac:dyDescent="0.3">
      <c r="A2404" s="6"/>
      <c r="B2404" s="6"/>
      <c r="C2404" s="39"/>
      <c r="D2404" s="6"/>
      <c r="E2404" s="153"/>
      <c r="F2404" s="10"/>
      <c r="G2404" s="2"/>
      <c r="H2404" s="3"/>
      <c r="I2404" s="2"/>
      <c r="J2404" s="2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</row>
    <row r="2405" spans="1:31" ht="13.5" customHeight="1" x14ac:dyDescent="0.35">
      <c r="A2405" s="49"/>
      <c r="B2405" s="49"/>
      <c r="C2405" s="39"/>
      <c r="D2405" s="1"/>
      <c r="E2405" s="153"/>
      <c r="F2405" s="10"/>
      <c r="G2405" s="21"/>
      <c r="H2405" s="21"/>
      <c r="I2405" s="21"/>
      <c r="J2405" s="21"/>
      <c r="K2405" s="21"/>
      <c r="L2405" s="21"/>
      <c r="M2405" s="21"/>
      <c r="N2405" s="22"/>
      <c r="O2405" s="21"/>
      <c r="P2405" s="22"/>
      <c r="Q2405" s="21"/>
      <c r="R2405" s="21"/>
      <c r="S2405" s="21"/>
      <c r="T2405" s="21"/>
      <c r="U2405" s="21"/>
      <c r="V2405" s="22"/>
      <c r="W2405" s="21"/>
      <c r="X2405" s="22"/>
      <c r="Y2405" s="21"/>
      <c r="Z2405" s="21"/>
      <c r="AA2405" s="21"/>
      <c r="AB2405" s="21"/>
      <c r="AC2405" s="26"/>
      <c r="AD2405" s="26"/>
      <c r="AE2405" s="62"/>
    </row>
    <row r="2406" spans="1:31" ht="13.5" customHeight="1" x14ac:dyDescent="0.35">
      <c r="A2406" s="49"/>
      <c r="B2406" s="49"/>
      <c r="C2406" s="14"/>
      <c r="D2406" s="1"/>
      <c r="E2406" s="153"/>
      <c r="F2406" s="10"/>
      <c r="G2406" s="21"/>
      <c r="H2406" s="21"/>
      <c r="I2406" s="21"/>
      <c r="J2406" s="21"/>
      <c r="K2406" s="21"/>
      <c r="L2406" s="21"/>
      <c r="M2406" s="21"/>
      <c r="N2406" s="22"/>
      <c r="O2406" s="21"/>
      <c r="P2406" s="22"/>
      <c r="Q2406" s="21"/>
      <c r="R2406" s="21"/>
      <c r="S2406" s="21"/>
      <c r="T2406" s="21"/>
      <c r="U2406" s="21"/>
      <c r="V2406" s="22"/>
      <c r="W2406" s="21"/>
      <c r="X2406" s="22"/>
      <c r="Y2406" s="21"/>
      <c r="Z2406" s="21"/>
      <c r="AA2406" s="21"/>
      <c r="AB2406" s="21"/>
      <c r="AC2406" s="26"/>
      <c r="AD2406" s="26"/>
      <c r="AE2406" s="62"/>
    </row>
    <row r="2407" spans="1:31" x14ac:dyDescent="0.3">
      <c r="A2407" s="6"/>
      <c r="B2407" s="6"/>
      <c r="C2407" s="39"/>
      <c r="D2407" s="6"/>
      <c r="E2407" s="153"/>
      <c r="F2407" s="10"/>
      <c r="G2407" s="2"/>
      <c r="H2407" s="3"/>
      <c r="I2407" s="2"/>
      <c r="J2407" s="2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</row>
    <row r="2408" spans="1:31" x14ac:dyDescent="0.3">
      <c r="A2408" s="63"/>
      <c r="B2408" s="63"/>
      <c r="C2408" s="39"/>
      <c r="D2408" s="6"/>
      <c r="E2408" s="153"/>
      <c r="F2408" s="10"/>
      <c r="G2408" s="64"/>
      <c r="H2408" s="3"/>
      <c r="I2408" s="2"/>
      <c r="J2408" s="2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</row>
    <row r="2409" spans="1:31" ht="13.5" customHeight="1" x14ac:dyDescent="0.35">
      <c r="A2409" s="49"/>
      <c r="B2409" s="49"/>
      <c r="C2409" s="39"/>
      <c r="D2409" s="1"/>
      <c r="E2409" s="153"/>
      <c r="F2409" s="10"/>
      <c r="G2409" s="21"/>
      <c r="H2409" s="21"/>
      <c r="I2409" s="21"/>
      <c r="J2409" s="21"/>
      <c r="K2409" s="21"/>
      <c r="L2409" s="21"/>
      <c r="M2409" s="21"/>
      <c r="N2409" s="22"/>
      <c r="O2409" s="21"/>
      <c r="P2409" s="22"/>
      <c r="Q2409" s="21"/>
      <c r="R2409" s="21"/>
      <c r="S2409" s="21"/>
      <c r="T2409" s="21"/>
      <c r="U2409" s="21"/>
      <c r="V2409" s="22"/>
      <c r="W2409" s="21"/>
      <c r="X2409" s="22"/>
      <c r="Y2409" s="21"/>
      <c r="Z2409" s="21"/>
      <c r="AA2409" s="21"/>
      <c r="AB2409" s="21"/>
      <c r="AC2409" s="26"/>
      <c r="AD2409" s="26"/>
      <c r="AE2409" s="62"/>
    </row>
    <row r="2410" spans="1:31" x14ac:dyDescent="0.3">
      <c r="A2410" s="6"/>
      <c r="B2410" s="6"/>
      <c r="C2410" s="39"/>
      <c r="D2410" s="6"/>
      <c r="E2410" s="153"/>
      <c r="F2410" s="10"/>
      <c r="G2410" s="2"/>
      <c r="H2410" s="3"/>
      <c r="I2410" s="2"/>
      <c r="J2410" s="2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</row>
    <row r="2411" spans="1:31" x14ac:dyDescent="0.3">
      <c r="A2411" s="6"/>
      <c r="B2411" s="6"/>
      <c r="C2411" s="39"/>
      <c r="D2411" s="6"/>
      <c r="E2411" s="153"/>
      <c r="F2411" s="10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21"/>
      <c r="R2411" s="21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</row>
    <row r="2412" spans="1:31" x14ac:dyDescent="0.3">
      <c r="A2412" s="6"/>
      <c r="B2412" s="6"/>
      <c r="C2412" s="39"/>
      <c r="D2412" s="6"/>
      <c r="E2412" s="153"/>
      <c r="F2412" s="10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21"/>
      <c r="R2412" s="21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</row>
    <row r="2413" spans="1:31" x14ac:dyDescent="0.3">
      <c r="A2413" s="6"/>
      <c r="B2413" s="6"/>
      <c r="C2413" s="39"/>
      <c r="D2413" s="6"/>
      <c r="E2413" s="153"/>
      <c r="F2413" s="10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21"/>
      <c r="R2413" s="21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</row>
    <row r="2414" spans="1:31" ht="13.5" customHeight="1" x14ac:dyDescent="0.35">
      <c r="A2414" s="49"/>
      <c r="B2414" s="49"/>
      <c r="C2414" s="39"/>
      <c r="D2414" s="1"/>
      <c r="E2414" s="153"/>
      <c r="F2414" s="10"/>
      <c r="G2414" s="21"/>
      <c r="H2414" s="21"/>
      <c r="I2414" s="21"/>
      <c r="J2414" s="21"/>
      <c r="K2414" s="21"/>
      <c r="L2414" s="21"/>
      <c r="M2414" s="21"/>
      <c r="N2414" s="22"/>
      <c r="O2414" s="21"/>
      <c r="P2414" s="22"/>
      <c r="Q2414" s="21"/>
      <c r="R2414" s="21"/>
      <c r="S2414" s="21"/>
      <c r="T2414" s="21"/>
      <c r="U2414" s="21"/>
      <c r="V2414" s="22"/>
      <c r="W2414" s="21"/>
      <c r="X2414" s="22"/>
      <c r="Y2414" s="21"/>
      <c r="Z2414" s="21"/>
      <c r="AA2414" s="21"/>
      <c r="AB2414" s="21"/>
      <c r="AC2414" s="26"/>
      <c r="AD2414" s="26"/>
      <c r="AE2414" s="62"/>
    </row>
    <row r="2415" spans="1:31" x14ac:dyDescent="0.3">
      <c r="A2415" s="63"/>
      <c r="B2415" s="63"/>
      <c r="C2415" s="39"/>
      <c r="D2415" s="6"/>
      <c r="E2415" s="153"/>
      <c r="F2415" s="10"/>
      <c r="G2415" s="64"/>
      <c r="H2415" s="3"/>
      <c r="I2415" s="2"/>
      <c r="J2415" s="2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</row>
    <row r="2416" spans="1:31" x14ac:dyDescent="0.3">
      <c r="A2416" s="6"/>
      <c r="B2416" s="6"/>
      <c r="C2416" s="39"/>
      <c r="D2416" s="6"/>
      <c r="E2416" s="153"/>
      <c r="F2416" s="10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21"/>
      <c r="R2416" s="21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</row>
    <row r="2417" spans="1:31" ht="13.5" customHeight="1" x14ac:dyDescent="0.35">
      <c r="A2417" s="49"/>
      <c r="B2417" s="49"/>
      <c r="C2417" s="39"/>
      <c r="D2417" s="1"/>
      <c r="E2417" s="153"/>
      <c r="F2417" s="10"/>
      <c r="G2417" s="21"/>
      <c r="H2417" s="21"/>
      <c r="I2417" s="21"/>
      <c r="J2417" s="21"/>
      <c r="K2417" s="21"/>
      <c r="L2417" s="21"/>
      <c r="M2417" s="21"/>
      <c r="N2417" s="22"/>
      <c r="O2417" s="21"/>
      <c r="P2417" s="22"/>
      <c r="Q2417" s="21"/>
      <c r="R2417" s="21"/>
      <c r="S2417" s="21"/>
      <c r="T2417" s="21"/>
      <c r="U2417" s="21"/>
      <c r="V2417" s="22"/>
      <c r="W2417" s="21"/>
      <c r="X2417" s="22"/>
      <c r="Y2417" s="21"/>
      <c r="Z2417" s="21"/>
      <c r="AA2417" s="21"/>
      <c r="AB2417" s="21"/>
      <c r="AC2417" s="26"/>
      <c r="AD2417" s="26"/>
      <c r="AE2417" s="62"/>
    </row>
    <row r="2418" spans="1:31" x14ac:dyDescent="0.3">
      <c r="A2418" s="6"/>
      <c r="B2418" s="6"/>
      <c r="C2418" s="39"/>
      <c r="D2418" s="6"/>
      <c r="E2418" s="153"/>
      <c r="F2418" s="10"/>
      <c r="G2418" s="2"/>
      <c r="H2418" s="3"/>
      <c r="I2418" s="2"/>
      <c r="J2418" s="2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</row>
    <row r="2419" spans="1:31" ht="13.5" customHeight="1" x14ac:dyDescent="0.35">
      <c r="A2419" s="49"/>
      <c r="B2419" s="49"/>
      <c r="C2419" s="39"/>
      <c r="D2419" s="1"/>
      <c r="E2419" s="153"/>
      <c r="F2419" s="10"/>
      <c r="G2419" s="21"/>
      <c r="H2419" s="21"/>
      <c r="I2419" s="21"/>
      <c r="J2419" s="21"/>
      <c r="K2419" s="21"/>
      <c r="L2419" s="21"/>
      <c r="M2419" s="21"/>
      <c r="N2419" s="22"/>
      <c r="O2419" s="21"/>
      <c r="P2419" s="22"/>
      <c r="Q2419" s="21"/>
      <c r="R2419" s="21"/>
      <c r="S2419" s="21"/>
      <c r="T2419" s="21"/>
      <c r="U2419" s="21"/>
      <c r="V2419" s="22"/>
      <c r="W2419" s="21"/>
      <c r="X2419" s="22"/>
      <c r="Y2419" s="21"/>
      <c r="Z2419" s="21"/>
      <c r="AA2419" s="21"/>
      <c r="AB2419" s="21"/>
      <c r="AC2419" s="26"/>
      <c r="AD2419" s="26"/>
      <c r="AE2419" s="62"/>
    </row>
    <row r="2420" spans="1:31" ht="13.5" customHeight="1" x14ac:dyDescent="0.35">
      <c r="A2420" s="49"/>
      <c r="B2420" s="49"/>
      <c r="C2420" s="39"/>
      <c r="D2420" s="1"/>
      <c r="E2420" s="153"/>
      <c r="F2420" s="10"/>
      <c r="G2420" s="21"/>
      <c r="H2420" s="21"/>
      <c r="I2420" s="21"/>
      <c r="J2420" s="21"/>
      <c r="K2420" s="21"/>
      <c r="L2420" s="21"/>
      <c r="M2420" s="21"/>
      <c r="N2420" s="22"/>
      <c r="O2420" s="21"/>
      <c r="P2420" s="22"/>
      <c r="Q2420" s="21"/>
      <c r="R2420" s="21"/>
      <c r="S2420" s="21"/>
      <c r="T2420" s="21"/>
      <c r="U2420" s="21"/>
      <c r="V2420" s="22"/>
      <c r="W2420" s="21"/>
      <c r="X2420" s="22"/>
      <c r="Y2420" s="21"/>
      <c r="Z2420" s="21"/>
      <c r="AA2420" s="21"/>
      <c r="AB2420" s="21"/>
      <c r="AC2420" s="26"/>
      <c r="AD2420" s="26"/>
      <c r="AE2420" s="62"/>
    </row>
    <row r="2421" spans="1:31" ht="13.5" customHeight="1" x14ac:dyDescent="0.35">
      <c r="A2421" s="49"/>
      <c r="B2421" s="49"/>
      <c r="C2421" s="14"/>
      <c r="D2421" s="1"/>
      <c r="E2421" s="153"/>
      <c r="F2421" s="10"/>
      <c r="G2421" s="21"/>
      <c r="H2421" s="21"/>
      <c r="I2421" s="21"/>
      <c r="J2421" s="21"/>
      <c r="K2421" s="21"/>
      <c r="L2421" s="21"/>
      <c r="M2421" s="21"/>
      <c r="N2421" s="22"/>
      <c r="O2421" s="21"/>
      <c r="P2421" s="22"/>
      <c r="Q2421" s="21"/>
      <c r="R2421" s="21"/>
      <c r="S2421" s="21"/>
      <c r="T2421" s="21"/>
      <c r="U2421" s="21"/>
      <c r="V2421" s="22"/>
      <c r="W2421" s="21"/>
      <c r="X2421" s="22"/>
      <c r="Y2421" s="21"/>
      <c r="Z2421" s="21"/>
      <c r="AA2421" s="21"/>
      <c r="AB2421" s="21"/>
      <c r="AC2421" s="26"/>
      <c r="AD2421" s="26"/>
      <c r="AE2421" s="62"/>
    </row>
    <row r="2422" spans="1:31" ht="13.5" customHeight="1" x14ac:dyDescent="0.35">
      <c r="A2422" s="49"/>
      <c r="B2422" s="49"/>
      <c r="C2422" s="39"/>
      <c r="D2422" s="1"/>
      <c r="E2422" s="153"/>
      <c r="F2422" s="10"/>
      <c r="G2422" s="21"/>
      <c r="H2422" s="21"/>
      <c r="I2422" s="21"/>
      <c r="J2422" s="21"/>
      <c r="K2422" s="21"/>
      <c r="L2422" s="21"/>
      <c r="M2422" s="21"/>
      <c r="N2422" s="22"/>
      <c r="O2422" s="21"/>
      <c r="P2422" s="22"/>
      <c r="Q2422" s="21"/>
      <c r="R2422" s="21"/>
      <c r="S2422" s="21"/>
      <c r="T2422" s="21"/>
      <c r="U2422" s="21"/>
      <c r="V2422" s="22"/>
      <c r="W2422" s="21"/>
      <c r="X2422" s="22"/>
      <c r="Y2422" s="21"/>
      <c r="Z2422" s="21"/>
      <c r="AA2422" s="21"/>
      <c r="AB2422" s="21"/>
      <c r="AC2422" s="26"/>
      <c r="AD2422" s="26"/>
      <c r="AE2422" s="62"/>
    </row>
    <row r="2423" spans="1:31" ht="13.5" customHeight="1" x14ac:dyDescent="0.3">
      <c r="A2423" s="49"/>
      <c r="B2423" s="49"/>
      <c r="C2423" s="14"/>
      <c r="D2423" s="6"/>
      <c r="E2423" s="153"/>
      <c r="F2423" s="10"/>
      <c r="G2423" s="21"/>
      <c r="H2423" s="21"/>
      <c r="I2423" s="21"/>
      <c r="J2423" s="21"/>
      <c r="K2423" s="21"/>
      <c r="L2423" s="21"/>
      <c r="M2423" s="21"/>
      <c r="N2423" s="22"/>
      <c r="O2423" s="21"/>
      <c r="P2423" s="22"/>
      <c r="Q2423" s="21"/>
      <c r="R2423" s="21"/>
      <c r="S2423" s="21"/>
      <c r="T2423" s="21"/>
      <c r="U2423" s="21"/>
      <c r="V2423" s="22"/>
      <c r="W2423" s="21"/>
      <c r="X2423" s="22"/>
      <c r="Y2423" s="21"/>
      <c r="Z2423" s="21"/>
      <c r="AA2423" s="21"/>
      <c r="AB2423" s="21"/>
      <c r="AC2423" s="26"/>
      <c r="AD2423" s="26"/>
      <c r="AE2423" s="62"/>
    </row>
    <row r="2424" spans="1:31" ht="13.5" customHeight="1" x14ac:dyDescent="0.35">
      <c r="A2424" s="49"/>
      <c r="B2424" s="49"/>
      <c r="C2424" s="39"/>
      <c r="D2424" s="1"/>
      <c r="E2424" s="153"/>
      <c r="F2424" s="10"/>
      <c r="G2424" s="21"/>
      <c r="H2424" s="21"/>
      <c r="I2424" s="21"/>
      <c r="J2424" s="21"/>
      <c r="K2424" s="21"/>
      <c r="L2424" s="21"/>
      <c r="M2424" s="21"/>
      <c r="N2424" s="22"/>
      <c r="O2424" s="21"/>
      <c r="P2424" s="22"/>
      <c r="Q2424" s="21"/>
      <c r="R2424" s="21"/>
      <c r="S2424" s="21"/>
      <c r="T2424" s="21"/>
      <c r="U2424" s="21"/>
      <c r="V2424" s="22"/>
      <c r="W2424" s="21"/>
      <c r="X2424" s="22"/>
      <c r="Y2424" s="21"/>
      <c r="Z2424" s="21"/>
      <c r="AA2424" s="21"/>
      <c r="AB2424" s="21"/>
      <c r="AC2424" s="26"/>
      <c r="AD2424" s="26"/>
      <c r="AE2424" s="62"/>
    </row>
    <row r="2425" spans="1:31" ht="13.5" customHeight="1" x14ac:dyDescent="0.35">
      <c r="A2425" s="49"/>
      <c r="B2425" s="49"/>
      <c r="C2425" s="14"/>
      <c r="D2425" s="1"/>
      <c r="E2425" s="153"/>
      <c r="F2425" s="10"/>
      <c r="G2425" s="21"/>
      <c r="H2425" s="21"/>
      <c r="I2425" s="21"/>
      <c r="J2425" s="21"/>
      <c r="K2425" s="21"/>
      <c r="L2425" s="21"/>
      <c r="M2425" s="21"/>
      <c r="N2425" s="22"/>
      <c r="O2425" s="21"/>
      <c r="P2425" s="22"/>
      <c r="Q2425" s="21"/>
      <c r="R2425" s="21"/>
      <c r="S2425" s="21"/>
      <c r="T2425" s="21"/>
      <c r="U2425" s="21"/>
      <c r="V2425" s="22"/>
      <c r="W2425" s="21"/>
      <c r="X2425" s="22"/>
      <c r="Y2425" s="21"/>
      <c r="Z2425" s="21"/>
      <c r="AA2425" s="21"/>
      <c r="AB2425" s="21"/>
      <c r="AC2425" s="26"/>
      <c r="AD2425" s="26"/>
      <c r="AE2425" s="62"/>
    </row>
    <row r="2426" spans="1:31" x14ac:dyDescent="0.3">
      <c r="A2426" s="6"/>
      <c r="B2426" s="6"/>
      <c r="C2426" s="39"/>
      <c r="D2426" s="6"/>
      <c r="E2426" s="153"/>
      <c r="F2426" s="10"/>
      <c r="G2426" s="2"/>
      <c r="H2426" s="3"/>
      <c r="I2426" s="2"/>
      <c r="J2426" s="2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</row>
    <row r="2427" spans="1:31" x14ac:dyDescent="0.3">
      <c r="A2427" s="6"/>
      <c r="B2427" s="6"/>
      <c r="C2427" s="39"/>
      <c r="D2427" s="6"/>
      <c r="E2427" s="153"/>
      <c r="F2427" s="10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21"/>
      <c r="R2427" s="21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</row>
    <row r="2428" spans="1:31" x14ac:dyDescent="0.3">
      <c r="A2428" s="63"/>
      <c r="B2428" s="63"/>
      <c r="C2428" s="39"/>
      <c r="D2428" s="6"/>
      <c r="E2428" s="153"/>
      <c r="F2428" s="10"/>
      <c r="G2428" s="64"/>
      <c r="H2428" s="3"/>
      <c r="I2428" s="2"/>
      <c r="J2428" s="2"/>
      <c r="K2428" s="3"/>
      <c r="L2428" s="3"/>
      <c r="M2428" s="3"/>
      <c r="N2428" s="3"/>
      <c r="O2428" s="3"/>
      <c r="P2428" s="3"/>
      <c r="Q2428" s="21"/>
      <c r="R2428" s="21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</row>
    <row r="2429" spans="1:31" ht="13.5" customHeight="1" x14ac:dyDescent="0.35">
      <c r="A2429" s="49"/>
      <c r="B2429" s="49"/>
      <c r="C2429" s="39"/>
      <c r="D2429" s="1"/>
      <c r="E2429" s="153"/>
      <c r="F2429" s="10"/>
      <c r="G2429" s="21"/>
      <c r="H2429" s="21"/>
      <c r="I2429" s="21"/>
      <c r="J2429" s="21"/>
      <c r="K2429" s="21"/>
      <c r="L2429" s="21"/>
      <c r="M2429" s="21"/>
      <c r="N2429" s="22"/>
      <c r="O2429" s="21"/>
      <c r="P2429" s="22"/>
      <c r="Q2429" s="21"/>
      <c r="R2429" s="21"/>
      <c r="S2429" s="21"/>
      <c r="T2429" s="21"/>
      <c r="U2429" s="21"/>
      <c r="V2429" s="22"/>
      <c r="W2429" s="21"/>
      <c r="X2429" s="22"/>
      <c r="Y2429" s="21"/>
      <c r="Z2429" s="21"/>
      <c r="AA2429" s="21"/>
      <c r="AB2429" s="21"/>
      <c r="AC2429" s="26"/>
      <c r="AD2429" s="26"/>
      <c r="AE2429" s="62"/>
    </row>
    <row r="2430" spans="1:31" x14ac:dyDescent="0.3">
      <c r="A2430" s="6"/>
      <c r="B2430" s="6"/>
      <c r="C2430" s="39"/>
      <c r="D2430" s="6"/>
      <c r="E2430" s="153"/>
      <c r="F2430" s="10"/>
      <c r="G2430" s="2"/>
      <c r="H2430" s="3"/>
      <c r="I2430" s="2"/>
      <c r="J2430" s="2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</row>
    <row r="2431" spans="1:31" x14ac:dyDescent="0.3">
      <c r="A2431" s="63"/>
      <c r="B2431" s="63"/>
      <c r="C2431" s="39"/>
      <c r="D2431" s="6"/>
      <c r="E2431" s="153"/>
      <c r="F2431" s="10"/>
      <c r="G2431" s="64"/>
      <c r="H2431" s="3"/>
      <c r="I2431" s="2"/>
      <c r="J2431" s="2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</row>
    <row r="2432" spans="1:31" x14ac:dyDescent="0.3">
      <c r="A2432" s="6"/>
      <c r="B2432" s="6"/>
      <c r="C2432" s="39"/>
      <c r="D2432" s="6"/>
      <c r="E2432" s="153"/>
      <c r="F2432" s="10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21"/>
      <c r="R2432" s="21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</row>
    <row r="2433" spans="1:31" x14ac:dyDescent="0.3">
      <c r="A2433" s="63"/>
      <c r="B2433" s="63"/>
      <c r="C2433" s="39"/>
      <c r="D2433" s="6"/>
      <c r="E2433" s="153"/>
      <c r="F2433" s="10"/>
      <c r="G2433" s="64"/>
      <c r="H2433" s="3"/>
      <c r="I2433" s="2"/>
      <c r="J2433" s="2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</row>
    <row r="2434" spans="1:31" x14ac:dyDescent="0.3">
      <c r="A2434" s="6"/>
      <c r="B2434" s="6"/>
      <c r="C2434" s="39"/>
      <c r="D2434" s="6"/>
      <c r="E2434" s="153"/>
      <c r="F2434" s="10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21"/>
      <c r="R2434" s="21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</row>
    <row r="2435" spans="1:31" ht="13.5" customHeight="1" x14ac:dyDescent="0.35">
      <c r="A2435" s="49"/>
      <c r="B2435" s="49"/>
      <c r="C2435" s="39"/>
      <c r="D2435" s="1"/>
      <c r="E2435" s="153"/>
      <c r="F2435" s="10"/>
      <c r="G2435" s="21"/>
      <c r="H2435" s="21"/>
      <c r="I2435" s="21"/>
      <c r="J2435" s="21"/>
      <c r="K2435" s="21"/>
      <c r="L2435" s="21"/>
      <c r="M2435" s="21"/>
      <c r="N2435" s="22"/>
      <c r="O2435" s="21"/>
      <c r="P2435" s="22"/>
      <c r="Q2435" s="21"/>
      <c r="R2435" s="21"/>
      <c r="S2435" s="21"/>
      <c r="T2435" s="21"/>
      <c r="U2435" s="21"/>
      <c r="V2435" s="22"/>
      <c r="W2435" s="21"/>
      <c r="X2435" s="22"/>
      <c r="Y2435" s="21"/>
      <c r="Z2435" s="21"/>
      <c r="AA2435" s="21"/>
      <c r="AB2435" s="21"/>
      <c r="AC2435" s="26"/>
      <c r="AD2435" s="26"/>
      <c r="AE2435" s="62"/>
    </row>
    <row r="2436" spans="1:31" x14ac:dyDescent="0.3">
      <c r="A2436" s="63"/>
      <c r="B2436" s="63"/>
      <c r="C2436" s="39"/>
      <c r="D2436" s="6"/>
      <c r="E2436" s="153"/>
      <c r="F2436" s="10"/>
      <c r="G2436" s="64"/>
      <c r="H2436" s="3"/>
      <c r="I2436" s="2"/>
      <c r="J2436" s="2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</row>
    <row r="2437" spans="1:31" x14ac:dyDescent="0.3">
      <c r="A2437" s="6"/>
      <c r="B2437" s="6"/>
      <c r="C2437" s="39"/>
      <c r="D2437" s="6"/>
      <c r="E2437" s="153"/>
      <c r="F2437" s="10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21"/>
      <c r="R2437" s="21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</row>
    <row r="2438" spans="1:31" x14ac:dyDescent="0.3">
      <c r="A2438" s="6"/>
      <c r="B2438" s="6"/>
      <c r="C2438" s="39"/>
      <c r="D2438" s="6"/>
      <c r="E2438" s="153"/>
      <c r="F2438" s="10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21"/>
      <c r="R2438" s="21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</row>
    <row r="2439" spans="1:31" x14ac:dyDescent="0.3">
      <c r="A2439" s="6"/>
      <c r="B2439" s="6"/>
      <c r="C2439" s="39"/>
      <c r="D2439" s="6"/>
      <c r="E2439" s="153"/>
      <c r="F2439" s="10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21"/>
      <c r="R2439" s="21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</row>
    <row r="2440" spans="1:31" ht="13.5" customHeight="1" x14ac:dyDescent="0.35">
      <c r="A2440" s="49"/>
      <c r="B2440" s="49"/>
      <c r="C2440" s="14"/>
      <c r="D2440" s="1"/>
      <c r="E2440" s="153"/>
      <c r="F2440" s="10"/>
      <c r="G2440" s="21"/>
      <c r="H2440" s="21"/>
      <c r="I2440" s="21"/>
      <c r="J2440" s="21"/>
      <c r="K2440" s="21"/>
      <c r="L2440" s="21"/>
      <c r="M2440" s="21"/>
      <c r="N2440" s="22"/>
      <c r="O2440" s="21"/>
      <c r="P2440" s="22"/>
      <c r="Q2440" s="21"/>
      <c r="R2440" s="21"/>
      <c r="S2440" s="21"/>
      <c r="T2440" s="21"/>
      <c r="U2440" s="21"/>
      <c r="V2440" s="22"/>
      <c r="W2440" s="21"/>
      <c r="X2440" s="22"/>
      <c r="Y2440" s="21"/>
      <c r="Z2440" s="21"/>
      <c r="AA2440" s="21"/>
      <c r="AB2440" s="21"/>
      <c r="AC2440" s="26"/>
      <c r="AD2440" s="26"/>
      <c r="AE2440" s="62"/>
    </row>
    <row r="2441" spans="1:31" x14ac:dyDescent="0.3">
      <c r="A2441" s="6"/>
      <c r="B2441" s="6"/>
      <c r="C2441" s="39"/>
      <c r="D2441" s="6"/>
      <c r="E2441" s="153"/>
      <c r="F2441" s="10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21"/>
      <c r="R2441" s="21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</row>
    <row r="2442" spans="1:31" ht="13.5" customHeight="1" x14ac:dyDescent="0.35">
      <c r="A2442" s="49"/>
      <c r="B2442" s="49"/>
      <c r="C2442" s="14"/>
      <c r="D2442" s="1"/>
      <c r="E2442" s="153"/>
      <c r="F2442" s="10"/>
      <c r="G2442" s="21"/>
      <c r="H2442" s="21"/>
      <c r="I2442" s="21"/>
      <c r="J2442" s="21"/>
      <c r="K2442" s="21"/>
      <c r="L2442" s="21"/>
      <c r="M2442" s="21"/>
      <c r="N2442" s="22"/>
      <c r="O2442" s="21"/>
      <c r="P2442" s="22"/>
      <c r="Q2442" s="21"/>
      <c r="R2442" s="21"/>
      <c r="S2442" s="21"/>
      <c r="T2442" s="21"/>
      <c r="U2442" s="21"/>
      <c r="V2442" s="22"/>
      <c r="W2442" s="21"/>
      <c r="X2442" s="22"/>
      <c r="Y2442" s="21"/>
      <c r="Z2442" s="21"/>
      <c r="AA2442" s="21"/>
      <c r="AB2442" s="21"/>
      <c r="AC2442" s="26"/>
      <c r="AD2442" s="26"/>
      <c r="AE2442" s="62"/>
    </row>
    <row r="2443" spans="1:31" x14ac:dyDescent="0.3">
      <c r="A2443" s="6"/>
      <c r="B2443" s="6"/>
      <c r="C2443" s="39"/>
      <c r="D2443" s="6"/>
      <c r="E2443" s="153"/>
      <c r="F2443" s="10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21"/>
      <c r="R2443" s="21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</row>
    <row r="2444" spans="1:31" x14ac:dyDescent="0.3">
      <c r="A2444" s="6"/>
      <c r="B2444" s="6"/>
      <c r="C2444" s="39"/>
      <c r="D2444" s="6"/>
      <c r="E2444" s="153"/>
      <c r="F2444" s="10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21"/>
      <c r="R2444" s="21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</row>
    <row r="2445" spans="1:31" x14ac:dyDescent="0.3">
      <c r="A2445" s="6"/>
      <c r="B2445" s="6"/>
      <c r="C2445" s="39"/>
      <c r="D2445" s="6"/>
      <c r="E2445" s="153"/>
      <c r="F2445" s="10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21"/>
      <c r="R2445" s="21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</row>
    <row r="2446" spans="1:31" x14ac:dyDescent="0.3">
      <c r="A2446" s="6"/>
      <c r="B2446" s="6"/>
      <c r="C2446" s="39"/>
      <c r="D2446" s="6"/>
      <c r="E2446" s="153"/>
      <c r="F2446" s="10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21"/>
      <c r="R2446" s="21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</row>
    <row r="2447" spans="1:31" x14ac:dyDescent="0.3">
      <c r="A2447" s="6"/>
      <c r="B2447" s="6"/>
      <c r="C2447" s="39"/>
      <c r="D2447" s="6"/>
      <c r="E2447" s="153"/>
      <c r="F2447" s="10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</row>
    <row r="2448" spans="1:31" x14ac:dyDescent="0.3">
      <c r="A2448" s="6"/>
      <c r="B2448" s="6"/>
      <c r="C2448" s="39"/>
      <c r="D2448" s="6"/>
      <c r="E2448" s="153"/>
      <c r="F2448" s="10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21"/>
      <c r="R2448" s="21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</row>
    <row r="2449" spans="1:31" ht="13.5" customHeight="1" x14ac:dyDescent="0.35">
      <c r="A2449" s="49"/>
      <c r="B2449" s="49"/>
      <c r="C2449" s="14"/>
      <c r="D2449" s="1"/>
      <c r="E2449" s="153"/>
      <c r="F2449" s="10"/>
      <c r="G2449" s="21"/>
      <c r="H2449" s="21"/>
      <c r="I2449" s="21"/>
      <c r="J2449" s="21"/>
      <c r="K2449" s="21"/>
      <c r="L2449" s="21"/>
      <c r="M2449" s="21"/>
      <c r="N2449" s="22"/>
      <c r="O2449" s="21"/>
      <c r="P2449" s="22"/>
      <c r="Q2449" s="21"/>
      <c r="R2449" s="21"/>
      <c r="S2449" s="21"/>
      <c r="T2449" s="21"/>
      <c r="U2449" s="21"/>
      <c r="V2449" s="22"/>
      <c r="W2449" s="21"/>
      <c r="X2449" s="22"/>
      <c r="Y2449" s="21"/>
      <c r="Z2449" s="21"/>
      <c r="AA2449" s="21"/>
      <c r="AB2449" s="21"/>
      <c r="AC2449" s="26"/>
      <c r="AD2449" s="26"/>
      <c r="AE2449" s="62"/>
    </row>
    <row r="2450" spans="1:31" x14ac:dyDescent="0.3">
      <c r="A2450" s="6"/>
      <c r="B2450" s="6"/>
      <c r="C2450" s="39"/>
      <c r="D2450" s="6"/>
      <c r="E2450" s="153"/>
      <c r="F2450" s="10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21"/>
      <c r="R2450" s="21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</row>
    <row r="2451" spans="1:31" x14ac:dyDescent="0.3">
      <c r="A2451" s="6"/>
      <c r="B2451" s="6"/>
      <c r="C2451" s="39"/>
      <c r="D2451" s="6"/>
      <c r="E2451" s="153"/>
      <c r="F2451" s="10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21"/>
      <c r="R2451" s="21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</row>
    <row r="2452" spans="1:31" x14ac:dyDescent="0.3">
      <c r="A2452" s="6"/>
      <c r="B2452" s="6"/>
      <c r="C2452" s="39"/>
      <c r="D2452" s="6"/>
      <c r="E2452" s="153"/>
      <c r="F2452" s="10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21"/>
      <c r="R2452" s="21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</row>
    <row r="2453" spans="1:31" x14ac:dyDescent="0.3">
      <c r="A2453" s="6"/>
      <c r="B2453" s="6"/>
      <c r="C2453" s="39"/>
      <c r="D2453" s="6"/>
      <c r="E2453" s="153"/>
      <c r="F2453" s="10"/>
      <c r="G2453" s="2"/>
      <c r="H2453" s="3"/>
      <c r="I2453" s="2"/>
      <c r="J2453" s="2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</row>
    <row r="2454" spans="1:31" x14ac:dyDescent="0.3">
      <c r="A2454" s="6"/>
      <c r="B2454" s="6"/>
      <c r="C2454" s="39"/>
      <c r="D2454" s="6"/>
      <c r="E2454" s="153"/>
      <c r="F2454" s="10"/>
      <c r="G2454" s="2"/>
      <c r="H2454" s="3"/>
      <c r="I2454" s="2"/>
      <c r="J2454" s="2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</row>
    <row r="2455" spans="1:31" x14ac:dyDescent="0.3">
      <c r="A2455" s="6"/>
      <c r="B2455" s="6"/>
      <c r="C2455" s="39"/>
      <c r="D2455" s="6"/>
      <c r="E2455" s="153"/>
      <c r="F2455" s="10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</row>
    <row r="2456" spans="1:31" x14ac:dyDescent="0.3">
      <c r="A2456" s="63"/>
      <c r="B2456" s="63"/>
      <c r="C2456" s="39"/>
      <c r="D2456" s="6"/>
      <c r="E2456" s="153"/>
      <c r="F2456" s="10"/>
      <c r="G2456" s="64"/>
      <c r="H2456" s="3"/>
      <c r="I2456" s="2"/>
      <c r="J2456" s="2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</row>
    <row r="2457" spans="1:31" x14ac:dyDescent="0.3">
      <c r="A2457" s="6"/>
      <c r="B2457" s="6"/>
      <c r="C2457" s="39"/>
      <c r="D2457" s="6"/>
      <c r="E2457" s="153"/>
      <c r="F2457" s="10"/>
      <c r="G2457" s="2"/>
      <c r="H2457" s="3"/>
      <c r="I2457" s="2"/>
      <c r="J2457" s="2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</row>
    <row r="2458" spans="1:31" x14ac:dyDescent="0.3">
      <c r="A2458" s="6"/>
      <c r="B2458" s="6"/>
      <c r="C2458" s="39"/>
      <c r="D2458" s="6"/>
      <c r="E2458" s="153"/>
      <c r="F2458" s="10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21"/>
      <c r="R2458" s="21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</row>
    <row r="2459" spans="1:31" x14ac:dyDescent="0.3">
      <c r="A2459" s="6"/>
      <c r="B2459" s="6"/>
      <c r="C2459" s="39"/>
      <c r="D2459" s="6"/>
      <c r="E2459" s="153"/>
      <c r="F2459" s="10"/>
      <c r="G2459" s="2"/>
      <c r="H2459" s="3"/>
      <c r="I2459" s="2"/>
      <c r="J2459" s="2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</row>
    <row r="2460" spans="1:31" ht="13.5" customHeight="1" x14ac:dyDescent="0.35">
      <c r="A2460" s="49"/>
      <c r="B2460" s="49"/>
      <c r="C2460" s="39"/>
      <c r="D2460" s="1"/>
      <c r="E2460" s="153"/>
      <c r="F2460" s="10"/>
      <c r="G2460" s="21"/>
      <c r="H2460" s="21"/>
      <c r="I2460" s="21"/>
      <c r="J2460" s="21"/>
      <c r="K2460" s="21"/>
      <c r="L2460" s="21"/>
      <c r="M2460" s="21"/>
      <c r="N2460" s="22"/>
      <c r="O2460" s="21"/>
      <c r="P2460" s="22"/>
      <c r="Q2460" s="21"/>
      <c r="R2460" s="21"/>
      <c r="S2460" s="21"/>
      <c r="T2460" s="21"/>
      <c r="U2460" s="21"/>
      <c r="V2460" s="22"/>
      <c r="W2460" s="21"/>
      <c r="X2460" s="22"/>
      <c r="Y2460" s="21"/>
      <c r="Z2460" s="21"/>
      <c r="AA2460" s="21"/>
      <c r="AB2460" s="21"/>
      <c r="AC2460" s="26"/>
      <c r="AD2460" s="26"/>
      <c r="AE2460" s="62"/>
    </row>
    <row r="2461" spans="1:31" x14ac:dyDescent="0.3">
      <c r="A2461" s="6"/>
      <c r="B2461" s="6"/>
      <c r="C2461" s="39"/>
      <c r="D2461" s="6"/>
      <c r="E2461" s="153"/>
      <c r="F2461" s="10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21"/>
      <c r="R2461" s="21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</row>
    <row r="2462" spans="1:31" x14ac:dyDescent="0.3">
      <c r="A2462" s="6"/>
      <c r="B2462" s="6"/>
      <c r="C2462" s="39"/>
      <c r="D2462" s="6"/>
      <c r="E2462" s="153"/>
      <c r="F2462" s="10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21"/>
      <c r="R2462" s="21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</row>
    <row r="2463" spans="1:31" x14ac:dyDescent="0.3">
      <c r="A2463" s="6"/>
      <c r="B2463" s="6"/>
      <c r="C2463" s="39"/>
      <c r="D2463" s="6"/>
      <c r="E2463" s="153"/>
      <c r="F2463" s="10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21"/>
      <c r="R2463" s="21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</row>
    <row r="2464" spans="1:31" x14ac:dyDescent="0.3">
      <c r="A2464" s="6"/>
      <c r="B2464" s="6"/>
      <c r="C2464" s="39"/>
      <c r="D2464" s="6"/>
      <c r="E2464" s="153"/>
      <c r="F2464" s="10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21"/>
      <c r="R2464" s="21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</row>
    <row r="2465" spans="1:31" x14ac:dyDescent="0.3">
      <c r="A2465" s="6"/>
      <c r="B2465" s="6"/>
      <c r="C2465" s="39"/>
      <c r="D2465" s="6"/>
      <c r="E2465" s="153"/>
      <c r="F2465" s="10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</row>
    <row r="2466" spans="1:31" ht="13.5" customHeight="1" x14ac:dyDescent="0.35">
      <c r="A2466" s="49"/>
      <c r="B2466" s="49"/>
      <c r="C2466" s="14"/>
      <c r="D2466" s="1"/>
      <c r="E2466" s="153"/>
      <c r="F2466" s="10"/>
      <c r="G2466" s="21"/>
      <c r="H2466" s="21"/>
      <c r="I2466" s="21"/>
      <c r="J2466" s="21"/>
      <c r="K2466" s="21"/>
      <c r="L2466" s="21"/>
      <c r="M2466" s="21"/>
      <c r="N2466" s="22"/>
      <c r="O2466" s="21"/>
      <c r="P2466" s="22"/>
      <c r="Q2466" s="21"/>
      <c r="R2466" s="21"/>
      <c r="S2466" s="21"/>
      <c r="T2466" s="21"/>
      <c r="U2466" s="21"/>
      <c r="V2466" s="22"/>
      <c r="W2466" s="21"/>
      <c r="X2466" s="22"/>
      <c r="Y2466" s="21"/>
      <c r="Z2466" s="21"/>
      <c r="AA2466" s="21"/>
      <c r="AB2466" s="21"/>
      <c r="AC2466" s="26"/>
      <c r="AD2466" s="26"/>
      <c r="AE2466" s="62"/>
    </row>
    <row r="2467" spans="1:31" x14ac:dyDescent="0.3">
      <c r="A2467" s="6"/>
      <c r="B2467" s="6"/>
      <c r="C2467" s="39"/>
      <c r="D2467" s="6"/>
      <c r="E2467" s="153"/>
      <c r="F2467" s="10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21"/>
      <c r="R2467" s="21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</row>
    <row r="2468" spans="1:31" x14ac:dyDescent="0.3">
      <c r="A2468" s="6"/>
      <c r="B2468" s="6"/>
      <c r="C2468" s="39"/>
      <c r="D2468" s="6"/>
      <c r="E2468" s="153"/>
      <c r="F2468" s="10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21"/>
      <c r="R2468" s="21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</row>
    <row r="2469" spans="1:31" x14ac:dyDescent="0.3">
      <c r="A2469" s="6"/>
      <c r="B2469" s="6"/>
      <c r="C2469" s="39"/>
      <c r="D2469" s="6"/>
      <c r="E2469" s="153"/>
      <c r="F2469" s="10"/>
      <c r="G2469" s="2"/>
      <c r="H2469" s="3"/>
      <c r="I2469" s="2"/>
      <c r="J2469" s="2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</row>
    <row r="2470" spans="1:31" ht="13.5" customHeight="1" x14ac:dyDescent="0.35">
      <c r="A2470" s="49"/>
      <c r="B2470" s="49"/>
      <c r="C2470" s="14"/>
      <c r="D2470" s="1"/>
      <c r="E2470" s="153"/>
      <c r="F2470" s="10"/>
      <c r="G2470" s="21"/>
      <c r="H2470" s="21"/>
      <c r="I2470" s="21"/>
      <c r="J2470" s="21"/>
      <c r="K2470" s="21"/>
      <c r="L2470" s="21"/>
      <c r="M2470" s="21"/>
      <c r="N2470" s="22"/>
      <c r="O2470" s="21"/>
      <c r="P2470" s="22"/>
      <c r="Q2470" s="21"/>
      <c r="R2470" s="21"/>
      <c r="S2470" s="21"/>
      <c r="T2470" s="21"/>
      <c r="U2470" s="21"/>
      <c r="V2470" s="22"/>
      <c r="W2470" s="21"/>
      <c r="X2470" s="22"/>
      <c r="Y2470" s="21"/>
      <c r="Z2470" s="21"/>
      <c r="AA2470" s="21"/>
      <c r="AB2470" s="21"/>
      <c r="AC2470" s="26"/>
      <c r="AD2470" s="26"/>
      <c r="AE2470" s="62"/>
    </row>
    <row r="2471" spans="1:31" ht="13.5" customHeight="1" x14ac:dyDescent="0.35">
      <c r="A2471" s="49"/>
      <c r="B2471" s="49"/>
      <c r="C2471" s="39"/>
      <c r="D2471" s="1"/>
      <c r="E2471" s="153"/>
      <c r="F2471" s="10"/>
      <c r="G2471" s="21"/>
      <c r="H2471" s="21"/>
      <c r="I2471" s="21"/>
      <c r="J2471" s="21"/>
      <c r="K2471" s="21"/>
      <c r="L2471" s="21"/>
      <c r="M2471" s="21"/>
      <c r="N2471" s="22"/>
      <c r="O2471" s="21"/>
      <c r="P2471" s="22"/>
      <c r="Q2471" s="21"/>
      <c r="R2471" s="21"/>
      <c r="S2471" s="21"/>
      <c r="T2471" s="21"/>
      <c r="U2471" s="21"/>
      <c r="V2471" s="22"/>
      <c r="W2471" s="21"/>
      <c r="X2471" s="22"/>
      <c r="Y2471" s="21"/>
      <c r="Z2471" s="21"/>
      <c r="AA2471" s="21"/>
      <c r="AB2471" s="21"/>
      <c r="AC2471" s="26"/>
      <c r="AD2471" s="26"/>
      <c r="AE2471" s="62"/>
    </row>
    <row r="2472" spans="1:31" ht="13.5" customHeight="1" x14ac:dyDescent="0.35">
      <c r="A2472" s="49"/>
      <c r="B2472" s="49"/>
      <c r="C2472" s="39"/>
      <c r="D2472" s="1"/>
      <c r="E2472" s="153"/>
      <c r="F2472" s="10"/>
      <c r="G2472" s="21"/>
      <c r="H2472" s="21"/>
      <c r="I2472" s="21"/>
      <c r="J2472" s="21"/>
      <c r="K2472" s="21"/>
      <c r="L2472" s="21"/>
      <c r="M2472" s="21"/>
      <c r="N2472" s="22"/>
      <c r="O2472" s="21"/>
      <c r="P2472" s="22"/>
      <c r="Q2472" s="21"/>
      <c r="R2472" s="21"/>
      <c r="S2472" s="21"/>
      <c r="T2472" s="21"/>
      <c r="U2472" s="21"/>
      <c r="V2472" s="22"/>
      <c r="W2472" s="21"/>
      <c r="X2472" s="22"/>
      <c r="Y2472" s="21"/>
      <c r="Z2472" s="21"/>
      <c r="AA2472" s="21"/>
      <c r="AB2472" s="21"/>
      <c r="AC2472" s="26"/>
      <c r="AD2472" s="26"/>
      <c r="AE2472" s="62"/>
    </row>
    <row r="2473" spans="1:31" x14ac:dyDescent="0.3">
      <c r="A2473" s="63"/>
      <c r="B2473" s="63"/>
      <c r="C2473" s="39"/>
      <c r="D2473" s="6"/>
      <c r="E2473" s="153"/>
      <c r="F2473" s="10"/>
      <c r="G2473" s="64"/>
      <c r="H2473" s="3"/>
      <c r="I2473" s="2"/>
      <c r="J2473" s="2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</row>
    <row r="2474" spans="1:31" x14ac:dyDescent="0.3">
      <c r="A2474" s="63"/>
      <c r="B2474" s="63"/>
      <c r="C2474" s="39"/>
      <c r="D2474" s="6"/>
      <c r="E2474" s="153"/>
      <c r="F2474" s="10"/>
      <c r="G2474" s="64"/>
      <c r="H2474" s="3"/>
      <c r="I2474" s="2"/>
      <c r="J2474" s="2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</row>
    <row r="2475" spans="1:31" x14ac:dyDescent="0.3">
      <c r="A2475" s="63"/>
      <c r="B2475" s="63"/>
      <c r="C2475" s="39"/>
      <c r="D2475" s="6"/>
      <c r="E2475" s="153"/>
      <c r="F2475" s="10"/>
      <c r="G2475" s="64"/>
      <c r="H2475" s="3"/>
      <c r="I2475" s="2"/>
      <c r="J2475" s="2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</row>
    <row r="2476" spans="1:31" x14ac:dyDescent="0.3">
      <c r="A2476" s="6"/>
      <c r="B2476" s="6"/>
      <c r="C2476" s="39"/>
      <c r="D2476" s="6"/>
      <c r="E2476" s="153"/>
      <c r="F2476" s="10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21"/>
      <c r="R2476" s="21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</row>
    <row r="2477" spans="1:31" x14ac:dyDescent="0.3">
      <c r="A2477" s="6"/>
      <c r="B2477" s="6"/>
      <c r="C2477" s="39"/>
      <c r="D2477" s="6"/>
      <c r="E2477" s="153"/>
      <c r="F2477" s="10"/>
      <c r="G2477" s="2"/>
      <c r="H2477" s="3"/>
      <c r="I2477" s="2"/>
      <c r="J2477" s="2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</row>
    <row r="2478" spans="1:31" x14ac:dyDescent="0.3">
      <c r="A2478" s="6"/>
      <c r="B2478" s="6"/>
      <c r="C2478" s="39"/>
      <c r="D2478" s="6"/>
      <c r="E2478" s="153"/>
      <c r="F2478" s="10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21"/>
      <c r="R2478" s="21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</row>
    <row r="2479" spans="1:31" x14ac:dyDescent="0.3">
      <c r="A2479" s="6"/>
      <c r="B2479" s="6"/>
      <c r="C2479" s="39"/>
      <c r="D2479" s="6"/>
      <c r="E2479" s="153"/>
      <c r="F2479" s="10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21"/>
      <c r="R2479" s="21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</row>
    <row r="2480" spans="1:31" x14ac:dyDescent="0.3">
      <c r="A2480" s="6"/>
      <c r="B2480" s="6"/>
      <c r="C2480" s="39"/>
      <c r="D2480" s="6"/>
      <c r="E2480" s="153"/>
      <c r="F2480" s="10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</row>
    <row r="2481" spans="1:31" x14ac:dyDescent="0.3">
      <c r="A2481" s="6"/>
      <c r="B2481" s="6"/>
      <c r="C2481" s="39"/>
      <c r="D2481" s="6"/>
      <c r="E2481" s="153"/>
      <c r="F2481" s="10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</row>
    <row r="2482" spans="1:31" x14ac:dyDescent="0.3">
      <c r="A2482" s="63"/>
      <c r="B2482" s="63"/>
      <c r="C2482" s="39"/>
      <c r="D2482" s="6"/>
      <c r="E2482" s="153"/>
      <c r="F2482" s="10"/>
      <c r="G2482" s="64"/>
      <c r="H2482" s="3"/>
      <c r="I2482" s="2"/>
      <c r="J2482" s="2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</row>
    <row r="2483" spans="1:31" x14ac:dyDescent="0.3">
      <c r="A2483" s="6"/>
      <c r="B2483" s="6"/>
      <c r="C2483" s="39"/>
      <c r="D2483" s="6"/>
      <c r="E2483" s="153"/>
      <c r="F2483" s="10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21"/>
      <c r="R2483" s="21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</row>
    <row r="2484" spans="1:31" x14ac:dyDescent="0.3">
      <c r="A2484" s="6"/>
      <c r="B2484" s="6"/>
      <c r="C2484" s="39"/>
      <c r="D2484" s="6"/>
      <c r="E2484" s="153"/>
      <c r="F2484" s="10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21"/>
      <c r="R2484" s="21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</row>
    <row r="2485" spans="1:31" ht="13.5" customHeight="1" x14ac:dyDescent="0.35">
      <c r="A2485" s="49"/>
      <c r="B2485" s="49"/>
      <c r="C2485" s="39"/>
      <c r="D2485" s="1"/>
      <c r="E2485" s="153"/>
      <c r="F2485" s="10"/>
      <c r="G2485" s="21"/>
      <c r="H2485" s="21"/>
      <c r="I2485" s="21"/>
      <c r="J2485" s="21"/>
      <c r="K2485" s="21"/>
      <c r="L2485" s="21"/>
      <c r="M2485" s="21"/>
      <c r="N2485" s="22"/>
      <c r="O2485" s="21"/>
      <c r="P2485" s="22"/>
      <c r="Q2485" s="21"/>
      <c r="R2485" s="21"/>
      <c r="S2485" s="21"/>
      <c r="T2485" s="21"/>
      <c r="U2485" s="21"/>
      <c r="V2485" s="22"/>
      <c r="W2485" s="21"/>
      <c r="X2485" s="22"/>
      <c r="Y2485" s="21"/>
      <c r="Z2485" s="21"/>
      <c r="AA2485" s="21"/>
      <c r="AB2485" s="21"/>
      <c r="AC2485" s="26"/>
      <c r="AD2485" s="26"/>
      <c r="AE2485" s="62"/>
    </row>
    <row r="2486" spans="1:31" ht="13.5" customHeight="1" x14ac:dyDescent="0.35">
      <c r="A2486" s="49"/>
      <c r="B2486" s="49"/>
      <c r="C2486" s="14"/>
      <c r="D2486" s="1"/>
      <c r="E2486" s="153"/>
      <c r="F2486" s="10"/>
      <c r="G2486" s="21"/>
      <c r="H2486" s="21"/>
      <c r="I2486" s="21"/>
      <c r="J2486" s="21"/>
      <c r="K2486" s="21"/>
      <c r="L2486" s="21"/>
      <c r="M2486" s="21"/>
      <c r="N2486" s="22"/>
      <c r="O2486" s="21"/>
      <c r="P2486" s="22"/>
      <c r="Q2486" s="21"/>
      <c r="R2486" s="21"/>
      <c r="S2486" s="21"/>
      <c r="T2486" s="21"/>
      <c r="U2486" s="21"/>
      <c r="V2486" s="22"/>
      <c r="W2486" s="21"/>
      <c r="X2486" s="22"/>
      <c r="Y2486" s="21"/>
      <c r="Z2486" s="21"/>
      <c r="AA2486" s="21"/>
      <c r="AB2486" s="21"/>
      <c r="AC2486" s="26"/>
      <c r="AD2486" s="26"/>
      <c r="AE2486" s="62"/>
    </row>
    <row r="2487" spans="1:31" x14ac:dyDescent="0.3">
      <c r="A2487" s="6"/>
      <c r="B2487" s="6"/>
      <c r="C2487" s="39"/>
      <c r="D2487" s="6"/>
      <c r="E2487" s="153"/>
      <c r="F2487" s="10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21"/>
      <c r="R2487" s="21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</row>
    <row r="2488" spans="1:31" x14ac:dyDescent="0.3">
      <c r="A2488" s="6"/>
      <c r="B2488" s="6"/>
      <c r="C2488" s="39"/>
      <c r="D2488" s="6"/>
      <c r="E2488" s="153"/>
      <c r="F2488" s="10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21"/>
      <c r="R2488" s="21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</row>
    <row r="2489" spans="1:31" x14ac:dyDescent="0.3">
      <c r="A2489" s="6"/>
      <c r="B2489" s="6"/>
      <c r="C2489" s="39"/>
      <c r="D2489" s="6"/>
      <c r="E2489" s="153"/>
      <c r="F2489" s="10"/>
      <c r="G2489" s="2"/>
      <c r="H2489" s="3"/>
      <c r="I2489" s="2"/>
      <c r="J2489" s="2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</row>
    <row r="2490" spans="1:31" ht="13.5" customHeight="1" x14ac:dyDescent="0.35">
      <c r="A2490" s="49"/>
      <c r="B2490" s="49"/>
      <c r="C2490" s="39"/>
      <c r="D2490" s="1"/>
      <c r="E2490" s="153"/>
      <c r="F2490" s="10"/>
      <c r="G2490" s="21"/>
      <c r="H2490" s="21"/>
      <c r="I2490" s="21"/>
      <c r="J2490" s="21"/>
      <c r="K2490" s="21"/>
      <c r="L2490" s="21"/>
      <c r="M2490" s="21"/>
      <c r="N2490" s="22"/>
      <c r="O2490" s="21"/>
      <c r="P2490" s="22"/>
      <c r="Q2490" s="21"/>
      <c r="R2490" s="21"/>
      <c r="S2490" s="21"/>
      <c r="T2490" s="21"/>
      <c r="U2490" s="21"/>
      <c r="V2490" s="22"/>
      <c r="W2490" s="21"/>
      <c r="X2490" s="22"/>
      <c r="Y2490" s="21"/>
      <c r="Z2490" s="21"/>
      <c r="AA2490" s="21"/>
      <c r="AB2490" s="21"/>
      <c r="AC2490" s="26"/>
      <c r="AD2490" s="26"/>
      <c r="AE2490" s="62"/>
    </row>
    <row r="2491" spans="1:31" ht="13.5" customHeight="1" x14ac:dyDescent="0.35">
      <c r="A2491" s="49"/>
      <c r="B2491" s="49"/>
      <c r="C2491" s="14"/>
      <c r="D2491" s="1"/>
      <c r="E2491" s="153"/>
      <c r="F2491" s="10"/>
      <c r="G2491" s="21"/>
      <c r="H2491" s="21"/>
      <c r="I2491" s="21"/>
      <c r="J2491" s="21"/>
      <c r="K2491" s="21"/>
      <c r="L2491" s="21"/>
      <c r="M2491" s="21"/>
      <c r="N2491" s="22"/>
      <c r="O2491" s="21"/>
      <c r="P2491" s="22"/>
      <c r="Q2491" s="21"/>
      <c r="R2491" s="21"/>
      <c r="S2491" s="21"/>
      <c r="T2491" s="21"/>
      <c r="U2491" s="21"/>
      <c r="V2491" s="22"/>
      <c r="W2491" s="21"/>
      <c r="X2491" s="22"/>
      <c r="Y2491" s="21"/>
      <c r="Z2491" s="21"/>
      <c r="AA2491" s="21"/>
      <c r="AB2491" s="21"/>
      <c r="AC2491" s="26"/>
      <c r="AD2491" s="26"/>
      <c r="AE2491" s="62"/>
    </row>
    <row r="2492" spans="1:31" x14ac:dyDescent="0.3">
      <c r="A2492" s="6"/>
      <c r="B2492" s="6"/>
      <c r="C2492" s="39"/>
      <c r="D2492" s="6"/>
      <c r="E2492" s="153"/>
      <c r="F2492" s="10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21"/>
      <c r="R2492" s="21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</row>
    <row r="2493" spans="1:31" x14ac:dyDescent="0.3">
      <c r="A2493" s="63"/>
      <c r="B2493" s="63"/>
      <c r="C2493" s="39"/>
      <c r="D2493" s="6"/>
      <c r="E2493" s="153"/>
      <c r="F2493" s="10"/>
      <c r="G2493" s="64"/>
      <c r="H2493" s="3"/>
      <c r="I2493" s="2"/>
      <c r="J2493" s="2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</row>
    <row r="2494" spans="1:31" x14ac:dyDescent="0.3">
      <c r="A2494" s="6"/>
      <c r="B2494" s="6"/>
      <c r="C2494" s="39"/>
      <c r="D2494" s="6"/>
      <c r="E2494" s="153"/>
      <c r="F2494" s="10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21"/>
      <c r="R2494" s="21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</row>
    <row r="2495" spans="1:31" x14ac:dyDescent="0.3">
      <c r="A2495" s="6"/>
      <c r="B2495" s="6"/>
      <c r="C2495" s="39"/>
      <c r="D2495" s="6"/>
      <c r="E2495" s="153"/>
      <c r="F2495" s="10"/>
      <c r="G2495" s="2"/>
      <c r="H2495" s="3"/>
      <c r="I2495" s="2"/>
      <c r="J2495" s="2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</row>
    <row r="2496" spans="1:31" x14ac:dyDescent="0.3">
      <c r="A2496" s="63"/>
      <c r="B2496" s="63"/>
      <c r="C2496" s="39"/>
      <c r="D2496" s="6"/>
      <c r="E2496" s="153"/>
      <c r="F2496" s="10"/>
      <c r="G2496" s="64"/>
      <c r="H2496" s="3"/>
      <c r="I2496" s="2"/>
      <c r="J2496" s="2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</row>
    <row r="2497" spans="1:31" ht="13.5" customHeight="1" x14ac:dyDescent="0.35">
      <c r="A2497" s="49"/>
      <c r="B2497" s="49"/>
      <c r="C2497" s="14"/>
      <c r="D2497" s="1"/>
      <c r="E2497" s="153"/>
      <c r="F2497" s="10"/>
      <c r="G2497" s="21"/>
      <c r="H2497" s="21"/>
      <c r="I2497" s="21"/>
      <c r="J2497" s="21"/>
      <c r="K2497" s="21"/>
      <c r="L2497" s="21"/>
      <c r="M2497" s="21"/>
      <c r="N2497" s="22"/>
      <c r="O2497" s="21"/>
      <c r="P2497" s="22"/>
      <c r="Q2497" s="21"/>
      <c r="R2497" s="21"/>
      <c r="S2497" s="21"/>
      <c r="T2497" s="21"/>
      <c r="U2497" s="21"/>
      <c r="V2497" s="22"/>
      <c r="W2497" s="21"/>
      <c r="X2497" s="22"/>
      <c r="Y2497" s="21"/>
      <c r="Z2497" s="21"/>
      <c r="AA2497" s="21"/>
      <c r="AB2497" s="21"/>
      <c r="AC2497" s="26"/>
      <c r="AD2497" s="26"/>
      <c r="AE2497" s="62"/>
    </row>
    <row r="2498" spans="1:31" ht="13.5" customHeight="1" x14ac:dyDescent="0.35">
      <c r="A2498" s="49"/>
      <c r="B2498" s="49"/>
      <c r="C2498" s="14"/>
      <c r="D2498" s="1"/>
      <c r="E2498" s="153"/>
      <c r="F2498" s="10"/>
      <c r="G2498" s="21"/>
      <c r="H2498" s="21"/>
      <c r="I2498" s="21"/>
      <c r="J2498" s="21"/>
      <c r="K2498" s="21"/>
      <c r="L2498" s="21"/>
      <c r="M2498" s="21"/>
      <c r="N2498" s="22"/>
      <c r="O2498" s="21"/>
      <c r="P2498" s="22"/>
      <c r="Q2498" s="21"/>
      <c r="R2498" s="21"/>
      <c r="S2498" s="21"/>
      <c r="T2498" s="21"/>
      <c r="U2498" s="21"/>
      <c r="V2498" s="22"/>
      <c r="W2498" s="21"/>
      <c r="X2498" s="22"/>
      <c r="Y2498" s="21"/>
      <c r="Z2498" s="21"/>
      <c r="AA2498" s="21"/>
      <c r="AB2498" s="21"/>
      <c r="AC2498" s="26"/>
      <c r="AD2498" s="26"/>
      <c r="AE2498" s="62"/>
    </row>
    <row r="2499" spans="1:31" x14ac:dyDescent="0.3">
      <c r="A2499" s="6"/>
      <c r="B2499" s="6"/>
      <c r="C2499" s="39"/>
      <c r="D2499" s="6"/>
      <c r="E2499" s="153"/>
      <c r="F2499" s="10"/>
      <c r="G2499" s="2"/>
      <c r="H2499" s="3"/>
      <c r="I2499" s="2"/>
      <c r="J2499" s="2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</row>
    <row r="2500" spans="1:31" x14ac:dyDescent="0.3">
      <c r="A2500" s="63"/>
      <c r="B2500" s="63"/>
      <c r="C2500" s="39"/>
      <c r="D2500" s="6"/>
      <c r="E2500" s="153"/>
      <c r="F2500" s="10"/>
      <c r="G2500" s="64"/>
      <c r="H2500" s="3"/>
      <c r="I2500" s="2"/>
      <c r="J2500" s="2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</row>
    <row r="2501" spans="1:31" ht="15" x14ac:dyDescent="0.35">
      <c r="A2501" s="6"/>
      <c r="B2501" s="6"/>
      <c r="C2501" s="39"/>
      <c r="D2501" s="6"/>
      <c r="E2501" s="153"/>
      <c r="F2501" s="10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65"/>
    </row>
    <row r="2502" spans="1:31" x14ac:dyDescent="0.3">
      <c r="A2502" s="6"/>
      <c r="B2502" s="6"/>
      <c r="C2502" s="39"/>
      <c r="D2502" s="6"/>
      <c r="E2502" s="153"/>
      <c r="F2502" s="10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21"/>
      <c r="R2502" s="21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</row>
    <row r="2503" spans="1:31" x14ac:dyDescent="0.3">
      <c r="A2503" s="6"/>
      <c r="B2503" s="6"/>
      <c r="C2503" s="39"/>
      <c r="D2503" s="6"/>
      <c r="E2503" s="153"/>
      <c r="F2503" s="10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21"/>
      <c r="R2503" s="21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</row>
    <row r="2504" spans="1:31" ht="13.5" customHeight="1" x14ac:dyDescent="0.35">
      <c r="A2504" s="49"/>
      <c r="B2504" s="49"/>
      <c r="C2504" s="39"/>
      <c r="D2504" s="1"/>
      <c r="E2504" s="153"/>
      <c r="F2504" s="10"/>
      <c r="G2504" s="21"/>
      <c r="H2504" s="21"/>
      <c r="I2504" s="21"/>
      <c r="J2504" s="21"/>
      <c r="K2504" s="21"/>
      <c r="L2504" s="21"/>
      <c r="M2504" s="21"/>
      <c r="N2504" s="22"/>
      <c r="O2504" s="21"/>
      <c r="P2504" s="22"/>
      <c r="Q2504" s="21"/>
      <c r="R2504" s="21"/>
      <c r="S2504" s="21"/>
      <c r="T2504" s="21"/>
      <c r="U2504" s="21"/>
      <c r="V2504" s="22"/>
      <c r="W2504" s="21"/>
      <c r="X2504" s="22"/>
      <c r="Y2504" s="21"/>
      <c r="Z2504" s="21"/>
      <c r="AA2504" s="21"/>
      <c r="AB2504" s="21"/>
      <c r="AC2504" s="26"/>
      <c r="AD2504" s="26"/>
      <c r="AE2504" s="62"/>
    </row>
    <row r="2505" spans="1:31" x14ac:dyDescent="0.3">
      <c r="A2505" s="6"/>
      <c r="B2505" s="6"/>
      <c r="C2505" s="39"/>
      <c r="D2505" s="6"/>
      <c r="E2505" s="153"/>
      <c r="F2505" s="10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</row>
    <row r="2506" spans="1:31" x14ac:dyDescent="0.3">
      <c r="A2506" s="6"/>
      <c r="B2506" s="6"/>
      <c r="C2506" s="39"/>
      <c r="D2506" s="6"/>
      <c r="E2506" s="153"/>
      <c r="F2506" s="10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21"/>
      <c r="R2506" s="21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</row>
    <row r="2507" spans="1:31" x14ac:dyDescent="0.3">
      <c r="A2507" s="6"/>
      <c r="B2507" s="6"/>
      <c r="C2507" s="39"/>
      <c r="D2507" s="6"/>
      <c r="E2507" s="153"/>
      <c r="F2507" s="10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21"/>
      <c r="R2507" s="21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</row>
    <row r="2508" spans="1:31" x14ac:dyDescent="0.3">
      <c r="A2508" s="6"/>
      <c r="B2508" s="6"/>
      <c r="C2508" s="39"/>
      <c r="D2508" s="6"/>
      <c r="E2508" s="153"/>
      <c r="F2508" s="10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</row>
    <row r="2509" spans="1:31" x14ac:dyDescent="0.3">
      <c r="A2509" s="63"/>
      <c r="B2509" s="63"/>
      <c r="C2509" s="39"/>
      <c r="D2509" s="6"/>
      <c r="E2509" s="153"/>
      <c r="F2509" s="10"/>
      <c r="G2509" s="64"/>
      <c r="H2509" s="3"/>
      <c r="I2509" s="2"/>
      <c r="J2509" s="2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</row>
    <row r="2510" spans="1:31" ht="13.5" customHeight="1" x14ac:dyDescent="0.3">
      <c r="A2510" s="63"/>
      <c r="B2510" s="63"/>
      <c r="C2510" s="39"/>
      <c r="D2510" s="6"/>
      <c r="E2510" s="153"/>
      <c r="F2510" s="10"/>
      <c r="G2510" s="64"/>
      <c r="H2510" s="3"/>
      <c r="I2510" s="2"/>
      <c r="J2510" s="2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</row>
    <row r="2511" spans="1:31" x14ac:dyDescent="0.3">
      <c r="A2511" s="63"/>
      <c r="B2511" s="63"/>
      <c r="C2511" s="39"/>
      <c r="D2511" s="6"/>
      <c r="E2511" s="153"/>
      <c r="F2511" s="10"/>
      <c r="G2511" s="64"/>
      <c r="H2511" s="3"/>
      <c r="I2511" s="2"/>
      <c r="J2511" s="2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</row>
    <row r="2512" spans="1:31" ht="15" x14ac:dyDescent="0.35">
      <c r="A2512" s="6"/>
      <c r="B2512" s="6"/>
      <c r="C2512" s="39"/>
      <c r="D2512" s="6"/>
      <c r="E2512" s="153"/>
      <c r="F2512" s="10"/>
      <c r="G2512" s="2"/>
      <c r="H2512" s="3"/>
      <c r="I2512" s="2"/>
      <c r="J2512" s="2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65"/>
    </row>
    <row r="2513" spans="1:31" x14ac:dyDescent="0.3">
      <c r="A2513" s="6"/>
      <c r="B2513" s="6"/>
      <c r="C2513" s="39"/>
      <c r="D2513" s="6"/>
      <c r="E2513" s="153"/>
      <c r="F2513" s="10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21"/>
      <c r="R2513" s="21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</row>
    <row r="2514" spans="1:31" x14ac:dyDescent="0.3">
      <c r="A2514" s="6"/>
      <c r="B2514" s="6"/>
      <c r="C2514" s="39"/>
      <c r="D2514" s="6"/>
      <c r="E2514" s="153"/>
      <c r="F2514" s="10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</row>
    <row r="2515" spans="1:31" x14ac:dyDescent="0.3">
      <c r="A2515" s="6"/>
      <c r="B2515" s="6"/>
      <c r="C2515" s="39"/>
      <c r="D2515" s="6"/>
      <c r="E2515" s="153"/>
      <c r="F2515" s="10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21"/>
      <c r="R2515" s="21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</row>
    <row r="2516" spans="1:31" x14ac:dyDescent="0.3">
      <c r="A2516" s="6"/>
      <c r="B2516" s="6"/>
      <c r="C2516" s="39"/>
      <c r="D2516" s="6"/>
      <c r="E2516" s="153"/>
      <c r="F2516" s="10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21"/>
      <c r="R2516" s="21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</row>
    <row r="2517" spans="1:31" ht="13.5" customHeight="1" x14ac:dyDescent="0.35">
      <c r="A2517" s="49"/>
      <c r="B2517" s="49"/>
      <c r="C2517" s="39"/>
      <c r="D2517" s="1"/>
      <c r="E2517" s="153"/>
      <c r="F2517" s="10"/>
      <c r="G2517" s="21"/>
      <c r="H2517" s="21"/>
      <c r="I2517" s="21"/>
      <c r="J2517" s="21"/>
      <c r="K2517" s="21"/>
      <c r="L2517" s="21"/>
      <c r="M2517" s="21"/>
      <c r="N2517" s="22"/>
      <c r="O2517" s="21"/>
      <c r="P2517" s="22"/>
      <c r="Q2517" s="21"/>
      <c r="R2517" s="21"/>
      <c r="S2517" s="21"/>
      <c r="T2517" s="21"/>
      <c r="U2517" s="21"/>
      <c r="V2517" s="22"/>
      <c r="W2517" s="21"/>
      <c r="X2517" s="22"/>
      <c r="Y2517" s="21"/>
      <c r="Z2517" s="21"/>
      <c r="AA2517" s="21"/>
      <c r="AB2517" s="21"/>
      <c r="AC2517" s="26"/>
      <c r="AD2517" s="26"/>
      <c r="AE2517" s="62"/>
    </row>
    <row r="2518" spans="1:31" ht="13.5" customHeight="1" x14ac:dyDescent="0.35">
      <c r="A2518" s="49"/>
      <c r="B2518" s="49"/>
      <c r="C2518" s="14"/>
      <c r="D2518" s="1"/>
      <c r="E2518" s="153"/>
      <c r="F2518" s="10"/>
      <c r="G2518" s="21"/>
      <c r="H2518" s="21"/>
      <c r="I2518" s="21"/>
      <c r="J2518" s="21"/>
      <c r="K2518" s="21"/>
      <c r="L2518" s="21"/>
      <c r="M2518" s="21"/>
      <c r="N2518" s="22"/>
      <c r="O2518" s="21"/>
      <c r="P2518" s="22"/>
      <c r="Q2518" s="21"/>
      <c r="R2518" s="21"/>
      <c r="S2518" s="21"/>
      <c r="T2518" s="21"/>
      <c r="U2518" s="21"/>
      <c r="V2518" s="22"/>
      <c r="W2518" s="21"/>
      <c r="X2518" s="22"/>
      <c r="Y2518" s="21"/>
      <c r="Z2518" s="21"/>
      <c r="AA2518" s="21"/>
      <c r="AB2518" s="21"/>
      <c r="AC2518" s="26"/>
      <c r="AD2518" s="26"/>
      <c r="AE2518" s="62"/>
    </row>
    <row r="2519" spans="1:31" x14ac:dyDescent="0.3">
      <c r="A2519" s="6"/>
      <c r="B2519" s="6"/>
      <c r="C2519" s="39"/>
      <c r="D2519" s="6"/>
      <c r="E2519" s="153"/>
      <c r="F2519" s="10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21"/>
      <c r="R2519" s="21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</row>
    <row r="2520" spans="1:31" x14ac:dyDescent="0.3">
      <c r="A2520" s="6"/>
      <c r="B2520" s="6"/>
      <c r="C2520" s="39"/>
      <c r="D2520" s="6"/>
      <c r="E2520" s="153"/>
      <c r="F2520" s="10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21"/>
      <c r="R2520" s="21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</row>
    <row r="2521" spans="1:31" ht="13.5" customHeight="1" x14ac:dyDescent="0.35">
      <c r="A2521" s="49"/>
      <c r="B2521" s="49"/>
      <c r="C2521" s="14"/>
      <c r="D2521" s="1"/>
      <c r="E2521" s="153"/>
      <c r="F2521" s="10"/>
      <c r="G2521" s="21"/>
      <c r="H2521" s="21"/>
      <c r="I2521" s="21"/>
      <c r="J2521" s="21"/>
      <c r="K2521" s="21"/>
      <c r="L2521" s="21"/>
      <c r="M2521" s="21"/>
      <c r="N2521" s="22"/>
      <c r="O2521" s="21"/>
      <c r="P2521" s="22"/>
      <c r="Q2521" s="21"/>
      <c r="R2521" s="21"/>
      <c r="S2521" s="21"/>
      <c r="T2521" s="21"/>
      <c r="U2521" s="21"/>
      <c r="V2521" s="22"/>
      <c r="W2521" s="21"/>
      <c r="X2521" s="22"/>
      <c r="Y2521" s="21"/>
      <c r="Z2521" s="21"/>
      <c r="AA2521" s="21"/>
      <c r="AB2521" s="21"/>
      <c r="AC2521" s="26"/>
      <c r="AD2521" s="26"/>
      <c r="AE2521" s="62"/>
    </row>
    <row r="2522" spans="1:31" ht="13.5" customHeight="1" x14ac:dyDescent="0.35">
      <c r="A2522" s="49"/>
      <c r="B2522" s="49"/>
      <c r="C2522" s="14"/>
      <c r="D2522" s="1"/>
      <c r="E2522" s="153"/>
      <c r="F2522" s="10"/>
      <c r="G2522" s="21"/>
      <c r="H2522" s="21"/>
      <c r="I2522" s="21"/>
      <c r="J2522" s="21"/>
      <c r="K2522" s="21"/>
      <c r="L2522" s="21"/>
      <c r="M2522" s="21"/>
      <c r="N2522" s="22"/>
      <c r="O2522" s="21"/>
      <c r="P2522" s="22"/>
      <c r="Q2522" s="21"/>
      <c r="R2522" s="21"/>
      <c r="S2522" s="21"/>
      <c r="T2522" s="21"/>
      <c r="U2522" s="21"/>
      <c r="V2522" s="22"/>
      <c r="W2522" s="21"/>
      <c r="X2522" s="22"/>
      <c r="Y2522" s="21"/>
      <c r="Z2522" s="21"/>
      <c r="AA2522" s="21"/>
      <c r="AB2522" s="21"/>
      <c r="AC2522" s="26"/>
      <c r="AD2522" s="26"/>
      <c r="AE2522" s="62"/>
    </row>
    <row r="2523" spans="1:31" ht="13.5" customHeight="1" x14ac:dyDescent="0.35">
      <c r="A2523" s="49"/>
      <c r="B2523" s="49"/>
      <c r="C2523" s="14"/>
      <c r="D2523" s="1"/>
      <c r="E2523" s="153"/>
      <c r="F2523" s="10"/>
      <c r="G2523" s="21"/>
      <c r="H2523" s="21"/>
      <c r="I2523" s="21"/>
      <c r="J2523" s="21"/>
      <c r="K2523" s="21"/>
      <c r="L2523" s="21"/>
      <c r="M2523" s="21"/>
      <c r="N2523" s="22"/>
      <c r="O2523" s="21"/>
      <c r="P2523" s="22"/>
      <c r="Q2523" s="21"/>
      <c r="R2523" s="21"/>
      <c r="S2523" s="21"/>
      <c r="T2523" s="21"/>
      <c r="U2523" s="21"/>
      <c r="V2523" s="22"/>
      <c r="W2523" s="21"/>
      <c r="X2523" s="22"/>
      <c r="Y2523" s="21"/>
      <c r="Z2523" s="21"/>
      <c r="AA2523" s="21"/>
      <c r="AB2523" s="21"/>
      <c r="AC2523" s="26"/>
      <c r="AD2523" s="26"/>
      <c r="AE2523" s="62"/>
    </row>
    <row r="2524" spans="1:31" x14ac:dyDescent="0.3">
      <c r="A2524" s="6"/>
      <c r="B2524" s="6"/>
      <c r="C2524" s="39"/>
      <c r="D2524" s="6"/>
      <c r="E2524" s="153"/>
      <c r="F2524" s="10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21"/>
      <c r="R2524" s="21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</row>
    <row r="2525" spans="1:31" ht="13.5" customHeight="1" x14ac:dyDescent="0.35">
      <c r="A2525" s="49"/>
      <c r="B2525" s="49"/>
      <c r="C2525" s="39"/>
      <c r="D2525" s="1"/>
      <c r="E2525" s="153"/>
      <c r="F2525" s="10"/>
      <c r="G2525" s="21"/>
      <c r="H2525" s="21"/>
      <c r="I2525" s="21"/>
      <c r="J2525" s="21"/>
      <c r="K2525" s="21"/>
      <c r="L2525" s="21"/>
      <c r="M2525" s="21"/>
      <c r="N2525" s="22"/>
      <c r="O2525" s="21"/>
      <c r="P2525" s="22"/>
      <c r="Q2525" s="21"/>
      <c r="R2525" s="21"/>
      <c r="S2525" s="21"/>
      <c r="T2525" s="21"/>
      <c r="U2525" s="21"/>
      <c r="V2525" s="22"/>
      <c r="W2525" s="21"/>
      <c r="X2525" s="22"/>
      <c r="Y2525" s="21"/>
      <c r="Z2525" s="21"/>
      <c r="AA2525" s="21"/>
      <c r="AB2525" s="21"/>
      <c r="AC2525" s="26"/>
      <c r="AD2525" s="26"/>
      <c r="AE2525" s="62"/>
    </row>
    <row r="2526" spans="1:31" x14ac:dyDescent="0.3">
      <c r="A2526" s="6"/>
      <c r="B2526" s="6"/>
      <c r="C2526" s="39"/>
      <c r="D2526" s="6"/>
      <c r="E2526" s="153"/>
      <c r="F2526" s="10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21"/>
      <c r="R2526" s="21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</row>
    <row r="2527" spans="1:31" x14ac:dyDescent="0.3">
      <c r="A2527" s="6"/>
      <c r="B2527" s="6"/>
      <c r="C2527" s="39"/>
      <c r="D2527" s="6"/>
      <c r="E2527" s="153"/>
      <c r="F2527" s="10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21"/>
      <c r="R2527" s="21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</row>
    <row r="2528" spans="1:31" x14ac:dyDescent="0.3">
      <c r="A2528" s="63"/>
      <c r="B2528" s="63"/>
      <c r="C2528" s="39"/>
      <c r="D2528" s="6"/>
      <c r="E2528" s="153"/>
      <c r="F2528" s="10"/>
      <c r="G2528" s="64"/>
      <c r="H2528" s="3"/>
      <c r="I2528" s="2"/>
      <c r="J2528" s="2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</row>
    <row r="2529" spans="1:31" ht="13.5" customHeight="1" x14ac:dyDescent="0.35">
      <c r="A2529" s="49"/>
      <c r="B2529" s="49"/>
      <c r="C2529" s="14"/>
      <c r="D2529" s="1"/>
      <c r="E2529" s="153"/>
      <c r="F2529" s="10"/>
      <c r="G2529" s="21"/>
      <c r="H2529" s="21"/>
      <c r="I2529" s="21"/>
      <c r="J2529" s="21"/>
      <c r="K2529" s="21"/>
      <c r="L2529" s="21"/>
      <c r="M2529" s="21"/>
      <c r="N2529" s="22"/>
      <c r="O2529" s="21"/>
      <c r="P2529" s="22"/>
      <c r="Q2529" s="21"/>
      <c r="R2529" s="21"/>
      <c r="S2529" s="21"/>
      <c r="T2529" s="21"/>
      <c r="U2529" s="21"/>
      <c r="V2529" s="22"/>
      <c r="W2529" s="21"/>
      <c r="X2529" s="22"/>
      <c r="Y2529" s="21"/>
      <c r="Z2529" s="21"/>
      <c r="AA2529" s="21"/>
      <c r="AB2529" s="21"/>
      <c r="AC2529" s="26"/>
      <c r="AD2529" s="26"/>
      <c r="AE2529" s="62"/>
    </row>
    <row r="2530" spans="1:31" x14ac:dyDescent="0.3">
      <c r="A2530" s="6"/>
      <c r="B2530" s="6"/>
      <c r="C2530" s="39"/>
      <c r="D2530" s="6"/>
      <c r="E2530" s="153"/>
      <c r="F2530" s="10"/>
      <c r="G2530" s="2"/>
      <c r="H2530" s="3"/>
      <c r="I2530" s="2"/>
      <c r="J2530" s="2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</row>
    <row r="2531" spans="1:31" ht="13.5" customHeight="1" x14ac:dyDescent="0.35">
      <c r="A2531" s="49"/>
      <c r="B2531" s="49"/>
      <c r="C2531" s="39"/>
      <c r="D2531" s="1"/>
      <c r="E2531" s="153"/>
      <c r="F2531" s="10"/>
      <c r="G2531" s="21"/>
      <c r="H2531" s="21"/>
      <c r="I2531" s="21"/>
      <c r="J2531" s="21"/>
      <c r="K2531" s="21"/>
      <c r="L2531" s="21"/>
      <c r="M2531" s="21"/>
      <c r="N2531" s="22"/>
      <c r="O2531" s="21"/>
      <c r="P2531" s="22"/>
      <c r="Q2531" s="21"/>
      <c r="R2531" s="21"/>
      <c r="S2531" s="21"/>
      <c r="T2531" s="21"/>
      <c r="U2531" s="21"/>
      <c r="V2531" s="22"/>
      <c r="W2531" s="21"/>
      <c r="X2531" s="22"/>
      <c r="Y2531" s="21"/>
      <c r="Z2531" s="21"/>
      <c r="AA2531" s="21"/>
      <c r="AB2531" s="21"/>
      <c r="AC2531" s="26"/>
      <c r="AD2531" s="26"/>
      <c r="AE2531" s="62"/>
    </row>
    <row r="2532" spans="1:31" x14ac:dyDescent="0.3">
      <c r="A2532" s="6"/>
      <c r="B2532" s="6"/>
      <c r="C2532" s="39"/>
      <c r="D2532" s="6"/>
      <c r="E2532" s="153"/>
      <c r="F2532" s="10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21"/>
      <c r="R2532" s="21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</row>
    <row r="2533" spans="1:31" x14ac:dyDescent="0.3">
      <c r="A2533" s="6"/>
      <c r="B2533" s="6"/>
      <c r="C2533" s="39"/>
      <c r="D2533" s="6"/>
      <c r="E2533" s="153"/>
      <c r="F2533" s="10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21"/>
      <c r="R2533" s="21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</row>
    <row r="2534" spans="1:31" ht="13.5" customHeight="1" x14ac:dyDescent="0.35">
      <c r="A2534" s="49"/>
      <c r="B2534" s="49"/>
      <c r="C2534" s="14"/>
      <c r="D2534" s="1"/>
      <c r="E2534" s="153"/>
      <c r="F2534" s="10"/>
      <c r="G2534" s="21"/>
      <c r="H2534" s="21"/>
      <c r="I2534" s="21"/>
      <c r="J2534" s="21"/>
      <c r="K2534" s="21"/>
      <c r="L2534" s="21"/>
      <c r="M2534" s="21"/>
      <c r="N2534" s="22"/>
      <c r="O2534" s="21"/>
      <c r="P2534" s="22"/>
      <c r="Q2534" s="21"/>
      <c r="R2534" s="21"/>
      <c r="S2534" s="21"/>
      <c r="T2534" s="21"/>
      <c r="U2534" s="21"/>
      <c r="V2534" s="22"/>
      <c r="W2534" s="21"/>
      <c r="X2534" s="22"/>
      <c r="Y2534" s="21"/>
      <c r="Z2534" s="21"/>
      <c r="AA2534" s="21"/>
      <c r="AB2534" s="21"/>
      <c r="AC2534" s="26"/>
      <c r="AD2534" s="26"/>
      <c r="AE2534" s="62"/>
    </row>
    <row r="2535" spans="1:31" x14ac:dyDescent="0.3">
      <c r="A2535" s="63"/>
      <c r="B2535" s="63"/>
      <c r="C2535" s="39"/>
      <c r="D2535" s="6"/>
      <c r="E2535" s="153"/>
      <c r="F2535" s="10"/>
      <c r="G2535" s="64"/>
      <c r="H2535" s="3"/>
      <c r="I2535" s="2"/>
      <c r="J2535" s="2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</row>
    <row r="2536" spans="1:31" x14ac:dyDescent="0.3">
      <c r="A2536" s="63"/>
      <c r="B2536" s="63"/>
      <c r="C2536" s="39"/>
      <c r="D2536" s="6"/>
      <c r="E2536" s="153"/>
      <c r="F2536" s="10"/>
      <c r="G2536" s="64"/>
      <c r="H2536" s="3"/>
      <c r="I2536" s="2"/>
      <c r="J2536" s="2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</row>
    <row r="2537" spans="1:31" ht="15" x14ac:dyDescent="0.35">
      <c r="A2537" s="6"/>
      <c r="B2537" s="6"/>
      <c r="C2537" s="39"/>
      <c r="D2537" s="6"/>
      <c r="E2537" s="153"/>
      <c r="F2537" s="10"/>
      <c r="G2537" s="2"/>
      <c r="H2537" s="3"/>
      <c r="I2537" s="2"/>
      <c r="J2537" s="2"/>
      <c r="K2537" s="3"/>
      <c r="L2537" s="3"/>
      <c r="M2537" s="3"/>
      <c r="N2537" s="3"/>
      <c r="O2537" s="3"/>
      <c r="P2537" s="3"/>
      <c r="Q2537" s="21"/>
      <c r="R2537" s="21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65"/>
    </row>
    <row r="2538" spans="1:31" x14ac:dyDescent="0.3">
      <c r="A2538" s="6"/>
      <c r="B2538" s="6"/>
      <c r="C2538" s="39"/>
      <c r="D2538" s="6"/>
      <c r="E2538" s="153"/>
      <c r="F2538" s="10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21"/>
      <c r="R2538" s="21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</row>
    <row r="2539" spans="1:31" x14ac:dyDescent="0.3">
      <c r="A2539" s="63"/>
      <c r="B2539" s="63"/>
      <c r="C2539" s="39"/>
      <c r="D2539" s="6"/>
      <c r="E2539" s="153"/>
      <c r="F2539" s="10"/>
      <c r="G2539" s="64"/>
      <c r="H2539" s="3"/>
      <c r="I2539" s="2"/>
      <c r="J2539" s="2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</row>
    <row r="2540" spans="1:31" ht="13.5" customHeight="1" x14ac:dyDescent="0.35">
      <c r="A2540" s="49"/>
      <c r="B2540" s="49"/>
      <c r="C2540" s="39"/>
      <c r="D2540" s="1"/>
      <c r="E2540" s="153"/>
      <c r="F2540" s="10"/>
      <c r="G2540" s="21"/>
      <c r="H2540" s="21"/>
      <c r="I2540" s="21"/>
      <c r="J2540" s="21"/>
      <c r="K2540" s="21"/>
      <c r="L2540" s="21"/>
      <c r="M2540" s="21"/>
      <c r="N2540" s="22"/>
      <c r="O2540" s="21"/>
      <c r="P2540" s="22"/>
      <c r="Q2540" s="21"/>
      <c r="R2540" s="21"/>
      <c r="S2540" s="21"/>
      <c r="T2540" s="21"/>
      <c r="U2540" s="21"/>
      <c r="V2540" s="22"/>
      <c r="W2540" s="21"/>
      <c r="X2540" s="22"/>
      <c r="Y2540" s="21"/>
      <c r="Z2540" s="21"/>
      <c r="AA2540" s="21"/>
      <c r="AB2540" s="21"/>
      <c r="AC2540" s="26"/>
      <c r="AD2540" s="26"/>
      <c r="AE2540" s="62"/>
    </row>
    <row r="2541" spans="1:31" ht="13.5" customHeight="1" x14ac:dyDescent="0.35">
      <c r="A2541" s="49"/>
      <c r="B2541" s="49"/>
      <c r="C2541" s="39"/>
      <c r="D2541" s="1"/>
      <c r="E2541" s="153"/>
      <c r="F2541" s="10"/>
      <c r="G2541" s="21"/>
      <c r="H2541" s="21"/>
      <c r="I2541" s="21"/>
      <c r="J2541" s="21"/>
      <c r="K2541" s="21"/>
      <c r="L2541" s="21"/>
      <c r="M2541" s="21"/>
      <c r="N2541" s="22"/>
      <c r="O2541" s="21"/>
      <c r="P2541" s="22"/>
      <c r="Q2541" s="21"/>
      <c r="R2541" s="21"/>
      <c r="S2541" s="21"/>
      <c r="T2541" s="21"/>
      <c r="U2541" s="21"/>
      <c r="V2541" s="22"/>
      <c r="W2541" s="21"/>
      <c r="X2541" s="22"/>
      <c r="Y2541" s="21"/>
      <c r="Z2541" s="21"/>
      <c r="AA2541" s="21"/>
      <c r="AB2541" s="21"/>
      <c r="AC2541" s="26"/>
      <c r="AD2541" s="26"/>
      <c r="AE2541" s="62"/>
    </row>
    <row r="2542" spans="1:31" x14ac:dyDescent="0.3">
      <c r="A2542" s="6"/>
      <c r="B2542" s="6"/>
      <c r="C2542" s="39"/>
      <c r="D2542" s="6"/>
      <c r="E2542" s="153"/>
      <c r="F2542" s="10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</row>
    <row r="2543" spans="1:31" ht="13.5" customHeight="1" x14ac:dyDescent="0.35">
      <c r="A2543" s="49"/>
      <c r="B2543" s="49"/>
      <c r="C2543" s="14"/>
      <c r="D2543" s="1"/>
      <c r="E2543" s="153"/>
      <c r="F2543" s="10"/>
      <c r="G2543" s="21"/>
      <c r="H2543" s="21"/>
      <c r="I2543" s="21"/>
      <c r="J2543" s="21"/>
      <c r="K2543" s="21"/>
      <c r="L2543" s="21"/>
      <c r="M2543" s="21"/>
      <c r="N2543" s="22"/>
      <c r="O2543" s="21"/>
      <c r="P2543" s="22"/>
      <c r="Q2543" s="21"/>
      <c r="R2543" s="21"/>
      <c r="S2543" s="21"/>
      <c r="T2543" s="21"/>
      <c r="U2543" s="21"/>
      <c r="V2543" s="22"/>
      <c r="W2543" s="21"/>
      <c r="X2543" s="22"/>
      <c r="Y2543" s="21"/>
      <c r="Z2543" s="21"/>
      <c r="AA2543" s="21"/>
      <c r="AB2543" s="21"/>
      <c r="AC2543" s="26"/>
      <c r="AD2543" s="26"/>
      <c r="AE2543" s="62"/>
    </row>
    <row r="2544" spans="1:31" ht="13.5" customHeight="1" x14ac:dyDescent="0.35">
      <c r="A2544" s="49"/>
      <c r="B2544" s="49"/>
      <c r="C2544" s="14"/>
      <c r="D2544" s="1"/>
      <c r="E2544" s="153"/>
      <c r="F2544" s="10"/>
      <c r="G2544" s="21"/>
      <c r="H2544" s="21"/>
      <c r="I2544" s="21"/>
      <c r="J2544" s="21"/>
      <c r="K2544" s="21"/>
      <c r="L2544" s="21"/>
      <c r="M2544" s="21"/>
      <c r="N2544" s="22"/>
      <c r="O2544" s="21"/>
      <c r="P2544" s="22"/>
      <c r="Q2544" s="21"/>
      <c r="R2544" s="21"/>
      <c r="S2544" s="21"/>
      <c r="T2544" s="21"/>
      <c r="U2544" s="21"/>
      <c r="V2544" s="22"/>
      <c r="W2544" s="21"/>
      <c r="X2544" s="22"/>
      <c r="Y2544" s="21"/>
      <c r="Z2544" s="21"/>
      <c r="AA2544" s="21"/>
      <c r="AB2544" s="21"/>
      <c r="AC2544" s="26"/>
      <c r="AD2544" s="26"/>
      <c r="AE2544" s="62"/>
    </row>
    <row r="2545" spans="1:31" x14ac:dyDescent="0.3">
      <c r="A2545" s="6"/>
      <c r="B2545" s="6"/>
      <c r="C2545" s="39"/>
      <c r="D2545" s="6"/>
      <c r="E2545" s="153"/>
      <c r="F2545" s="10"/>
      <c r="G2545" s="2"/>
      <c r="H2545" s="3"/>
      <c r="I2545" s="2"/>
      <c r="J2545" s="2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</row>
    <row r="2546" spans="1:31" x14ac:dyDescent="0.3">
      <c r="A2546" s="6"/>
      <c r="B2546" s="6"/>
      <c r="C2546" s="39"/>
      <c r="D2546" s="6"/>
      <c r="E2546" s="153"/>
      <c r="F2546" s="10"/>
      <c r="G2546" s="2"/>
      <c r="H2546" s="3"/>
      <c r="I2546" s="2"/>
      <c r="J2546" s="2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</row>
    <row r="2547" spans="1:31" x14ac:dyDescent="0.3">
      <c r="A2547" s="63"/>
      <c r="B2547" s="63"/>
      <c r="C2547" s="39"/>
      <c r="D2547" s="6"/>
      <c r="E2547" s="153"/>
      <c r="F2547" s="10"/>
      <c r="G2547" s="64"/>
      <c r="H2547" s="3"/>
      <c r="I2547" s="2"/>
      <c r="J2547" s="2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</row>
    <row r="2548" spans="1:31" ht="13.5" customHeight="1" x14ac:dyDescent="0.35">
      <c r="A2548" s="49"/>
      <c r="B2548" s="49"/>
      <c r="C2548" s="14"/>
      <c r="D2548" s="1"/>
      <c r="E2548" s="153"/>
      <c r="F2548" s="10"/>
      <c r="G2548" s="21"/>
      <c r="H2548" s="21"/>
      <c r="I2548" s="21"/>
      <c r="J2548" s="21"/>
      <c r="K2548" s="21"/>
      <c r="L2548" s="21"/>
      <c r="M2548" s="21"/>
      <c r="N2548" s="22"/>
      <c r="O2548" s="21"/>
      <c r="P2548" s="22"/>
      <c r="Q2548" s="21"/>
      <c r="R2548" s="21"/>
      <c r="S2548" s="21"/>
      <c r="T2548" s="21"/>
      <c r="U2548" s="21"/>
      <c r="V2548" s="22"/>
      <c r="W2548" s="21"/>
      <c r="X2548" s="22"/>
      <c r="Y2548" s="21"/>
      <c r="Z2548" s="21"/>
      <c r="AA2548" s="21"/>
      <c r="AB2548" s="21"/>
      <c r="AC2548" s="26"/>
      <c r="AD2548" s="26"/>
      <c r="AE2548" s="62"/>
    </row>
    <row r="2549" spans="1:31" x14ac:dyDescent="0.3">
      <c r="A2549" s="6"/>
      <c r="B2549" s="6"/>
      <c r="C2549" s="39"/>
      <c r="D2549" s="6"/>
      <c r="E2549" s="153"/>
      <c r="F2549" s="10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21"/>
      <c r="R2549" s="21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</row>
    <row r="2550" spans="1:31" x14ac:dyDescent="0.3">
      <c r="A2550" s="63"/>
      <c r="B2550" s="63"/>
      <c r="C2550" s="39"/>
      <c r="D2550" s="6"/>
      <c r="E2550" s="153"/>
      <c r="F2550" s="10"/>
      <c r="G2550" s="64"/>
      <c r="H2550" s="3"/>
      <c r="I2550" s="2"/>
      <c r="J2550" s="2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</row>
    <row r="2551" spans="1:31" ht="13.5" customHeight="1" x14ac:dyDescent="0.35">
      <c r="A2551" s="49"/>
      <c r="B2551" s="49"/>
      <c r="C2551" s="14"/>
      <c r="D2551" s="1"/>
      <c r="E2551" s="153"/>
      <c r="F2551" s="10"/>
      <c r="G2551" s="21"/>
      <c r="H2551" s="21"/>
      <c r="I2551" s="21"/>
      <c r="J2551" s="21"/>
      <c r="K2551" s="21"/>
      <c r="L2551" s="21"/>
      <c r="M2551" s="21"/>
      <c r="N2551" s="22"/>
      <c r="O2551" s="21"/>
      <c r="P2551" s="22"/>
      <c r="Q2551" s="21"/>
      <c r="R2551" s="21"/>
      <c r="S2551" s="21"/>
      <c r="T2551" s="21"/>
      <c r="U2551" s="21"/>
      <c r="V2551" s="22"/>
      <c r="W2551" s="21"/>
      <c r="X2551" s="22"/>
      <c r="Y2551" s="21"/>
      <c r="Z2551" s="21"/>
      <c r="AA2551" s="21"/>
      <c r="AB2551" s="21"/>
      <c r="AC2551" s="26"/>
      <c r="AD2551" s="26"/>
      <c r="AE2551" s="62"/>
    </row>
    <row r="2552" spans="1:31" x14ac:dyDescent="0.3">
      <c r="A2552" s="63"/>
      <c r="B2552" s="63"/>
      <c r="C2552" s="39"/>
      <c r="D2552" s="6"/>
      <c r="E2552" s="153"/>
      <c r="F2552" s="10"/>
      <c r="G2552" s="64"/>
      <c r="H2552" s="3"/>
      <c r="I2552" s="2"/>
      <c r="J2552" s="2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</row>
    <row r="2553" spans="1:31" x14ac:dyDescent="0.3">
      <c r="A2553" s="63"/>
      <c r="B2553" s="63"/>
      <c r="C2553" s="39"/>
      <c r="D2553" s="6"/>
      <c r="E2553" s="153"/>
      <c r="F2553" s="10"/>
      <c r="G2553" s="64"/>
      <c r="H2553" s="3"/>
      <c r="I2553" s="2"/>
      <c r="J2553" s="2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</row>
    <row r="2554" spans="1:31" ht="13.5" customHeight="1" x14ac:dyDescent="0.35">
      <c r="A2554" s="49"/>
      <c r="B2554" s="49"/>
      <c r="C2554" s="39"/>
      <c r="D2554" s="1"/>
      <c r="E2554" s="153"/>
      <c r="F2554" s="10"/>
      <c r="G2554" s="21"/>
      <c r="H2554" s="21"/>
      <c r="I2554" s="21"/>
      <c r="J2554" s="21"/>
      <c r="K2554" s="21"/>
      <c r="L2554" s="21"/>
      <c r="M2554" s="21"/>
      <c r="N2554" s="22"/>
      <c r="O2554" s="21"/>
      <c r="P2554" s="22"/>
      <c r="Q2554" s="21"/>
      <c r="R2554" s="21"/>
      <c r="S2554" s="21"/>
      <c r="T2554" s="21"/>
      <c r="U2554" s="21"/>
      <c r="V2554" s="22"/>
      <c r="W2554" s="21"/>
      <c r="X2554" s="22"/>
      <c r="Y2554" s="21"/>
      <c r="Z2554" s="21"/>
      <c r="AA2554" s="21"/>
      <c r="AB2554" s="21"/>
      <c r="AC2554" s="26"/>
      <c r="AD2554" s="26"/>
      <c r="AE2554" s="62"/>
    </row>
    <row r="2555" spans="1:31" x14ac:dyDescent="0.3">
      <c r="A2555" s="6"/>
      <c r="B2555" s="6"/>
      <c r="C2555" s="39"/>
      <c r="D2555" s="6"/>
      <c r="E2555" s="153"/>
      <c r="F2555" s="10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21"/>
      <c r="R2555" s="21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</row>
    <row r="2556" spans="1:31" x14ac:dyDescent="0.3">
      <c r="A2556" s="63"/>
      <c r="B2556" s="63"/>
      <c r="C2556" s="39"/>
      <c r="D2556" s="6"/>
      <c r="E2556" s="153"/>
      <c r="F2556" s="10"/>
      <c r="G2556" s="64"/>
      <c r="H2556" s="3"/>
      <c r="I2556" s="2"/>
      <c r="J2556" s="2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</row>
    <row r="2557" spans="1:31" ht="13.5" customHeight="1" x14ac:dyDescent="0.35">
      <c r="A2557" s="49"/>
      <c r="B2557" s="49"/>
      <c r="C2557" s="39"/>
      <c r="D2557" s="1"/>
      <c r="E2557" s="153"/>
      <c r="F2557" s="10"/>
      <c r="G2557" s="21"/>
      <c r="H2557" s="21"/>
      <c r="I2557" s="21"/>
      <c r="J2557" s="21"/>
      <c r="K2557" s="21"/>
      <c r="L2557" s="21"/>
      <c r="M2557" s="21"/>
      <c r="N2557" s="22"/>
      <c r="O2557" s="21"/>
      <c r="P2557" s="22"/>
      <c r="Q2557" s="21"/>
      <c r="R2557" s="21"/>
      <c r="S2557" s="21"/>
      <c r="T2557" s="21"/>
      <c r="U2557" s="21"/>
      <c r="V2557" s="22"/>
      <c r="W2557" s="21"/>
      <c r="X2557" s="22"/>
      <c r="Y2557" s="21"/>
      <c r="Z2557" s="21"/>
      <c r="AA2557" s="21"/>
      <c r="AB2557" s="21"/>
      <c r="AC2557" s="26"/>
      <c r="AD2557" s="26"/>
      <c r="AE2557" s="62"/>
    </row>
    <row r="2558" spans="1:31" x14ac:dyDescent="0.3">
      <c r="A2558" s="6"/>
      <c r="B2558" s="6"/>
      <c r="C2558" s="39"/>
      <c r="D2558" s="6"/>
      <c r="E2558" s="153"/>
      <c r="F2558" s="10"/>
      <c r="G2558" s="2"/>
      <c r="H2558" s="3"/>
      <c r="I2558" s="2"/>
      <c r="J2558" s="2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</row>
    <row r="2559" spans="1:31" x14ac:dyDescent="0.3">
      <c r="A2559" s="63"/>
      <c r="B2559" s="63"/>
      <c r="C2559" s="39"/>
      <c r="D2559" s="6"/>
      <c r="E2559" s="153"/>
      <c r="F2559" s="10"/>
      <c r="G2559" s="64"/>
      <c r="H2559" s="3"/>
      <c r="I2559" s="2"/>
      <c r="J2559" s="2"/>
      <c r="K2559" s="3"/>
      <c r="L2559" s="3"/>
      <c r="M2559" s="3"/>
      <c r="N2559" s="3"/>
      <c r="O2559" s="3"/>
      <c r="P2559" s="3"/>
      <c r="Q2559" s="21"/>
      <c r="R2559" s="21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</row>
    <row r="2560" spans="1:31" ht="13.5" customHeight="1" x14ac:dyDescent="0.35">
      <c r="A2560" s="49"/>
      <c r="B2560" s="49"/>
      <c r="C2560" s="14"/>
      <c r="D2560" s="1"/>
      <c r="E2560" s="153"/>
      <c r="F2560" s="10"/>
      <c r="G2560" s="21"/>
      <c r="H2560" s="21"/>
      <c r="I2560" s="21"/>
      <c r="J2560" s="21"/>
      <c r="K2560" s="21"/>
      <c r="L2560" s="21"/>
      <c r="M2560" s="21"/>
      <c r="N2560" s="22"/>
      <c r="O2560" s="21"/>
      <c r="P2560" s="22"/>
      <c r="Q2560" s="21"/>
      <c r="R2560" s="21"/>
      <c r="S2560" s="21"/>
      <c r="T2560" s="21"/>
      <c r="U2560" s="21"/>
      <c r="V2560" s="22"/>
      <c r="W2560" s="21"/>
      <c r="X2560" s="22"/>
      <c r="Y2560" s="21"/>
      <c r="Z2560" s="21"/>
      <c r="AA2560" s="21"/>
      <c r="AB2560" s="21"/>
      <c r="AC2560" s="26"/>
      <c r="AD2560" s="26"/>
      <c r="AE2560" s="62"/>
    </row>
    <row r="2561" spans="1:31" x14ac:dyDescent="0.3">
      <c r="A2561" s="6"/>
      <c r="B2561" s="6"/>
      <c r="C2561" s="39"/>
      <c r="D2561" s="6"/>
      <c r="E2561" s="153"/>
      <c r="F2561" s="10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21"/>
      <c r="R2561" s="21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</row>
    <row r="2562" spans="1:31" x14ac:dyDescent="0.3">
      <c r="A2562" s="6"/>
      <c r="B2562" s="6"/>
      <c r="C2562" s="39"/>
      <c r="D2562" s="6"/>
      <c r="E2562" s="153"/>
      <c r="F2562" s="10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21"/>
      <c r="R2562" s="21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</row>
    <row r="2563" spans="1:31" x14ac:dyDescent="0.3">
      <c r="A2563" s="6"/>
      <c r="B2563" s="6"/>
      <c r="C2563" s="39"/>
      <c r="D2563" s="6"/>
      <c r="E2563" s="153"/>
      <c r="F2563" s="10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</row>
    <row r="2564" spans="1:31" ht="13.5" customHeight="1" x14ac:dyDescent="0.35">
      <c r="A2564" s="49"/>
      <c r="B2564" s="49"/>
      <c r="C2564" s="14"/>
      <c r="D2564" s="1"/>
      <c r="E2564" s="153"/>
      <c r="F2564" s="10"/>
      <c r="G2564" s="21"/>
      <c r="H2564" s="21"/>
      <c r="I2564" s="21"/>
      <c r="J2564" s="21"/>
      <c r="K2564" s="21"/>
      <c r="L2564" s="21"/>
      <c r="M2564" s="21"/>
      <c r="N2564" s="22"/>
      <c r="O2564" s="21"/>
      <c r="P2564" s="22"/>
      <c r="Q2564" s="21"/>
      <c r="R2564" s="21"/>
      <c r="S2564" s="21"/>
      <c r="T2564" s="21"/>
      <c r="U2564" s="21"/>
      <c r="V2564" s="22"/>
      <c r="W2564" s="21"/>
      <c r="X2564" s="22"/>
      <c r="Y2564" s="21"/>
      <c r="Z2564" s="21"/>
      <c r="AA2564" s="21"/>
      <c r="AB2564" s="21"/>
      <c r="AC2564" s="26"/>
      <c r="AD2564" s="26"/>
      <c r="AE2564" s="62"/>
    </row>
    <row r="2565" spans="1:31" ht="13.5" customHeight="1" x14ac:dyDescent="0.35">
      <c r="A2565" s="49"/>
      <c r="B2565" s="49"/>
      <c r="C2565" s="14"/>
      <c r="D2565" s="1"/>
      <c r="E2565" s="153"/>
      <c r="F2565" s="10"/>
      <c r="G2565" s="21"/>
      <c r="H2565" s="21"/>
      <c r="I2565" s="21"/>
      <c r="J2565" s="21"/>
      <c r="K2565" s="21"/>
      <c r="L2565" s="21"/>
      <c r="M2565" s="21"/>
      <c r="N2565" s="22"/>
      <c r="O2565" s="21"/>
      <c r="P2565" s="22"/>
      <c r="Q2565" s="21"/>
      <c r="R2565" s="21"/>
      <c r="S2565" s="21"/>
      <c r="T2565" s="21"/>
      <c r="U2565" s="21"/>
      <c r="V2565" s="22"/>
      <c r="W2565" s="21"/>
      <c r="X2565" s="22"/>
      <c r="Y2565" s="21"/>
      <c r="Z2565" s="21"/>
      <c r="AA2565" s="21"/>
      <c r="AB2565" s="21"/>
      <c r="AC2565" s="26"/>
      <c r="AD2565" s="26"/>
      <c r="AE2565" s="65"/>
    </row>
    <row r="2566" spans="1:31" x14ac:dyDescent="0.3">
      <c r="A2566" s="6"/>
      <c r="B2566" s="6"/>
      <c r="C2566" s="39"/>
      <c r="D2566" s="6"/>
      <c r="E2566" s="153"/>
      <c r="F2566" s="10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21"/>
      <c r="R2566" s="21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</row>
    <row r="2567" spans="1:31" x14ac:dyDescent="0.3">
      <c r="A2567" s="6"/>
      <c r="B2567" s="6"/>
      <c r="C2567" s="39"/>
      <c r="D2567" s="6"/>
      <c r="E2567" s="153"/>
      <c r="F2567" s="10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21"/>
      <c r="R2567" s="21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</row>
    <row r="2568" spans="1:31" x14ac:dyDescent="0.3">
      <c r="A2568" s="63"/>
      <c r="B2568" s="63"/>
      <c r="C2568" s="39"/>
      <c r="D2568" s="6"/>
      <c r="E2568" s="153"/>
      <c r="F2568" s="10"/>
      <c r="G2568" s="64"/>
      <c r="H2568" s="3"/>
      <c r="I2568" s="2"/>
      <c r="J2568" s="2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</row>
    <row r="2569" spans="1:31" x14ac:dyDescent="0.3">
      <c r="A2569" s="63"/>
      <c r="B2569" s="63"/>
      <c r="C2569" s="39"/>
      <c r="D2569" s="6"/>
      <c r="E2569" s="153"/>
      <c r="F2569" s="10"/>
      <c r="G2569" s="64"/>
      <c r="H2569" s="3"/>
      <c r="I2569" s="2"/>
      <c r="J2569" s="2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</row>
    <row r="2570" spans="1:31" x14ac:dyDescent="0.3">
      <c r="A2570" s="63"/>
      <c r="B2570" s="63"/>
      <c r="C2570" s="39"/>
      <c r="D2570" s="6"/>
      <c r="E2570" s="153"/>
      <c r="F2570" s="10"/>
      <c r="G2570" s="64"/>
      <c r="H2570" s="3"/>
      <c r="I2570" s="2"/>
      <c r="J2570" s="2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</row>
    <row r="2571" spans="1:31" x14ac:dyDescent="0.3">
      <c r="A2571" s="6"/>
      <c r="B2571" s="6"/>
      <c r="C2571" s="39"/>
      <c r="D2571" s="6"/>
      <c r="E2571" s="153"/>
      <c r="F2571" s="10"/>
      <c r="G2571" s="2"/>
      <c r="H2571" s="3"/>
      <c r="I2571" s="2"/>
      <c r="J2571" s="2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</row>
    <row r="2572" spans="1:31" x14ac:dyDescent="0.3">
      <c r="A2572" s="6"/>
      <c r="B2572" s="6"/>
      <c r="C2572" s="39"/>
      <c r="D2572" s="6"/>
      <c r="E2572" s="153"/>
      <c r="F2572" s="10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21"/>
      <c r="R2572" s="21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</row>
    <row r="2573" spans="1:31" ht="13.5" customHeight="1" x14ac:dyDescent="0.35">
      <c r="A2573" s="49"/>
      <c r="B2573" s="49"/>
      <c r="C2573" s="14"/>
      <c r="D2573" s="1"/>
      <c r="E2573" s="153"/>
      <c r="F2573" s="10"/>
      <c r="G2573" s="21"/>
      <c r="H2573" s="21"/>
      <c r="I2573" s="21"/>
      <c r="J2573" s="21"/>
      <c r="K2573" s="21"/>
      <c r="L2573" s="21"/>
      <c r="M2573" s="21"/>
      <c r="N2573" s="22"/>
      <c r="O2573" s="21"/>
      <c r="P2573" s="22"/>
      <c r="Q2573" s="21"/>
      <c r="R2573" s="21"/>
      <c r="S2573" s="21"/>
      <c r="T2573" s="21"/>
      <c r="U2573" s="21"/>
      <c r="V2573" s="22"/>
      <c r="W2573" s="21"/>
      <c r="X2573" s="22"/>
      <c r="Y2573" s="21"/>
      <c r="Z2573" s="21"/>
      <c r="AA2573" s="21"/>
      <c r="AB2573" s="21"/>
      <c r="AC2573" s="26"/>
      <c r="AD2573" s="26"/>
      <c r="AE2573" s="62"/>
    </row>
    <row r="2574" spans="1:31" x14ac:dyDescent="0.3">
      <c r="A2574" s="6"/>
      <c r="B2574" s="6"/>
      <c r="C2574" s="39"/>
      <c r="D2574" s="6"/>
      <c r="E2574" s="153"/>
      <c r="F2574" s="10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21"/>
      <c r="R2574" s="21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</row>
    <row r="2575" spans="1:31" x14ac:dyDescent="0.3">
      <c r="A2575" s="6"/>
      <c r="B2575" s="6"/>
      <c r="C2575" s="39"/>
      <c r="D2575" s="6"/>
      <c r="E2575" s="153"/>
      <c r="F2575" s="10"/>
      <c r="G2575" s="2"/>
      <c r="H2575" s="3"/>
      <c r="I2575" s="2"/>
      <c r="J2575" s="2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</row>
    <row r="2576" spans="1:31" x14ac:dyDescent="0.3">
      <c r="A2576" s="6"/>
      <c r="B2576" s="6"/>
      <c r="C2576" s="39"/>
      <c r="D2576" s="6"/>
      <c r="E2576" s="153"/>
      <c r="F2576" s="10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21"/>
      <c r="R2576" s="21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</row>
    <row r="2577" spans="1:31" ht="13.5" customHeight="1" x14ac:dyDescent="0.35">
      <c r="A2577" s="49"/>
      <c r="B2577" s="49"/>
      <c r="C2577" s="39"/>
      <c r="D2577" s="1"/>
      <c r="E2577" s="153"/>
      <c r="F2577" s="10"/>
      <c r="G2577" s="21"/>
      <c r="H2577" s="21"/>
      <c r="I2577" s="21"/>
      <c r="J2577" s="21"/>
      <c r="K2577" s="21"/>
      <c r="L2577" s="21"/>
      <c r="M2577" s="21"/>
      <c r="N2577" s="22"/>
      <c r="O2577" s="21"/>
      <c r="P2577" s="22"/>
      <c r="Q2577" s="21"/>
      <c r="R2577" s="21"/>
      <c r="S2577" s="21"/>
      <c r="T2577" s="21"/>
      <c r="U2577" s="21"/>
      <c r="V2577" s="22"/>
      <c r="W2577" s="21"/>
      <c r="X2577" s="22"/>
      <c r="Y2577" s="21"/>
      <c r="Z2577" s="21"/>
      <c r="AA2577" s="21"/>
      <c r="AB2577" s="21"/>
      <c r="AC2577" s="26"/>
      <c r="AD2577" s="26"/>
      <c r="AE2577" s="62"/>
    </row>
    <row r="2578" spans="1:31" ht="13.5" customHeight="1" x14ac:dyDescent="0.35">
      <c r="A2578" s="52"/>
      <c r="B2578" s="52"/>
      <c r="C2578" s="39"/>
      <c r="D2578" s="1"/>
      <c r="E2578" s="153"/>
      <c r="F2578" s="10"/>
      <c r="G2578" s="21"/>
      <c r="H2578" s="21"/>
      <c r="I2578" s="21"/>
      <c r="J2578" s="21"/>
      <c r="K2578" s="21"/>
      <c r="L2578" s="21"/>
      <c r="M2578" s="21"/>
      <c r="N2578" s="22"/>
      <c r="O2578" s="21"/>
      <c r="P2578" s="22"/>
      <c r="Q2578" s="21"/>
      <c r="R2578" s="21"/>
      <c r="S2578" s="21"/>
      <c r="T2578" s="21"/>
      <c r="U2578" s="21"/>
      <c r="V2578" s="22"/>
      <c r="W2578" s="21"/>
      <c r="X2578" s="22"/>
      <c r="Y2578" s="21"/>
      <c r="Z2578" s="21"/>
      <c r="AA2578" s="21"/>
      <c r="AB2578" s="21"/>
      <c r="AC2578" s="26"/>
      <c r="AD2578" s="26"/>
      <c r="AE2578" s="62"/>
    </row>
    <row r="2579" spans="1:31" x14ac:dyDescent="0.3">
      <c r="A2579" s="6"/>
      <c r="B2579" s="6"/>
      <c r="C2579" s="39"/>
      <c r="D2579" s="6"/>
      <c r="E2579" s="153"/>
      <c r="F2579" s="10"/>
      <c r="G2579" s="2"/>
      <c r="H2579" s="3"/>
      <c r="I2579" s="2"/>
      <c r="J2579" s="2"/>
      <c r="K2579" s="3"/>
      <c r="L2579" s="3"/>
      <c r="M2579" s="3"/>
      <c r="N2579" s="3"/>
      <c r="O2579" s="3"/>
      <c r="P2579" s="3"/>
      <c r="Q2579" s="21"/>
      <c r="R2579" s="21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</row>
    <row r="2580" spans="1:31" x14ac:dyDescent="0.3">
      <c r="A2580" s="6"/>
      <c r="B2580" s="6"/>
      <c r="C2580" s="39"/>
      <c r="D2580" s="6"/>
      <c r="E2580" s="153"/>
      <c r="F2580" s="10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21"/>
      <c r="R2580" s="21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</row>
    <row r="2581" spans="1:31" ht="13.5" customHeight="1" x14ac:dyDescent="0.3">
      <c r="A2581" s="49"/>
      <c r="B2581" s="49"/>
      <c r="C2581" s="14"/>
      <c r="D2581" s="6"/>
      <c r="E2581" s="153"/>
      <c r="F2581" s="10"/>
      <c r="G2581" s="21"/>
      <c r="H2581" s="21"/>
      <c r="I2581" s="21"/>
      <c r="J2581" s="21"/>
      <c r="K2581" s="21"/>
      <c r="L2581" s="21"/>
      <c r="M2581" s="21"/>
      <c r="N2581" s="22"/>
      <c r="O2581" s="21"/>
      <c r="P2581" s="22"/>
      <c r="Q2581" s="21"/>
      <c r="R2581" s="21"/>
      <c r="S2581" s="21"/>
      <c r="T2581" s="21"/>
      <c r="U2581" s="21"/>
      <c r="V2581" s="22"/>
      <c r="W2581" s="21"/>
      <c r="X2581" s="22"/>
      <c r="Y2581" s="21"/>
      <c r="Z2581" s="21"/>
      <c r="AA2581" s="21"/>
      <c r="AB2581" s="21"/>
      <c r="AC2581" s="26"/>
      <c r="AD2581" s="26"/>
      <c r="AE2581" s="62"/>
    </row>
    <row r="2582" spans="1:31" ht="13.5" customHeight="1" x14ac:dyDescent="0.35">
      <c r="A2582" s="49"/>
      <c r="B2582" s="49"/>
      <c r="C2582" s="14"/>
      <c r="D2582" s="1"/>
      <c r="E2582" s="153"/>
      <c r="F2582" s="10"/>
      <c r="G2582" s="21"/>
      <c r="H2582" s="21"/>
      <c r="I2582" s="21"/>
      <c r="J2582" s="21"/>
      <c r="K2582" s="21"/>
      <c r="L2582" s="21"/>
      <c r="M2582" s="21"/>
      <c r="N2582" s="22"/>
      <c r="O2582" s="21"/>
      <c r="P2582" s="22"/>
      <c r="Q2582" s="21"/>
      <c r="R2582" s="21"/>
      <c r="S2582" s="21"/>
      <c r="T2582" s="21"/>
      <c r="U2582" s="21"/>
      <c r="V2582" s="22"/>
      <c r="W2582" s="21"/>
      <c r="X2582" s="22"/>
      <c r="Y2582" s="21"/>
      <c r="Z2582" s="21"/>
      <c r="AA2582" s="21"/>
      <c r="AB2582" s="21"/>
      <c r="AC2582" s="26"/>
      <c r="AD2582" s="26"/>
      <c r="AE2582" s="62"/>
    </row>
    <row r="2583" spans="1:31" x14ac:dyDescent="0.3">
      <c r="A2583" s="6"/>
      <c r="B2583" s="6"/>
      <c r="C2583" s="39"/>
      <c r="D2583" s="6"/>
      <c r="E2583" s="153"/>
      <c r="F2583" s="10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21"/>
      <c r="R2583" s="21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</row>
    <row r="2584" spans="1:31" x14ac:dyDescent="0.3">
      <c r="A2584" s="6"/>
      <c r="B2584" s="6"/>
      <c r="C2584" s="39"/>
      <c r="D2584" s="6"/>
      <c r="E2584" s="153"/>
      <c r="F2584" s="10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</row>
    <row r="2585" spans="1:31" ht="13.5" customHeight="1" x14ac:dyDescent="0.35">
      <c r="A2585" s="49"/>
      <c r="B2585" s="49"/>
      <c r="C2585" s="14"/>
      <c r="D2585" s="1"/>
      <c r="E2585" s="153"/>
      <c r="F2585" s="10"/>
      <c r="G2585" s="21"/>
      <c r="H2585" s="21"/>
      <c r="I2585" s="21"/>
      <c r="J2585" s="21"/>
      <c r="K2585" s="21"/>
      <c r="L2585" s="21"/>
      <c r="M2585" s="21"/>
      <c r="N2585" s="22"/>
      <c r="O2585" s="21"/>
      <c r="P2585" s="22"/>
      <c r="Q2585" s="21"/>
      <c r="R2585" s="21"/>
      <c r="S2585" s="21"/>
      <c r="T2585" s="21"/>
      <c r="U2585" s="21"/>
      <c r="V2585" s="22"/>
      <c r="W2585" s="21"/>
      <c r="X2585" s="22"/>
      <c r="Y2585" s="21"/>
      <c r="Z2585" s="21"/>
      <c r="AA2585" s="21"/>
      <c r="AB2585" s="21"/>
      <c r="AC2585" s="26"/>
      <c r="AD2585" s="26"/>
      <c r="AE2585" s="62"/>
    </row>
    <row r="2586" spans="1:31" ht="13.5" customHeight="1" x14ac:dyDescent="0.35">
      <c r="A2586" s="49"/>
      <c r="B2586" s="49"/>
      <c r="C2586" s="14"/>
      <c r="D2586" s="1"/>
      <c r="E2586" s="153"/>
      <c r="F2586" s="10"/>
      <c r="G2586" s="21"/>
      <c r="H2586" s="21"/>
      <c r="I2586" s="21"/>
      <c r="J2586" s="21"/>
      <c r="K2586" s="21"/>
      <c r="L2586" s="21"/>
      <c r="M2586" s="21"/>
      <c r="N2586" s="22"/>
      <c r="O2586" s="21"/>
      <c r="P2586" s="22"/>
      <c r="Q2586" s="21"/>
      <c r="R2586" s="21"/>
      <c r="S2586" s="21"/>
      <c r="T2586" s="21"/>
      <c r="U2586" s="21"/>
      <c r="V2586" s="22"/>
      <c r="W2586" s="21"/>
      <c r="X2586" s="22"/>
      <c r="Y2586" s="21"/>
      <c r="Z2586" s="21"/>
      <c r="AA2586" s="21"/>
      <c r="AB2586" s="21"/>
      <c r="AC2586" s="26"/>
      <c r="AD2586" s="26"/>
      <c r="AE2586" s="62"/>
    </row>
    <row r="2587" spans="1:31" ht="13.5" customHeight="1" x14ac:dyDescent="0.35">
      <c r="A2587" s="49"/>
      <c r="B2587" s="49"/>
      <c r="C2587" s="14"/>
      <c r="D2587" s="1"/>
      <c r="E2587" s="153"/>
      <c r="F2587" s="10"/>
      <c r="G2587" s="21"/>
      <c r="H2587" s="21"/>
      <c r="I2587" s="21"/>
      <c r="J2587" s="21"/>
      <c r="K2587" s="21"/>
      <c r="L2587" s="21"/>
      <c r="M2587" s="21"/>
      <c r="N2587" s="22"/>
      <c r="O2587" s="21"/>
      <c r="P2587" s="22"/>
      <c r="Q2587" s="21"/>
      <c r="R2587" s="21"/>
      <c r="S2587" s="21"/>
      <c r="T2587" s="21"/>
      <c r="U2587" s="21"/>
      <c r="V2587" s="22"/>
      <c r="W2587" s="21"/>
      <c r="X2587" s="22"/>
      <c r="Y2587" s="21"/>
      <c r="Z2587" s="21"/>
      <c r="AA2587" s="21"/>
      <c r="AB2587" s="21"/>
      <c r="AC2587" s="26"/>
      <c r="AD2587" s="26"/>
      <c r="AE2587" s="62"/>
    </row>
    <row r="2588" spans="1:31" ht="13.5" customHeight="1" x14ac:dyDescent="0.35">
      <c r="A2588" s="49"/>
      <c r="B2588" s="49"/>
      <c r="C2588" s="14"/>
      <c r="D2588" s="1"/>
      <c r="E2588" s="153"/>
      <c r="F2588" s="10"/>
      <c r="G2588" s="21"/>
      <c r="H2588" s="21"/>
      <c r="I2588" s="21"/>
      <c r="J2588" s="21"/>
      <c r="K2588" s="21"/>
      <c r="L2588" s="21"/>
      <c r="M2588" s="21"/>
      <c r="N2588" s="22"/>
      <c r="O2588" s="21"/>
      <c r="P2588" s="22"/>
      <c r="Q2588" s="21"/>
      <c r="R2588" s="21"/>
      <c r="S2588" s="21"/>
      <c r="T2588" s="21"/>
      <c r="U2588" s="21"/>
      <c r="V2588" s="22"/>
      <c r="W2588" s="21"/>
      <c r="X2588" s="22"/>
      <c r="Y2588" s="21"/>
      <c r="Z2588" s="21"/>
      <c r="AA2588" s="21"/>
      <c r="AB2588" s="21"/>
      <c r="AC2588" s="26"/>
      <c r="AD2588" s="26"/>
      <c r="AE2588" s="62"/>
    </row>
    <row r="2589" spans="1:31" x14ac:dyDescent="0.3">
      <c r="A2589" s="63"/>
      <c r="B2589" s="63"/>
      <c r="C2589" s="39"/>
      <c r="D2589" s="6"/>
      <c r="E2589" s="153"/>
      <c r="F2589" s="10"/>
      <c r="G2589" s="64"/>
      <c r="H2589" s="3"/>
      <c r="I2589" s="2"/>
      <c r="J2589" s="2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</row>
    <row r="2590" spans="1:31" ht="15" x14ac:dyDescent="0.35">
      <c r="A2590" s="6"/>
      <c r="B2590" s="6"/>
      <c r="C2590" s="39"/>
      <c r="D2590" s="6"/>
      <c r="E2590" s="153"/>
      <c r="F2590" s="10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21"/>
      <c r="R2590" s="21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65"/>
    </row>
    <row r="2591" spans="1:31" x14ac:dyDescent="0.3">
      <c r="A2591" s="6"/>
      <c r="B2591" s="6"/>
      <c r="C2591" s="39"/>
      <c r="D2591" s="6"/>
      <c r="E2591" s="153"/>
      <c r="F2591" s="10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21"/>
      <c r="R2591" s="21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</row>
    <row r="2592" spans="1:31" x14ac:dyDescent="0.3">
      <c r="A2592" s="6"/>
      <c r="B2592" s="6"/>
      <c r="C2592" s="39"/>
      <c r="D2592" s="6"/>
      <c r="E2592" s="153"/>
      <c r="F2592" s="10"/>
      <c r="G2592" s="2"/>
      <c r="H2592" s="3"/>
      <c r="I2592" s="2"/>
      <c r="J2592" s="2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</row>
    <row r="2593" spans="1:31" x14ac:dyDescent="0.3">
      <c r="A2593" s="6"/>
      <c r="B2593" s="6"/>
      <c r="C2593" s="39"/>
      <c r="D2593" s="6"/>
      <c r="E2593" s="153"/>
      <c r="F2593" s="10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</row>
    <row r="2594" spans="1:31" x14ac:dyDescent="0.3">
      <c r="A2594" s="63"/>
      <c r="B2594" s="63"/>
      <c r="C2594" s="39"/>
      <c r="D2594" s="6"/>
      <c r="E2594" s="153"/>
      <c r="F2594" s="10"/>
      <c r="G2594" s="64"/>
      <c r="H2594" s="3"/>
      <c r="I2594" s="2"/>
      <c r="J2594" s="2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</row>
    <row r="2595" spans="1:31" x14ac:dyDescent="0.3">
      <c r="A2595" s="63"/>
      <c r="B2595" s="63"/>
      <c r="C2595" s="39"/>
      <c r="D2595" s="6"/>
      <c r="E2595" s="153"/>
      <c r="F2595" s="10"/>
      <c r="G2595" s="64"/>
      <c r="H2595" s="3"/>
      <c r="I2595" s="2"/>
      <c r="J2595" s="2"/>
      <c r="K2595" s="3"/>
      <c r="L2595" s="3"/>
      <c r="M2595" s="3"/>
      <c r="N2595" s="3"/>
      <c r="O2595" s="3"/>
      <c r="P2595" s="3"/>
      <c r="Q2595" s="21"/>
      <c r="R2595" s="21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</row>
    <row r="2596" spans="1:31" x14ac:dyDescent="0.3">
      <c r="A2596" s="6"/>
      <c r="B2596" s="6"/>
      <c r="C2596" s="39"/>
      <c r="D2596" s="6"/>
      <c r="E2596" s="153"/>
      <c r="F2596" s="10"/>
      <c r="G2596" s="2"/>
      <c r="H2596" s="3"/>
      <c r="I2596" s="2"/>
      <c r="J2596" s="2"/>
      <c r="K2596" s="3"/>
      <c r="L2596" s="3"/>
      <c r="M2596" s="3"/>
      <c r="N2596" s="3"/>
      <c r="O2596" s="3"/>
      <c r="P2596" s="3"/>
      <c r="Q2596" s="21"/>
      <c r="R2596" s="21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</row>
    <row r="2597" spans="1:31" x14ac:dyDescent="0.3">
      <c r="A2597" s="6"/>
      <c r="B2597" s="6"/>
      <c r="C2597" s="39"/>
      <c r="D2597" s="6"/>
      <c r="E2597" s="153"/>
      <c r="F2597" s="10"/>
      <c r="G2597" s="2"/>
      <c r="H2597" s="3"/>
      <c r="I2597" s="2"/>
      <c r="J2597" s="2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</row>
    <row r="2598" spans="1:31" x14ac:dyDescent="0.3">
      <c r="A2598" s="6"/>
      <c r="B2598" s="6"/>
      <c r="C2598" s="39"/>
      <c r="D2598" s="6"/>
      <c r="E2598" s="153"/>
      <c r="F2598" s="10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21"/>
      <c r="R2598" s="21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</row>
    <row r="2599" spans="1:31" x14ac:dyDescent="0.3">
      <c r="A2599" s="6"/>
      <c r="B2599" s="6"/>
      <c r="C2599" s="39"/>
      <c r="D2599" s="6"/>
      <c r="E2599" s="153"/>
      <c r="F2599" s="10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21"/>
      <c r="R2599" s="21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</row>
    <row r="2600" spans="1:31" x14ac:dyDescent="0.3">
      <c r="A2600" s="6"/>
      <c r="B2600" s="6"/>
      <c r="C2600" s="39"/>
      <c r="D2600" s="6"/>
      <c r="E2600" s="153"/>
      <c r="F2600" s="10"/>
      <c r="G2600" s="2"/>
      <c r="H2600" s="3"/>
      <c r="I2600" s="2"/>
      <c r="J2600" s="2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</row>
    <row r="2601" spans="1:31" x14ac:dyDescent="0.3">
      <c r="A2601" s="6"/>
      <c r="B2601" s="6"/>
      <c r="C2601" s="39"/>
      <c r="D2601" s="6"/>
      <c r="E2601" s="153"/>
      <c r="F2601" s="10"/>
      <c r="G2601" s="2"/>
      <c r="H2601" s="3"/>
      <c r="I2601" s="2"/>
      <c r="J2601" s="2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</row>
    <row r="2602" spans="1:31" ht="13.5" customHeight="1" x14ac:dyDescent="0.35">
      <c r="A2602" s="49"/>
      <c r="B2602" s="49"/>
      <c r="C2602" s="39"/>
      <c r="D2602" s="1"/>
      <c r="E2602" s="153"/>
      <c r="F2602" s="10"/>
      <c r="G2602" s="21"/>
      <c r="H2602" s="21"/>
      <c r="I2602" s="21"/>
      <c r="J2602" s="21"/>
      <c r="K2602" s="21"/>
      <c r="L2602" s="21"/>
      <c r="M2602" s="21"/>
      <c r="N2602" s="22"/>
      <c r="O2602" s="21"/>
      <c r="P2602" s="22"/>
      <c r="Q2602" s="21"/>
      <c r="R2602" s="21"/>
      <c r="S2602" s="21"/>
      <c r="T2602" s="21"/>
      <c r="U2602" s="21"/>
      <c r="V2602" s="22"/>
      <c r="W2602" s="21"/>
      <c r="X2602" s="22"/>
      <c r="Y2602" s="21"/>
      <c r="Z2602" s="21"/>
      <c r="AA2602" s="21"/>
      <c r="AB2602" s="21"/>
      <c r="AC2602" s="26"/>
      <c r="AD2602" s="26"/>
      <c r="AE2602" s="62"/>
    </row>
    <row r="2603" spans="1:31" ht="13.5" customHeight="1" x14ac:dyDescent="0.35">
      <c r="A2603" s="49"/>
      <c r="B2603" s="49"/>
      <c r="C2603" s="14"/>
      <c r="D2603" s="1"/>
      <c r="E2603" s="153"/>
      <c r="F2603" s="10"/>
      <c r="G2603" s="21"/>
      <c r="H2603" s="21"/>
      <c r="I2603" s="21"/>
      <c r="J2603" s="21"/>
      <c r="K2603" s="21"/>
      <c r="L2603" s="21"/>
      <c r="M2603" s="21"/>
      <c r="N2603" s="22"/>
      <c r="O2603" s="21"/>
      <c r="P2603" s="22"/>
      <c r="Q2603" s="21"/>
      <c r="R2603" s="21"/>
      <c r="S2603" s="21"/>
      <c r="T2603" s="21"/>
      <c r="U2603" s="21"/>
      <c r="V2603" s="22"/>
      <c r="W2603" s="21"/>
      <c r="X2603" s="22"/>
      <c r="Y2603" s="21"/>
      <c r="Z2603" s="21"/>
      <c r="AA2603" s="21"/>
      <c r="AB2603" s="21"/>
      <c r="AC2603" s="26"/>
      <c r="AD2603" s="26"/>
      <c r="AE2603" s="62"/>
    </row>
    <row r="2604" spans="1:31" x14ac:dyDescent="0.3">
      <c r="A2604" s="6"/>
      <c r="B2604" s="6"/>
      <c r="C2604" s="39"/>
      <c r="D2604" s="6"/>
      <c r="E2604" s="153"/>
      <c r="F2604" s="10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21"/>
      <c r="R2604" s="21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</row>
    <row r="2605" spans="1:31" ht="13.5" customHeight="1" x14ac:dyDescent="0.35">
      <c r="A2605" s="49"/>
      <c r="B2605" s="49"/>
      <c r="C2605" s="39"/>
      <c r="D2605" s="1"/>
      <c r="E2605" s="153"/>
      <c r="F2605" s="10"/>
      <c r="G2605" s="21"/>
      <c r="H2605" s="21"/>
      <c r="I2605" s="21"/>
      <c r="J2605" s="21"/>
      <c r="K2605" s="21"/>
      <c r="L2605" s="21"/>
      <c r="M2605" s="21"/>
      <c r="N2605" s="22"/>
      <c r="O2605" s="21"/>
      <c r="P2605" s="22"/>
      <c r="Q2605" s="21"/>
      <c r="R2605" s="21"/>
      <c r="S2605" s="21"/>
      <c r="T2605" s="21"/>
      <c r="U2605" s="21"/>
      <c r="V2605" s="22"/>
      <c r="W2605" s="21"/>
      <c r="X2605" s="22"/>
      <c r="Y2605" s="21"/>
      <c r="Z2605" s="21"/>
      <c r="AA2605" s="21"/>
      <c r="AB2605" s="21"/>
      <c r="AC2605" s="26"/>
      <c r="AD2605" s="26"/>
      <c r="AE2605" s="62"/>
    </row>
    <row r="2606" spans="1:31" x14ac:dyDescent="0.3">
      <c r="A2606" s="6"/>
      <c r="B2606" s="6"/>
      <c r="C2606" s="39"/>
      <c r="D2606" s="6"/>
      <c r="E2606" s="153"/>
      <c r="F2606" s="10"/>
      <c r="G2606" s="2"/>
      <c r="H2606" s="3"/>
      <c r="I2606" s="2"/>
      <c r="J2606" s="2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</row>
    <row r="2607" spans="1:31" x14ac:dyDescent="0.3">
      <c r="A2607" s="6"/>
      <c r="B2607" s="6"/>
      <c r="C2607" s="39"/>
      <c r="D2607" s="6"/>
      <c r="E2607" s="153"/>
      <c r="F2607" s="10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21"/>
      <c r="R2607" s="21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</row>
    <row r="2608" spans="1:31" x14ac:dyDescent="0.3">
      <c r="A2608" s="6"/>
      <c r="B2608" s="6"/>
      <c r="C2608" s="39"/>
      <c r="D2608" s="6"/>
      <c r="E2608" s="153"/>
      <c r="F2608" s="10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21"/>
      <c r="R2608" s="21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</row>
    <row r="2609" spans="1:31" ht="13.5" customHeight="1" x14ac:dyDescent="0.35">
      <c r="A2609" s="49"/>
      <c r="B2609" s="49"/>
      <c r="C2609" s="14"/>
      <c r="D2609" s="1"/>
      <c r="E2609" s="153"/>
      <c r="F2609" s="10"/>
      <c r="G2609" s="21"/>
      <c r="H2609" s="21"/>
      <c r="I2609" s="21"/>
      <c r="J2609" s="21"/>
      <c r="K2609" s="21"/>
      <c r="L2609" s="21"/>
      <c r="M2609" s="21"/>
      <c r="N2609" s="22"/>
      <c r="O2609" s="21"/>
      <c r="P2609" s="22"/>
      <c r="Q2609" s="21"/>
      <c r="R2609" s="21"/>
      <c r="S2609" s="21"/>
      <c r="T2609" s="21"/>
      <c r="U2609" s="21"/>
      <c r="V2609" s="22"/>
      <c r="W2609" s="21"/>
      <c r="X2609" s="22"/>
      <c r="Y2609" s="21"/>
      <c r="Z2609" s="21"/>
      <c r="AA2609" s="21"/>
      <c r="AB2609" s="21"/>
      <c r="AC2609" s="26"/>
      <c r="AD2609" s="26"/>
      <c r="AE2609" s="62"/>
    </row>
    <row r="2610" spans="1:31" x14ac:dyDescent="0.3">
      <c r="A2610" s="6"/>
      <c r="B2610" s="6"/>
      <c r="C2610" s="39"/>
      <c r="D2610" s="6"/>
      <c r="E2610" s="153"/>
      <c r="F2610" s="10"/>
      <c r="G2610" s="2"/>
      <c r="H2610" s="3"/>
      <c r="I2610" s="2"/>
      <c r="J2610" s="2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</row>
    <row r="2611" spans="1:31" ht="13.5" customHeight="1" x14ac:dyDescent="0.35">
      <c r="A2611" s="49"/>
      <c r="B2611" s="49"/>
      <c r="C2611" s="14"/>
      <c r="D2611" s="1"/>
      <c r="E2611" s="153"/>
      <c r="F2611" s="10"/>
      <c r="G2611" s="21"/>
      <c r="H2611" s="21"/>
      <c r="I2611" s="21"/>
      <c r="J2611" s="21"/>
      <c r="K2611" s="21"/>
      <c r="L2611" s="21"/>
      <c r="M2611" s="21"/>
      <c r="N2611" s="22"/>
      <c r="O2611" s="21"/>
      <c r="P2611" s="22"/>
      <c r="Q2611" s="21"/>
      <c r="R2611" s="21"/>
      <c r="S2611" s="21"/>
      <c r="T2611" s="21"/>
      <c r="U2611" s="21"/>
      <c r="V2611" s="22"/>
      <c r="W2611" s="21"/>
      <c r="X2611" s="22"/>
      <c r="Y2611" s="21"/>
      <c r="Z2611" s="21"/>
      <c r="AA2611" s="21"/>
      <c r="AB2611" s="21"/>
      <c r="AC2611" s="26"/>
      <c r="AD2611" s="26"/>
      <c r="AE2611" s="62"/>
    </row>
    <row r="2612" spans="1:31" x14ac:dyDescent="0.3">
      <c r="A2612" s="63"/>
      <c r="B2612" s="63"/>
      <c r="C2612" s="39"/>
      <c r="D2612" s="6"/>
      <c r="E2612" s="153"/>
      <c r="F2612" s="10"/>
      <c r="G2612" s="64"/>
      <c r="H2612" s="3"/>
      <c r="I2612" s="2"/>
      <c r="J2612" s="2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</row>
    <row r="2613" spans="1:31" ht="13.5" customHeight="1" x14ac:dyDescent="0.35">
      <c r="A2613" s="49"/>
      <c r="B2613" s="49"/>
      <c r="C2613" s="39"/>
      <c r="D2613" s="1"/>
      <c r="E2613" s="153"/>
      <c r="F2613" s="10"/>
      <c r="G2613" s="21"/>
      <c r="H2613" s="21"/>
      <c r="I2613" s="21"/>
      <c r="J2613" s="21"/>
      <c r="K2613" s="21"/>
      <c r="L2613" s="21"/>
      <c r="M2613" s="21"/>
      <c r="N2613" s="22"/>
      <c r="O2613" s="21"/>
      <c r="P2613" s="22"/>
      <c r="Q2613" s="21"/>
      <c r="R2613" s="21"/>
      <c r="S2613" s="21"/>
      <c r="T2613" s="21"/>
      <c r="U2613" s="21"/>
      <c r="V2613" s="22"/>
      <c r="W2613" s="21"/>
      <c r="X2613" s="22"/>
      <c r="Y2613" s="21"/>
      <c r="Z2613" s="21"/>
      <c r="AA2613" s="21"/>
      <c r="AB2613" s="21"/>
      <c r="AC2613" s="26"/>
      <c r="AD2613" s="26"/>
      <c r="AE2613" s="62"/>
    </row>
    <row r="2614" spans="1:31" x14ac:dyDescent="0.3">
      <c r="A2614" s="6"/>
      <c r="B2614" s="6"/>
      <c r="C2614" s="39"/>
      <c r="D2614" s="6"/>
      <c r="E2614" s="153"/>
      <c r="F2614" s="10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21"/>
      <c r="R2614" s="21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</row>
    <row r="2615" spans="1:31" ht="13.5" customHeight="1" x14ac:dyDescent="0.35">
      <c r="A2615" s="49"/>
      <c r="B2615" s="49"/>
      <c r="C2615" s="14"/>
      <c r="D2615" s="1"/>
      <c r="E2615" s="153"/>
      <c r="F2615" s="10"/>
      <c r="G2615" s="21"/>
      <c r="H2615" s="21"/>
      <c r="I2615" s="21"/>
      <c r="J2615" s="21"/>
      <c r="K2615" s="21"/>
      <c r="L2615" s="21"/>
      <c r="M2615" s="21"/>
      <c r="N2615" s="22"/>
      <c r="O2615" s="21"/>
      <c r="P2615" s="22"/>
      <c r="Q2615" s="21"/>
      <c r="R2615" s="21"/>
      <c r="S2615" s="21"/>
      <c r="T2615" s="21"/>
      <c r="U2615" s="21"/>
      <c r="V2615" s="22"/>
      <c r="W2615" s="21"/>
      <c r="X2615" s="22"/>
      <c r="Y2615" s="21"/>
      <c r="Z2615" s="21"/>
      <c r="AA2615" s="21"/>
      <c r="AB2615" s="21"/>
      <c r="AC2615" s="26"/>
      <c r="AD2615" s="26"/>
      <c r="AE2615" s="62"/>
    </row>
    <row r="2616" spans="1:31" x14ac:dyDescent="0.3">
      <c r="A2616" s="6"/>
      <c r="B2616" s="6"/>
      <c r="C2616" s="39"/>
      <c r="D2616" s="6"/>
      <c r="E2616" s="153"/>
      <c r="F2616" s="10"/>
      <c r="G2616" s="2"/>
      <c r="H2616" s="3"/>
      <c r="I2616" s="2"/>
      <c r="J2616" s="2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</row>
    <row r="2617" spans="1:31" x14ac:dyDescent="0.3">
      <c r="A2617" s="6"/>
      <c r="B2617" s="6"/>
      <c r="C2617" s="39"/>
      <c r="D2617" s="6"/>
      <c r="E2617" s="153"/>
      <c r="F2617" s="10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21"/>
      <c r="R2617" s="21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</row>
    <row r="2618" spans="1:31" x14ac:dyDescent="0.3">
      <c r="A2618" s="6"/>
      <c r="B2618" s="6"/>
      <c r="C2618" s="39"/>
      <c r="D2618" s="6"/>
      <c r="E2618" s="153"/>
      <c r="F2618" s="10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</row>
    <row r="2619" spans="1:31" ht="13.5" customHeight="1" x14ac:dyDescent="0.35">
      <c r="A2619" s="49"/>
      <c r="B2619" s="49"/>
      <c r="C2619" s="14"/>
      <c r="D2619" s="1"/>
      <c r="E2619" s="153"/>
      <c r="F2619" s="10"/>
      <c r="G2619" s="21"/>
      <c r="H2619" s="21"/>
      <c r="I2619" s="21"/>
      <c r="J2619" s="21"/>
      <c r="K2619" s="21"/>
      <c r="L2619" s="21"/>
      <c r="M2619" s="21"/>
      <c r="N2619" s="22"/>
      <c r="O2619" s="21"/>
      <c r="P2619" s="22"/>
      <c r="Q2619" s="21"/>
      <c r="R2619" s="21"/>
      <c r="S2619" s="21"/>
      <c r="T2619" s="21"/>
      <c r="U2619" s="21"/>
      <c r="V2619" s="22"/>
      <c r="W2619" s="21"/>
      <c r="X2619" s="22"/>
      <c r="Y2619" s="21"/>
      <c r="Z2619" s="21"/>
      <c r="AA2619" s="21"/>
      <c r="AB2619" s="21"/>
      <c r="AC2619" s="26"/>
      <c r="AD2619" s="26"/>
      <c r="AE2619" s="62"/>
    </row>
    <row r="2620" spans="1:31" ht="13.5" customHeight="1" x14ac:dyDescent="0.35">
      <c r="A2620" s="49"/>
      <c r="B2620" s="49"/>
      <c r="C2620" s="39"/>
      <c r="D2620" s="1"/>
      <c r="E2620" s="153"/>
      <c r="F2620" s="10"/>
      <c r="G2620" s="21"/>
      <c r="H2620" s="21"/>
      <c r="I2620" s="21"/>
      <c r="J2620" s="21"/>
      <c r="K2620" s="21"/>
      <c r="L2620" s="21"/>
      <c r="M2620" s="21"/>
      <c r="N2620" s="22"/>
      <c r="O2620" s="21"/>
      <c r="P2620" s="22"/>
      <c r="Q2620" s="21"/>
      <c r="R2620" s="21"/>
      <c r="S2620" s="21"/>
      <c r="T2620" s="21"/>
      <c r="U2620" s="21"/>
      <c r="V2620" s="22"/>
      <c r="W2620" s="21"/>
      <c r="X2620" s="22"/>
      <c r="Y2620" s="21"/>
      <c r="Z2620" s="21"/>
      <c r="AA2620" s="21"/>
      <c r="AB2620" s="21"/>
      <c r="AC2620" s="26"/>
      <c r="AD2620" s="26"/>
      <c r="AE2620" s="62"/>
    </row>
    <row r="2621" spans="1:31" x14ac:dyDescent="0.3">
      <c r="A2621" s="63"/>
      <c r="B2621" s="63"/>
      <c r="C2621" s="39"/>
      <c r="D2621" s="6"/>
      <c r="E2621" s="153"/>
      <c r="F2621" s="10"/>
      <c r="G2621" s="64"/>
      <c r="H2621" s="3"/>
      <c r="I2621" s="2"/>
      <c r="J2621" s="2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</row>
    <row r="2622" spans="1:31" x14ac:dyDescent="0.3">
      <c r="A2622" s="6"/>
      <c r="B2622" s="6"/>
      <c r="C2622" s="39"/>
      <c r="D2622" s="6"/>
      <c r="E2622" s="153"/>
      <c r="F2622" s="10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21"/>
      <c r="R2622" s="21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</row>
    <row r="2623" spans="1:31" x14ac:dyDescent="0.3">
      <c r="A2623" s="6"/>
      <c r="B2623" s="6"/>
      <c r="C2623" s="39"/>
      <c r="D2623" s="6"/>
      <c r="E2623" s="153"/>
      <c r="F2623" s="10"/>
      <c r="G2623" s="2"/>
      <c r="H2623" s="3"/>
      <c r="I2623" s="2"/>
      <c r="J2623" s="2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</row>
    <row r="2624" spans="1:31" x14ac:dyDescent="0.3">
      <c r="A2624" s="63"/>
      <c r="B2624" s="63"/>
      <c r="C2624" s="39"/>
      <c r="D2624" s="6"/>
      <c r="E2624" s="153"/>
      <c r="F2624" s="10"/>
      <c r="G2624" s="64"/>
      <c r="H2624" s="3"/>
      <c r="I2624" s="2"/>
      <c r="J2624" s="2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</row>
    <row r="2625" spans="1:31" x14ac:dyDescent="0.3">
      <c r="A2625" s="63"/>
      <c r="B2625" s="63"/>
      <c r="C2625" s="39"/>
      <c r="D2625" s="6"/>
      <c r="E2625" s="153"/>
      <c r="F2625" s="10"/>
      <c r="G2625" s="64"/>
      <c r="H2625" s="3"/>
      <c r="I2625" s="2"/>
      <c r="J2625" s="2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</row>
    <row r="2626" spans="1:31" ht="13.5" customHeight="1" x14ac:dyDescent="0.35">
      <c r="A2626" s="49"/>
      <c r="B2626" s="49"/>
      <c r="C2626" s="39"/>
      <c r="D2626" s="1"/>
      <c r="E2626" s="153"/>
      <c r="F2626" s="10"/>
      <c r="G2626" s="21"/>
      <c r="H2626" s="21"/>
      <c r="I2626" s="21"/>
      <c r="J2626" s="21"/>
      <c r="K2626" s="21"/>
      <c r="L2626" s="21"/>
      <c r="M2626" s="21"/>
      <c r="N2626" s="22"/>
      <c r="O2626" s="21"/>
      <c r="P2626" s="22"/>
      <c r="Q2626" s="21"/>
      <c r="R2626" s="21"/>
      <c r="S2626" s="21"/>
      <c r="T2626" s="21"/>
      <c r="U2626" s="21"/>
      <c r="V2626" s="22"/>
      <c r="W2626" s="21"/>
      <c r="X2626" s="22"/>
      <c r="Y2626" s="21"/>
      <c r="Z2626" s="21"/>
      <c r="AA2626" s="21"/>
      <c r="AB2626" s="21"/>
      <c r="AC2626" s="26"/>
      <c r="AD2626" s="26"/>
      <c r="AE2626" s="62"/>
    </row>
    <row r="2627" spans="1:31" ht="13.5" customHeight="1" x14ac:dyDescent="0.3">
      <c r="A2627" s="6"/>
      <c r="B2627" s="6"/>
      <c r="C2627" s="39"/>
      <c r="D2627" s="6"/>
      <c r="E2627" s="153"/>
      <c r="F2627" s="10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21"/>
      <c r="R2627" s="21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</row>
    <row r="2628" spans="1:31" ht="13.5" customHeight="1" x14ac:dyDescent="0.35">
      <c r="A2628" s="49"/>
      <c r="B2628" s="49"/>
      <c r="C2628" s="14"/>
      <c r="D2628" s="1"/>
      <c r="E2628" s="153"/>
      <c r="F2628" s="10"/>
      <c r="G2628" s="21"/>
      <c r="H2628" s="21"/>
      <c r="I2628" s="21"/>
      <c r="J2628" s="21"/>
      <c r="K2628" s="21"/>
      <c r="L2628" s="21"/>
      <c r="M2628" s="21"/>
      <c r="N2628" s="22"/>
      <c r="O2628" s="21"/>
      <c r="P2628" s="22"/>
      <c r="Q2628" s="21"/>
      <c r="R2628" s="21"/>
      <c r="S2628" s="21"/>
      <c r="T2628" s="21"/>
      <c r="U2628" s="21"/>
      <c r="V2628" s="22"/>
      <c r="W2628" s="21"/>
      <c r="X2628" s="22"/>
      <c r="Y2628" s="21"/>
      <c r="Z2628" s="21"/>
      <c r="AA2628" s="21"/>
      <c r="AB2628" s="21"/>
      <c r="AC2628" s="26"/>
      <c r="AD2628" s="26"/>
      <c r="AE2628" s="62"/>
    </row>
    <row r="2629" spans="1:31" x14ac:dyDescent="0.3">
      <c r="A2629" s="6"/>
      <c r="B2629" s="6"/>
      <c r="C2629" s="39"/>
      <c r="D2629" s="6"/>
      <c r="E2629" s="153"/>
      <c r="F2629" s="10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</row>
    <row r="2630" spans="1:31" ht="13.5" customHeight="1" x14ac:dyDescent="0.35">
      <c r="A2630" s="63"/>
      <c r="B2630" s="63"/>
      <c r="C2630" s="39"/>
      <c r="D2630" s="6"/>
      <c r="E2630" s="153"/>
      <c r="F2630" s="10"/>
      <c r="G2630" s="64"/>
      <c r="H2630" s="3"/>
      <c r="I2630" s="2"/>
      <c r="J2630" s="2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65"/>
    </row>
    <row r="2631" spans="1:31" ht="13.5" customHeight="1" x14ac:dyDescent="0.35">
      <c r="A2631" s="49"/>
      <c r="B2631" s="49"/>
      <c r="C2631" s="39"/>
      <c r="D2631" s="1"/>
      <c r="E2631" s="153"/>
      <c r="F2631" s="10"/>
      <c r="G2631" s="21"/>
      <c r="H2631" s="21"/>
      <c r="I2631" s="21"/>
      <c r="J2631" s="21"/>
      <c r="K2631" s="21"/>
      <c r="L2631" s="21"/>
      <c r="M2631" s="21"/>
      <c r="N2631" s="22"/>
      <c r="O2631" s="21"/>
      <c r="P2631" s="22"/>
      <c r="Q2631" s="21"/>
      <c r="R2631" s="21"/>
      <c r="S2631" s="21"/>
      <c r="T2631" s="21"/>
      <c r="U2631" s="21"/>
      <c r="V2631" s="22"/>
      <c r="W2631" s="21"/>
      <c r="X2631" s="22"/>
      <c r="Y2631" s="21"/>
      <c r="Z2631" s="21"/>
      <c r="AA2631" s="21"/>
      <c r="AB2631" s="21"/>
      <c r="AC2631" s="26"/>
      <c r="AD2631" s="26"/>
      <c r="AE2631" s="62"/>
    </row>
    <row r="2632" spans="1:31" ht="13.5" customHeight="1" x14ac:dyDescent="0.35">
      <c r="A2632" s="49"/>
      <c r="B2632" s="49"/>
      <c r="C2632" s="14"/>
      <c r="D2632" s="1"/>
      <c r="E2632" s="153"/>
      <c r="F2632" s="10"/>
      <c r="G2632" s="21"/>
      <c r="H2632" s="21"/>
      <c r="I2632" s="21"/>
      <c r="J2632" s="21"/>
      <c r="K2632" s="21"/>
      <c r="L2632" s="21"/>
      <c r="M2632" s="21"/>
      <c r="N2632" s="22"/>
      <c r="O2632" s="21"/>
      <c r="P2632" s="22"/>
      <c r="Q2632" s="21"/>
      <c r="R2632" s="21"/>
      <c r="S2632" s="21"/>
      <c r="T2632" s="21"/>
      <c r="U2632" s="21"/>
      <c r="V2632" s="22"/>
      <c r="W2632" s="21"/>
      <c r="X2632" s="22"/>
      <c r="Y2632" s="21"/>
      <c r="Z2632" s="21"/>
      <c r="AA2632" s="21"/>
      <c r="AB2632" s="21"/>
      <c r="AC2632" s="26"/>
      <c r="AD2632" s="26"/>
      <c r="AE2632" s="62"/>
    </row>
    <row r="2633" spans="1:31" ht="13.5" customHeight="1" x14ac:dyDescent="0.35">
      <c r="A2633" s="49"/>
      <c r="B2633" s="49"/>
      <c r="C2633" s="39"/>
      <c r="D2633" s="1"/>
      <c r="E2633" s="153"/>
      <c r="F2633" s="10"/>
      <c r="G2633" s="21"/>
      <c r="H2633" s="21"/>
      <c r="I2633" s="21"/>
      <c r="J2633" s="21"/>
      <c r="K2633" s="21"/>
      <c r="L2633" s="21"/>
      <c r="M2633" s="21"/>
      <c r="N2633" s="22"/>
      <c r="O2633" s="21"/>
      <c r="P2633" s="22"/>
      <c r="Q2633" s="21"/>
      <c r="R2633" s="21"/>
      <c r="S2633" s="21"/>
      <c r="T2633" s="21"/>
      <c r="U2633" s="21"/>
      <c r="V2633" s="22"/>
      <c r="W2633" s="21"/>
      <c r="X2633" s="22"/>
      <c r="Y2633" s="21"/>
      <c r="Z2633" s="21"/>
      <c r="AA2633" s="21"/>
      <c r="AB2633" s="21"/>
      <c r="AC2633" s="26"/>
      <c r="AD2633" s="26"/>
      <c r="AE2633" s="62"/>
    </row>
    <row r="2634" spans="1:31" ht="13.5" customHeight="1" x14ac:dyDescent="0.35">
      <c r="A2634" s="49"/>
      <c r="B2634" s="49"/>
      <c r="C2634" s="39"/>
      <c r="D2634" s="1"/>
      <c r="E2634" s="153"/>
      <c r="F2634" s="10"/>
      <c r="G2634" s="21"/>
      <c r="H2634" s="21"/>
      <c r="I2634" s="21"/>
      <c r="J2634" s="21"/>
      <c r="K2634" s="21"/>
      <c r="L2634" s="21"/>
      <c r="M2634" s="21"/>
      <c r="N2634" s="22"/>
      <c r="O2634" s="21"/>
      <c r="P2634" s="22"/>
      <c r="Q2634" s="21"/>
      <c r="R2634" s="21"/>
      <c r="S2634" s="21"/>
      <c r="T2634" s="21"/>
      <c r="U2634" s="21"/>
      <c r="V2634" s="22"/>
      <c r="W2634" s="21"/>
      <c r="X2634" s="22"/>
      <c r="Y2634" s="21"/>
      <c r="Z2634" s="21"/>
      <c r="AA2634" s="21"/>
      <c r="AB2634" s="21"/>
      <c r="AC2634" s="26"/>
      <c r="AD2634" s="26"/>
      <c r="AE2634" s="62"/>
    </row>
    <row r="2635" spans="1:31" ht="15" x14ac:dyDescent="0.35">
      <c r="A2635" s="6"/>
      <c r="B2635" s="6"/>
      <c r="C2635" s="39"/>
      <c r="D2635" s="6"/>
      <c r="E2635" s="153"/>
      <c r="F2635" s="10"/>
      <c r="G2635" s="2"/>
      <c r="H2635" s="3"/>
      <c r="I2635" s="2"/>
      <c r="J2635" s="2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65"/>
    </row>
    <row r="2636" spans="1:31" x14ac:dyDescent="0.3">
      <c r="A2636" s="6"/>
      <c r="B2636" s="6"/>
      <c r="C2636" s="39"/>
      <c r="D2636" s="6"/>
      <c r="E2636" s="153"/>
      <c r="F2636" s="10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21"/>
      <c r="R2636" s="21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</row>
    <row r="2637" spans="1:31" x14ac:dyDescent="0.3">
      <c r="A2637" s="63"/>
      <c r="B2637" s="63"/>
      <c r="C2637" s="39"/>
      <c r="D2637" s="6"/>
      <c r="E2637" s="153"/>
      <c r="F2637" s="10"/>
      <c r="G2637" s="64"/>
      <c r="H2637" s="3"/>
      <c r="I2637" s="2"/>
      <c r="J2637" s="2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</row>
    <row r="2638" spans="1:31" x14ac:dyDescent="0.3">
      <c r="A2638" s="6"/>
      <c r="B2638" s="6"/>
      <c r="C2638" s="39"/>
      <c r="D2638" s="6"/>
      <c r="E2638" s="153"/>
      <c r="F2638" s="10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21"/>
      <c r="R2638" s="21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</row>
    <row r="2639" spans="1:31" x14ac:dyDescent="0.3">
      <c r="A2639" s="6"/>
      <c r="B2639" s="6"/>
      <c r="C2639" s="39"/>
      <c r="D2639" s="6"/>
      <c r="E2639" s="153"/>
      <c r="F2639" s="10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21"/>
      <c r="R2639" s="21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</row>
    <row r="2640" spans="1:31" x14ac:dyDescent="0.3">
      <c r="A2640" s="6"/>
      <c r="B2640" s="6"/>
      <c r="C2640" s="39"/>
      <c r="D2640" s="6"/>
      <c r="E2640" s="153"/>
      <c r="F2640" s="10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21"/>
      <c r="R2640" s="21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</row>
    <row r="2641" spans="1:31" x14ac:dyDescent="0.3">
      <c r="A2641" s="6"/>
      <c r="B2641" s="6"/>
      <c r="C2641" s="39"/>
      <c r="D2641" s="6"/>
      <c r="E2641" s="153"/>
      <c r="F2641" s="10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</row>
    <row r="2642" spans="1:31" x14ac:dyDescent="0.3">
      <c r="A2642" s="63"/>
      <c r="B2642" s="63"/>
      <c r="C2642" s="39"/>
      <c r="D2642" s="6"/>
      <c r="E2642" s="153"/>
      <c r="F2642" s="10"/>
      <c r="G2642" s="64"/>
      <c r="H2642" s="3"/>
      <c r="I2642" s="2"/>
      <c r="J2642" s="2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</row>
    <row r="2643" spans="1:31" ht="13.5" customHeight="1" x14ac:dyDescent="0.35">
      <c r="A2643" s="49"/>
      <c r="B2643" s="49"/>
      <c r="C2643" s="39"/>
      <c r="D2643" s="1"/>
      <c r="E2643" s="153"/>
      <c r="F2643" s="10"/>
      <c r="G2643" s="21"/>
      <c r="H2643" s="21"/>
      <c r="I2643" s="21"/>
      <c r="J2643" s="21"/>
      <c r="K2643" s="21"/>
      <c r="L2643" s="21"/>
      <c r="M2643" s="21"/>
      <c r="N2643" s="22"/>
      <c r="O2643" s="21"/>
      <c r="P2643" s="22"/>
      <c r="Q2643" s="21"/>
      <c r="R2643" s="21"/>
      <c r="S2643" s="21"/>
      <c r="T2643" s="21"/>
      <c r="U2643" s="21"/>
      <c r="V2643" s="22"/>
      <c r="W2643" s="21"/>
      <c r="X2643" s="22"/>
      <c r="Y2643" s="21"/>
      <c r="Z2643" s="21"/>
      <c r="AA2643" s="21"/>
      <c r="AB2643" s="21"/>
      <c r="AC2643" s="26"/>
      <c r="AD2643" s="26"/>
      <c r="AE2643" s="62"/>
    </row>
    <row r="2644" spans="1:31" x14ac:dyDescent="0.3">
      <c r="A2644" s="63"/>
      <c r="B2644" s="63"/>
      <c r="C2644" s="39"/>
      <c r="D2644" s="6"/>
      <c r="E2644" s="153"/>
      <c r="F2644" s="10"/>
      <c r="G2644" s="64"/>
      <c r="H2644" s="3"/>
      <c r="I2644" s="2"/>
      <c r="J2644" s="2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</row>
    <row r="2645" spans="1:31" x14ac:dyDescent="0.3">
      <c r="A2645" s="6"/>
      <c r="B2645" s="6"/>
      <c r="C2645" s="39"/>
      <c r="D2645" s="6"/>
      <c r="E2645" s="153"/>
      <c r="F2645" s="10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21"/>
      <c r="R2645" s="21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</row>
    <row r="2646" spans="1:31" x14ac:dyDescent="0.3">
      <c r="A2646" s="6"/>
      <c r="B2646" s="6"/>
      <c r="C2646" s="39"/>
      <c r="D2646" s="6"/>
      <c r="E2646" s="153"/>
      <c r="F2646" s="10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21"/>
      <c r="R2646" s="21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</row>
    <row r="2647" spans="1:31" x14ac:dyDescent="0.3">
      <c r="A2647" s="63"/>
      <c r="B2647" s="63"/>
      <c r="C2647" s="39"/>
      <c r="D2647" s="6"/>
      <c r="E2647" s="153"/>
      <c r="F2647" s="10"/>
      <c r="G2647" s="64"/>
      <c r="H2647" s="3"/>
      <c r="I2647" s="2"/>
      <c r="J2647" s="2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</row>
    <row r="2648" spans="1:31" x14ac:dyDescent="0.3">
      <c r="A2648" s="6"/>
      <c r="B2648" s="6"/>
      <c r="C2648" s="39"/>
      <c r="D2648" s="6"/>
      <c r="E2648" s="153"/>
      <c r="F2648" s="10"/>
      <c r="G2648" s="2"/>
      <c r="H2648" s="3"/>
      <c r="I2648" s="2"/>
      <c r="J2648" s="2"/>
      <c r="K2648" s="3"/>
      <c r="L2648" s="3"/>
      <c r="M2648" s="3"/>
      <c r="N2648" s="3"/>
      <c r="O2648" s="3"/>
      <c r="P2648" s="3"/>
      <c r="Q2648" s="21"/>
      <c r="R2648" s="21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</row>
    <row r="2649" spans="1:31" x14ac:dyDescent="0.3">
      <c r="A2649" s="63"/>
      <c r="B2649" s="63"/>
      <c r="C2649" s="39"/>
      <c r="D2649" s="6"/>
      <c r="E2649" s="153"/>
      <c r="F2649" s="10"/>
      <c r="G2649" s="64"/>
      <c r="H2649" s="3"/>
      <c r="I2649" s="2"/>
      <c r="J2649" s="2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</row>
    <row r="2650" spans="1:31" x14ac:dyDescent="0.3">
      <c r="A2650" s="63"/>
      <c r="B2650" s="63"/>
      <c r="C2650" s="39"/>
      <c r="D2650" s="6"/>
      <c r="E2650" s="153"/>
      <c r="F2650" s="10"/>
      <c r="G2650" s="64"/>
      <c r="H2650" s="3"/>
      <c r="I2650" s="2"/>
      <c r="J2650" s="2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</row>
    <row r="2651" spans="1:31" x14ac:dyDescent="0.3">
      <c r="A2651" s="6"/>
      <c r="B2651" s="6"/>
      <c r="C2651" s="39"/>
      <c r="D2651" s="6"/>
      <c r="E2651" s="153"/>
      <c r="F2651" s="10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21"/>
      <c r="R2651" s="21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</row>
    <row r="2652" spans="1:31" x14ac:dyDescent="0.3">
      <c r="A2652" s="6"/>
      <c r="B2652" s="6"/>
      <c r="C2652" s="39"/>
      <c r="D2652" s="6"/>
      <c r="E2652" s="153"/>
      <c r="F2652" s="10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21"/>
      <c r="R2652" s="21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</row>
    <row r="2653" spans="1:31" x14ac:dyDescent="0.3">
      <c r="A2653" s="63"/>
      <c r="B2653" s="63"/>
      <c r="C2653" s="39"/>
      <c r="D2653" s="6"/>
      <c r="E2653" s="153"/>
      <c r="F2653" s="10"/>
      <c r="G2653" s="64"/>
      <c r="H2653" s="3"/>
      <c r="I2653" s="2"/>
      <c r="J2653" s="2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</row>
    <row r="2654" spans="1:31" x14ac:dyDescent="0.3">
      <c r="A2654" s="6"/>
      <c r="B2654" s="6"/>
      <c r="C2654" s="39"/>
      <c r="D2654" s="6"/>
      <c r="E2654" s="153"/>
      <c r="F2654" s="10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21"/>
      <c r="R2654" s="21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</row>
    <row r="2655" spans="1:31" x14ac:dyDescent="0.3">
      <c r="A2655" s="63"/>
      <c r="B2655" s="63"/>
      <c r="C2655" s="39"/>
      <c r="D2655" s="6"/>
      <c r="E2655" s="153"/>
      <c r="F2655" s="10"/>
      <c r="G2655" s="64"/>
      <c r="H2655" s="3"/>
      <c r="I2655" s="2"/>
      <c r="J2655" s="2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</row>
    <row r="2656" spans="1:31" ht="13.5" customHeight="1" x14ac:dyDescent="0.35">
      <c r="A2656" s="49"/>
      <c r="B2656" s="49"/>
      <c r="C2656" s="39"/>
      <c r="D2656" s="1"/>
      <c r="E2656" s="153"/>
      <c r="F2656" s="10"/>
      <c r="G2656" s="21"/>
      <c r="H2656" s="21"/>
      <c r="I2656" s="21"/>
      <c r="J2656" s="21"/>
      <c r="K2656" s="21"/>
      <c r="L2656" s="21"/>
      <c r="M2656" s="21"/>
      <c r="N2656" s="22"/>
      <c r="O2656" s="21"/>
      <c r="P2656" s="22"/>
      <c r="Q2656" s="21"/>
      <c r="R2656" s="21"/>
      <c r="S2656" s="21"/>
      <c r="T2656" s="21"/>
      <c r="U2656" s="21"/>
      <c r="V2656" s="22"/>
      <c r="W2656" s="21"/>
      <c r="X2656" s="22"/>
      <c r="Y2656" s="21"/>
      <c r="Z2656" s="21"/>
      <c r="AA2656" s="21"/>
      <c r="AB2656" s="21"/>
      <c r="AC2656" s="26"/>
      <c r="AD2656" s="26"/>
      <c r="AE2656" s="62"/>
    </row>
    <row r="2657" spans="1:31" ht="13.5" customHeight="1" x14ac:dyDescent="0.35">
      <c r="A2657" s="49"/>
      <c r="B2657" s="49"/>
      <c r="C2657" s="39"/>
      <c r="D2657" s="1"/>
      <c r="E2657" s="153"/>
      <c r="F2657" s="10"/>
      <c r="G2657" s="21"/>
      <c r="H2657" s="21"/>
      <c r="I2657" s="21"/>
      <c r="J2657" s="21"/>
      <c r="K2657" s="21"/>
      <c r="L2657" s="21"/>
      <c r="M2657" s="21"/>
      <c r="N2657" s="22"/>
      <c r="O2657" s="21"/>
      <c r="P2657" s="22"/>
      <c r="Q2657" s="21"/>
      <c r="R2657" s="21"/>
      <c r="S2657" s="21"/>
      <c r="T2657" s="21"/>
      <c r="U2657" s="21"/>
      <c r="V2657" s="22"/>
      <c r="W2657" s="21"/>
      <c r="X2657" s="22"/>
      <c r="Y2657" s="21"/>
      <c r="Z2657" s="21"/>
      <c r="AA2657" s="21"/>
      <c r="AB2657" s="21"/>
      <c r="AC2657" s="26"/>
      <c r="AD2657" s="26"/>
      <c r="AE2657" s="62"/>
    </row>
    <row r="2658" spans="1:31" x14ac:dyDescent="0.3">
      <c r="A2658" s="6"/>
      <c r="B2658" s="6"/>
      <c r="C2658" s="39"/>
      <c r="D2658" s="6"/>
      <c r="E2658" s="153"/>
      <c r="F2658" s="10"/>
      <c r="G2658" s="2"/>
      <c r="H2658" s="3"/>
      <c r="I2658" s="2"/>
      <c r="J2658" s="2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</row>
    <row r="2659" spans="1:31" ht="13.5" customHeight="1" x14ac:dyDescent="0.35">
      <c r="A2659" s="49"/>
      <c r="B2659" s="49"/>
      <c r="C2659" s="14"/>
      <c r="D2659" s="1"/>
      <c r="E2659" s="153"/>
      <c r="F2659" s="10"/>
      <c r="G2659" s="21"/>
      <c r="H2659" s="21"/>
      <c r="I2659" s="21"/>
      <c r="J2659" s="21"/>
      <c r="K2659" s="21"/>
      <c r="L2659" s="21"/>
      <c r="M2659" s="21"/>
      <c r="N2659" s="22"/>
      <c r="O2659" s="21"/>
      <c r="P2659" s="22"/>
      <c r="Q2659" s="21"/>
      <c r="R2659" s="21"/>
      <c r="S2659" s="21"/>
      <c r="T2659" s="21"/>
      <c r="U2659" s="21"/>
      <c r="V2659" s="22"/>
      <c r="W2659" s="21"/>
      <c r="X2659" s="22"/>
      <c r="Y2659" s="21"/>
      <c r="Z2659" s="21"/>
      <c r="AA2659" s="21"/>
      <c r="AB2659" s="21"/>
      <c r="AC2659" s="26"/>
      <c r="AD2659" s="26"/>
      <c r="AE2659" s="62"/>
    </row>
    <row r="2660" spans="1:31" x14ac:dyDescent="0.3">
      <c r="A2660" s="63"/>
      <c r="B2660" s="63"/>
      <c r="C2660" s="39"/>
      <c r="D2660" s="6"/>
      <c r="E2660" s="153"/>
      <c r="F2660" s="10"/>
      <c r="G2660" s="64"/>
      <c r="H2660" s="3"/>
      <c r="I2660" s="2"/>
      <c r="J2660" s="2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</row>
    <row r="2661" spans="1:31" x14ac:dyDescent="0.3">
      <c r="A2661" s="6"/>
      <c r="B2661" s="6"/>
      <c r="C2661" s="39"/>
      <c r="D2661" s="6"/>
      <c r="E2661" s="153"/>
      <c r="F2661" s="10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21"/>
      <c r="R2661" s="21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</row>
    <row r="2662" spans="1:31" ht="13.5" customHeight="1" x14ac:dyDescent="0.35">
      <c r="A2662" s="49"/>
      <c r="B2662" s="49"/>
      <c r="C2662" s="39"/>
      <c r="D2662" s="1"/>
      <c r="E2662" s="153"/>
      <c r="F2662" s="10"/>
      <c r="G2662" s="21"/>
      <c r="H2662" s="21"/>
      <c r="I2662" s="21"/>
      <c r="J2662" s="21"/>
      <c r="K2662" s="21"/>
      <c r="L2662" s="21"/>
      <c r="M2662" s="21"/>
      <c r="N2662" s="22"/>
      <c r="O2662" s="21"/>
      <c r="P2662" s="22"/>
      <c r="Q2662" s="21"/>
      <c r="R2662" s="21"/>
      <c r="S2662" s="21"/>
      <c r="T2662" s="21"/>
      <c r="U2662" s="21"/>
      <c r="V2662" s="22"/>
      <c r="W2662" s="21"/>
      <c r="X2662" s="22"/>
      <c r="Y2662" s="21"/>
      <c r="Z2662" s="21"/>
      <c r="AA2662" s="21"/>
      <c r="AB2662" s="21"/>
      <c r="AC2662" s="26"/>
      <c r="AD2662" s="26"/>
      <c r="AE2662" s="62"/>
    </row>
    <row r="2663" spans="1:31" ht="13.5" customHeight="1" x14ac:dyDescent="0.35">
      <c r="A2663" s="49"/>
      <c r="B2663" s="49"/>
      <c r="C2663" s="39"/>
      <c r="D2663" s="1"/>
      <c r="E2663" s="153"/>
      <c r="F2663" s="10"/>
      <c r="G2663" s="21"/>
      <c r="H2663" s="21"/>
      <c r="I2663" s="21"/>
      <c r="J2663" s="21"/>
      <c r="K2663" s="21"/>
      <c r="L2663" s="21"/>
      <c r="M2663" s="21"/>
      <c r="N2663" s="22"/>
      <c r="O2663" s="21"/>
      <c r="P2663" s="22"/>
      <c r="Q2663" s="21"/>
      <c r="R2663" s="21"/>
      <c r="S2663" s="21"/>
      <c r="T2663" s="21"/>
      <c r="U2663" s="21"/>
      <c r="V2663" s="22"/>
      <c r="W2663" s="21"/>
      <c r="X2663" s="22"/>
      <c r="Y2663" s="21"/>
      <c r="Z2663" s="21"/>
      <c r="AA2663" s="21"/>
      <c r="AB2663" s="21"/>
      <c r="AC2663" s="26"/>
      <c r="AD2663" s="26"/>
      <c r="AE2663" s="62"/>
    </row>
    <row r="2664" spans="1:31" x14ac:dyDescent="0.3">
      <c r="A2664" s="6"/>
      <c r="B2664" s="6"/>
      <c r="C2664" s="39"/>
      <c r="D2664" s="6"/>
      <c r="E2664" s="153"/>
      <c r="F2664" s="10"/>
      <c r="G2664" s="2"/>
      <c r="H2664" s="3"/>
      <c r="I2664" s="2"/>
      <c r="J2664" s="2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</row>
    <row r="2665" spans="1:31" x14ac:dyDescent="0.3">
      <c r="A2665" s="6"/>
      <c r="B2665" s="6"/>
      <c r="C2665" s="39"/>
      <c r="D2665" s="6"/>
      <c r="E2665" s="153"/>
      <c r="F2665" s="10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21"/>
      <c r="R2665" s="21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</row>
    <row r="2666" spans="1:31" x14ac:dyDescent="0.3">
      <c r="A2666" s="6"/>
      <c r="B2666" s="6"/>
      <c r="C2666" s="39"/>
      <c r="D2666" s="6"/>
      <c r="E2666" s="153"/>
      <c r="F2666" s="10"/>
      <c r="G2666" s="2"/>
      <c r="H2666" s="3"/>
      <c r="I2666" s="2"/>
      <c r="J2666" s="2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</row>
    <row r="2667" spans="1:31" x14ac:dyDescent="0.3">
      <c r="A2667" s="63"/>
      <c r="B2667" s="63"/>
      <c r="C2667" s="39"/>
      <c r="D2667" s="6"/>
      <c r="E2667" s="153"/>
      <c r="F2667" s="10"/>
      <c r="G2667" s="64"/>
      <c r="H2667" s="3"/>
      <c r="I2667" s="2"/>
      <c r="J2667" s="2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</row>
    <row r="2668" spans="1:31" ht="13.5" customHeight="1" x14ac:dyDescent="0.35">
      <c r="A2668" s="49"/>
      <c r="B2668" s="49"/>
      <c r="C2668" s="39"/>
      <c r="D2668" s="1"/>
      <c r="E2668" s="153"/>
      <c r="F2668" s="10"/>
      <c r="G2668" s="21"/>
      <c r="H2668" s="21"/>
      <c r="I2668" s="21"/>
      <c r="J2668" s="21"/>
      <c r="K2668" s="21"/>
      <c r="L2668" s="21"/>
      <c r="M2668" s="21"/>
      <c r="N2668" s="22"/>
      <c r="O2668" s="21"/>
      <c r="P2668" s="22"/>
      <c r="Q2668" s="21"/>
      <c r="R2668" s="21"/>
      <c r="S2668" s="21"/>
      <c r="T2668" s="21"/>
      <c r="U2668" s="21"/>
      <c r="V2668" s="22"/>
      <c r="W2668" s="21"/>
      <c r="X2668" s="22"/>
      <c r="Y2668" s="21"/>
      <c r="Z2668" s="21"/>
      <c r="AA2668" s="21"/>
      <c r="AB2668" s="21"/>
      <c r="AC2668" s="26"/>
      <c r="AD2668" s="26"/>
      <c r="AE2668" s="65"/>
    </row>
    <row r="2669" spans="1:31" x14ac:dyDescent="0.3">
      <c r="A2669" s="6"/>
      <c r="B2669" s="6"/>
      <c r="C2669" s="39"/>
      <c r="D2669" s="6"/>
      <c r="E2669" s="153"/>
      <c r="F2669" s="10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21"/>
      <c r="R2669" s="21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</row>
    <row r="2670" spans="1:31" ht="13.5" customHeight="1" x14ac:dyDescent="0.35">
      <c r="A2670" s="49"/>
      <c r="B2670" s="49"/>
      <c r="C2670" s="14"/>
      <c r="D2670" s="1"/>
      <c r="E2670" s="153"/>
      <c r="F2670" s="10"/>
      <c r="G2670" s="21"/>
      <c r="H2670" s="21"/>
      <c r="I2670" s="21"/>
      <c r="J2670" s="21"/>
      <c r="K2670" s="21"/>
      <c r="L2670" s="21"/>
      <c r="M2670" s="21"/>
      <c r="N2670" s="22"/>
      <c r="O2670" s="21"/>
      <c r="P2670" s="22"/>
      <c r="Q2670" s="21"/>
      <c r="R2670" s="21"/>
      <c r="S2670" s="21"/>
      <c r="T2670" s="21"/>
      <c r="U2670" s="21"/>
      <c r="V2670" s="22"/>
      <c r="W2670" s="21"/>
      <c r="X2670" s="22"/>
      <c r="Y2670" s="21"/>
      <c r="Z2670" s="21"/>
      <c r="AA2670" s="21"/>
      <c r="AB2670" s="21"/>
      <c r="AC2670" s="26"/>
      <c r="AD2670" s="26"/>
      <c r="AE2670" s="62"/>
    </row>
    <row r="2671" spans="1:31" x14ac:dyDescent="0.3">
      <c r="A2671" s="6"/>
      <c r="B2671" s="6"/>
      <c r="C2671" s="39"/>
      <c r="D2671" s="6"/>
      <c r="E2671" s="153"/>
      <c r="F2671" s="10"/>
      <c r="G2671" s="2"/>
      <c r="H2671" s="3"/>
      <c r="I2671" s="2"/>
      <c r="J2671" s="2"/>
      <c r="K2671" s="3"/>
      <c r="L2671" s="3"/>
      <c r="M2671" s="3"/>
      <c r="N2671" s="3"/>
      <c r="O2671" s="3"/>
      <c r="P2671" s="3"/>
      <c r="Q2671" s="21"/>
      <c r="R2671" s="21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</row>
    <row r="2672" spans="1:31" ht="13.5" customHeight="1" x14ac:dyDescent="0.35">
      <c r="A2672" s="49"/>
      <c r="B2672" s="49"/>
      <c r="C2672" s="14"/>
      <c r="D2672" s="1"/>
      <c r="E2672" s="153"/>
      <c r="F2672" s="10"/>
      <c r="G2672" s="21"/>
      <c r="H2672" s="21"/>
      <c r="I2672" s="21"/>
      <c r="J2672" s="21"/>
      <c r="K2672" s="21"/>
      <c r="L2672" s="21"/>
      <c r="M2672" s="21"/>
      <c r="N2672" s="22"/>
      <c r="O2672" s="21"/>
      <c r="P2672" s="22"/>
      <c r="Q2672" s="21"/>
      <c r="R2672" s="21"/>
      <c r="S2672" s="21"/>
      <c r="T2672" s="21"/>
      <c r="U2672" s="21"/>
      <c r="V2672" s="22"/>
      <c r="W2672" s="21"/>
      <c r="X2672" s="22"/>
      <c r="Y2672" s="21"/>
      <c r="Z2672" s="21"/>
      <c r="AA2672" s="21"/>
      <c r="AB2672" s="21"/>
      <c r="AC2672" s="26"/>
      <c r="AD2672" s="26"/>
      <c r="AE2672" s="62"/>
    </row>
    <row r="2673" spans="1:31" x14ac:dyDescent="0.3">
      <c r="A2673" s="6"/>
      <c r="B2673" s="6"/>
      <c r="C2673" s="39"/>
      <c r="D2673" s="6"/>
      <c r="E2673" s="153"/>
      <c r="F2673" s="10"/>
      <c r="G2673" s="2"/>
      <c r="H2673" s="3"/>
      <c r="I2673" s="2"/>
      <c r="J2673" s="2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</row>
    <row r="2674" spans="1:31" x14ac:dyDescent="0.3">
      <c r="A2674" s="63"/>
      <c r="B2674" s="63"/>
      <c r="C2674" s="39"/>
      <c r="D2674" s="6"/>
      <c r="E2674" s="153"/>
      <c r="F2674" s="10"/>
      <c r="G2674" s="64"/>
      <c r="H2674" s="3"/>
      <c r="I2674" s="2"/>
      <c r="J2674" s="2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</row>
    <row r="2675" spans="1:31" ht="13.5" customHeight="1" x14ac:dyDescent="0.3">
      <c r="A2675" s="6"/>
      <c r="B2675" s="6"/>
      <c r="C2675" s="39"/>
      <c r="D2675" s="6"/>
      <c r="E2675" s="153"/>
      <c r="F2675" s="10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21"/>
      <c r="R2675" s="21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</row>
    <row r="2676" spans="1:31" x14ac:dyDescent="0.3">
      <c r="A2676" s="6"/>
      <c r="B2676" s="6"/>
      <c r="C2676" s="39"/>
      <c r="D2676" s="6"/>
      <c r="E2676" s="153"/>
      <c r="F2676" s="10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21"/>
      <c r="R2676" s="21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</row>
    <row r="2677" spans="1:31" x14ac:dyDescent="0.3">
      <c r="A2677" s="6"/>
      <c r="B2677" s="6"/>
      <c r="C2677" s="39"/>
      <c r="D2677" s="6"/>
      <c r="E2677" s="153"/>
      <c r="F2677" s="10"/>
      <c r="G2677" s="2"/>
      <c r="H2677" s="3"/>
      <c r="I2677" s="2"/>
      <c r="J2677" s="2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</row>
    <row r="2678" spans="1:31" x14ac:dyDescent="0.3">
      <c r="A2678" s="6"/>
      <c r="B2678" s="6"/>
      <c r="C2678" s="39"/>
      <c r="D2678" s="6"/>
      <c r="E2678" s="153"/>
      <c r="F2678" s="10"/>
      <c r="G2678" s="2"/>
      <c r="H2678" s="3"/>
      <c r="I2678" s="2"/>
      <c r="J2678" s="2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</row>
    <row r="2679" spans="1:31" ht="13.5" customHeight="1" x14ac:dyDescent="0.35">
      <c r="A2679" s="49"/>
      <c r="B2679" s="49"/>
      <c r="C2679" s="39"/>
      <c r="D2679" s="1"/>
      <c r="E2679" s="153"/>
      <c r="F2679" s="10"/>
      <c r="G2679" s="21"/>
      <c r="H2679" s="21"/>
      <c r="I2679" s="21"/>
      <c r="J2679" s="21"/>
      <c r="K2679" s="21"/>
      <c r="L2679" s="21"/>
      <c r="M2679" s="21"/>
      <c r="N2679" s="22"/>
      <c r="O2679" s="21"/>
      <c r="P2679" s="22"/>
      <c r="Q2679" s="21"/>
      <c r="R2679" s="21"/>
      <c r="S2679" s="21"/>
      <c r="T2679" s="21"/>
      <c r="U2679" s="21"/>
      <c r="V2679" s="22"/>
      <c r="W2679" s="21"/>
      <c r="X2679" s="22"/>
      <c r="Y2679" s="21"/>
      <c r="Z2679" s="21"/>
      <c r="AA2679" s="21"/>
      <c r="AB2679" s="21"/>
      <c r="AC2679" s="26"/>
      <c r="AD2679" s="26"/>
      <c r="AE2679" s="62"/>
    </row>
    <row r="2680" spans="1:31" ht="15" x14ac:dyDescent="0.35">
      <c r="A2680" s="6"/>
      <c r="B2680" s="6"/>
      <c r="C2680" s="39"/>
      <c r="D2680" s="6"/>
      <c r="E2680" s="153"/>
      <c r="F2680" s="10"/>
      <c r="G2680" s="2"/>
      <c r="H2680" s="3"/>
      <c r="I2680" s="2"/>
      <c r="J2680" s="2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65"/>
    </row>
    <row r="2681" spans="1:31" ht="13.5" customHeight="1" x14ac:dyDescent="0.35">
      <c r="A2681" s="49"/>
      <c r="B2681" s="49"/>
      <c r="C2681" s="39"/>
      <c r="D2681" s="1"/>
      <c r="E2681" s="153"/>
      <c r="F2681" s="10"/>
      <c r="G2681" s="21"/>
      <c r="H2681" s="21"/>
      <c r="I2681" s="21"/>
      <c r="J2681" s="21"/>
      <c r="K2681" s="21"/>
      <c r="L2681" s="21"/>
      <c r="M2681" s="21"/>
      <c r="N2681" s="22"/>
      <c r="O2681" s="21"/>
      <c r="P2681" s="22"/>
      <c r="Q2681" s="21"/>
      <c r="R2681" s="21"/>
      <c r="S2681" s="21"/>
      <c r="T2681" s="21"/>
      <c r="U2681" s="21"/>
      <c r="V2681" s="22"/>
      <c r="W2681" s="21"/>
      <c r="X2681" s="22"/>
      <c r="Y2681" s="21"/>
      <c r="Z2681" s="21"/>
      <c r="AA2681" s="21"/>
      <c r="AB2681" s="21"/>
      <c r="AC2681" s="26"/>
      <c r="AD2681" s="26"/>
      <c r="AE2681" s="62"/>
    </row>
    <row r="2682" spans="1:31" x14ac:dyDescent="0.3">
      <c r="A2682" s="6"/>
      <c r="B2682" s="6"/>
      <c r="C2682" s="39"/>
      <c r="D2682" s="6"/>
      <c r="E2682" s="153"/>
      <c r="F2682" s="10"/>
      <c r="G2682" s="2"/>
      <c r="H2682" s="3"/>
      <c r="I2682" s="2"/>
      <c r="J2682" s="2"/>
      <c r="K2682" s="3"/>
      <c r="L2682" s="3"/>
      <c r="M2682" s="3"/>
      <c r="N2682" s="3"/>
      <c r="O2682" s="3"/>
      <c r="P2682" s="3"/>
      <c r="Q2682" s="21"/>
      <c r="R2682" s="21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</row>
    <row r="2683" spans="1:31" x14ac:dyDescent="0.3">
      <c r="A2683" s="63"/>
      <c r="B2683" s="63"/>
      <c r="C2683" s="39"/>
      <c r="D2683" s="6"/>
      <c r="E2683" s="153"/>
      <c r="F2683" s="10"/>
      <c r="G2683" s="64"/>
      <c r="H2683" s="3"/>
      <c r="I2683" s="2"/>
      <c r="J2683" s="2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</row>
    <row r="2684" spans="1:31" x14ac:dyDescent="0.3">
      <c r="A2684" s="6"/>
      <c r="B2684" s="6"/>
      <c r="C2684" s="39"/>
      <c r="D2684" s="6"/>
      <c r="E2684" s="153"/>
      <c r="F2684" s="10"/>
      <c r="G2684" s="2"/>
      <c r="H2684" s="3"/>
      <c r="I2684" s="2"/>
      <c r="J2684" s="2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</row>
    <row r="2685" spans="1:31" ht="13.5" customHeight="1" x14ac:dyDescent="0.35">
      <c r="A2685" s="49"/>
      <c r="B2685" s="49"/>
      <c r="C2685" s="14"/>
      <c r="D2685" s="1"/>
      <c r="E2685" s="153"/>
      <c r="F2685" s="10"/>
      <c r="G2685" s="21"/>
      <c r="H2685" s="21"/>
      <c r="I2685" s="21"/>
      <c r="J2685" s="21"/>
      <c r="K2685" s="21"/>
      <c r="L2685" s="21"/>
      <c r="M2685" s="21"/>
      <c r="N2685" s="22"/>
      <c r="O2685" s="21"/>
      <c r="P2685" s="22"/>
      <c r="Q2685" s="21"/>
      <c r="R2685" s="21"/>
      <c r="S2685" s="21"/>
      <c r="T2685" s="21"/>
      <c r="U2685" s="21"/>
      <c r="V2685" s="22"/>
      <c r="W2685" s="21"/>
      <c r="X2685" s="22"/>
      <c r="Y2685" s="21"/>
      <c r="Z2685" s="21"/>
      <c r="AA2685" s="21"/>
      <c r="AB2685" s="21"/>
      <c r="AC2685" s="26"/>
      <c r="AD2685" s="26"/>
      <c r="AE2685" s="62"/>
    </row>
    <row r="2686" spans="1:31" ht="13.5" customHeight="1" x14ac:dyDescent="0.35">
      <c r="A2686" s="49"/>
      <c r="B2686" s="49"/>
      <c r="C2686" s="14"/>
      <c r="D2686" s="1"/>
      <c r="E2686" s="153"/>
      <c r="F2686" s="10"/>
      <c r="G2686" s="21"/>
      <c r="H2686" s="21"/>
      <c r="I2686" s="21"/>
      <c r="J2686" s="21"/>
      <c r="K2686" s="21"/>
      <c r="L2686" s="21"/>
      <c r="M2686" s="21"/>
      <c r="N2686" s="22"/>
      <c r="O2686" s="21"/>
      <c r="P2686" s="22"/>
      <c r="Q2686" s="21"/>
      <c r="R2686" s="21"/>
      <c r="S2686" s="21"/>
      <c r="T2686" s="21"/>
      <c r="U2686" s="21"/>
      <c r="V2686" s="22"/>
      <c r="W2686" s="21"/>
      <c r="X2686" s="22"/>
      <c r="Y2686" s="21"/>
      <c r="Z2686" s="21"/>
      <c r="AA2686" s="21"/>
      <c r="AB2686" s="21"/>
      <c r="AC2686" s="26"/>
      <c r="AD2686" s="26"/>
      <c r="AE2686" s="65"/>
    </row>
    <row r="2687" spans="1:31" x14ac:dyDescent="0.3">
      <c r="A2687" s="6"/>
      <c r="B2687" s="6"/>
      <c r="C2687" s="39"/>
      <c r="D2687" s="6"/>
      <c r="E2687" s="153"/>
      <c r="F2687" s="10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21"/>
      <c r="R2687" s="21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</row>
    <row r="2688" spans="1:31" x14ac:dyDescent="0.3">
      <c r="A2688" s="6"/>
      <c r="B2688" s="6"/>
      <c r="C2688" s="39"/>
      <c r="D2688" s="6"/>
      <c r="E2688" s="153"/>
      <c r="F2688" s="10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</row>
    <row r="2689" spans="1:31" ht="13.5" customHeight="1" x14ac:dyDescent="0.35">
      <c r="A2689" s="49"/>
      <c r="B2689" s="49"/>
      <c r="C2689" s="14"/>
      <c r="D2689" s="1"/>
      <c r="E2689" s="153"/>
      <c r="F2689" s="10"/>
      <c r="G2689" s="21"/>
      <c r="H2689" s="21"/>
      <c r="I2689" s="21"/>
      <c r="J2689" s="21"/>
      <c r="K2689" s="21"/>
      <c r="L2689" s="21"/>
      <c r="M2689" s="21"/>
      <c r="N2689" s="22"/>
      <c r="O2689" s="21"/>
      <c r="P2689" s="22"/>
      <c r="Q2689" s="21"/>
      <c r="R2689" s="21"/>
      <c r="S2689" s="21"/>
      <c r="T2689" s="21"/>
      <c r="U2689" s="21"/>
      <c r="V2689" s="22"/>
      <c r="W2689" s="21"/>
      <c r="X2689" s="22"/>
      <c r="Y2689" s="21"/>
      <c r="Z2689" s="21"/>
      <c r="AA2689" s="21"/>
      <c r="AB2689" s="21"/>
      <c r="AC2689" s="26"/>
      <c r="AD2689" s="26"/>
      <c r="AE2689" s="65"/>
    </row>
    <row r="2690" spans="1:31" ht="13.5" customHeight="1" x14ac:dyDescent="0.35">
      <c r="A2690" s="49"/>
      <c r="B2690" s="49"/>
      <c r="C2690" s="39"/>
      <c r="D2690" s="1"/>
      <c r="E2690" s="153"/>
      <c r="F2690" s="10"/>
      <c r="G2690" s="21"/>
      <c r="H2690" s="21"/>
      <c r="I2690" s="21"/>
      <c r="J2690" s="21"/>
      <c r="K2690" s="21"/>
      <c r="L2690" s="21"/>
      <c r="M2690" s="21"/>
      <c r="N2690" s="22"/>
      <c r="O2690" s="21"/>
      <c r="P2690" s="22"/>
      <c r="Q2690" s="21"/>
      <c r="R2690" s="21"/>
      <c r="S2690" s="21"/>
      <c r="T2690" s="21"/>
      <c r="U2690" s="21"/>
      <c r="V2690" s="22"/>
      <c r="W2690" s="21"/>
      <c r="X2690" s="22"/>
      <c r="Y2690" s="21"/>
      <c r="Z2690" s="21"/>
      <c r="AA2690" s="21"/>
      <c r="AB2690" s="21"/>
      <c r="AC2690" s="26"/>
      <c r="AD2690" s="26"/>
      <c r="AE2690" s="62"/>
    </row>
    <row r="2691" spans="1:31" x14ac:dyDescent="0.3">
      <c r="A2691" s="63"/>
      <c r="B2691" s="63"/>
      <c r="C2691" s="39"/>
      <c r="D2691" s="6"/>
      <c r="E2691" s="153"/>
      <c r="F2691" s="10"/>
      <c r="G2691" s="64"/>
      <c r="H2691" s="3"/>
      <c r="I2691" s="2"/>
      <c r="J2691" s="2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</row>
    <row r="2692" spans="1:31" ht="13.5" customHeight="1" x14ac:dyDescent="0.35">
      <c r="A2692" s="49"/>
      <c r="B2692" s="49"/>
      <c r="C2692" s="14"/>
      <c r="D2692" s="1"/>
      <c r="E2692" s="153"/>
      <c r="F2692" s="10"/>
      <c r="G2692" s="21"/>
      <c r="H2692" s="21"/>
      <c r="I2692" s="21"/>
      <c r="J2692" s="21"/>
      <c r="K2692" s="21"/>
      <c r="L2692" s="21"/>
      <c r="M2692" s="21"/>
      <c r="N2692" s="22"/>
      <c r="O2692" s="21"/>
      <c r="P2692" s="22"/>
      <c r="Q2692" s="21"/>
      <c r="R2692" s="21"/>
      <c r="S2692" s="21"/>
      <c r="T2692" s="21"/>
      <c r="U2692" s="21"/>
      <c r="V2692" s="22"/>
      <c r="W2692" s="21"/>
      <c r="X2692" s="22"/>
      <c r="Y2692" s="21"/>
      <c r="Z2692" s="21"/>
      <c r="AA2692" s="21"/>
      <c r="AB2692" s="21"/>
      <c r="AC2692" s="26"/>
      <c r="AD2692" s="26"/>
      <c r="AE2692" s="62"/>
    </row>
    <row r="2693" spans="1:31" ht="15" x14ac:dyDescent="0.35">
      <c r="A2693" s="6"/>
      <c r="B2693" s="6"/>
      <c r="C2693" s="39"/>
      <c r="D2693" s="6"/>
      <c r="E2693" s="153"/>
      <c r="F2693" s="10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21"/>
      <c r="R2693" s="21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65"/>
    </row>
    <row r="2694" spans="1:31" ht="13.5" customHeight="1" x14ac:dyDescent="0.35">
      <c r="A2694" s="49"/>
      <c r="B2694" s="49"/>
      <c r="C2694" s="39"/>
      <c r="D2694" s="1"/>
      <c r="E2694" s="153"/>
      <c r="F2694" s="10"/>
      <c r="G2694" s="21"/>
      <c r="H2694" s="21"/>
      <c r="I2694" s="21"/>
      <c r="J2694" s="21"/>
      <c r="K2694" s="21"/>
      <c r="L2694" s="21"/>
      <c r="M2694" s="21"/>
      <c r="N2694" s="22"/>
      <c r="O2694" s="21"/>
      <c r="P2694" s="22"/>
      <c r="Q2694" s="21"/>
      <c r="R2694" s="21"/>
      <c r="S2694" s="21"/>
      <c r="T2694" s="21"/>
      <c r="U2694" s="21"/>
      <c r="V2694" s="22"/>
      <c r="W2694" s="21"/>
      <c r="X2694" s="22"/>
      <c r="Y2694" s="21"/>
      <c r="Z2694" s="21"/>
      <c r="AA2694" s="21"/>
      <c r="AB2694" s="21"/>
      <c r="AC2694" s="26"/>
      <c r="AD2694" s="26"/>
      <c r="AE2694" s="62"/>
    </row>
    <row r="2695" spans="1:31" x14ac:dyDescent="0.3">
      <c r="A2695" s="6"/>
      <c r="B2695" s="6"/>
      <c r="C2695" s="39"/>
      <c r="D2695" s="6"/>
      <c r="E2695" s="153"/>
      <c r="F2695" s="10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21"/>
      <c r="R2695" s="21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</row>
    <row r="2696" spans="1:31" ht="13.5" customHeight="1" x14ac:dyDescent="0.35">
      <c r="A2696" s="49"/>
      <c r="B2696" s="49"/>
      <c r="C2696" s="14"/>
      <c r="D2696" s="1"/>
      <c r="E2696" s="153"/>
      <c r="F2696" s="10"/>
      <c r="G2696" s="21"/>
      <c r="H2696" s="21"/>
      <c r="I2696" s="21"/>
      <c r="J2696" s="21"/>
      <c r="K2696" s="21"/>
      <c r="L2696" s="21"/>
      <c r="M2696" s="21"/>
      <c r="N2696" s="22"/>
      <c r="O2696" s="21"/>
      <c r="P2696" s="22"/>
      <c r="Q2696" s="21"/>
      <c r="R2696" s="21"/>
      <c r="S2696" s="21"/>
      <c r="T2696" s="21"/>
      <c r="U2696" s="21"/>
      <c r="V2696" s="22"/>
      <c r="W2696" s="21"/>
      <c r="X2696" s="22"/>
      <c r="Y2696" s="21"/>
      <c r="Z2696" s="21"/>
      <c r="AA2696" s="21"/>
      <c r="AB2696" s="21"/>
      <c r="AC2696" s="26"/>
      <c r="AD2696" s="26"/>
      <c r="AE2696" s="62"/>
    </row>
    <row r="2697" spans="1:31" x14ac:dyDescent="0.3">
      <c r="A2697" s="6"/>
      <c r="B2697" s="6"/>
      <c r="C2697" s="39"/>
      <c r="D2697" s="6"/>
      <c r="E2697" s="153"/>
      <c r="F2697" s="10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</row>
    <row r="2698" spans="1:31" x14ac:dyDescent="0.3">
      <c r="A2698" s="63"/>
      <c r="B2698" s="63"/>
      <c r="C2698" s="39"/>
      <c r="D2698" s="6"/>
      <c r="E2698" s="153"/>
      <c r="F2698" s="10"/>
      <c r="G2698" s="64"/>
      <c r="H2698" s="3"/>
      <c r="I2698" s="2"/>
      <c r="J2698" s="2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</row>
    <row r="2699" spans="1:31" x14ac:dyDescent="0.3">
      <c r="A2699" s="6"/>
      <c r="B2699" s="6"/>
      <c r="C2699" s="39"/>
      <c r="D2699" s="6"/>
      <c r="E2699" s="153"/>
      <c r="F2699" s="10"/>
      <c r="G2699" s="2"/>
      <c r="H2699" s="3"/>
      <c r="I2699" s="2"/>
      <c r="J2699" s="2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</row>
    <row r="2700" spans="1:31" ht="13.5" customHeight="1" x14ac:dyDescent="0.35">
      <c r="A2700" s="49"/>
      <c r="B2700" s="49"/>
      <c r="C2700" s="39"/>
      <c r="D2700" s="1"/>
      <c r="E2700" s="153"/>
      <c r="F2700" s="10"/>
      <c r="G2700" s="21"/>
      <c r="H2700" s="21"/>
      <c r="I2700" s="21"/>
      <c r="J2700" s="21"/>
      <c r="K2700" s="21"/>
      <c r="L2700" s="21"/>
      <c r="M2700" s="21"/>
      <c r="N2700" s="22"/>
      <c r="O2700" s="21"/>
      <c r="P2700" s="22"/>
      <c r="Q2700" s="21"/>
      <c r="R2700" s="21"/>
      <c r="S2700" s="21"/>
      <c r="T2700" s="21"/>
      <c r="U2700" s="21"/>
      <c r="V2700" s="22"/>
      <c r="W2700" s="21"/>
      <c r="X2700" s="22"/>
      <c r="Y2700" s="21"/>
      <c r="Z2700" s="21"/>
      <c r="AA2700" s="21"/>
      <c r="AB2700" s="21"/>
      <c r="AC2700" s="26"/>
      <c r="AD2700" s="26"/>
      <c r="AE2700" s="62"/>
    </row>
    <row r="2701" spans="1:31" ht="13.5" customHeight="1" x14ac:dyDescent="0.35">
      <c r="A2701" s="49"/>
      <c r="B2701" s="49"/>
      <c r="C2701" s="39"/>
      <c r="D2701" s="1"/>
      <c r="E2701" s="153"/>
      <c r="F2701" s="10"/>
      <c r="G2701" s="21"/>
      <c r="H2701" s="21"/>
      <c r="I2701" s="21"/>
      <c r="J2701" s="21"/>
      <c r="K2701" s="21"/>
      <c r="L2701" s="21"/>
      <c r="M2701" s="21"/>
      <c r="N2701" s="22"/>
      <c r="O2701" s="21"/>
      <c r="P2701" s="22"/>
      <c r="Q2701" s="21"/>
      <c r="R2701" s="21"/>
      <c r="S2701" s="21"/>
      <c r="T2701" s="21"/>
      <c r="U2701" s="21"/>
      <c r="V2701" s="22"/>
      <c r="W2701" s="21"/>
      <c r="X2701" s="22"/>
      <c r="Y2701" s="21"/>
      <c r="Z2701" s="21"/>
      <c r="AA2701" s="21"/>
      <c r="AB2701" s="21"/>
      <c r="AC2701" s="26"/>
      <c r="AD2701" s="26"/>
      <c r="AE2701" s="62"/>
    </row>
    <row r="2702" spans="1:31" ht="13.5" customHeight="1" x14ac:dyDescent="0.35">
      <c r="A2702" s="49"/>
      <c r="B2702" s="49"/>
      <c r="C2702" s="39"/>
      <c r="D2702" s="1"/>
      <c r="E2702" s="153"/>
      <c r="F2702" s="10"/>
      <c r="G2702" s="21"/>
      <c r="H2702" s="21"/>
      <c r="I2702" s="21"/>
      <c r="J2702" s="21"/>
      <c r="K2702" s="21"/>
      <c r="L2702" s="21"/>
      <c r="M2702" s="21"/>
      <c r="N2702" s="22"/>
      <c r="O2702" s="21"/>
      <c r="P2702" s="22"/>
      <c r="Q2702" s="21"/>
      <c r="R2702" s="21"/>
      <c r="S2702" s="21"/>
      <c r="T2702" s="21"/>
      <c r="U2702" s="21"/>
      <c r="V2702" s="22"/>
      <c r="W2702" s="21"/>
      <c r="X2702" s="22"/>
      <c r="Y2702" s="21"/>
      <c r="Z2702" s="21"/>
      <c r="AA2702" s="21"/>
      <c r="AB2702" s="21"/>
      <c r="AC2702" s="26"/>
      <c r="AD2702" s="26"/>
      <c r="AE2702" s="62"/>
    </row>
    <row r="2703" spans="1:31" x14ac:dyDescent="0.3">
      <c r="A2703" s="63"/>
      <c r="B2703" s="63"/>
      <c r="C2703" s="39"/>
      <c r="D2703" s="6"/>
      <c r="E2703" s="153"/>
      <c r="F2703" s="10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21"/>
      <c r="R2703" s="21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</row>
    <row r="2704" spans="1:31" x14ac:dyDescent="0.3">
      <c r="A2704" s="6"/>
      <c r="B2704" s="6"/>
      <c r="C2704" s="39"/>
      <c r="D2704" s="6"/>
      <c r="E2704" s="153"/>
      <c r="F2704" s="10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21"/>
      <c r="R2704" s="21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</row>
    <row r="2705" spans="1:31" ht="13.5" customHeight="1" x14ac:dyDescent="0.35">
      <c r="A2705" s="49"/>
      <c r="B2705" s="49"/>
      <c r="C2705" s="14"/>
      <c r="D2705" s="1"/>
      <c r="E2705" s="153"/>
      <c r="F2705" s="10"/>
      <c r="G2705" s="21"/>
      <c r="H2705" s="21"/>
      <c r="I2705" s="21"/>
      <c r="J2705" s="21"/>
      <c r="K2705" s="21"/>
      <c r="L2705" s="21"/>
      <c r="M2705" s="21"/>
      <c r="N2705" s="22"/>
      <c r="O2705" s="21"/>
      <c r="P2705" s="22"/>
      <c r="Q2705" s="21"/>
      <c r="R2705" s="21"/>
      <c r="S2705" s="21"/>
      <c r="T2705" s="21"/>
      <c r="U2705" s="21"/>
      <c r="V2705" s="22"/>
      <c r="W2705" s="21"/>
      <c r="X2705" s="22"/>
      <c r="Y2705" s="21"/>
      <c r="Z2705" s="21"/>
      <c r="AA2705" s="21"/>
      <c r="AB2705" s="21"/>
      <c r="AC2705" s="26"/>
      <c r="AD2705" s="26"/>
      <c r="AE2705" s="62"/>
    </row>
    <row r="2706" spans="1:31" x14ac:dyDescent="0.3">
      <c r="A2706" s="6"/>
      <c r="B2706" s="6"/>
      <c r="C2706" s="39"/>
      <c r="D2706" s="6"/>
      <c r="E2706" s="153"/>
      <c r="F2706" s="10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21"/>
      <c r="R2706" s="21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</row>
    <row r="2707" spans="1:31" ht="13.5" customHeight="1" x14ac:dyDescent="0.3">
      <c r="A2707" s="6"/>
      <c r="B2707" s="6"/>
      <c r="C2707" s="39"/>
      <c r="D2707" s="6"/>
      <c r="E2707" s="153"/>
      <c r="F2707" s="10"/>
      <c r="G2707" s="2"/>
      <c r="H2707" s="3"/>
      <c r="I2707" s="2"/>
      <c r="J2707" s="2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</row>
    <row r="2708" spans="1:31" ht="13.5" customHeight="1" x14ac:dyDescent="0.35">
      <c r="A2708" s="49"/>
      <c r="B2708" s="49"/>
      <c r="C2708" s="14"/>
      <c r="D2708" s="1"/>
      <c r="E2708" s="153"/>
      <c r="F2708" s="10"/>
      <c r="G2708" s="21"/>
      <c r="H2708" s="21"/>
      <c r="I2708" s="21"/>
      <c r="J2708" s="21"/>
      <c r="K2708" s="21"/>
      <c r="L2708" s="21"/>
      <c r="M2708" s="21"/>
      <c r="N2708" s="22"/>
      <c r="O2708" s="21"/>
      <c r="P2708" s="22"/>
      <c r="Q2708" s="21"/>
      <c r="R2708" s="21"/>
      <c r="S2708" s="21"/>
      <c r="T2708" s="21"/>
      <c r="U2708" s="21"/>
      <c r="V2708" s="22"/>
      <c r="W2708" s="21"/>
      <c r="X2708" s="22"/>
      <c r="Y2708" s="21"/>
      <c r="Z2708" s="21"/>
      <c r="AA2708" s="21"/>
      <c r="AB2708" s="21"/>
      <c r="AC2708" s="26"/>
      <c r="AD2708" s="26"/>
      <c r="AE2708" s="62"/>
    </row>
    <row r="2709" spans="1:31" x14ac:dyDescent="0.3">
      <c r="A2709" s="63"/>
      <c r="B2709" s="63"/>
      <c r="C2709" s="39"/>
      <c r="D2709" s="6"/>
      <c r="E2709" s="153"/>
      <c r="F2709" s="10"/>
      <c r="G2709" s="64"/>
      <c r="H2709" s="3"/>
      <c r="I2709" s="2"/>
      <c r="J2709" s="2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</row>
    <row r="2710" spans="1:31" ht="13.5" customHeight="1" x14ac:dyDescent="0.35">
      <c r="A2710" s="49"/>
      <c r="B2710" s="49"/>
      <c r="C2710" s="14"/>
      <c r="D2710" s="1"/>
      <c r="E2710" s="153"/>
      <c r="F2710" s="10"/>
      <c r="G2710" s="21"/>
      <c r="H2710" s="21"/>
      <c r="I2710" s="21"/>
      <c r="J2710" s="21"/>
      <c r="K2710" s="21"/>
      <c r="L2710" s="21"/>
      <c r="M2710" s="21"/>
      <c r="N2710" s="22"/>
      <c r="O2710" s="21"/>
      <c r="P2710" s="22"/>
      <c r="Q2710" s="21"/>
      <c r="R2710" s="21"/>
      <c r="S2710" s="21"/>
      <c r="T2710" s="21"/>
      <c r="U2710" s="21"/>
      <c r="V2710" s="22"/>
      <c r="W2710" s="21"/>
      <c r="X2710" s="22"/>
      <c r="Y2710" s="21"/>
      <c r="Z2710" s="21"/>
      <c r="AA2710" s="21"/>
      <c r="AB2710" s="21"/>
      <c r="AC2710" s="26"/>
      <c r="AD2710" s="26"/>
      <c r="AE2710" s="62"/>
    </row>
    <row r="2711" spans="1:31" x14ac:dyDescent="0.3">
      <c r="A2711" s="6"/>
      <c r="B2711" s="6"/>
      <c r="C2711" s="39"/>
      <c r="D2711" s="6"/>
      <c r="E2711" s="153"/>
      <c r="F2711" s="10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21"/>
      <c r="R2711" s="21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</row>
    <row r="2712" spans="1:31" ht="13.5" customHeight="1" x14ac:dyDescent="0.35">
      <c r="A2712" s="49"/>
      <c r="B2712" s="49"/>
      <c r="C2712" s="14"/>
      <c r="D2712" s="1"/>
      <c r="E2712" s="153"/>
      <c r="F2712" s="10"/>
      <c r="G2712" s="21"/>
      <c r="H2712" s="21"/>
      <c r="I2712" s="21"/>
      <c r="J2712" s="21"/>
      <c r="K2712" s="21"/>
      <c r="L2712" s="21"/>
      <c r="M2712" s="21"/>
      <c r="N2712" s="22"/>
      <c r="O2712" s="21"/>
      <c r="P2712" s="22"/>
      <c r="Q2712" s="21"/>
      <c r="R2712" s="21"/>
      <c r="S2712" s="21"/>
      <c r="T2712" s="21"/>
      <c r="U2712" s="21"/>
      <c r="V2712" s="22"/>
      <c r="W2712" s="21"/>
      <c r="X2712" s="22"/>
      <c r="Y2712" s="21"/>
      <c r="Z2712" s="21"/>
      <c r="AA2712" s="21"/>
      <c r="AB2712" s="21"/>
      <c r="AC2712" s="26"/>
      <c r="AD2712" s="26"/>
      <c r="AE2712" s="62"/>
    </row>
    <row r="2713" spans="1:31" x14ac:dyDescent="0.3">
      <c r="A2713" s="63"/>
      <c r="B2713" s="63"/>
      <c r="C2713" s="39"/>
      <c r="D2713" s="6"/>
      <c r="E2713" s="153"/>
      <c r="F2713" s="10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21"/>
      <c r="R2713" s="21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</row>
    <row r="2714" spans="1:31" x14ac:dyDescent="0.3">
      <c r="A2714" s="6"/>
      <c r="B2714" s="6"/>
      <c r="C2714" s="39"/>
      <c r="D2714" s="6"/>
      <c r="E2714" s="153"/>
      <c r="F2714" s="10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21"/>
      <c r="R2714" s="21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</row>
    <row r="2715" spans="1:31" x14ac:dyDescent="0.3">
      <c r="A2715" s="6"/>
      <c r="B2715" s="6"/>
      <c r="C2715" s="39"/>
      <c r="D2715" s="6"/>
      <c r="E2715" s="153"/>
      <c r="F2715" s="10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21"/>
      <c r="R2715" s="21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</row>
    <row r="2716" spans="1:31" ht="13.5" customHeight="1" x14ac:dyDescent="0.35">
      <c r="A2716" s="49"/>
      <c r="B2716" s="49"/>
      <c r="C2716" s="14"/>
      <c r="D2716" s="1"/>
      <c r="E2716" s="153"/>
      <c r="F2716" s="10"/>
      <c r="G2716" s="21"/>
      <c r="H2716" s="21"/>
      <c r="I2716" s="21"/>
      <c r="J2716" s="21"/>
      <c r="K2716" s="21"/>
      <c r="L2716" s="21"/>
      <c r="M2716" s="21"/>
      <c r="N2716" s="22"/>
      <c r="O2716" s="21"/>
      <c r="P2716" s="22"/>
      <c r="Q2716" s="21"/>
      <c r="R2716" s="21"/>
      <c r="S2716" s="21"/>
      <c r="T2716" s="21"/>
      <c r="U2716" s="21"/>
      <c r="V2716" s="22"/>
      <c r="W2716" s="21"/>
      <c r="X2716" s="22"/>
      <c r="Y2716" s="21"/>
      <c r="Z2716" s="21"/>
      <c r="AA2716" s="21"/>
      <c r="AB2716" s="21"/>
      <c r="AC2716" s="26"/>
      <c r="AD2716" s="26"/>
      <c r="AE2716" s="62"/>
    </row>
    <row r="2717" spans="1:31" x14ac:dyDescent="0.3">
      <c r="A2717" s="6"/>
      <c r="B2717" s="6"/>
      <c r="C2717" s="39"/>
      <c r="D2717" s="6"/>
      <c r="E2717" s="153"/>
      <c r="F2717" s="10"/>
      <c r="G2717" s="2"/>
      <c r="H2717" s="3"/>
      <c r="I2717" s="2"/>
      <c r="J2717" s="2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</row>
    <row r="2718" spans="1:31" x14ac:dyDescent="0.3">
      <c r="A2718" s="6"/>
      <c r="B2718" s="6"/>
      <c r="C2718" s="39"/>
      <c r="D2718" s="6"/>
      <c r="E2718" s="153"/>
      <c r="F2718" s="10"/>
      <c r="G2718" s="2"/>
      <c r="H2718" s="3"/>
      <c r="I2718" s="2"/>
      <c r="J2718" s="2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</row>
    <row r="2719" spans="1:31" x14ac:dyDescent="0.3">
      <c r="A2719" s="6"/>
      <c r="B2719" s="6"/>
      <c r="C2719" s="39"/>
      <c r="D2719" s="6"/>
      <c r="E2719" s="153"/>
      <c r="F2719" s="10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21"/>
      <c r="R2719" s="21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</row>
    <row r="2720" spans="1:31" ht="13.5" customHeight="1" x14ac:dyDescent="0.35">
      <c r="A2720" s="49"/>
      <c r="B2720" s="49"/>
      <c r="C2720" s="14"/>
      <c r="D2720" s="1"/>
      <c r="E2720" s="153"/>
      <c r="F2720" s="10"/>
      <c r="G2720" s="21"/>
      <c r="H2720" s="21"/>
      <c r="I2720" s="21"/>
      <c r="J2720" s="21"/>
      <c r="K2720" s="21"/>
      <c r="L2720" s="21"/>
      <c r="M2720" s="21"/>
      <c r="N2720" s="22"/>
      <c r="O2720" s="21"/>
      <c r="P2720" s="22"/>
      <c r="Q2720" s="21"/>
      <c r="R2720" s="21"/>
      <c r="S2720" s="21"/>
      <c r="T2720" s="21"/>
      <c r="U2720" s="21"/>
      <c r="V2720" s="22"/>
      <c r="W2720" s="21"/>
      <c r="X2720" s="22"/>
      <c r="Y2720" s="21"/>
      <c r="Z2720" s="21"/>
      <c r="AA2720" s="21"/>
      <c r="AB2720" s="21"/>
      <c r="AC2720" s="26"/>
      <c r="AD2720" s="26"/>
      <c r="AE2720" s="62"/>
    </row>
    <row r="2721" spans="1:31" ht="13.5" customHeight="1" x14ac:dyDescent="0.35">
      <c r="A2721" s="49"/>
      <c r="B2721" s="49"/>
      <c r="C2721" s="14"/>
      <c r="D2721" s="1"/>
      <c r="E2721" s="153"/>
      <c r="F2721" s="10"/>
      <c r="G2721" s="21"/>
      <c r="H2721" s="21"/>
      <c r="I2721" s="21"/>
      <c r="J2721" s="21"/>
      <c r="K2721" s="21"/>
      <c r="L2721" s="21"/>
      <c r="M2721" s="21"/>
      <c r="N2721" s="22"/>
      <c r="O2721" s="21"/>
      <c r="P2721" s="22"/>
      <c r="Q2721" s="21"/>
      <c r="R2721" s="21"/>
      <c r="S2721" s="21"/>
      <c r="T2721" s="21"/>
      <c r="U2721" s="21"/>
      <c r="V2721" s="22"/>
      <c r="W2721" s="21"/>
      <c r="X2721" s="22"/>
      <c r="Y2721" s="21"/>
      <c r="Z2721" s="21"/>
      <c r="AA2721" s="21"/>
      <c r="AB2721" s="21"/>
      <c r="AC2721" s="26"/>
      <c r="AD2721" s="26"/>
      <c r="AE2721" s="62"/>
    </row>
    <row r="2722" spans="1:31" x14ac:dyDescent="0.3">
      <c r="A2722" s="6"/>
      <c r="B2722" s="6"/>
      <c r="C2722" s="39"/>
      <c r="D2722" s="6"/>
      <c r="E2722" s="153"/>
      <c r="F2722" s="10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21"/>
      <c r="R2722" s="21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</row>
    <row r="2723" spans="1:31" ht="15" x14ac:dyDescent="0.35">
      <c r="A2723" s="6"/>
      <c r="B2723" s="6"/>
      <c r="C2723" s="39"/>
      <c r="D2723" s="6"/>
      <c r="E2723" s="153"/>
      <c r="F2723" s="10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21"/>
      <c r="R2723" s="21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65"/>
    </row>
    <row r="2724" spans="1:31" x14ac:dyDescent="0.3">
      <c r="A2724" s="6"/>
      <c r="B2724" s="6"/>
      <c r="C2724" s="39"/>
      <c r="D2724" s="6"/>
      <c r="E2724" s="153"/>
      <c r="F2724" s="10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21"/>
      <c r="R2724" s="21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</row>
    <row r="2725" spans="1:31" x14ac:dyDescent="0.3">
      <c r="A2725" s="6"/>
      <c r="B2725" s="6"/>
      <c r="C2725" s="39"/>
      <c r="D2725" s="6"/>
      <c r="E2725" s="153"/>
      <c r="F2725" s="10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21"/>
      <c r="R2725" s="21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</row>
    <row r="2726" spans="1:31" x14ac:dyDescent="0.3">
      <c r="A2726" s="6"/>
      <c r="B2726" s="6"/>
      <c r="C2726" s="39"/>
      <c r="D2726" s="6"/>
      <c r="E2726" s="153"/>
      <c r="F2726" s="10"/>
      <c r="G2726" s="2"/>
      <c r="H2726" s="3"/>
      <c r="I2726" s="2"/>
      <c r="J2726" s="2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</row>
    <row r="2727" spans="1:31" x14ac:dyDescent="0.3">
      <c r="A2727" s="6"/>
      <c r="B2727" s="6"/>
      <c r="C2727" s="39"/>
      <c r="D2727" s="6"/>
      <c r="E2727" s="153"/>
      <c r="F2727" s="10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21"/>
      <c r="R2727" s="21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</row>
    <row r="2728" spans="1:31" x14ac:dyDescent="0.3">
      <c r="A2728" s="6"/>
      <c r="B2728" s="6"/>
      <c r="C2728" s="39"/>
      <c r="D2728" s="6"/>
      <c r="E2728" s="153"/>
      <c r="F2728" s="10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21"/>
      <c r="R2728" s="21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</row>
    <row r="2729" spans="1:31" x14ac:dyDescent="0.3">
      <c r="A2729" s="63"/>
      <c r="B2729" s="63"/>
      <c r="C2729" s="39"/>
      <c r="D2729" s="6"/>
      <c r="E2729" s="153"/>
      <c r="F2729" s="10"/>
      <c r="G2729" s="64"/>
      <c r="H2729" s="3"/>
      <c r="I2729" s="2"/>
      <c r="J2729" s="2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</row>
    <row r="2730" spans="1:31" x14ac:dyDescent="0.3">
      <c r="A2730" s="63"/>
      <c r="B2730" s="63"/>
      <c r="C2730" s="39"/>
      <c r="D2730" s="6"/>
      <c r="E2730" s="153"/>
      <c r="F2730" s="10"/>
      <c r="G2730" s="64"/>
      <c r="H2730" s="3"/>
      <c r="I2730" s="2"/>
      <c r="J2730" s="2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</row>
    <row r="2731" spans="1:31" x14ac:dyDescent="0.3">
      <c r="A2731" s="6"/>
      <c r="B2731" s="6"/>
      <c r="C2731" s="39"/>
      <c r="D2731" s="6"/>
      <c r="E2731" s="153"/>
      <c r="F2731" s="10"/>
      <c r="G2731" s="2"/>
      <c r="H2731" s="3"/>
      <c r="I2731" s="2"/>
      <c r="J2731" s="2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</row>
    <row r="2732" spans="1:31" x14ac:dyDescent="0.3">
      <c r="A2732" s="6"/>
      <c r="B2732" s="6"/>
      <c r="C2732" s="39"/>
      <c r="D2732" s="6"/>
      <c r="E2732" s="153"/>
      <c r="F2732" s="10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21"/>
      <c r="R2732" s="21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</row>
    <row r="2733" spans="1:31" x14ac:dyDescent="0.3">
      <c r="A2733" s="6"/>
      <c r="B2733" s="6"/>
      <c r="C2733" s="39"/>
      <c r="D2733" s="6"/>
      <c r="E2733" s="153"/>
      <c r="F2733" s="10"/>
      <c r="G2733" s="2"/>
      <c r="H2733" s="3"/>
      <c r="I2733" s="2"/>
      <c r="J2733" s="2"/>
      <c r="K2733" s="3"/>
      <c r="L2733" s="3"/>
      <c r="M2733" s="3"/>
      <c r="N2733" s="3"/>
      <c r="O2733" s="3"/>
      <c r="P2733" s="3"/>
      <c r="Q2733" s="21"/>
      <c r="R2733" s="21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</row>
    <row r="2734" spans="1:31" x14ac:dyDescent="0.3">
      <c r="A2734" s="6"/>
      <c r="B2734" s="6"/>
      <c r="C2734" s="39"/>
      <c r="D2734" s="6"/>
      <c r="E2734" s="153"/>
      <c r="F2734" s="10"/>
      <c r="G2734" s="2"/>
      <c r="H2734" s="3"/>
      <c r="I2734" s="2"/>
      <c r="J2734" s="2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</row>
    <row r="2735" spans="1:31" x14ac:dyDescent="0.3">
      <c r="A2735" s="6"/>
      <c r="B2735" s="6"/>
      <c r="C2735" s="39"/>
      <c r="D2735" s="6"/>
      <c r="E2735" s="153"/>
      <c r="F2735" s="10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21"/>
      <c r="R2735" s="21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</row>
    <row r="2736" spans="1:31" ht="13.5" customHeight="1" x14ac:dyDescent="0.35">
      <c r="A2736" s="49"/>
      <c r="B2736" s="49"/>
      <c r="C2736" s="14"/>
      <c r="D2736" s="1"/>
      <c r="E2736" s="153"/>
      <c r="F2736" s="10"/>
      <c r="G2736" s="21"/>
      <c r="H2736" s="21"/>
      <c r="I2736" s="21"/>
      <c r="J2736" s="21"/>
      <c r="K2736" s="21"/>
      <c r="L2736" s="21"/>
      <c r="M2736" s="21"/>
      <c r="N2736" s="22"/>
      <c r="O2736" s="21"/>
      <c r="P2736" s="22"/>
      <c r="Q2736" s="21"/>
      <c r="R2736" s="21"/>
      <c r="S2736" s="21"/>
      <c r="T2736" s="21"/>
      <c r="U2736" s="21"/>
      <c r="V2736" s="22"/>
      <c r="W2736" s="21"/>
      <c r="X2736" s="22"/>
      <c r="Y2736" s="21"/>
      <c r="Z2736" s="21"/>
      <c r="AA2736" s="21"/>
      <c r="AB2736" s="21"/>
      <c r="AC2736" s="26"/>
      <c r="AD2736" s="26"/>
      <c r="AE2736" s="62"/>
    </row>
    <row r="2737" spans="1:31" x14ac:dyDescent="0.3">
      <c r="A2737" s="6"/>
      <c r="B2737" s="6"/>
      <c r="C2737" s="39"/>
      <c r="D2737" s="6"/>
      <c r="E2737" s="153"/>
      <c r="F2737" s="10"/>
      <c r="G2737" s="2"/>
      <c r="H2737" s="3"/>
      <c r="I2737" s="2"/>
      <c r="J2737" s="2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</row>
    <row r="2738" spans="1:31" x14ac:dyDescent="0.3">
      <c r="A2738" s="6"/>
      <c r="B2738" s="6"/>
      <c r="C2738" s="39"/>
      <c r="D2738" s="6"/>
      <c r="E2738" s="153"/>
      <c r="F2738" s="10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21"/>
      <c r="R2738" s="21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</row>
    <row r="2739" spans="1:31" ht="13.5" customHeight="1" x14ac:dyDescent="0.35">
      <c r="A2739" s="49"/>
      <c r="B2739" s="49"/>
      <c r="C2739" s="39"/>
      <c r="D2739" s="1"/>
      <c r="E2739" s="153"/>
      <c r="F2739" s="10"/>
      <c r="G2739" s="21"/>
      <c r="H2739" s="21"/>
      <c r="I2739" s="21"/>
      <c r="J2739" s="21"/>
      <c r="K2739" s="21"/>
      <c r="L2739" s="21"/>
      <c r="M2739" s="21"/>
      <c r="N2739" s="22"/>
      <c r="O2739" s="21"/>
      <c r="P2739" s="22"/>
      <c r="Q2739" s="21"/>
      <c r="R2739" s="21"/>
      <c r="S2739" s="21"/>
      <c r="T2739" s="21"/>
      <c r="U2739" s="21"/>
      <c r="V2739" s="22"/>
      <c r="W2739" s="21"/>
      <c r="X2739" s="22"/>
      <c r="Y2739" s="21"/>
      <c r="Z2739" s="21"/>
      <c r="AA2739" s="21"/>
      <c r="AB2739" s="21"/>
      <c r="AC2739" s="26"/>
      <c r="AD2739" s="26"/>
      <c r="AE2739" s="62"/>
    </row>
    <row r="2740" spans="1:31" ht="13.5" customHeight="1" x14ac:dyDescent="0.35">
      <c r="A2740" s="49"/>
      <c r="B2740" s="49"/>
      <c r="C2740" s="39"/>
      <c r="D2740" s="1"/>
      <c r="E2740" s="153"/>
      <c r="F2740" s="10"/>
      <c r="G2740" s="21"/>
      <c r="H2740" s="21"/>
      <c r="I2740" s="21"/>
      <c r="J2740" s="21"/>
      <c r="K2740" s="21"/>
      <c r="L2740" s="21"/>
      <c r="M2740" s="21"/>
      <c r="N2740" s="22"/>
      <c r="O2740" s="21"/>
      <c r="P2740" s="22"/>
      <c r="Q2740" s="21"/>
      <c r="R2740" s="21"/>
      <c r="S2740" s="21"/>
      <c r="T2740" s="21"/>
      <c r="U2740" s="21"/>
      <c r="V2740" s="22"/>
      <c r="W2740" s="21"/>
      <c r="X2740" s="22"/>
      <c r="Y2740" s="21"/>
      <c r="Z2740" s="21"/>
      <c r="AA2740" s="21"/>
      <c r="AB2740" s="21"/>
      <c r="AC2740" s="26"/>
      <c r="AD2740" s="26"/>
      <c r="AE2740" s="62"/>
    </row>
    <row r="2741" spans="1:31" ht="13.5" customHeight="1" x14ac:dyDescent="0.35">
      <c r="A2741" s="49"/>
      <c r="B2741" s="49"/>
      <c r="C2741" s="39"/>
      <c r="D2741" s="1"/>
      <c r="E2741" s="153"/>
      <c r="F2741" s="10"/>
      <c r="G2741" s="21"/>
      <c r="H2741" s="21"/>
      <c r="I2741" s="21"/>
      <c r="J2741" s="21"/>
      <c r="K2741" s="21"/>
      <c r="L2741" s="21"/>
      <c r="M2741" s="21"/>
      <c r="N2741" s="22"/>
      <c r="O2741" s="21"/>
      <c r="P2741" s="22"/>
      <c r="Q2741" s="21"/>
      <c r="R2741" s="21"/>
      <c r="S2741" s="21"/>
      <c r="T2741" s="21"/>
      <c r="U2741" s="21"/>
      <c r="V2741" s="22"/>
      <c r="W2741" s="21"/>
      <c r="X2741" s="22"/>
      <c r="Y2741" s="21"/>
      <c r="Z2741" s="21"/>
      <c r="AA2741" s="21"/>
      <c r="AB2741" s="21"/>
      <c r="AC2741" s="26"/>
      <c r="AD2741" s="26"/>
      <c r="AE2741" s="62"/>
    </row>
    <row r="2742" spans="1:31" x14ac:dyDescent="0.3">
      <c r="A2742" s="6"/>
      <c r="B2742" s="6"/>
      <c r="C2742" s="39"/>
      <c r="D2742" s="6"/>
      <c r="E2742" s="153"/>
      <c r="F2742" s="10"/>
      <c r="G2742" s="2"/>
      <c r="H2742" s="3"/>
      <c r="I2742" s="2"/>
      <c r="J2742" s="2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</row>
    <row r="2743" spans="1:31" x14ac:dyDescent="0.3">
      <c r="A2743" s="6"/>
      <c r="B2743" s="6"/>
      <c r="C2743" s="39"/>
      <c r="D2743" s="6"/>
      <c r="E2743" s="153"/>
      <c r="F2743" s="10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21"/>
      <c r="R2743" s="21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</row>
    <row r="2744" spans="1:31" x14ac:dyDescent="0.3">
      <c r="A2744" s="6"/>
      <c r="B2744" s="6"/>
      <c r="C2744" s="39"/>
      <c r="D2744" s="6"/>
      <c r="E2744" s="153"/>
      <c r="F2744" s="10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21"/>
      <c r="R2744" s="21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</row>
    <row r="2745" spans="1:31" x14ac:dyDescent="0.3">
      <c r="A2745" s="6"/>
      <c r="B2745" s="6"/>
      <c r="C2745" s="39"/>
      <c r="D2745" s="6"/>
      <c r="E2745" s="153"/>
      <c r="F2745" s="10"/>
      <c r="G2745" s="2"/>
      <c r="H2745" s="3"/>
      <c r="I2745" s="2"/>
      <c r="J2745" s="2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</row>
    <row r="2746" spans="1:31" x14ac:dyDescent="0.3">
      <c r="A2746" s="6"/>
      <c r="B2746" s="6"/>
      <c r="C2746" s="39"/>
      <c r="D2746" s="6"/>
      <c r="E2746" s="153"/>
      <c r="F2746" s="10"/>
      <c r="G2746" s="2"/>
      <c r="H2746" s="3"/>
      <c r="I2746" s="2"/>
      <c r="J2746" s="2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</row>
    <row r="2747" spans="1:31" ht="13.5" customHeight="1" x14ac:dyDescent="0.35">
      <c r="A2747" s="49"/>
      <c r="B2747" s="49"/>
      <c r="C2747" s="39"/>
      <c r="D2747" s="1"/>
      <c r="E2747" s="153"/>
      <c r="F2747" s="10"/>
      <c r="G2747" s="21"/>
      <c r="H2747" s="21"/>
      <c r="I2747" s="21"/>
      <c r="J2747" s="21"/>
      <c r="K2747" s="21"/>
      <c r="L2747" s="21"/>
      <c r="M2747" s="21"/>
      <c r="N2747" s="22"/>
      <c r="O2747" s="21"/>
      <c r="P2747" s="22"/>
      <c r="Q2747" s="21"/>
      <c r="R2747" s="21"/>
      <c r="S2747" s="21"/>
      <c r="T2747" s="21"/>
      <c r="U2747" s="21"/>
      <c r="V2747" s="22"/>
      <c r="W2747" s="21"/>
      <c r="X2747" s="22"/>
      <c r="Y2747" s="21"/>
      <c r="Z2747" s="21"/>
      <c r="AA2747" s="21"/>
      <c r="AB2747" s="21"/>
      <c r="AC2747" s="26"/>
      <c r="AD2747" s="26"/>
      <c r="AE2747" s="62"/>
    </row>
    <row r="2748" spans="1:31" x14ac:dyDescent="0.3">
      <c r="A2748" s="63"/>
      <c r="B2748" s="63"/>
      <c r="C2748" s="39"/>
      <c r="D2748" s="6"/>
      <c r="E2748" s="153"/>
      <c r="F2748" s="10"/>
      <c r="G2748" s="64"/>
      <c r="H2748" s="3"/>
      <c r="I2748" s="2"/>
      <c r="J2748" s="2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</row>
    <row r="2749" spans="1:31" x14ac:dyDescent="0.3">
      <c r="A2749" s="63"/>
      <c r="B2749" s="63"/>
      <c r="C2749" s="39"/>
      <c r="D2749" s="6"/>
      <c r="E2749" s="153"/>
      <c r="F2749" s="10"/>
      <c r="G2749" s="64"/>
      <c r="H2749" s="3"/>
      <c r="I2749" s="2"/>
      <c r="J2749" s="2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</row>
    <row r="2750" spans="1:31" x14ac:dyDescent="0.3">
      <c r="A2750" s="6"/>
      <c r="B2750" s="6"/>
      <c r="C2750" s="39"/>
      <c r="D2750" s="6"/>
      <c r="E2750" s="153"/>
      <c r="F2750" s="10"/>
      <c r="G2750" s="2"/>
      <c r="H2750" s="3"/>
      <c r="I2750" s="2"/>
      <c r="J2750" s="2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</row>
    <row r="2751" spans="1:31" ht="13.5" customHeight="1" x14ac:dyDescent="0.35">
      <c r="A2751" s="49"/>
      <c r="B2751" s="49"/>
      <c r="C2751" s="14"/>
      <c r="D2751" s="1"/>
      <c r="E2751" s="153"/>
      <c r="F2751" s="10"/>
      <c r="G2751" s="21"/>
      <c r="H2751" s="21"/>
      <c r="I2751" s="21"/>
      <c r="J2751" s="21"/>
      <c r="K2751" s="21"/>
      <c r="L2751" s="21"/>
      <c r="M2751" s="21"/>
      <c r="N2751" s="22"/>
      <c r="O2751" s="21"/>
      <c r="P2751" s="22"/>
      <c r="Q2751" s="21"/>
      <c r="R2751" s="21"/>
      <c r="S2751" s="21"/>
      <c r="T2751" s="21"/>
      <c r="U2751" s="21"/>
      <c r="V2751" s="22"/>
      <c r="W2751" s="21"/>
      <c r="X2751" s="22"/>
      <c r="Y2751" s="21"/>
      <c r="Z2751" s="21"/>
      <c r="AA2751" s="21"/>
      <c r="AB2751" s="21"/>
      <c r="AC2751" s="26"/>
      <c r="AD2751" s="26"/>
      <c r="AE2751" s="62"/>
    </row>
    <row r="2752" spans="1:31" ht="13.5" customHeight="1" x14ac:dyDescent="0.35">
      <c r="A2752" s="49"/>
      <c r="B2752" s="49"/>
      <c r="C2752" s="14"/>
      <c r="D2752" s="1"/>
      <c r="E2752" s="153"/>
      <c r="F2752" s="10"/>
      <c r="G2752" s="21"/>
      <c r="H2752" s="21"/>
      <c r="I2752" s="21"/>
      <c r="J2752" s="21"/>
      <c r="K2752" s="21"/>
      <c r="L2752" s="21"/>
      <c r="M2752" s="21"/>
      <c r="N2752" s="22"/>
      <c r="O2752" s="21"/>
      <c r="P2752" s="22"/>
      <c r="Q2752" s="21"/>
      <c r="R2752" s="21"/>
      <c r="S2752" s="21"/>
      <c r="T2752" s="21"/>
      <c r="U2752" s="21"/>
      <c r="V2752" s="22"/>
      <c r="W2752" s="21"/>
      <c r="X2752" s="22"/>
      <c r="Y2752" s="21"/>
      <c r="Z2752" s="21"/>
      <c r="AA2752" s="21"/>
      <c r="AB2752" s="21"/>
      <c r="AC2752" s="26"/>
      <c r="AD2752" s="26"/>
      <c r="AE2752" s="62"/>
    </row>
    <row r="2753" spans="1:31" x14ac:dyDescent="0.3">
      <c r="A2753" s="63"/>
      <c r="B2753" s="63"/>
      <c r="C2753" s="39"/>
      <c r="D2753" s="6"/>
      <c r="E2753" s="153"/>
      <c r="F2753" s="10"/>
      <c r="G2753" s="64"/>
      <c r="H2753" s="3"/>
      <c r="I2753" s="2"/>
      <c r="J2753" s="2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</row>
    <row r="2754" spans="1:31" x14ac:dyDescent="0.3">
      <c r="A2754" s="63"/>
      <c r="B2754" s="63"/>
      <c r="C2754" s="39"/>
      <c r="D2754" s="6"/>
      <c r="E2754" s="153"/>
      <c r="F2754" s="10"/>
      <c r="G2754" s="64"/>
      <c r="H2754" s="3"/>
      <c r="I2754" s="2"/>
      <c r="J2754" s="2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</row>
    <row r="2755" spans="1:31" ht="13.5" customHeight="1" x14ac:dyDescent="0.3">
      <c r="A2755" s="6"/>
      <c r="B2755" s="6"/>
      <c r="C2755" s="39"/>
      <c r="D2755" s="6"/>
      <c r="E2755" s="153"/>
      <c r="F2755" s="10"/>
      <c r="G2755" s="2"/>
      <c r="H2755" s="3"/>
      <c r="I2755" s="2"/>
      <c r="J2755" s="2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</row>
    <row r="2756" spans="1:31" ht="13.5" customHeight="1" x14ac:dyDescent="0.35">
      <c r="A2756" s="49"/>
      <c r="B2756" s="49"/>
      <c r="C2756" s="39"/>
      <c r="D2756" s="1"/>
      <c r="E2756" s="153"/>
      <c r="F2756" s="10"/>
      <c r="G2756" s="21"/>
      <c r="H2756" s="21"/>
      <c r="I2756" s="21"/>
      <c r="J2756" s="21"/>
      <c r="K2756" s="21"/>
      <c r="L2756" s="21"/>
      <c r="M2756" s="21"/>
      <c r="N2756" s="22"/>
      <c r="O2756" s="21"/>
      <c r="P2756" s="22"/>
      <c r="Q2756" s="21"/>
      <c r="R2756" s="21"/>
      <c r="S2756" s="21"/>
      <c r="T2756" s="21"/>
      <c r="U2756" s="21"/>
      <c r="V2756" s="22"/>
      <c r="W2756" s="21"/>
      <c r="X2756" s="22"/>
      <c r="Y2756" s="21"/>
      <c r="Z2756" s="21"/>
      <c r="AA2756" s="21"/>
      <c r="AB2756" s="21"/>
      <c r="AC2756" s="26"/>
      <c r="AD2756" s="26"/>
      <c r="AE2756" s="62"/>
    </row>
    <row r="2757" spans="1:31" ht="13.5" customHeight="1" x14ac:dyDescent="0.35">
      <c r="A2757" s="49"/>
      <c r="B2757" s="49"/>
      <c r="C2757" s="14"/>
      <c r="D2757" s="1"/>
      <c r="E2757" s="153"/>
      <c r="F2757" s="10"/>
      <c r="G2757" s="21"/>
      <c r="H2757" s="21"/>
      <c r="I2757" s="21"/>
      <c r="J2757" s="21"/>
      <c r="K2757" s="21"/>
      <c r="L2757" s="21"/>
      <c r="M2757" s="21"/>
      <c r="N2757" s="22"/>
      <c r="O2757" s="21"/>
      <c r="P2757" s="22"/>
      <c r="Q2757" s="21"/>
      <c r="R2757" s="21"/>
      <c r="S2757" s="21"/>
      <c r="T2757" s="21"/>
      <c r="U2757" s="21"/>
      <c r="V2757" s="22"/>
      <c r="W2757" s="21"/>
      <c r="X2757" s="22"/>
      <c r="Y2757" s="21"/>
      <c r="Z2757" s="21"/>
      <c r="AA2757" s="21"/>
      <c r="AB2757" s="21"/>
      <c r="AC2757" s="26"/>
      <c r="AD2757" s="26"/>
      <c r="AE2757" s="62"/>
    </row>
    <row r="2758" spans="1:31" ht="13.5" customHeight="1" x14ac:dyDescent="0.35">
      <c r="A2758" s="49"/>
      <c r="B2758" s="49"/>
      <c r="C2758" s="39"/>
      <c r="D2758" s="1"/>
      <c r="E2758" s="153"/>
      <c r="F2758" s="10"/>
      <c r="G2758" s="21"/>
      <c r="H2758" s="21"/>
      <c r="I2758" s="21"/>
      <c r="J2758" s="21"/>
      <c r="K2758" s="21"/>
      <c r="L2758" s="21"/>
      <c r="M2758" s="21"/>
      <c r="N2758" s="22"/>
      <c r="O2758" s="21"/>
      <c r="P2758" s="22"/>
      <c r="Q2758" s="21"/>
      <c r="R2758" s="21"/>
      <c r="S2758" s="21"/>
      <c r="T2758" s="21"/>
      <c r="U2758" s="21"/>
      <c r="V2758" s="22"/>
      <c r="W2758" s="21"/>
      <c r="X2758" s="22"/>
      <c r="Y2758" s="21"/>
      <c r="Z2758" s="21"/>
      <c r="AA2758" s="21"/>
      <c r="AB2758" s="21"/>
      <c r="AC2758" s="26"/>
      <c r="AD2758" s="26"/>
      <c r="AE2758" s="62"/>
    </row>
    <row r="2759" spans="1:31" x14ac:dyDescent="0.3">
      <c r="A2759" s="63"/>
      <c r="B2759" s="63"/>
      <c r="C2759" s="39"/>
      <c r="D2759" s="6"/>
      <c r="E2759" s="153"/>
      <c r="F2759" s="10"/>
      <c r="G2759" s="64"/>
      <c r="H2759" s="3"/>
      <c r="I2759" s="2"/>
      <c r="J2759" s="2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</row>
    <row r="2760" spans="1:31" x14ac:dyDescent="0.3">
      <c r="A2760" s="6"/>
      <c r="B2760" s="6"/>
      <c r="C2760" s="39"/>
      <c r="D2760" s="6"/>
      <c r="E2760" s="153"/>
      <c r="F2760" s="10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21"/>
      <c r="R2760" s="21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</row>
    <row r="2761" spans="1:31" x14ac:dyDescent="0.3">
      <c r="A2761" s="6"/>
      <c r="B2761" s="6"/>
      <c r="C2761" s="39"/>
      <c r="D2761" s="6"/>
      <c r="E2761" s="153"/>
      <c r="F2761" s="10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21"/>
      <c r="R2761" s="21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</row>
    <row r="2762" spans="1:31" x14ac:dyDescent="0.3">
      <c r="A2762" s="6"/>
      <c r="B2762" s="6"/>
      <c r="C2762" s="39"/>
      <c r="D2762" s="6"/>
      <c r="E2762" s="153"/>
      <c r="F2762" s="10"/>
      <c r="G2762" s="2"/>
      <c r="H2762" s="3"/>
      <c r="I2762" s="2"/>
      <c r="J2762" s="2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</row>
    <row r="2763" spans="1:31" ht="13.5" customHeight="1" x14ac:dyDescent="0.35">
      <c r="A2763" s="49"/>
      <c r="B2763" s="49"/>
      <c r="C2763" s="14"/>
      <c r="D2763" s="1"/>
      <c r="E2763" s="153"/>
      <c r="F2763" s="10"/>
      <c r="G2763" s="21"/>
      <c r="H2763" s="21"/>
      <c r="I2763" s="21"/>
      <c r="J2763" s="21"/>
      <c r="K2763" s="21"/>
      <c r="L2763" s="21"/>
      <c r="M2763" s="21"/>
      <c r="N2763" s="22"/>
      <c r="O2763" s="21"/>
      <c r="P2763" s="22"/>
      <c r="Q2763" s="21"/>
      <c r="R2763" s="21"/>
      <c r="S2763" s="21"/>
      <c r="T2763" s="21"/>
      <c r="U2763" s="21"/>
      <c r="V2763" s="22"/>
      <c r="W2763" s="21"/>
      <c r="X2763" s="22"/>
      <c r="Y2763" s="21"/>
      <c r="Z2763" s="21"/>
      <c r="AA2763" s="21"/>
      <c r="AB2763" s="21"/>
      <c r="AC2763" s="26"/>
      <c r="AD2763" s="26"/>
      <c r="AE2763" s="62"/>
    </row>
    <row r="2764" spans="1:31" x14ac:dyDescent="0.3">
      <c r="A2764" s="6"/>
      <c r="B2764" s="6"/>
      <c r="C2764" s="39"/>
      <c r="D2764" s="6"/>
      <c r="E2764" s="153"/>
      <c r="F2764" s="10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</row>
    <row r="2765" spans="1:31" ht="13.5" customHeight="1" x14ac:dyDescent="0.35">
      <c r="A2765" s="49"/>
      <c r="B2765" s="49"/>
      <c r="C2765" s="14"/>
      <c r="D2765" s="1"/>
      <c r="E2765" s="153"/>
      <c r="F2765" s="10"/>
      <c r="G2765" s="21"/>
      <c r="H2765" s="21"/>
      <c r="I2765" s="21"/>
      <c r="J2765" s="21"/>
      <c r="K2765" s="21"/>
      <c r="L2765" s="21"/>
      <c r="M2765" s="21"/>
      <c r="N2765" s="22"/>
      <c r="O2765" s="21"/>
      <c r="P2765" s="22"/>
      <c r="Q2765" s="21"/>
      <c r="R2765" s="21"/>
      <c r="S2765" s="21"/>
      <c r="T2765" s="21"/>
      <c r="U2765" s="21"/>
      <c r="V2765" s="22"/>
      <c r="W2765" s="21"/>
      <c r="X2765" s="22"/>
      <c r="Y2765" s="21"/>
      <c r="Z2765" s="21"/>
      <c r="AA2765" s="21"/>
      <c r="AB2765" s="21"/>
      <c r="AC2765" s="26"/>
      <c r="AD2765" s="26"/>
      <c r="AE2765" s="62"/>
    </row>
    <row r="2766" spans="1:31" ht="13.5" customHeight="1" x14ac:dyDescent="0.35">
      <c r="A2766" s="49"/>
      <c r="B2766" s="49"/>
      <c r="C2766" s="14"/>
      <c r="D2766" s="1"/>
      <c r="E2766" s="153"/>
      <c r="F2766" s="10"/>
      <c r="G2766" s="21"/>
      <c r="H2766" s="21"/>
      <c r="I2766" s="21"/>
      <c r="J2766" s="21"/>
      <c r="K2766" s="21"/>
      <c r="L2766" s="21"/>
      <c r="M2766" s="21"/>
      <c r="N2766" s="22"/>
      <c r="O2766" s="21"/>
      <c r="P2766" s="22"/>
      <c r="Q2766" s="21"/>
      <c r="R2766" s="21"/>
      <c r="S2766" s="21"/>
      <c r="T2766" s="21"/>
      <c r="U2766" s="21"/>
      <c r="V2766" s="22"/>
      <c r="W2766" s="21"/>
      <c r="X2766" s="22"/>
      <c r="Y2766" s="21"/>
      <c r="Z2766" s="21"/>
      <c r="AA2766" s="21"/>
      <c r="AB2766" s="21"/>
      <c r="AC2766" s="26"/>
      <c r="AD2766" s="26"/>
      <c r="AE2766" s="62"/>
    </row>
    <row r="2767" spans="1:31" x14ac:dyDescent="0.3">
      <c r="A2767" s="6"/>
      <c r="B2767" s="6"/>
      <c r="C2767" s="39"/>
      <c r="D2767" s="6"/>
      <c r="E2767" s="153"/>
      <c r="F2767" s="10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21"/>
      <c r="R2767" s="21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</row>
    <row r="2768" spans="1:31" ht="15" x14ac:dyDescent="0.35">
      <c r="A2768" s="63"/>
      <c r="B2768" s="63"/>
      <c r="C2768" s="39"/>
      <c r="D2768" s="6"/>
      <c r="E2768" s="153"/>
      <c r="F2768" s="10"/>
      <c r="G2768" s="64"/>
      <c r="H2768" s="3"/>
      <c r="I2768" s="2"/>
      <c r="J2768" s="2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65"/>
    </row>
    <row r="2769" spans="1:31" x14ac:dyDescent="0.3">
      <c r="A2769" s="6"/>
      <c r="B2769" s="6"/>
      <c r="C2769" s="39"/>
      <c r="D2769" s="6"/>
      <c r="E2769" s="153"/>
      <c r="F2769" s="10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</row>
    <row r="2770" spans="1:31" ht="13.5" customHeight="1" x14ac:dyDescent="0.35">
      <c r="A2770" s="49"/>
      <c r="B2770" s="49"/>
      <c r="C2770" s="14"/>
      <c r="D2770" s="1"/>
      <c r="E2770" s="153"/>
      <c r="F2770" s="10"/>
      <c r="G2770" s="21"/>
      <c r="H2770" s="21"/>
      <c r="I2770" s="21"/>
      <c r="J2770" s="21"/>
      <c r="K2770" s="21"/>
      <c r="L2770" s="21"/>
      <c r="M2770" s="21"/>
      <c r="N2770" s="22"/>
      <c r="O2770" s="21"/>
      <c r="P2770" s="22"/>
      <c r="Q2770" s="21"/>
      <c r="R2770" s="21"/>
      <c r="S2770" s="21"/>
      <c r="T2770" s="21"/>
      <c r="U2770" s="21"/>
      <c r="V2770" s="22"/>
      <c r="W2770" s="21"/>
      <c r="X2770" s="22"/>
      <c r="Y2770" s="21"/>
      <c r="Z2770" s="21"/>
      <c r="AA2770" s="21"/>
      <c r="AB2770" s="21"/>
      <c r="AC2770" s="26"/>
      <c r="AD2770" s="26"/>
      <c r="AE2770" s="62"/>
    </row>
    <row r="2771" spans="1:31" ht="13.5" customHeight="1" x14ac:dyDescent="0.35">
      <c r="A2771" s="49"/>
      <c r="B2771" s="49"/>
      <c r="C2771" s="14"/>
      <c r="D2771" s="1"/>
      <c r="E2771" s="153"/>
      <c r="F2771" s="10"/>
      <c r="G2771" s="21"/>
      <c r="H2771" s="21"/>
      <c r="I2771" s="21"/>
      <c r="J2771" s="21"/>
      <c r="K2771" s="21"/>
      <c r="L2771" s="21"/>
      <c r="M2771" s="21"/>
      <c r="N2771" s="22"/>
      <c r="O2771" s="21"/>
      <c r="P2771" s="22"/>
      <c r="Q2771" s="21"/>
      <c r="R2771" s="21"/>
      <c r="S2771" s="21"/>
      <c r="T2771" s="21"/>
      <c r="U2771" s="21"/>
      <c r="V2771" s="22"/>
      <c r="W2771" s="21"/>
      <c r="X2771" s="22"/>
      <c r="Y2771" s="21"/>
      <c r="Z2771" s="21"/>
      <c r="AA2771" s="21"/>
      <c r="AB2771" s="21"/>
      <c r="AC2771" s="26"/>
      <c r="AD2771" s="26"/>
      <c r="AE2771" s="62"/>
    </row>
    <row r="2772" spans="1:31" ht="13.5" customHeight="1" x14ac:dyDescent="0.35">
      <c r="A2772" s="49"/>
      <c r="B2772" s="49"/>
      <c r="C2772" s="14"/>
      <c r="D2772" s="1"/>
      <c r="E2772" s="153"/>
      <c r="F2772" s="10"/>
      <c r="G2772" s="21"/>
      <c r="H2772" s="21"/>
      <c r="I2772" s="21"/>
      <c r="J2772" s="21"/>
      <c r="K2772" s="21"/>
      <c r="L2772" s="21"/>
      <c r="M2772" s="21"/>
      <c r="N2772" s="22"/>
      <c r="O2772" s="21"/>
      <c r="P2772" s="22"/>
      <c r="Q2772" s="21"/>
      <c r="R2772" s="21"/>
      <c r="S2772" s="21"/>
      <c r="T2772" s="21"/>
      <c r="U2772" s="21"/>
      <c r="V2772" s="22"/>
      <c r="W2772" s="21"/>
      <c r="X2772" s="22"/>
      <c r="Y2772" s="21"/>
      <c r="Z2772" s="21"/>
      <c r="AA2772" s="21"/>
      <c r="AB2772" s="21"/>
      <c r="AC2772" s="26"/>
      <c r="AD2772" s="26"/>
      <c r="AE2772" s="62"/>
    </row>
    <row r="2773" spans="1:31" x14ac:dyDescent="0.3">
      <c r="A2773" s="63"/>
      <c r="B2773" s="63"/>
      <c r="C2773" s="39"/>
      <c r="D2773" s="6"/>
      <c r="E2773" s="153"/>
      <c r="F2773" s="10"/>
      <c r="G2773" s="64"/>
      <c r="H2773" s="3"/>
      <c r="I2773" s="2"/>
      <c r="J2773" s="2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</row>
    <row r="2774" spans="1:31" ht="13.5" customHeight="1" x14ac:dyDescent="0.35">
      <c r="A2774" s="49"/>
      <c r="B2774" s="49"/>
      <c r="C2774" s="14"/>
      <c r="D2774" s="1"/>
      <c r="E2774" s="153"/>
      <c r="F2774" s="10"/>
      <c r="G2774" s="21"/>
      <c r="H2774" s="21"/>
      <c r="I2774" s="21"/>
      <c r="J2774" s="21"/>
      <c r="K2774" s="21"/>
      <c r="L2774" s="21"/>
      <c r="M2774" s="21"/>
      <c r="N2774" s="22"/>
      <c r="O2774" s="21"/>
      <c r="P2774" s="22"/>
      <c r="Q2774" s="21"/>
      <c r="R2774" s="21"/>
      <c r="S2774" s="21"/>
      <c r="T2774" s="21"/>
      <c r="U2774" s="21"/>
      <c r="V2774" s="22"/>
      <c r="W2774" s="21"/>
      <c r="X2774" s="22"/>
      <c r="Y2774" s="21"/>
      <c r="Z2774" s="21"/>
      <c r="AA2774" s="21"/>
      <c r="AB2774" s="21"/>
      <c r="AC2774" s="26"/>
      <c r="AD2774" s="26"/>
      <c r="AE2774" s="62"/>
    </row>
    <row r="2775" spans="1:31" ht="13.5" customHeight="1" x14ac:dyDescent="0.35">
      <c r="A2775" s="49"/>
      <c r="B2775" s="49"/>
      <c r="C2775" s="14"/>
      <c r="D2775" s="1"/>
      <c r="E2775" s="153"/>
      <c r="F2775" s="10"/>
      <c r="G2775" s="21"/>
      <c r="H2775" s="21"/>
      <c r="I2775" s="21"/>
      <c r="J2775" s="21"/>
      <c r="K2775" s="21"/>
      <c r="L2775" s="21"/>
      <c r="M2775" s="21"/>
      <c r="N2775" s="22"/>
      <c r="O2775" s="21"/>
      <c r="P2775" s="22"/>
      <c r="Q2775" s="21"/>
      <c r="R2775" s="21"/>
      <c r="S2775" s="21"/>
      <c r="T2775" s="21"/>
      <c r="U2775" s="21"/>
      <c r="V2775" s="22"/>
      <c r="W2775" s="21"/>
      <c r="X2775" s="22"/>
      <c r="Y2775" s="21"/>
      <c r="Z2775" s="21"/>
      <c r="AA2775" s="21"/>
      <c r="AB2775" s="21"/>
      <c r="AC2775" s="26"/>
      <c r="AD2775" s="26"/>
      <c r="AE2775" s="62"/>
    </row>
    <row r="2776" spans="1:31" x14ac:dyDescent="0.3">
      <c r="A2776" s="6"/>
      <c r="B2776" s="6"/>
      <c r="C2776" s="39"/>
      <c r="D2776" s="6"/>
      <c r="E2776" s="153"/>
      <c r="F2776" s="10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21"/>
      <c r="R2776" s="21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</row>
    <row r="2777" spans="1:31" ht="13.5" customHeight="1" x14ac:dyDescent="0.35">
      <c r="A2777" s="49"/>
      <c r="B2777" s="49"/>
      <c r="C2777" s="39"/>
      <c r="D2777" s="1"/>
      <c r="E2777" s="153"/>
      <c r="F2777" s="10"/>
      <c r="G2777" s="21"/>
      <c r="H2777" s="21"/>
      <c r="I2777" s="21"/>
      <c r="J2777" s="21"/>
      <c r="K2777" s="21"/>
      <c r="L2777" s="21"/>
      <c r="M2777" s="21"/>
      <c r="N2777" s="22"/>
      <c r="O2777" s="21"/>
      <c r="P2777" s="22"/>
      <c r="Q2777" s="21"/>
      <c r="R2777" s="21"/>
      <c r="S2777" s="21"/>
      <c r="T2777" s="21"/>
      <c r="U2777" s="21"/>
      <c r="V2777" s="22"/>
      <c r="W2777" s="21"/>
      <c r="X2777" s="22"/>
      <c r="Y2777" s="21"/>
      <c r="Z2777" s="21"/>
      <c r="AA2777" s="21"/>
      <c r="AB2777" s="21"/>
      <c r="AC2777" s="26"/>
      <c r="AD2777" s="26"/>
      <c r="AE2777" s="62"/>
    </row>
    <row r="2778" spans="1:31" x14ac:dyDescent="0.3">
      <c r="A2778" s="63"/>
      <c r="B2778" s="63"/>
      <c r="C2778" s="39"/>
      <c r="D2778" s="6"/>
      <c r="E2778" s="153"/>
      <c r="F2778" s="10"/>
      <c r="G2778" s="64"/>
      <c r="H2778" s="3"/>
      <c r="I2778" s="2"/>
      <c r="J2778" s="2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</row>
    <row r="2779" spans="1:31" x14ac:dyDescent="0.3">
      <c r="A2779" s="6"/>
      <c r="B2779" s="6"/>
      <c r="C2779" s="39"/>
      <c r="D2779" s="6"/>
      <c r="E2779" s="153"/>
      <c r="F2779" s="10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21"/>
      <c r="R2779" s="21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</row>
    <row r="2780" spans="1:31" ht="13.5" customHeight="1" x14ac:dyDescent="0.35">
      <c r="A2780" s="49"/>
      <c r="B2780" s="49"/>
      <c r="C2780" s="39"/>
      <c r="D2780" s="1"/>
      <c r="E2780" s="153"/>
      <c r="F2780" s="10"/>
      <c r="G2780" s="21"/>
      <c r="H2780" s="21"/>
      <c r="I2780" s="21"/>
      <c r="J2780" s="21"/>
      <c r="K2780" s="21"/>
      <c r="L2780" s="21"/>
      <c r="M2780" s="21"/>
      <c r="N2780" s="22"/>
      <c r="O2780" s="21"/>
      <c r="P2780" s="22"/>
      <c r="Q2780" s="21"/>
      <c r="R2780" s="21"/>
      <c r="S2780" s="21"/>
      <c r="T2780" s="21"/>
      <c r="U2780" s="21"/>
      <c r="V2780" s="22"/>
      <c r="W2780" s="21"/>
      <c r="X2780" s="22"/>
      <c r="Y2780" s="21"/>
      <c r="Z2780" s="21"/>
      <c r="AA2780" s="21"/>
      <c r="AB2780" s="21"/>
      <c r="AC2780" s="26"/>
      <c r="AD2780" s="26"/>
      <c r="AE2780" s="62"/>
    </row>
    <row r="2781" spans="1:31" x14ac:dyDescent="0.3">
      <c r="A2781" s="6"/>
      <c r="B2781" s="6"/>
      <c r="C2781" s="39"/>
      <c r="D2781" s="6"/>
      <c r="E2781" s="153"/>
      <c r="F2781" s="10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21"/>
      <c r="R2781" s="21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</row>
    <row r="2782" spans="1:31" ht="13.5" customHeight="1" x14ac:dyDescent="0.35">
      <c r="A2782" s="49"/>
      <c r="B2782" s="49"/>
      <c r="C2782" s="14"/>
      <c r="D2782" s="1"/>
      <c r="E2782" s="153"/>
      <c r="F2782" s="10"/>
      <c r="G2782" s="21"/>
      <c r="H2782" s="21"/>
      <c r="I2782" s="21"/>
      <c r="J2782" s="21"/>
      <c r="K2782" s="21"/>
      <c r="L2782" s="21"/>
      <c r="M2782" s="21"/>
      <c r="N2782" s="22"/>
      <c r="O2782" s="21"/>
      <c r="P2782" s="22"/>
      <c r="Q2782" s="21"/>
      <c r="R2782" s="21"/>
      <c r="S2782" s="21"/>
      <c r="T2782" s="21"/>
      <c r="U2782" s="21"/>
      <c r="V2782" s="22"/>
      <c r="W2782" s="21"/>
      <c r="X2782" s="22"/>
      <c r="Y2782" s="21"/>
      <c r="Z2782" s="21"/>
      <c r="AA2782" s="21"/>
      <c r="AB2782" s="21"/>
      <c r="AC2782" s="26"/>
      <c r="AD2782" s="26"/>
      <c r="AE2782" s="62"/>
    </row>
    <row r="2783" spans="1:31" x14ac:dyDescent="0.3">
      <c r="A2783" s="6"/>
      <c r="B2783" s="6"/>
      <c r="C2783" s="39"/>
      <c r="D2783" s="6"/>
      <c r="E2783" s="153"/>
      <c r="F2783" s="10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21"/>
      <c r="R2783" s="21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</row>
    <row r="2784" spans="1:31" ht="13.5" customHeight="1" x14ac:dyDescent="0.35">
      <c r="A2784" s="49"/>
      <c r="B2784" s="49"/>
      <c r="C2784" s="14"/>
      <c r="D2784" s="1"/>
      <c r="E2784" s="153"/>
      <c r="F2784" s="10"/>
      <c r="G2784" s="21"/>
      <c r="H2784" s="21"/>
      <c r="I2784" s="21"/>
      <c r="J2784" s="21"/>
      <c r="K2784" s="21"/>
      <c r="L2784" s="21"/>
      <c r="M2784" s="21"/>
      <c r="N2784" s="22"/>
      <c r="O2784" s="21"/>
      <c r="P2784" s="22"/>
      <c r="Q2784" s="21"/>
      <c r="R2784" s="21"/>
      <c r="S2784" s="21"/>
      <c r="T2784" s="21"/>
      <c r="U2784" s="21"/>
      <c r="V2784" s="22"/>
      <c r="W2784" s="21"/>
      <c r="X2784" s="22"/>
      <c r="Y2784" s="21"/>
      <c r="Z2784" s="21"/>
      <c r="AA2784" s="21"/>
      <c r="AB2784" s="21"/>
      <c r="AC2784" s="26"/>
      <c r="AD2784" s="26"/>
      <c r="AE2784" s="62"/>
    </row>
    <row r="2785" spans="1:31" ht="13.5" customHeight="1" x14ac:dyDescent="0.3">
      <c r="A2785" s="6"/>
      <c r="B2785" s="6"/>
      <c r="C2785" s="39"/>
      <c r="D2785" s="6"/>
      <c r="E2785" s="153"/>
      <c r="F2785" s="10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21"/>
      <c r="R2785" s="21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</row>
    <row r="2786" spans="1:31" x14ac:dyDescent="0.3">
      <c r="A2786" s="6"/>
      <c r="B2786" s="6"/>
      <c r="C2786" s="39"/>
      <c r="D2786" s="6"/>
      <c r="E2786" s="153"/>
      <c r="F2786" s="10"/>
      <c r="G2786" s="2"/>
      <c r="H2786" s="3"/>
      <c r="I2786" s="2"/>
      <c r="J2786" s="2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</row>
    <row r="2787" spans="1:31" x14ac:dyDescent="0.3">
      <c r="A2787" s="6"/>
      <c r="B2787" s="6"/>
      <c r="C2787" s="39"/>
      <c r="D2787" s="6"/>
      <c r="E2787" s="153"/>
      <c r="F2787" s="10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21"/>
      <c r="R2787" s="21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</row>
    <row r="2788" spans="1:31" x14ac:dyDescent="0.3">
      <c r="A2788" s="63"/>
      <c r="B2788" s="63"/>
      <c r="C2788" s="39"/>
      <c r="D2788" s="6"/>
      <c r="E2788" s="153"/>
      <c r="F2788" s="10"/>
      <c r="G2788" s="64"/>
      <c r="H2788" s="3"/>
      <c r="I2788" s="2"/>
      <c r="J2788" s="2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</row>
    <row r="2789" spans="1:31" x14ac:dyDescent="0.3">
      <c r="A2789" s="6"/>
      <c r="B2789" s="6"/>
      <c r="C2789" s="39"/>
      <c r="D2789" s="6"/>
      <c r="E2789" s="153"/>
      <c r="F2789" s="10"/>
      <c r="G2789" s="2"/>
      <c r="H2789" s="3"/>
      <c r="I2789" s="2"/>
      <c r="J2789" s="2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</row>
    <row r="2790" spans="1:31" x14ac:dyDescent="0.3">
      <c r="A2790" s="6"/>
      <c r="B2790" s="6"/>
      <c r="C2790" s="39"/>
      <c r="D2790" s="6"/>
      <c r="E2790" s="153"/>
      <c r="F2790" s="10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</row>
    <row r="2791" spans="1:31" x14ac:dyDescent="0.3">
      <c r="A2791" s="63"/>
      <c r="B2791" s="63"/>
      <c r="C2791" s="39"/>
      <c r="D2791" s="6"/>
      <c r="E2791" s="153"/>
      <c r="F2791" s="10"/>
      <c r="G2791" s="64"/>
      <c r="H2791" s="3"/>
      <c r="I2791" s="2"/>
      <c r="J2791" s="2"/>
      <c r="K2791" s="3"/>
      <c r="L2791" s="3"/>
      <c r="M2791" s="3"/>
      <c r="N2791" s="3"/>
      <c r="O2791" s="3"/>
      <c r="P2791" s="3"/>
      <c r="Q2791" s="21"/>
      <c r="R2791" s="21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</row>
    <row r="2792" spans="1:31" ht="13.5" customHeight="1" x14ac:dyDescent="0.35">
      <c r="A2792" s="49"/>
      <c r="B2792" s="49"/>
      <c r="C2792" s="39"/>
      <c r="D2792" s="1"/>
      <c r="E2792" s="153"/>
      <c r="F2792" s="10"/>
      <c r="G2792" s="21"/>
      <c r="H2792" s="21"/>
      <c r="I2792" s="21"/>
      <c r="J2792" s="21"/>
      <c r="K2792" s="21"/>
      <c r="L2792" s="21"/>
      <c r="M2792" s="21"/>
      <c r="N2792" s="22"/>
      <c r="O2792" s="21"/>
      <c r="P2792" s="22"/>
      <c r="Q2792" s="21"/>
      <c r="R2792" s="21"/>
      <c r="S2792" s="21"/>
      <c r="T2792" s="21"/>
      <c r="U2792" s="21"/>
      <c r="V2792" s="22"/>
      <c r="W2792" s="21"/>
      <c r="X2792" s="22"/>
      <c r="Y2792" s="21"/>
      <c r="Z2792" s="21"/>
      <c r="AA2792" s="21"/>
      <c r="AB2792" s="21"/>
      <c r="AC2792" s="26"/>
      <c r="AD2792" s="26"/>
      <c r="AE2792" s="62"/>
    </row>
    <row r="2793" spans="1:31" x14ac:dyDescent="0.3">
      <c r="A2793" s="63"/>
      <c r="B2793" s="63"/>
      <c r="C2793" s="39"/>
      <c r="D2793" s="6"/>
      <c r="E2793" s="153"/>
      <c r="F2793" s="10"/>
      <c r="G2793" s="64"/>
      <c r="H2793" s="3"/>
      <c r="I2793" s="2"/>
      <c r="J2793" s="2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</row>
    <row r="2794" spans="1:31" ht="13.5" customHeight="1" x14ac:dyDescent="0.3">
      <c r="A2794" s="49"/>
      <c r="B2794" s="49"/>
      <c r="C2794" s="14"/>
      <c r="D2794" s="6"/>
      <c r="E2794" s="153"/>
      <c r="F2794" s="10"/>
      <c r="G2794" s="21"/>
      <c r="H2794" s="21"/>
      <c r="I2794" s="21"/>
      <c r="J2794" s="21"/>
      <c r="K2794" s="21"/>
      <c r="L2794" s="21"/>
      <c r="M2794" s="21"/>
      <c r="N2794" s="22"/>
      <c r="O2794" s="21"/>
      <c r="P2794" s="22"/>
      <c r="Q2794" s="21"/>
      <c r="R2794" s="21"/>
      <c r="S2794" s="21"/>
      <c r="T2794" s="21"/>
      <c r="U2794" s="21"/>
      <c r="V2794" s="22"/>
      <c r="W2794" s="21"/>
      <c r="X2794" s="22"/>
      <c r="Y2794" s="21"/>
      <c r="Z2794" s="21"/>
      <c r="AA2794" s="21"/>
      <c r="AB2794" s="21"/>
      <c r="AC2794" s="26"/>
      <c r="AD2794" s="26"/>
      <c r="AE2794" s="62"/>
    </row>
    <row r="2795" spans="1:31" ht="13.5" customHeight="1" x14ac:dyDescent="0.35">
      <c r="A2795" s="49"/>
      <c r="B2795" s="49"/>
      <c r="C2795" s="14"/>
      <c r="D2795" s="1"/>
      <c r="E2795" s="153"/>
      <c r="F2795" s="10"/>
      <c r="G2795" s="21"/>
      <c r="H2795" s="21"/>
      <c r="I2795" s="21"/>
      <c r="J2795" s="21"/>
      <c r="K2795" s="21"/>
      <c r="L2795" s="21"/>
      <c r="M2795" s="21"/>
      <c r="N2795" s="22"/>
      <c r="O2795" s="21"/>
      <c r="P2795" s="22"/>
      <c r="Q2795" s="21"/>
      <c r="R2795" s="21"/>
      <c r="S2795" s="21"/>
      <c r="T2795" s="21"/>
      <c r="U2795" s="21"/>
      <c r="V2795" s="22"/>
      <c r="W2795" s="21"/>
      <c r="X2795" s="22"/>
      <c r="Y2795" s="21"/>
      <c r="Z2795" s="21"/>
      <c r="AA2795" s="21"/>
      <c r="AB2795" s="21"/>
      <c r="AC2795" s="26"/>
      <c r="AD2795" s="26"/>
      <c r="AE2795" s="62"/>
    </row>
    <row r="2796" spans="1:31" x14ac:dyDescent="0.3">
      <c r="A2796" s="63"/>
      <c r="B2796" s="63"/>
      <c r="C2796" s="39"/>
      <c r="D2796" s="6"/>
      <c r="E2796" s="153"/>
      <c r="F2796" s="10"/>
      <c r="G2796" s="64"/>
      <c r="H2796" s="3"/>
      <c r="I2796" s="2"/>
      <c r="J2796" s="2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12"/>
      <c r="W2796" s="3"/>
      <c r="X2796" s="3"/>
      <c r="Y2796" s="3"/>
      <c r="Z2796" s="3"/>
      <c r="AA2796" s="3"/>
      <c r="AB2796" s="3"/>
      <c r="AC2796" s="3"/>
      <c r="AD2796" s="3"/>
      <c r="AE2796" s="3"/>
    </row>
    <row r="2797" spans="1:31" ht="13.5" customHeight="1" x14ac:dyDescent="0.35">
      <c r="A2797" s="49"/>
      <c r="B2797" s="49"/>
      <c r="C2797" s="39"/>
      <c r="D2797" s="1"/>
      <c r="E2797" s="153"/>
      <c r="F2797" s="10"/>
      <c r="G2797" s="21"/>
      <c r="H2797" s="21"/>
      <c r="I2797" s="21"/>
      <c r="J2797" s="21"/>
      <c r="K2797" s="21"/>
      <c r="L2797" s="21"/>
      <c r="M2797" s="21"/>
      <c r="N2797" s="22"/>
      <c r="O2797" s="21"/>
      <c r="P2797" s="22"/>
      <c r="Q2797" s="21"/>
      <c r="R2797" s="21"/>
      <c r="S2797" s="21"/>
      <c r="T2797" s="21"/>
      <c r="U2797" s="21"/>
      <c r="V2797" s="22"/>
      <c r="W2797" s="21"/>
      <c r="X2797" s="22"/>
      <c r="Y2797" s="21"/>
      <c r="Z2797" s="21"/>
      <c r="AA2797" s="21"/>
      <c r="AB2797" s="21"/>
      <c r="AC2797" s="26"/>
      <c r="AD2797" s="26"/>
      <c r="AE2797" s="62"/>
    </row>
    <row r="2798" spans="1:31" ht="13.5" customHeight="1" x14ac:dyDescent="0.35">
      <c r="A2798" s="49"/>
      <c r="B2798" s="49"/>
      <c r="C2798" s="39"/>
      <c r="D2798" s="1"/>
      <c r="E2798" s="153"/>
      <c r="F2798" s="10"/>
      <c r="G2798" s="21"/>
      <c r="H2798" s="21"/>
      <c r="I2798" s="21"/>
      <c r="J2798" s="21"/>
      <c r="K2798" s="21"/>
      <c r="L2798" s="21"/>
      <c r="M2798" s="21"/>
      <c r="N2798" s="22"/>
      <c r="O2798" s="21"/>
      <c r="P2798" s="22"/>
      <c r="Q2798" s="21"/>
      <c r="R2798" s="21"/>
      <c r="S2798" s="21"/>
      <c r="T2798" s="21"/>
      <c r="U2798" s="21"/>
      <c r="V2798" s="22"/>
      <c r="W2798" s="21"/>
      <c r="X2798" s="22"/>
      <c r="Y2798" s="21"/>
      <c r="Z2798" s="21"/>
      <c r="AA2798" s="21"/>
      <c r="AB2798" s="21"/>
      <c r="AC2798" s="26"/>
      <c r="AD2798" s="26"/>
      <c r="AE2798" s="62"/>
    </row>
    <row r="2799" spans="1:31" x14ac:dyDescent="0.3">
      <c r="A2799" s="6"/>
      <c r="B2799" s="6"/>
      <c r="C2799" s="39"/>
      <c r="D2799" s="6"/>
      <c r="E2799" s="153"/>
      <c r="F2799" s="10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21"/>
      <c r="R2799" s="21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</row>
    <row r="2800" spans="1:31" x14ac:dyDescent="0.3">
      <c r="A2800" s="63"/>
      <c r="B2800" s="63"/>
      <c r="C2800" s="39"/>
      <c r="D2800" s="6"/>
      <c r="E2800" s="153"/>
      <c r="F2800" s="10"/>
      <c r="G2800" s="64"/>
      <c r="H2800" s="3"/>
      <c r="I2800" s="2"/>
      <c r="J2800" s="2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</row>
    <row r="2801" spans="1:31" ht="15" x14ac:dyDescent="0.35">
      <c r="A2801" s="6"/>
      <c r="B2801" s="6"/>
      <c r="C2801" s="39"/>
      <c r="D2801" s="6"/>
      <c r="E2801" s="153"/>
      <c r="F2801" s="10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21"/>
      <c r="R2801" s="21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65"/>
    </row>
    <row r="2802" spans="1:31" x14ac:dyDescent="0.3">
      <c r="A2802" s="6"/>
      <c r="B2802" s="6"/>
      <c r="C2802" s="39"/>
      <c r="D2802" s="6"/>
      <c r="E2802" s="153"/>
      <c r="F2802" s="10"/>
      <c r="G2802" s="2"/>
      <c r="H2802" s="3"/>
      <c r="I2802" s="2"/>
      <c r="J2802" s="2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</row>
    <row r="2803" spans="1:31" ht="13.5" customHeight="1" x14ac:dyDescent="0.35">
      <c r="A2803" s="49"/>
      <c r="B2803" s="49"/>
      <c r="C2803" s="14"/>
      <c r="D2803" s="1"/>
      <c r="E2803" s="153"/>
      <c r="F2803" s="10"/>
      <c r="G2803" s="21"/>
      <c r="H2803" s="21"/>
      <c r="I2803" s="21"/>
      <c r="J2803" s="21"/>
      <c r="K2803" s="21"/>
      <c r="L2803" s="21"/>
      <c r="M2803" s="21"/>
      <c r="N2803" s="22"/>
      <c r="O2803" s="21"/>
      <c r="P2803" s="22"/>
      <c r="Q2803" s="21"/>
      <c r="R2803" s="21"/>
      <c r="S2803" s="21"/>
      <c r="T2803" s="21"/>
      <c r="U2803" s="21"/>
      <c r="V2803" s="22"/>
      <c r="W2803" s="21"/>
      <c r="X2803" s="22"/>
      <c r="Y2803" s="21"/>
      <c r="Z2803" s="21"/>
      <c r="AA2803" s="21"/>
      <c r="AB2803" s="21"/>
      <c r="AC2803" s="26"/>
      <c r="AD2803" s="26"/>
      <c r="AE2803" s="62"/>
    </row>
    <row r="2804" spans="1:31" ht="13.5" customHeight="1" x14ac:dyDescent="0.35">
      <c r="A2804" s="49"/>
      <c r="B2804" s="49"/>
      <c r="C2804" s="14"/>
      <c r="D2804" s="1"/>
      <c r="E2804" s="153"/>
      <c r="F2804" s="10"/>
      <c r="G2804" s="21"/>
      <c r="H2804" s="21"/>
      <c r="I2804" s="21"/>
      <c r="J2804" s="21"/>
      <c r="K2804" s="21"/>
      <c r="L2804" s="21"/>
      <c r="M2804" s="21"/>
      <c r="N2804" s="22"/>
      <c r="O2804" s="21"/>
      <c r="P2804" s="22"/>
      <c r="Q2804" s="21"/>
      <c r="R2804" s="21"/>
      <c r="S2804" s="21"/>
      <c r="T2804" s="21"/>
      <c r="U2804" s="21"/>
      <c r="V2804" s="22"/>
      <c r="W2804" s="21"/>
      <c r="X2804" s="22"/>
      <c r="Y2804" s="21"/>
      <c r="Z2804" s="21"/>
      <c r="AA2804" s="21"/>
      <c r="AB2804" s="21"/>
      <c r="AC2804" s="26"/>
      <c r="AD2804" s="26"/>
      <c r="AE2804" s="62"/>
    </row>
    <row r="2805" spans="1:31" ht="13.5" customHeight="1" x14ac:dyDescent="0.35">
      <c r="A2805" s="49"/>
      <c r="B2805" s="49"/>
      <c r="C2805" s="39"/>
      <c r="D2805" s="1"/>
      <c r="E2805" s="153"/>
      <c r="F2805" s="10"/>
      <c r="G2805" s="21"/>
      <c r="H2805" s="21"/>
      <c r="I2805" s="21"/>
      <c r="J2805" s="21"/>
      <c r="K2805" s="21"/>
      <c r="L2805" s="21"/>
      <c r="M2805" s="21"/>
      <c r="N2805" s="22"/>
      <c r="O2805" s="21"/>
      <c r="P2805" s="22"/>
      <c r="Q2805" s="21"/>
      <c r="R2805" s="21"/>
      <c r="S2805" s="21"/>
      <c r="T2805" s="21"/>
      <c r="U2805" s="21"/>
      <c r="V2805" s="22"/>
      <c r="W2805" s="21"/>
      <c r="X2805" s="22"/>
      <c r="Y2805" s="21"/>
      <c r="Z2805" s="21"/>
      <c r="AA2805" s="21"/>
      <c r="AB2805" s="21"/>
      <c r="AC2805" s="26"/>
      <c r="AD2805" s="26"/>
      <c r="AE2805" s="62"/>
    </row>
    <row r="2806" spans="1:31" x14ac:dyDescent="0.3">
      <c r="A2806" s="6"/>
      <c r="B2806" s="6"/>
      <c r="C2806" s="39"/>
      <c r="D2806" s="6"/>
      <c r="E2806" s="153"/>
      <c r="F2806" s="10"/>
      <c r="G2806" s="2"/>
      <c r="H2806" s="3"/>
      <c r="I2806" s="2"/>
      <c r="J2806" s="2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</row>
    <row r="2807" spans="1:31" ht="13.5" customHeight="1" x14ac:dyDescent="0.35">
      <c r="A2807" s="49"/>
      <c r="B2807" s="49"/>
      <c r="C2807" s="14"/>
      <c r="D2807" s="1"/>
      <c r="E2807" s="153"/>
      <c r="F2807" s="10"/>
      <c r="G2807" s="21"/>
      <c r="H2807" s="21"/>
      <c r="I2807" s="21"/>
      <c r="J2807" s="21"/>
      <c r="K2807" s="21"/>
      <c r="L2807" s="21"/>
      <c r="M2807" s="21"/>
      <c r="N2807" s="22"/>
      <c r="O2807" s="21"/>
      <c r="P2807" s="22"/>
      <c r="Q2807" s="21"/>
      <c r="R2807" s="21"/>
      <c r="S2807" s="21"/>
      <c r="T2807" s="21"/>
      <c r="U2807" s="21"/>
      <c r="V2807" s="22"/>
      <c r="W2807" s="21"/>
      <c r="X2807" s="22"/>
      <c r="Y2807" s="21"/>
      <c r="Z2807" s="21"/>
      <c r="AA2807" s="21"/>
      <c r="AB2807" s="21"/>
      <c r="AC2807" s="26"/>
      <c r="AD2807" s="26"/>
      <c r="AE2807" s="62"/>
    </row>
    <row r="2808" spans="1:31" ht="13.5" customHeight="1" x14ac:dyDescent="0.35">
      <c r="A2808" s="49"/>
      <c r="B2808" s="49"/>
      <c r="C2808" s="39"/>
      <c r="D2808" s="1"/>
      <c r="E2808" s="153"/>
      <c r="F2808" s="10"/>
      <c r="G2808" s="21"/>
      <c r="H2808" s="21"/>
      <c r="I2808" s="21"/>
      <c r="J2808" s="21"/>
      <c r="K2808" s="21"/>
      <c r="L2808" s="21"/>
      <c r="M2808" s="21"/>
      <c r="N2808" s="22"/>
      <c r="O2808" s="21"/>
      <c r="P2808" s="22"/>
      <c r="Q2808" s="21"/>
      <c r="R2808" s="21"/>
      <c r="S2808" s="21"/>
      <c r="T2808" s="21"/>
      <c r="U2808" s="21"/>
      <c r="V2808" s="22"/>
      <c r="W2808" s="21"/>
      <c r="X2808" s="22"/>
      <c r="Y2808" s="21"/>
      <c r="Z2808" s="21"/>
      <c r="AA2808" s="21"/>
      <c r="AB2808" s="21"/>
      <c r="AC2808" s="26"/>
      <c r="AD2808" s="26"/>
      <c r="AE2808" s="62"/>
    </row>
    <row r="2809" spans="1:31" x14ac:dyDescent="0.3">
      <c r="A2809" s="6"/>
      <c r="B2809" s="6"/>
      <c r="C2809" s="39"/>
      <c r="D2809" s="6"/>
      <c r="E2809" s="153"/>
      <c r="F2809" s="10"/>
      <c r="G2809" s="2"/>
      <c r="H2809" s="3"/>
      <c r="I2809" s="2"/>
      <c r="J2809" s="2"/>
      <c r="K2809" s="3"/>
      <c r="L2809" s="3"/>
      <c r="M2809" s="3"/>
      <c r="N2809" s="3"/>
      <c r="O2809" s="3"/>
      <c r="P2809" s="3"/>
      <c r="Q2809" s="21"/>
      <c r="R2809" s="21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</row>
    <row r="2810" spans="1:31" ht="13.5" customHeight="1" x14ac:dyDescent="0.35">
      <c r="A2810" s="49"/>
      <c r="B2810" s="49"/>
      <c r="C2810" s="39"/>
      <c r="D2810" s="1"/>
      <c r="E2810" s="153"/>
      <c r="F2810" s="10"/>
      <c r="G2810" s="21"/>
      <c r="H2810" s="21"/>
      <c r="I2810" s="21"/>
      <c r="J2810" s="21"/>
      <c r="K2810" s="21"/>
      <c r="L2810" s="21"/>
      <c r="M2810" s="21"/>
      <c r="N2810" s="22"/>
      <c r="O2810" s="21"/>
      <c r="P2810" s="22"/>
      <c r="Q2810" s="21"/>
      <c r="R2810" s="21"/>
      <c r="S2810" s="21"/>
      <c r="T2810" s="21"/>
      <c r="U2810" s="21"/>
      <c r="V2810" s="22"/>
      <c r="W2810" s="21"/>
      <c r="X2810" s="22"/>
      <c r="Y2810" s="21"/>
      <c r="Z2810" s="21"/>
      <c r="AA2810" s="21"/>
      <c r="AB2810" s="21"/>
      <c r="AC2810" s="26"/>
      <c r="AD2810" s="26"/>
      <c r="AE2810" s="62"/>
    </row>
    <row r="2811" spans="1:31" x14ac:dyDescent="0.3">
      <c r="A2811" s="6"/>
      <c r="B2811" s="6"/>
      <c r="C2811" s="39"/>
      <c r="D2811" s="6"/>
      <c r="E2811" s="153"/>
      <c r="F2811" s="10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21"/>
      <c r="R2811" s="21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</row>
    <row r="2812" spans="1:31" x14ac:dyDescent="0.3">
      <c r="A2812" s="6"/>
      <c r="B2812" s="6"/>
      <c r="C2812" s="39"/>
      <c r="D2812" s="6"/>
      <c r="E2812" s="153"/>
      <c r="F2812" s="10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21"/>
      <c r="R2812" s="21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</row>
    <row r="2813" spans="1:31" x14ac:dyDescent="0.3">
      <c r="A2813" s="6"/>
      <c r="B2813" s="6"/>
      <c r="C2813" s="39"/>
      <c r="D2813" s="6"/>
      <c r="E2813" s="153"/>
      <c r="F2813" s="10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21"/>
      <c r="R2813" s="21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</row>
    <row r="2814" spans="1:31" x14ac:dyDescent="0.3">
      <c r="A2814" s="6"/>
      <c r="B2814" s="6"/>
      <c r="C2814" s="39"/>
      <c r="D2814" s="6"/>
      <c r="E2814" s="153"/>
      <c r="F2814" s="10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21"/>
      <c r="R2814" s="21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</row>
    <row r="2815" spans="1:31" ht="13.5" customHeight="1" x14ac:dyDescent="0.35">
      <c r="A2815" s="49"/>
      <c r="B2815" s="49"/>
      <c r="C2815" s="39"/>
      <c r="D2815" s="1"/>
      <c r="E2815" s="153"/>
      <c r="F2815" s="10"/>
      <c r="G2815" s="21"/>
      <c r="H2815" s="21"/>
      <c r="I2815" s="21"/>
      <c r="J2815" s="21"/>
      <c r="K2815" s="21"/>
      <c r="L2815" s="21"/>
      <c r="M2815" s="21"/>
      <c r="N2815" s="22"/>
      <c r="O2815" s="21"/>
      <c r="P2815" s="22"/>
      <c r="Q2815" s="21"/>
      <c r="R2815" s="21"/>
      <c r="S2815" s="21"/>
      <c r="T2815" s="21"/>
      <c r="U2815" s="21"/>
      <c r="V2815" s="22"/>
      <c r="W2815" s="21"/>
      <c r="X2815" s="22"/>
      <c r="Y2815" s="21"/>
      <c r="Z2815" s="21"/>
      <c r="AA2815" s="21"/>
      <c r="AB2815" s="21"/>
      <c r="AC2815" s="26"/>
      <c r="AD2815" s="26"/>
      <c r="AE2815" s="62"/>
    </row>
    <row r="2816" spans="1:31" ht="13.5" customHeight="1" x14ac:dyDescent="0.35">
      <c r="A2816" s="49"/>
      <c r="B2816" s="49"/>
      <c r="C2816" s="14"/>
      <c r="D2816" s="1"/>
      <c r="E2816" s="153"/>
      <c r="F2816" s="10"/>
      <c r="G2816" s="21"/>
      <c r="H2816" s="21"/>
      <c r="I2816" s="21"/>
      <c r="J2816" s="21"/>
      <c r="K2816" s="21"/>
      <c r="L2816" s="21"/>
      <c r="M2816" s="21"/>
      <c r="N2816" s="22"/>
      <c r="O2816" s="21"/>
      <c r="P2816" s="22"/>
      <c r="Q2816" s="21"/>
      <c r="R2816" s="21"/>
      <c r="S2816" s="21"/>
      <c r="T2816" s="21"/>
      <c r="U2816" s="21"/>
      <c r="V2816" s="22"/>
      <c r="W2816" s="21"/>
      <c r="X2816" s="22"/>
      <c r="Y2816" s="21"/>
      <c r="Z2816" s="21"/>
      <c r="AA2816" s="21"/>
      <c r="AB2816" s="21"/>
      <c r="AC2816" s="26"/>
      <c r="AD2816" s="26"/>
      <c r="AE2816" s="62"/>
    </row>
    <row r="2817" spans="1:31" x14ac:dyDescent="0.3">
      <c r="A2817" s="6"/>
      <c r="B2817" s="6"/>
      <c r="C2817" s="39"/>
      <c r="D2817" s="6"/>
      <c r="E2817" s="153"/>
      <c r="F2817" s="10"/>
      <c r="G2817" s="2"/>
      <c r="H2817" s="3"/>
      <c r="I2817" s="2"/>
      <c r="J2817" s="2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</row>
    <row r="2818" spans="1:31" x14ac:dyDescent="0.3">
      <c r="A2818" s="6"/>
      <c r="B2818" s="6"/>
      <c r="C2818" s="39"/>
      <c r="D2818" s="6"/>
      <c r="E2818" s="153"/>
      <c r="F2818" s="10"/>
      <c r="G2818" s="2"/>
      <c r="H2818" s="3"/>
      <c r="I2818" s="2"/>
      <c r="J2818" s="2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</row>
    <row r="2819" spans="1:31" x14ac:dyDescent="0.3">
      <c r="A2819" s="63"/>
      <c r="B2819" s="63"/>
      <c r="C2819" s="39"/>
      <c r="D2819" s="6"/>
      <c r="E2819" s="153"/>
      <c r="F2819" s="10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21"/>
      <c r="R2819" s="21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</row>
    <row r="2820" spans="1:31" x14ac:dyDescent="0.3">
      <c r="A2820" s="63"/>
      <c r="B2820" s="63"/>
      <c r="C2820" s="39"/>
      <c r="D2820" s="6"/>
      <c r="E2820" s="153"/>
      <c r="F2820" s="10"/>
      <c r="G2820" s="64"/>
      <c r="H2820" s="3"/>
      <c r="I2820" s="2"/>
      <c r="J2820" s="2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</row>
    <row r="2821" spans="1:31" x14ac:dyDescent="0.3">
      <c r="A2821" s="6"/>
      <c r="B2821" s="6"/>
      <c r="C2821" s="39"/>
      <c r="D2821" s="6"/>
      <c r="E2821" s="153"/>
      <c r="F2821" s="10"/>
      <c r="G2821" s="2"/>
      <c r="H2821" s="3"/>
      <c r="I2821" s="2"/>
      <c r="J2821" s="2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</row>
    <row r="2822" spans="1:31" ht="13.5" customHeight="1" x14ac:dyDescent="0.35">
      <c r="A2822" s="49"/>
      <c r="B2822" s="49"/>
      <c r="C2822" s="39"/>
      <c r="D2822" s="1"/>
      <c r="E2822" s="153"/>
      <c r="F2822" s="10"/>
      <c r="G2822" s="21"/>
      <c r="H2822" s="21"/>
      <c r="I2822" s="21"/>
      <c r="J2822" s="21"/>
      <c r="K2822" s="21"/>
      <c r="L2822" s="21"/>
      <c r="M2822" s="21"/>
      <c r="N2822" s="22"/>
      <c r="O2822" s="21"/>
      <c r="P2822" s="22"/>
      <c r="Q2822" s="21"/>
      <c r="R2822" s="21"/>
      <c r="S2822" s="21"/>
      <c r="T2822" s="21"/>
      <c r="U2822" s="21"/>
      <c r="V2822" s="22"/>
      <c r="W2822" s="21"/>
      <c r="X2822" s="22"/>
      <c r="Y2822" s="21"/>
      <c r="Z2822" s="21"/>
      <c r="AA2822" s="21"/>
      <c r="AB2822" s="21"/>
      <c r="AC2822" s="26"/>
      <c r="AD2822" s="26"/>
      <c r="AE2822" s="62"/>
    </row>
    <row r="2823" spans="1:31" x14ac:dyDescent="0.3">
      <c r="A2823" s="6"/>
      <c r="B2823" s="6"/>
      <c r="C2823" s="39"/>
      <c r="D2823" s="6"/>
      <c r="E2823" s="153"/>
      <c r="F2823" s="10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21"/>
      <c r="R2823" s="21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</row>
    <row r="2824" spans="1:31" x14ac:dyDescent="0.3">
      <c r="A2824" s="6"/>
      <c r="B2824" s="6"/>
      <c r="C2824" s="39"/>
      <c r="D2824" s="6"/>
      <c r="E2824" s="153"/>
      <c r="F2824" s="10"/>
      <c r="G2824" s="2"/>
      <c r="H2824" s="3"/>
      <c r="I2824" s="2"/>
      <c r="J2824" s="2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</row>
    <row r="2825" spans="1:31" ht="13.5" customHeight="1" x14ac:dyDescent="0.3">
      <c r="A2825" s="49"/>
      <c r="B2825" s="49"/>
      <c r="C2825" s="14"/>
      <c r="D2825" s="6"/>
      <c r="E2825" s="153"/>
      <c r="F2825" s="10"/>
      <c r="G2825" s="21"/>
      <c r="H2825" s="21"/>
      <c r="I2825" s="21"/>
      <c r="J2825" s="21"/>
      <c r="K2825" s="21"/>
      <c r="L2825" s="21"/>
      <c r="M2825" s="21"/>
      <c r="N2825" s="22"/>
      <c r="O2825" s="21"/>
      <c r="P2825" s="22"/>
      <c r="Q2825" s="21"/>
      <c r="R2825" s="21"/>
      <c r="S2825" s="21"/>
      <c r="T2825" s="21"/>
      <c r="U2825" s="21"/>
      <c r="V2825" s="22"/>
      <c r="W2825" s="21"/>
      <c r="X2825" s="22"/>
      <c r="Y2825" s="21"/>
      <c r="Z2825" s="21"/>
      <c r="AA2825" s="21"/>
      <c r="AB2825" s="21"/>
      <c r="AC2825" s="26"/>
      <c r="AD2825" s="26"/>
      <c r="AE2825" s="62"/>
    </row>
    <row r="2826" spans="1:31" ht="13.5" customHeight="1" x14ac:dyDescent="0.35">
      <c r="A2826" s="49"/>
      <c r="B2826" s="49"/>
      <c r="C2826" s="39"/>
      <c r="D2826" s="1"/>
      <c r="E2826" s="153"/>
      <c r="F2826" s="10"/>
      <c r="G2826" s="21"/>
      <c r="H2826" s="21"/>
      <c r="I2826" s="21"/>
      <c r="J2826" s="21"/>
      <c r="K2826" s="21"/>
      <c r="L2826" s="21"/>
      <c r="M2826" s="21"/>
      <c r="N2826" s="22"/>
      <c r="O2826" s="21"/>
      <c r="P2826" s="22"/>
      <c r="Q2826" s="21"/>
      <c r="R2826" s="21"/>
      <c r="S2826" s="21"/>
      <c r="T2826" s="21"/>
      <c r="U2826" s="21"/>
      <c r="V2826" s="22"/>
      <c r="W2826" s="21"/>
      <c r="X2826" s="22"/>
      <c r="Y2826" s="21"/>
      <c r="Z2826" s="21"/>
      <c r="AA2826" s="21"/>
      <c r="AB2826" s="21"/>
      <c r="AC2826" s="26"/>
      <c r="AD2826" s="26"/>
      <c r="AE2826" s="62"/>
    </row>
    <row r="2827" spans="1:31" x14ac:dyDescent="0.3">
      <c r="A2827" s="63"/>
      <c r="B2827" s="63"/>
      <c r="C2827" s="39"/>
      <c r="D2827" s="6"/>
      <c r="E2827" s="153"/>
      <c r="F2827" s="10"/>
      <c r="G2827" s="64"/>
      <c r="H2827" s="3"/>
      <c r="I2827" s="2"/>
      <c r="J2827" s="2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</row>
    <row r="2828" spans="1:31" ht="13.5" customHeight="1" x14ac:dyDescent="0.35">
      <c r="A2828" s="49"/>
      <c r="B2828" s="49"/>
      <c r="C2828" s="14"/>
      <c r="D2828" s="1"/>
      <c r="E2828" s="153"/>
      <c r="F2828" s="10"/>
      <c r="G2828" s="21"/>
      <c r="H2828" s="21"/>
      <c r="I2828" s="21"/>
      <c r="J2828" s="21"/>
      <c r="K2828" s="21"/>
      <c r="L2828" s="21"/>
      <c r="M2828" s="21"/>
      <c r="N2828" s="22"/>
      <c r="O2828" s="21"/>
      <c r="P2828" s="22"/>
      <c r="Q2828" s="21"/>
      <c r="R2828" s="21"/>
      <c r="S2828" s="21"/>
      <c r="T2828" s="21"/>
      <c r="U2828" s="21"/>
      <c r="V2828" s="22"/>
      <c r="W2828" s="21"/>
      <c r="X2828" s="22"/>
      <c r="Y2828" s="21"/>
      <c r="Z2828" s="21"/>
      <c r="AA2828" s="21"/>
      <c r="AB2828" s="21"/>
      <c r="AC2828" s="26"/>
      <c r="AD2828" s="26"/>
      <c r="AE2828" s="62"/>
    </row>
    <row r="2829" spans="1:31" ht="13.5" customHeight="1" x14ac:dyDescent="0.35">
      <c r="A2829" s="49"/>
      <c r="B2829" s="49"/>
      <c r="C2829" s="14"/>
      <c r="D2829" s="1"/>
      <c r="E2829" s="153"/>
      <c r="F2829" s="10"/>
      <c r="G2829" s="21"/>
      <c r="H2829" s="21"/>
      <c r="I2829" s="21"/>
      <c r="J2829" s="21"/>
      <c r="K2829" s="21"/>
      <c r="L2829" s="21"/>
      <c r="M2829" s="21"/>
      <c r="N2829" s="22"/>
      <c r="O2829" s="21"/>
      <c r="P2829" s="22"/>
      <c r="Q2829" s="21"/>
      <c r="R2829" s="21"/>
      <c r="S2829" s="21"/>
      <c r="T2829" s="21"/>
      <c r="U2829" s="21"/>
      <c r="V2829" s="22"/>
      <c r="W2829" s="21"/>
      <c r="X2829" s="22"/>
      <c r="Y2829" s="21"/>
      <c r="Z2829" s="21"/>
      <c r="AA2829" s="21"/>
      <c r="AB2829" s="21"/>
      <c r="AC2829" s="26"/>
      <c r="AD2829" s="26"/>
      <c r="AE2829" s="62"/>
    </row>
    <row r="2830" spans="1:31" x14ac:dyDescent="0.3">
      <c r="A2830" s="6"/>
      <c r="B2830" s="6"/>
      <c r="C2830" s="39"/>
      <c r="D2830" s="6"/>
      <c r="E2830" s="153"/>
      <c r="F2830" s="10"/>
      <c r="G2830" s="2"/>
      <c r="H2830" s="3"/>
      <c r="I2830" s="2"/>
      <c r="J2830" s="2"/>
      <c r="K2830" s="3"/>
      <c r="L2830" s="3"/>
      <c r="M2830" s="3"/>
      <c r="N2830" s="3"/>
      <c r="O2830" s="3"/>
      <c r="P2830" s="3"/>
      <c r="Q2830" s="21"/>
      <c r="R2830" s="21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</row>
    <row r="2831" spans="1:31" x14ac:dyDescent="0.3">
      <c r="A2831" s="63"/>
      <c r="B2831" s="63"/>
      <c r="C2831" s="39"/>
      <c r="D2831" s="6"/>
      <c r="E2831" s="153"/>
      <c r="F2831" s="10"/>
      <c r="G2831" s="64"/>
      <c r="H2831" s="3"/>
      <c r="I2831" s="2"/>
      <c r="J2831" s="2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</row>
    <row r="2832" spans="1:31" ht="13.5" customHeight="1" x14ac:dyDescent="0.35">
      <c r="A2832" s="49"/>
      <c r="B2832" s="49"/>
      <c r="C2832" s="39"/>
      <c r="D2832" s="1"/>
      <c r="E2832" s="153"/>
      <c r="F2832" s="10"/>
      <c r="G2832" s="21"/>
      <c r="H2832" s="21"/>
      <c r="I2832" s="21"/>
      <c r="J2832" s="21"/>
      <c r="K2832" s="21"/>
      <c r="L2832" s="21"/>
      <c r="M2832" s="21"/>
      <c r="N2832" s="22"/>
      <c r="O2832" s="21"/>
      <c r="P2832" s="22"/>
      <c r="Q2832" s="21"/>
      <c r="R2832" s="21"/>
      <c r="S2832" s="21"/>
      <c r="T2832" s="21"/>
      <c r="U2832" s="21"/>
      <c r="V2832" s="22"/>
      <c r="W2832" s="21"/>
      <c r="X2832" s="22"/>
      <c r="Y2832" s="21"/>
      <c r="Z2832" s="21"/>
      <c r="AA2832" s="21"/>
      <c r="AB2832" s="21"/>
      <c r="AC2832" s="26"/>
      <c r="AD2832" s="26"/>
      <c r="AE2832" s="62"/>
    </row>
    <row r="2833" spans="1:31" ht="13.5" customHeight="1" x14ac:dyDescent="0.35">
      <c r="A2833" s="49"/>
      <c r="B2833" s="49"/>
      <c r="C2833" s="39"/>
      <c r="D2833" s="1"/>
      <c r="E2833" s="153"/>
      <c r="F2833" s="10"/>
      <c r="G2833" s="21"/>
      <c r="H2833" s="21"/>
      <c r="I2833" s="21"/>
      <c r="J2833" s="21"/>
      <c r="K2833" s="21"/>
      <c r="L2833" s="21"/>
      <c r="M2833" s="21"/>
      <c r="N2833" s="22"/>
      <c r="O2833" s="21"/>
      <c r="P2833" s="22"/>
      <c r="Q2833" s="21"/>
      <c r="R2833" s="21"/>
      <c r="S2833" s="21"/>
      <c r="T2833" s="21"/>
      <c r="U2833" s="21"/>
      <c r="V2833" s="22"/>
      <c r="W2833" s="21"/>
      <c r="X2833" s="22"/>
      <c r="Y2833" s="21"/>
      <c r="Z2833" s="21"/>
      <c r="AA2833" s="21"/>
      <c r="AB2833" s="21"/>
      <c r="AC2833" s="26"/>
      <c r="AD2833" s="26"/>
      <c r="AE2833" s="62"/>
    </row>
    <row r="2834" spans="1:31" x14ac:dyDescent="0.3">
      <c r="A2834" s="6"/>
      <c r="B2834" s="6"/>
      <c r="C2834" s="39"/>
      <c r="D2834" s="6"/>
      <c r="E2834" s="153"/>
      <c r="F2834" s="10"/>
      <c r="G2834" s="2"/>
      <c r="H2834" s="3"/>
      <c r="I2834" s="2"/>
      <c r="J2834" s="2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</row>
    <row r="2835" spans="1:31" ht="13.5" customHeight="1" x14ac:dyDescent="0.35">
      <c r="A2835" s="49"/>
      <c r="B2835" s="49"/>
      <c r="C2835" s="14"/>
      <c r="D2835" s="1"/>
      <c r="E2835" s="153"/>
      <c r="F2835" s="10"/>
      <c r="G2835" s="21"/>
      <c r="H2835" s="21"/>
      <c r="I2835" s="21"/>
      <c r="J2835" s="21"/>
      <c r="K2835" s="21"/>
      <c r="L2835" s="21"/>
      <c r="M2835" s="21"/>
      <c r="N2835" s="22"/>
      <c r="O2835" s="21"/>
      <c r="P2835" s="22"/>
      <c r="Q2835" s="21"/>
      <c r="R2835" s="21"/>
      <c r="S2835" s="21"/>
      <c r="T2835" s="21"/>
      <c r="U2835" s="21"/>
      <c r="V2835" s="22"/>
      <c r="W2835" s="21"/>
      <c r="X2835" s="22"/>
      <c r="Y2835" s="21"/>
      <c r="Z2835" s="21"/>
      <c r="AA2835" s="21"/>
      <c r="AB2835" s="21"/>
      <c r="AC2835" s="26"/>
      <c r="AD2835" s="26"/>
      <c r="AE2835" s="62"/>
    </row>
    <row r="2836" spans="1:31" x14ac:dyDescent="0.3">
      <c r="A2836" s="6"/>
      <c r="B2836" s="6"/>
      <c r="C2836" s="39"/>
      <c r="D2836" s="6"/>
      <c r="E2836" s="153"/>
      <c r="F2836" s="10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21"/>
      <c r="R2836" s="21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</row>
    <row r="2837" spans="1:31" x14ac:dyDescent="0.3">
      <c r="A2837" s="6"/>
      <c r="B2837" s="6"/>
      <c r="C2837" s="39"/>
      <c r="D2837" s="6"/>
      <c r="E2837" s="153"/>
      <c r="F2837" s="10"/>
      <c r="G2837" s="2"/>
      <c r="H2837" s="3"/>
      <c r="I2837" s="2"/>
      <c r="J2837" s="2"/>
      <c r="K2837" s="3"/>
      <c r="L2837" s="3"/>
      <c r="M2837" s="3"/>
      <c r="N2837" s="3"/>
      <c r="O2837" s="3"/>
      <c r="P2837" s="3"/>
      <c r="Q2837" s="21"/>
      <c r="R2837" s="21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</row>
    <row r="2838" spans="1:31" x14ac:dyDescent="0.3">
      <c r="A2838" s="6"/>
      <c r="B2838" s="6"/>
      <c r="C2838" s="39"/>
      <c r="D2838" s="6"/>
      <c r="E2838" s="153"/>
      <c r="F2838" s="10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21"/>
      <c r="R2838" s="21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</row>
    <row r="2839" spans="1:31" x14ac:dyDescent="0.3">
      <c r="A2839" s="6"/>
      <c r="B2839" s="6"/>
      <c r="C2839" s="39"/>
      <c r="D2839" s="6"/>
      <c r="E2839" s="153"/>
      <c r="F2839" s="10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21"/>
      <c r="R2839" s="21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</row>
    <row r="2840" spans="1:31" x14ac:dyDescent="0.3">
      <c r="A2840" s="63"/>
      <c r="B2840" s="63"/>
      <c r="C2840" s="39"/>
      <c r="D2840" s="6"/>
      <c r="E2840" s="153"/>
      <c r="F2840" s="10"/>
      <c r="G2840" s="64"/>
      <c r="H2840" s="3"/>
      <c r="I2840" s="2"/>
      <c r="J2840" s="2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</row>
    <row r="2841" spans="1:31" x14ac:dyDescent="0.3">
      <c r="A2841" s="6"/>
      <c r="B2841" s="6"/>
      <c r="C2841" s="39"/>
      <c r="D2841" s="6"/>
      <c r="E2841" s="153"/>
      <c r="F2841" s="10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21"/>
      <c r="R2841" s="21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</row>
    <row r="2842" spans="1:31" x14ac:dyDescent="0.3">
      <c r="A2842" s="6"/>
      <c r="B2842" s="6"/>
      <c r="C2842" s="39"/>
      <c r="D2842" s="6"/>
      <c r="E2842" s="153"/>
      <c r="F2842" s="10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21"/>
      <c r="R2842" s="21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</row>
    <row r="2843" spans="1:31" ht="15" x14ac:dyDescent="0.35">
      <c r="A2843" s="6"/>
      <c r="B2843" s="6"/>
      <c r="C2843" s="39"/>
      <c r="D2843" s="6"/>
      <c r="E2843" s="153"/>
      <c r="F2843" s="10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21"/>
      <c r="R2843" s="21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65"/>
    </row>
    <row r="2844" spans="1:31" ht="13.5" customHeight="1" x14ac:dyDescent="0.35">
      <c r="A2844" s="49"/>
      <c r="B2844" s="49"/>
      <c r="C2844" s="14"/>
      <c r="D2844" s="1"/>
      <c r="E2844" s="153"/>
      <c r="F2844" s="10"/>
      <c r="G2844" s="21"/>
      <c r="H2844" s="21"/>
      <c r="I2844" s="21"/>
      <c r="J2844" s="21"/>
      <c r="K2844" s="21"/>
      <c r="L2844" s="21"/>
      <c r="M2844" s="21"/>
      <c r="N2844" s="22"/>
      <c r="O2844" s="21"/>
      <c r="P2844" s="22"/>
      <c r="Q2844" s="21"/>
      <c r="R2844" s="21"/>
      <c r="S2844" s="21"/>
      <c r="T2844" s="21"/>
      <c r="U2844" s="21"/>
      <c r="V2844" s="22"/>
      <c r="W2844" s="21"/>
      <c r="X2844" s="22"/>
      <c r="Y2844" s="21"/>
      <c r="Z2844" s="21"/>
      <c r="AA2844" s="21"/>
      <c r="AB2844" s="21"/>
      <c r="AC2844" s="26"/>
      <c r="AD2844" s="26"/>
      <c r="AE2844" s="62"/>
    </row>
    <row r="2845" spans="1:31" x14ac:dyDescent="0.3">
      <c r="A2845" s="6"/>
      <c r="B2845" s="6"/>
      <c r="C2845" s="39"/>
      <c r="D2845" s="6"/>
      <c r="E2845" s="153"/>
      <c r="F2845" s="10"/>
      <c r="G2845" s="2"/>
      <c r="H2845" s="3"/>
      <c r="I2845" s="2"/>
      <c r="J2845" s="2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</row>
    <row r="2846" spans="1:31" ht="15" x14ac:dyDescent="0.35">
      <c r="A2846" s="6"/>
      <c r="B2846" s="6"/>
      <c r="C2846" s="39"/>
      <c r="D2846" s="6"/>
      <c r="E2846" s="153"/>
      <c r="F2846" s="10"/>
      <c r="G2846" s="2"/>
      <c r="H2846" s="3"/>
      <c r="I2846" s="2"/>
      <c r="J2846" s="2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65"/>
    </row>
    <row r="2847" spans="1:31" ht="13.5" customHeight="1" x14ac:dyDescent="0.35">
      <c r="A2847" s="49"/>
      <c r="B2847" s="49"/>
      <c r="C2847" s="14"/>
      <c r="D2847" s="1"/>
      <c r="E2847" s="153"/>
      <c r="F2847" s="10"/>
      <c r="G2847" s="21"/>
      <c r="H2847" s="21"/>
      <c r="I2847" s="21"/>
      <c r="J2847" s="21"/>
      <c r="K2847" s="21"/>
      <c r="L2847" s="21"/>
      <c r="M2847" s="21"/>
      <c r="N2847" s="22"/>
      <c r="O2847" s="21"/>
      <c r="P2847" s="22"/>
      <c r="Q2847" s="21"/>
      <c r="R2847" s="21"/>
      <c r="S2847" s="21"/>
      <c r="T2847" s="21"/>
      <c r="U2847" s="21"/>
      <c r="V2847" s="22"/>
      <c r="W2847" s="21"/>
      <c r="X2847" s="22"/>
      <c r="Y2847" s="21"/>
      <c r="Z2847" s="21"/>
      <c r="AA2847" s="21"/>
      <c r="AB2847" s="21"/>
      <c r="AC2847" s="26"/>
      <c r="AD2847" s="26"/>
      <c r="AE2847" s="62"/>
    </row>
    <row r="2848" spans="1:31" x14ac:dyDescent="0.3">
      <c r="A2848" s="63"/>
      <c r="B2848" s="63"/>
      <c r="C2848" s="39"/>
      <c r="D2848" s="6"/>
      <c r="E2848" s="153"/>
      <c r="F2848" s="10"/>
      <c r="G2848" s="64"/>
      <c r="H2848" s="3"/>
      <c r="I2848" s="2"/>
      <c r="J2848" s="2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</row>
    <row r="2849" spans="1:31" ht="13.5" customHeight="1" x14ac:dyDescent="0.35">
      <c r="A2849" s="49"/>
      <c r="B2849" s="49"/>
      <c r="C2849" s="14"/>
      <c r="D2849" s="1"/>
      <c r="E2849" s="153"/>
      <c r="F2849" s="10"/>
      <c r="G2849" s="21"/>
      <c r="H2849" s="21"/>
      <c r="I2849" s="21"/>
      <c r="J2849" s="21"/>
      <c r="K2849" s="21"/>
      <c r="L2849" s="21"/>
      <c r="M2849" s="21"/>
      <c r="N2849" s="22"/>
      <c r="O2849" s="21"/>
      <c r="P2849" s="22"/>
      <c r="Q2849" s="21"/>
      <c r="R2849" s="21"/>
      <c r="S2849" s="21"/>
      <c r="T2849" s="21"/>
      <c r="U2849" s="21"/>
      <c r="V2849" s="22"/>
      <c r="W2849" s="21"/>
      <c r="X2849" s="22"/>
      <c r="Y2849" s="21"/>
      <c r="Z2849" s="21"/>
      <c r="AA2849" s="21"/>
      <c r="AB2849" s="21"/>
      <c r="AC2849" s="26"/>
      <c r="AD2849" s="26"/>
      <c r="AE2849" s="65"/>
    </row>
    <row r="2850" spans="1:31" x14ac:dyDescent="0.3">
      <c r="A2850" s="63"/>
      <c r="B2850" s="63"/>
      <c r="C2850" s="39"/>
      <c r="D2850" s="6"/>
      <c r="E2850" s="153"/>
      <c r="F2850" s="10"/>
      <c r="G2850" s="64"/>
      <c r="H2850" s="3"/>
      <c r="I2850" s="2"/>
      <c r="J2850" s="2"/>
      <c r="K2850" s="3"/>
      <c r="L2850" s="3"/>
      <c r="M2850" s="3"/>
      <c r="N2850" s="3"/>
      <c r="O2850" s="3"/>
      <c r="P2850" s="3"/>
      <c r="Q2850" s="21"/>
      <c r="R2850" s="21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</row>
    <row r="2851" spans="1:31" x14ac:dyDescent="0.3">
      <c r="A2851" s="6"/>
      <c r="B2851" s="6"/>
      <c r="C2851" s="39"/>
      <c r="D2851" s="6"/>
      <c r="E2851" s="153"/>
      <c r="F2851" s="10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21"/>
      <c r="R2851" s="21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</row>
    <row r="2852" spans="1:31" ht="13.5" customHeight="1" x14ac:dyDescent="0.35">
      <c r="A2852" s="49"/>
      <c r="B2852" s="49"/>
      <c r="C2852" s="39"/>
      <c r="D2852" s="1"/>
      <c r="E2852" s="153"/>
      <c r="F2852" s="10"/>
      <c r="G2852" s="21"/>
      <c r="H2852" s="21"/>
      <c r="I2852" s="21"/>
      <c r="J2852" s="21"/>
      <c r="K2852" s="21"/>
      <c r="L2852" s="21"/>
      <c r="M2852" s="21"/>
      <c r="N2852" s="22"/>
      <c r="O2852" s="21"/>
      <c r="P2852" s="22"/>
      <c r="Q2852" s="21"/>
      <c r="R2852" s="21"/>
      <c r="S2852" s="21"/>
      <c r="T2852" s="21"/>
      <c r="U2852" s="21"/>
      <c r="V2852" s="22"/>
      <c r="W2852" s="21"/>
      <c r="X2852" s="22"/>
      <c r="Y2852" s="21"/>
      <c r="Z2852" s="21"/>
      <c r="AA2852" s="21"/>
      <c r="AB2852" s="21"/>
      <c r="AC2852" s="26"/>
      <c r="AD2852" s="26"/>
      <c r="AE2852" s="65"/>
    </row>
    <row r="2853" spans="1:31" ht="13.5" customHeight="1" x14ac:dyDescent="0.35">
      <c r="A2853" s="49"/>
      <c r="B2853" s="49"/>
      <c r="C2853" s="39"/>
      <c r="D2853" s="1"/>
      <c r="E2853" s="153"/>
      <c r="F2853" s="10"/>
      <c r="G2853" s="21"/>
      <c r="H2853" s="21"/>
      <c r="I2853" s="21"/>
      <c r="J2853" s="21"/>
      <c r="K2853" s="21"/>
      <c r="L2853" s="21"/>
      <c r="M2853" s="21"/>
      <c r="N2853" s="22"/>
      <c r="O2853" s="21"/>
      <c r="P2853" s="22"/>
      <c r="Q2853" s="21"/>
      <c r="R2853" s="21"/>
      <c r="S2853" s="21"/>
      <c r="T2853" s="21"/>
      <c r="U2853" s="21"/>
      <c r="V2853" s="22"/>
      <c r="W2853" s="21"/>
      <c r="X2853" s="22"/>
      <c r="Y2853" s="21"/>
      <c r="Z2853" s="21"/>
      <c r="AA2853" s="21"/>
      <c r="AB2853" s="21"/>
      <c r="AC2853" s="26"/>
      <c r="AD2853" s="26"/>
      <c r="AE2853" s="62"/>
    </row>
    <row r="2854" spans="1:31" ht="13.5" customHeight="1" x14ac:dyDescent="0.35">
      <c r="A2854" s="49"/>
      <c r="B2854" s="49"/>
      <c r="C2854" s="14"/>
      <c r="D2854" s="1"/>
      <c r="E2854" s="153"/>
      <c r="F2854" s="10"/>
      <c r="G2854" s="21"/>
      <c r="H2854" s="21"/>
      <c r="I2854" s="21"/>
      <c r="J2854" s="21"/>
      <c r="K2854" s="21"/>
      <c r="L2854" s="21"/>
      <c r="M2854" s="21"/>
      <c r="N2854" s="22"/>
      <c r="O2854" s="21"/>
      <c r="P2854" s="22"/>
      <c r="Q2854" s="21"/>
      <c r="R2854" s="21"/>
      <c r="S2854" s="21"/>
      <c r="T2854" s="21"/>
      <c r="U2854" s="21"/>
      <c r="V2854" s="22"/>
      <c r="W2854" s="21"/>
      <c r="X2854" s="22"/>
      <c r="Y2854" s="21"/>
      <c r="Z2854" s="21"/>
      <c r="AA2854" s="21"/>
      <c r="AB2854" s="21"/>
      <c r="AC2854" s="26"/>
      <c r="AD2854" s="26"/>
      <c r="AE2854" s="62"/>
    </row>
    <row r="2855" spans="1:31" ht="13.5" customHeight="1" x14ac:dyDescent="0.3">
      <c r="A2855" s="6"/>
      <c r="B2855" s="6"/>
      <c r="C2855" s="39"/>
      <c r="D2855" s="6"/>
      <c r="E2855" s="153"/>
      <c r="F2855" s="10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21"/>
      <c r="R2855" s="21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</row>
    <row r="2856" spans="1:31" x14ac:dyDescent="0.3">
      <c r="A2856" s="6"/>
      <c r="B2856" s="6"/>
      <c r="C2856" s="39"/>
      <c r="D2856" s="6"/>
      <c r="E2856" s="153"/>
      <c r="F2856" s="10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21"/>
      <c r="R2856" s="21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</row>
    <row r="2857" spans="1:31" x14ac:dyDescent="0.3">
      <c r="A2857" s="6"/>
      <c r="B2857" s="6"/>
      <c r="C2857" s="39"/>
      <c r="D2857" s="6"/>
      <c r="E2857" s="153"/>
      <c r="F2857" s="10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21"/>
      <c r="R2857" s="21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</row>
    <row r="2858" spans="1:31" ht="13.5" customHeight="1" x14ac:dyDescent="0.3">
      <c r="A2858" s="63"/>
      <c r="B2858" s="63"/>
      <c r="C2858" s="39"/>
      <c r="D2858" s="6"/>
      <c r="E2858" s="153"/>
      <c r="F2858" s="10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21"/>
      <c r="R2858" s="21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</row>
    <row r="2859" spans="1:31" x14ac:dyDescent="0.3">
      <c r="A2859" s="6"/>
      <c r="B2859" s="6"/>
      <c r="C2859" s="39"/>
      <c r="D2859" s="6"/>
      <c r="E2859" s="153"/>
      <c r="F2859" s="10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21"/>
      <c r="R2859" s="21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</row>
    <row r="2860" spans="1:31" ht="13.5" customHeight="1" x14ac:dyDescent="0.35">
      <c r="A2860" s="49"/>
      <c r="B2860" s="49"/>
      <c r="C2860" s="39"/>
      <c r="D2860" s="1"/>
      <c r="E2860" s="153"/>
      <c r="F2860" s="10"/>
      <c r="G2860" s="21"/>
      <c r="H2860" s="21"/>
      <c r="I2860" s="21"/>
      <c r="J2860" s="21"/>
      <c r="K2860" s="21"/>
      <c r="L2860" s="21"/>
      <c r="M2860" s="21"/>
      <c r="N2860" s="22"/>
      <c r="O2860" s="21"/>
      <c r="P2860" s="22"/>
      <c r="Q2860" s="21"/>
      <c r="R2860" s="21"/>
      <c r="S2860" s="21"/>
      <c r="T2860" s="21"/>
      <c r="U2860" s="21"/>
      <c r="V2860" s="22"/>
      <c r="W2860" s="21"/>
      <c r="X2860" s="22"/>
      <c r="Y2860" s="21"/>
      <c r="Z2860" s="21"/>
      <c r="AA2860" s="21"/>
      <c r="AB2860" s="21"/>
      <c r="AC2860" s="26"/>
      <c r="AD2860" s="26"/>
      <c r="AE2860" s="62"/>
    </row>
    <row r="2861" spans="1:31" ht="13.5" customHeight="1" x14ac:dyDescent="0.3">
      <c r="A2861" s="6"/>
      <c r="B2861" s="6"/>
      <c r="C2861" s="39"/>
      <c r="D2861" s="6"/>
      <c r="E2861" s="153"/>
      <c r="F2861" s="10"/>
      <c r="G2861" s="2"/>
      <c r="H2861" s="3"/>
      <c r="I2861" s="2"/>
      <c r="J2861" s="2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</row>
    <row r="2862" spans="1:31" ht="13.5" customHeight="1" x14ac:dyDescent="0.35">
      <c r="A2862" s="49"/>
      <c r="B2862" s="49"/>
      <c r="C2862" s="39"/>
      <c r="D2862" s="1"/>
      <c r="E2862" s="153"/>
      <c r="F2862" s="10"/>
      <c r="G2862" s="21"/>
      <c r="H2862" s="21"/>
      <c r="I2862" s="21"/>
      <c r="J2862" s="21"/>
      <c r="K2862" s="21"/>
      <c r="L2862" s="21"/>
      <c r="M2862" s="21"/>
      <c r="N2862" s="22"/>
      <c r="O2862" s="21"/>
      <c r="P2862" s="22"/>
      <c r="Q2862" s="21"/>
      <c r="R2862" s="21"/>
      <c r="S2862" s="21"/>
      <c r="T2862" s="21"/>
      <c r="U2862" s="21"/>
      <c r="V2862" s="22"/>
      <c r="W2862" s="21"/>
      <c r="X2862" s="22"/>
      <c r="Y2862" s="21"/>
      <c r="Z2862" s="21"/>
      <c r="AA2862" s="21"/>
      <c r="AB2862" s="21"/>
      <c r="AC2862" s="26"/>
      <c r="AD2862" s="26"/>
      <c r="AE2862" s="62"/>
    </row>
    <row r="2863" spans="1:31" x14ac:dyDescent="0.3">
      <c r="A2863" s="63"/>
      <c r="B2863" s="63"/>
      <c r="C2863" s="39"/>
      <c r="D2863" s="6"/>
      <c r="E2863" s="153"/>
      <c r="F2863" s="10"/>
      <c r="G2863" s="64"/>
      <c r="H2863" s="3"/>
      <c r="I2863" s="2"/>
      <c r="J2863" s="2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</row>
    <row r="2864" spans="1:31" ht="13.5" customHeight="1" x14ac:dyDescent="0.35">
      <c r="A2864" s="49"/>
      <c r="B2864" s="49"/>
      <c r="C2864" s="39"/>
      <c r="D2864" s="1"/>
      <c r="E2864" s="153"/>
      <c r="F2864" s="10"/>
      <c r="G2864" s="21"/>
      <c r="H2864" s="21"/>
      <c r="I2864" s="21"/>
      <c r="J2864" s="21"/>
      <c r="K2864" s="21"/>
      <c r="L2864" s="21"/>
      <c r="M2864" s="21"/>
      <c r="N2864" s="22"/>
      <c r="O2864" s="21"/>
      <c r="P2864" s="22"/>
      <c r="Q2864" s="21"/>
      <c r="R2864" s="21"/>
      <c r="S2864" s="21"/>
      <c r="T2864" s="21"/>
      <c r="U2864" s="21"/>
      <c r="V2864" s="22"/>
      <c r="W2864" s="21"/>
      <c r="X2864" s="22"/>
      <c r="Y2864" s="21"/>
      <c r="Z2864" s="21"/>
      <c r="AA2864" s="21"/>
      <c r="AB2864" s="21"/>
      <c r="AC2864" s="26"/>
      <c r="AD2864" s="26"/>
      <c r="AE2864" s="62"/>
    </row>
    <row r="2865" spans="1:31" x14ac:dyDescent="0.3">
      <c r="A2865" s="6"/>
      <c r="B2865" s="6"/>
      <c r="C2865" s="39"/>
      <c r="D2865" s="6"/>
      <c r="E2865" s="153"/>
      <c r="F2865" s="10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21"/>
      <c r="R2865" s="21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</row>
    <row r="2866" spans="1:31" ht="15" x14ac:dyDescent="0.35">
      <c r="A2866" s="63"/>
      <c r="B2866" s="63"/>
      <c r="C2866" s="39"/>
      <c r="D2866" s="6"/>
      <c r="E2866" s="153"/>
      <c r="F2866" s="10"/>
      <c r="G2866" s="64"/>
      <c r="H2866" s="3"/>
      <c r="I2866" s="2"/>
      <c r="J2866" s="2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3"/>
      <c r="AD2866" s="3"/>
      <c r="AE2866" s="65"/>
    </row>
    <row r="2867" spans="1:31" x14ac:dyDescent="0.3">
      <c r="A2867" s="6"/>
      <c r="B2867" s="6"/>
      <c r="C2867" s="39"/>
      <c r="D2867" s="6"/>
      <c r="E2867" s="153"/>
      <c r="F2867" s="10"/>
      <c r="G2867" s="2"/>
      <c r="H2867" s="3"/>
      <c r="I2867" s="2"/>
      <c r="J2867" s="2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</row>
    <row r="2868" spans="1:31" ht="13.5" customHeight="1" x14ac:dyDescent="0.35">
      <c r="A2868" s="49"/>
      <c r="B2868" s="49"/>
      <c r="C2868" s="14"/>
      <c r="D2868" s="1"/>
      <c r="E2868" s="153"/>
      <c r="F2868" s="10"/>
      <c r="G2868" s="21"/>
      <c r="H2868" s="21"/>
      <c r="I2868" s="21"/>
      <c r="J2868" s="21"/>
      <c r="K2868" s="21"/>
      <c r="L2868" s="21"/>
      <c r="M2868" s="21"/>
      <c r="N2868" s="22"/>
      <c r="O2868" s="21"/>
      <c r="P2868" s="22"/>
      <c r="Q2868" s="21"/>
      <c r="R2868" s="21"/>
      <c r="S2868" s="21"/>
      <c r="T2868" s="21"/>
      <c r="U2868" s="21"/>
      <c r="V2868" s="22"/>
      <c r="W2868" s="21"/>
      <c r="X2868" s="22"/>
      <c r="Y2868" s="21"/>
      <c r="Z2868" s="21"/>
      <c r="AA2868" s="21"/>
      <c r="AB2868" s="21"/>
      <c r="AC2868" s="26"/>
      <c r="AD2868" s="26"/>
      <c r="AE2868" s="62"/>
    </row>
    <row r="2869" spans="1:31" x14ac:dyDescent="0.3">
      <c r="A2869" s="6"/>
      <c r="B2869" s="6"/>
      <c r="C2869" s="39"/>
      <c r="D2869" s="6"/>
      <c r="E2869" s="153"/>
      <c r="F2869" s="10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21"/>
      <c r="R2869" s="21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</row>
    <row r="2870" spans="1:31" x14ac:dyDescent="0.3">
      <c r="A2870" s="6"/>
      <c r="B2870" s="6"/>
      <c r="C2870" s="39"/>
      <c r="D2870" s="6"/>
      <c r="E2870" s="153"/>
      <c r="F2870" s="10"/>
      <c r="G2870" s="2"/>
      <c r="H2870" s="3"/>
      <c r="I2870" s="2"/>
      <c r="J2870" s="2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</row>
    <row r="2871" spans="1:31" x14ac:dyDescent="0.3">
      <c r="A2871" s="63"/>
      <c r="B2871" s="63"/>
      <c r="C2871" s="39"/>
      <c r="D2871" s="6"/>
      <c r="E2871" s="153"/>
      <c r="F2871" s="10"/>
      <c r="G2871" s="64"/>
      <c r="H2871" s="3"/>
      <c r="I2871" s="2"/>
      <c r="J2871" s="2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</row>
    <row r="2872" spans="1:31" x14ac:dyDescent="0.3">
      <c r="A2872" s="6"/>
      <c r="B2872" s="6"/>
      <c r="C2872" s="39"/>
      <c r="D2872" s="6"/>
      <c r="E2872" s="153"/>
      <c r="F2872" s="10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21"/>
      <c r="R2872" s="21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</row>
    <row r="2873" spans="1:31" x14ac:dyDescent="0.3">
      <c r="A2873" s="6"/>
      <c r="B2873" s="6"/>
      <c r="C2873" s="39"/>
      <c r="D2873" s="6"/>
      <c r="E2873" s="153"/>
      <c r="F2873" s="10"/>
      <c r="G2873" s="2"/>
      <c r="H2873" s="3"/>
      <c r="I2873" s="2"/>
      <c r="J2873" s="2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</row>
    <row r="2874" spans="1:31" ht="13.5" customHeight="1" x14ac:dyDescent="0.35">
      <c r="A2874" s="49"/>
      <c r="B2874" s="49"/>
      <c r="C2874" s="39"/>
      <c r="D2874" s="1"/>
      <c r="E2874" s="153"/>
      <c r="F2874" s="10"/>
      <c r="G2874" s="21"/>
      <c r="H2874" s="21"/>
      <c r="I2874" s="21"/>
      <c r="J2874" s="21"/>
      <c r="K2874" s="21"/>
      <c r="L2874" s="21"/>
      <c r="M2874" s="21"/>
      <c r="N2874" s="22"/>
      <c r="O2874" s="21"/>
      <c r="P2874" s="22"/>
      <c r="Q2874" s="21"/>
      <c r="R2874" s="21"/>
      <c r="S2874" s="21"/>
      <c r="T2874" s="21"/>
      <c r="U2874" s="21"/>
      <c r="V2874" s="22"/>
      <c r="W2874" s="21"/>
      <c r="X2874" s="22"/>
      <c r="Y2874" s="21"/>
      <c r="Z2874" s="21"/>
      <c r="AA2874" s="21"/>
      <c r="AB2874" s="21"/>
      <c r="AC2874" s="26"/>
      <c r="AD2874" s="26"/>
      <c r="AE2874" s="62"/>
    </row>
    <row r="2875" spans="1:31" ht="15" x14ac:dyDescent="0.35">
      <c r="A2875" s="6"/>
      <c r="B2875" s="6"/>
      <c r="C2875" s="39"/>
      <c r="D2875" s="6"/>
      <c r="E2875" s="153"/>
      <c r="F2875" s="10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21"/>
      <c r="R2875" s="21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65"/>
    </row>
    <row r="2876" spans="1:31" ht="13.5" customHeight="1" x14ac:dyDescent="0.35">
      <c r="A2876" s="49"/>
      <c r="B2876" s="49"/>
      <c r="C2876" s="14"/>
      <c r="D2876" s="1"/>
      <c r="E2876" s="153"/>
      <c r="F2876" s="10"/>
      <c r="G2876" s="21"/>
      <c r="H2876" s="21"/>
      <c r="I2876" s="21"/>
      <c r="J2876" s="21"/>
      <c r="K2876" s="21"/>
      <c r="L2876" s="21"/>
      <c r="M2876" s="21"/>
      <c r="N2876" s="22"/>
      <c r="O2876" s="21"/>
      <c r="P2876" s="22"/>
      <c r="Q2876" s="21"/>
      <c r="R2876" s="21"/>
      <c r="S2876" s="21"/>
      <c r="T2876" s="21"/>
      <c r="U2876" s="21"/>
      <c r="V2876" s="22"/>
      <c r="W2876" s="21"/>
      <c r="X2876" s="22"/>
      <c r="Y2876" s="21"/>
      <c r="Z2876" s="21"/>
      <c r="AA2876" s="21"/>
      <c r="AB2876" s="21"/>
      <c r="AC2876" s="26"/>
      <c r="AD2876" s="26"/>
      <c r="AE2876" s="65"/>
    </row>
    <row r="2877" spans="1:31" x14ac:dyDescent="0.3">
      <c r="A2877" s="63"/>
      <c r="B2877" s="63"/>
      <c r="C2877" s="39"/>
      <c r="D2877" s="6"/>
      <c r="E2877" s="153"/>
      <c r="F2877" s="10"/>
      <c r="G2877" s="64"/>
      <c r="H2877" s="3"/>
      <c r="I2877" s="2"/>
      <c r="J2877" s="2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</row>
    <row r="2878" spans="1:31" x14ac:dyDescent="0.3">
      <c r="A2878" s="6"/>
      <c r="B2878" s="6"/>
      <c r="C2878" s="39"/>
      <c r="D2878" s="6"/>
      <c r="E2878" s="153"/>
      <c r="F2878" s="10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21"/>
      <c r="R2878" s="21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</row>
    <row r="2879" spans="1:31" x14ac:dyDescent="0.3">
      <c r="A2879" s="6"/>
      <c r="B2879" s="6"/>
      <c r="C2879" s="39"/>
      <c r="D2879" s="6"/>
      <c r="E2879" s="153"/>
      <c r="F2879" s="10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21"/>
      <c r="R2879" s="21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</row>
    <row r="2880" spans="1:31" ht="13.5" customHeight="1" x14ac:dyDescent="0.3">
      <c r="A2880" s="49"/>
      <c r="B2880" s="49"/>
      <c r="C2880" s="14"/>
      <c r="D2880" s="6"/>
      <c r="E2880" s="153"/>
      <c r="F2880" s="10"/>
      <c r="G2880" s="21"/>
      <c r="H2880" s="21"/>
      <c r="I2880" s="21"/>
      <c r="J2880" s="21"/>
      <c r="K2880" s="21"/>
      <c r="L2880" s="21"/>
      <c r="M2880" s="21"/>
      <c r="N2880" s="22"/>
      <c r="O2880" s="21"/>
      <c r="P2880" s="22"/>
      <c r="Q2880" s="21"/>
      <c r="R2880" s="21"/>
      <c r="S2880" s="21"/>
      <c r="T2880" s="21"/>
      <c r="U2880" s="21"/>
      <c r="V2880" s="22"/>
      <c r="W2880" s="21"/>
      <c r="X2880" s="22"/>
      <c r="Y2880" s="21"/>
      <c r="Z2880" s="21"/>
      <c r="AA2880" s="21"/>
      <c r="AB2880" s="21"/>
      <c r="AC2880" s="26"/>
      <c r="AD2880" s="26"/>
      <c r="AE2880" s="62"/>
    </row>
    <row r="2881" spans="1:31" x14ac:dyDescent="0.3">
      <c r="A2881" s="63"/>
      <c r="B2881" s="63"/>
      <c r="C2881" s="39"/>
      <c r="D2881" s="6"/>
      <c r="E2881" s="153"/>
      <c r="F2881" s="10"/>
      <c r="G2881" s="64"/>
      <c r="H2881" s="3"/>
      <c r="I2881" s="2"/>
      <c r="J2881" s="2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</row>
    <row r="2882" spans="1:31" ht="13.5" customHeight="1" x14ac:dyDescent="0.35">
      <c r="A2882" s="49"/>
      <c r="B2882" s="49"/>
      <c r="C2882" s="14"/>
      <c r="D2882" s="1"/>
      <c r="E2882" s="153"/>
      <c r="F2882" s="10"/>
      <c r="G2882" s="21"/>
      <c r="H2882" s="21"/>
      <c r="I2882" s="21"/>
      <c r="J2882" s="21"/>
      <c r="K2882" s="21"/>
      <c r="L2882" s="21"/>
      <c r="M2882" s="21"/>
      <c r="N2882" s="22"/>
      <c r="O2882" s="21"/>
      <c r="P2882" s="22"/>
      <c r="Q2882" s="21"/>
      <c r="R2882" s="21"/>
      <c r="S2882" s="21"/>
      <c r="T2882" s="21"/>
      <c r="U2882" s="21"/>
      <c r="V2882" s="22"/>
      <c r="W2882" s="21"/>
      <c r="X2882" s="22"/>
      <c r="Y2882" s="21"/>
      <c r="Z2882" s="21"/>
      <c r="AA2882" s="21"/>
      <c r="AB2882" s="21"/>
      <c r="AC2882" s="26"/>
      <c r="AD2882" s="26"/>
      <c r="AE2882" s="62"/>
    </row>
    <row r="2883" spans="1:31" ht="13.5" customHeight="1" x14ac:dyDescent="0.35">
      <c r="A2883" s="49"/>
      <c r="B2883" s="49"/>
      <c r="C2883" s="14"/>
      <c r="D2883" s="1"/>
      <c r="E2883" s="153"/>
      <c r="F2883" s="10"/>
      <c r="G2883" s="21"/>
      <c r="H2883" s="21"/>
      <c r="I2883" s="21"/>
      <c r="J2883" s="21"/>
      <c r="K2883" s="21"/>
      <c r="L2883" s="21"/>
      <c r="M2883" s="21"/>
      <c r="N2883" s="22"/>
      <c r="O2883" s="21"/>
      <c r="P2883" s="22"/>
      <c r="Q2883" s="21"/>
      <c r="R2883" s="21"/>
      <c r="S2883" s="21"/>
      <c r="T2883" s="21"/>
      <c r="U2883" s="21"/>
      <c r="V2883" s="22"/>
      <c r="W2883" s="21"/>
      <c r="X2883" s="22"/>
      <c r="Y2883" s="21"/>
      <c r="Z2883" s="21"/>
      <c r="AA2883" s="21"/>
      <c r="AB2883" s="21"/>
      <c r="AC2883" s="26"/>
      <c r="AD2883" s="26"/>
      <c r="AE2883" s="62"/>
    </row>
    <row r="2884" spans="1:31" x14ac:dyDescent="0.3">
      <c r="A2884" s="6"/>
      <c r="B2884" s="6"/>
      <c r="C2884" s="39"/>
      <c r="D2884" s="6"/>
      <c r="E2884" s="153"/>
      <c r="F2884" s="10"/>
      <c r="G2884" s="2"/>
      <c r="H2884" s="3"/>
      <c r="I2884" s="2"/>
      <c r="J2884" s="2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</row>
    <row r="2885" spans="1:31" ht="13.5" customHeight="1" x14ac:dyDescent="0.35">
      <c r="A2885" s="49"/>
      <c r="B2885" s="49"/>
      <c r="C2885" s="14"/>
      <c r="D2885" s="1"/>
      <c r="E2885" s="153"/>
      <c r="F2885" s="10"/>
      <c r="G2885" s="21"/>
      <c r="H2885" s="21"/>
      <c r="I2885" s="21"/>
      <c r="J2885" s="21"/>
      <c r="K2885" s="21"/>
      <c r="L2885" s="21"/>
      <c r="M2885" s="21"/>
      <c r="N2885" s="22"/>
      <c r="O2885" s="21"/>
      <c r="P2885" s="22"/>
      <c r="Q2885" s="21"/>
      <c r="R2885" s="21"/>
      <c r="S2885" s="21"/>
      <c r="T2885" s="21"/>
      <c r="U2885" s="21"/>
      <c r="V2885" s="22"/>
      <c r="W2885" s="21"/>
      <c r="X2885" s="22"/>
      <c r="Y2885" s="21"/>
      <c r="Z2885" s="21"/>
      <c r="AA2885" s="21"/>
      <c r="AB2885" s="21"/>
      <c r="AC2885" s="26"/>
      <c r="AD2885" s="26"/>
      <c r="AE2885" s="62"/>
    </row>
    <row r="2886" spans="1:31" ht="13.5" customHeight="1" x14ac:dyDescent="0.35">
      <c r="A2886" s="49"/>
      <c r="B2886" s="49"/>
      <c r="C2886" s="14"/>
      <c r="D2886" s="1"/>
      <c r="E2886" s="153"/>
      <c r="F2886" s="10"/>
      <c r="G2886" s="21"/>
      <c r="H2886" s="21"/>
      <c r="I2886" s="21"/>
      <c r="J2886" s="21"/>
      <c r="K2886" s="21"/>
      <c r="L2886" s="21"/>
      <c r="M2886" s="21"/>
      <c r="N2886" s="22"/>
      <c r="O2886" s="21"/>
      <c r="P2886" s="22"/>
      <c r="Q2886" s="21"/>
      <c r="R2886" s="21"/>
      <c r="S2886" s="21"/>
      <c r="T2886" s="21"/>
      <c r="U2886" s="21"/>
      <c r="V2886" s="22"/>
      <c r="W2886" s="21"/>
      <c r="X2886" s="22"/>
      <c r="Y2886" s="21"/>
      <c r="Z2886" s="21"/>
      <c r="AA2886" s="21"/>
      <c r="AB2886" s="21"/>
      <c r="AC2886" s="26"/>
      <c r="AD2886" s="26"/>
      <c r="AE2886" s="62"/>
    </row>
    <row r="2887" spans="1:31" ht="13.5" customHeight="1" x14ac:dyDescent="0.35">
      <c r="A2887" s="49"/>
      <c r="B2887" s="49"/>
      <c r="C2887" s="14"/>
      <c r="D2887" s="1"/>
      <c r="E2887" s="153"/>
      <c r="F2887" s="10"/>
      <c r="G2887" s="21"/>
      <c r="H2887" s="21"/>
      <c r="I2887" s="21"/>
      <c r="J2887" s="21"/>
      <c r="K2887" s="21"/>
      <c r="L2887" s="21"/>
      <c r="M2887" s="21"/>
      <c r="N2887" s="22"/>
      <c r="O2887" s="21"/>
      <c r="P2887" s="22"/>
      <c r="Q2887" s="21"/>
      <c r="R2887" s="21"/>
      <c r="S2887" s="21"/>
      <c r="T2887" s="21"/>
      <c r="U2887" s="21"/>
      <c r="V2887" s="22"/>
      <c r="W2887" s="21"/>
      <c r="X2887" s="22"/>
      <c r="Y2887" s="21"/>
      <c r="Z2887" s="21"/>
      <c r="AA2887" s="21"/>
      <c r="AB2887" s="21"/>
      <c r="AC2887" s="26"/>
      <c r="AD2887" s="26"/>
      <c r="AE2887" s="62"/>
    </row>
    <row r="2888" spans="1:31" ht="13.5" customHeight="1" x14ac:dyDescent="0.35">
      <c r="A2888" s="49"/>
      <c r="B2888" s="49"/>
      <c r="C2888" s="14"/>
      <c r="D2888" s="1"/>
      <c r="E2888" s="153"/>
      <c r="F2888" s="10"/>
      <c r="G2888" s="21"/>
      <c r="H2888" s="21"/>
      <c r="I2888" s="21"/>
      <c r="J2888" s="21"/>
      <c r="K2888" s="21"/>
      <c r="L2888" s="21"/>
      <c r="M2888" s="21"/>
      <c r="N2888" s="22"/>
      <c r="O2888" s="21"/>
      <c r="P2888" s="22"/>
      <c r="Q2888" s="21"/>
      <c r="R2888" s="21"/>
      <c r="S2888" s="21"/>
      <c r="T2888" s="21"/>
      <c r="U2888" s="21"/>
      <c r="V2888" s="22"/>
      <c r="W2888" s="21"/>
      <c r="X2888" s="22"/>
      <c r="Y2888" s="21"/>
      <c r="Z2888" s="21"/>
      <c r="AA2888" s="21"/>
      <c r="AB2888" s="21"/>
      <c r="AC2888" s="26"/>
      <c r="AD2888" s="26"/>
      <c r="AE2888" s="62"/>
    </row>
    <row r="2889" spans="1:31" x14ac:dyDescent="0.3">
      <c r="A2889" s="6"/>
      <c r="B2889" s="6"/>
      <c r="C2889" s="39"/>
      <c r="D2889" s="6"/>
      <c r="E2889" s="153"/>
      <c r="F2889" s="10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21"/>
      <c r="R2889" s="21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</row>
    <row r="2890" spans="1:31" x14ac:dyDescent="0.3">
      <c r="A2890" s="6"/>
      <c r="B2890" s="6"/>
      <c r="C2890" s="39"/>
      <c r="D2890" s="6"/>
      <c r="E2890" s="153"/>
      <c r="F2890" s="10"/>
      <c r="G2890" s="2"/>
      <c r="H2890" s="3"/>
      <c r="I2890" s="2"/>
      <c r="J2890" s="2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</row>
    <row r="2891" spans="1:31" ht="15" x14ac:dyDescent="0.35">
      <c r="A2891" s="63"/>
      <c r="B2891" s="63"/>
      <c r="C2891" s="39"/>
      <c r="D2891" s="6"/>
      <c r="E2891" s="153"/>
      <c r="F2891" s="10"/>
      <c r="G2891" s="64"/>
      <c r="H2891" s="3"/>
      <c r="I2891" s="2"/>
      <c r="J2891" s="2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65"/>
    </row>
    <row r="2892" spans="1:31" x14ac:dyDescent="0.3">
      <c r="A2892" s="6"/>
      <c r="B2892" s="6"/>
      <c r="C2892" s="39"/>
      <c r="D2892" s="6"/>
      <c r="E2892" s="153"/>
      <c r="F2892" s="10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</row>
    <row r="2893" spans="1:31" x14ac:dyDescent="0.3">
      <c r="A2893" s="6"/>
      <c r="B2893" s="6"/>
      <c r="C2893" s="39"/>
      <c r="D2893" s="6"/>
      <c r="E2893" s="153"/>
      <c r="F2893" s="10"/>
      <c r="G2893" s="2"/>
      <c r="H2893" s="3"/>
      <c r="I2893" s="2"/>
      <c r="J2893" s="2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</row>
    <row r="2894" spans="1:31" x14ac:dyDescent="0.3">
      <c r="A2894" s="6"/>
      <c r="B2894" s="6"/>
      <c r="C2894" s="39"/>
      <c r="D2894" s="6"/>
      <c r="E2894" s="153"/>
      <c r="F2894" s="10"/>
      <c r="G2894" s="2"/>
      <c r="H2894" s="3"/>
      <c r="I2894" s="2"/>
      <c r="J2894" s="2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</row>
    <row r="2895" spans="1:31" x14ac:dyDescent="0.3">
      <c r="A2895" s="6"/>
      <c r="B2895" s="6"/>
      <c r="C2895" s="39"/>
      <c r="D2895" s="6"/>
      <c r="E2895" s="153"/>
      <c r="F2895" s="10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21"/>
      <c r="R2895" s="21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</row>
    <row r="2896" spans="1:31" x14ac:dyDescent="0.3">
      <c r="A2896" s="6"/>
      <c r="B2896" s="6"/>
      <c r="C2896" s="39"/>
      <c r="D2896" s="6"/>
      <c r="E2896" s="153"/>
      <c r="F2896" s="10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21"/>
      <c r="R2896" s="21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</row>
    <row r="2897" spans="1:31" ht="15" x14ac:dyDescent="0.35">
      <c r="A2897" s="6"/>
      <c r="B2897" s="6"/>
      <c r="C2897" s="39"/>
      <c r="D2897" s="6"/>
      <c r="E2897" s="153"/>
      <c r="F2897" s="10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21"/>
      <c r="R2897" s="21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65"/>
    </row>
    <row r="2898" spans="1:31" x14ac:dyDescent="0.3">
      <c r="A2898" s="6"/>
      <c r="B2898" s="6"/>
      <c r="C2898" s="39"/>
      <c r="D2898" s="6"/>
      <c r="E2898" s="153"/>
      <c r="F2898" s="10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21"/>
      <c r="R2898" s="21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</row>
    <row r="2899" spans="1:31" ht="13.5" customHeight="1" x14ac:dyDescent="0.35">
      <c r="A2899" s="49"/>
      <c r="B2899" s="49"/>
      <c r="C2899" s="14"/>
      <c r="D2899" s="1"/>
      <c r="E2899" s="153"/>
      <c r="F2899" s="10"/>
      <c r="G2899" s="21"/>
      <c r="H2899" s="21"/>
      <c r="I2899" s="21"/>
      <c r="J2899" s="21"/>
      <c r="K2899" s="21"/>
      <c r="L2899" s="21"/>
      <c r="M2899" s="21"/>
      <c r="N2899" s="22"/>
      <c r="O2899" s="21"/>
      <c r="P2899" s="22"/>
      <c r="Q2899" s="21"/>
      <c r="R2899" s="21"/>
      <c r="S2899" s="21"/>
      <c r="T2899" s="21"/>
      <c r="U2899" s="21"/>
      <c r="V2899" s="22"/>
      <c r="W2899" s="21"/>
      <c r="X2899" s="22"/>
      <c r="Y2899" s="21"/>
      <c r="Z2899" s="21"/>
      <c r="AA2899" s="21"/>
      <c r="AB2899" s="21"/>
      <c r="AC2899" s="26"/>
      <c r="AD2899" s="26"/>
      <c r="AE2899" s="65"/>
    </row>
    <row r="2900" spans="1:31" x14ac:dyDescent="0.3">
      <c r="A2900" s="6"/>
      <c r="B2900" s="6"/>
      <c r="C2900" s="39"/>
      <c r="D2900" s="6"/>
      <c r="E2900" s="153"/>
      <c r="F2900" s="10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21"/>
      <c r="R2900" s="21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</row>
    <row r="2901" spans="1:31" x14ac:dyDescent="0.3">
      <c r="A2901" s="63"/>
      <c r="B2901" s="63"/>
      <c r="C2901" s="39"/>
      <c r="D2901" s="6"/>
      <c r="E2901" s="153"/>
      <c r="F2901" s="10"/>
      <c r="G2901" s="64"/>
      <c r="H2901" s="3"/>
      <c r="I2901" s="2"/>
      <c r="J2901" s="2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</row>
    <row r="2902" spans="1:31" x14ac:dyDescent="0.3">
      <c r="A2902" s="6"/>
      <c r="B2902" s="6"/>
      <c r="C2902" s="39"/>
      <c r="D2902" s="6"/>
      <c r="E2902" s="153"/>
      <c r="F2902" s="10"/>
      <c r="G2902" s="2"/>
      <c r="H2902" s="3"/>
      <c r="I2902" s="2"/>
      <c r="J2902" s="2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</row>
    <row r="2903" spans="1:31" ht="13.5" customHeight="1" x14ac:dyDescent="0.35">
      <c r="A2903" s="49"/>
      <c r="B2903" s="49"/>
      <c r="C2903" s="14"/>
      <c r="D2903" s="1"/>
      <c r="E2903" s="153"/>
      <c r="F2903" s="10"/>
      <c r="G2903" s="21"/>
      <c r="H2903" s="21"/>
      <c r="I2903" s="21"/>
      <c r="J2903" s="21"/>
      <c r="K2903" s="21"/>
      <c r="L2903" s="21"/>
      <c r="M2903" s="21"/>
      <c r="N2903" s="22"/>
      <c r="O2903" s="21"/>
      <c r="P2903" s="22"/>
      <c r="Q2903" s="21"/>
      <c r="R2903" s="21"/>
      <c r="S2903" s="21"/>
      <c r="T2903" s="21"/>
      <c r="U2903" s="21"/>
      <c r="V2903" s="22"/>
      <c r="W2903" s="21"/>
      <c r="X2903" s="22"/>
      <c r="Y2903" s="21"/>
      <c r="Z2903" s="21"/>
      <c r="AA2903" s="21"/>
      <c r="AB2903" s="21"/>
      <c r="AC2903" s="26"/>
      <c r="AD2903" s="26"/>
      <c r="AE2903" s="62"/>
    </row>
    <row r="2904" spans="1:31" x14ac:dyDescent="0.3">
      <c r="A2904" s="63"/>
      <c r="B2904" s="63"/>
      <c r="C2904" s="39"/>
      <c r="D2904" s="6"/>
      <c r="E2904" s="153"/>
      <c r="F2904" s="10"/>
      <c r="G2904" s="64"/>
      <c r="H2904" s="3"/>
      <c r="I2904" s="2"/>
      <c r="J2904" s="2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</row>
    <row r="2905" spans="1:31" x14ac:dyDescent="0.3">
      <c r="A2905" s="6"/>
      <c r="B2905" s="6"/>
      <c r="C2905" s="39"/>
      <c r="D2905" s="6"/>
      <c r="E2905" s="153"/>
      <c r="F2905" s="10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21"/>
      <c r="R2905" s="21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</row>
    <row r="2906" spans="1:31" ht="13.5" customHeight="1" x14ac:dyDescent="0.35">
      <c r="A2906" s="49"/>
      <c r="B2906" s="49"/>
      <c r="C2906" s="14"/>
      <c r="D2906" s="1"/>
      <c r="E2906" s="153"/>
      <c r="F2906" s="10"/>
      <c r="G2906" s="21"/>
      <c r="H2906" s="21"/>
      <c r="I2906" s="21"/>
      <c r="J2906" s="21"/>
      <c r="K2906" s="21"/>
      <c r="L2906" s="21"/>
      <c r="M2906" s="21"/>
      <c r="N2906" s="22"/>
      <c r="O2906" s="21"/>
      <c r="P2906" s="22"/>
      <c r="Q2906" s="21"/>
      <c r="R2906" s="21"/>
      <c r="S2906" s="21"/>
      <c r="T2906" s="21"/>
      <c r="U2906" s="21"/>
      <c r="V2906" s="22"/>
      <c r="W2906" s="21"/>
      <c r="X2906" s="22"/>
      <c r="Y2906" s="21"/>
      <c r="Z2906" s="21"/>
      <c r="AA2906" s="21"/>
      <c r="AB2906" s="21"/>
      <c r="AC2906" s="26"/>
      <c r="AD2906" s="26"/>
      <c r="AE2906" s="62"/>
    </row>
    <row r="2907" spans="1:31" ht="13.5" customHeight="1" x14ac:dyDescent="0.35">
      <c r="A2907" s="49"/>
      <c r="B2907" s="49"/>
      <c r="C2907" s="14"/>
      <c r="D2907" s="1"/>
      <c r="E2907" s="153"/>
      <c r="F2907" s="10"/>
      <c r="G2907" s="21"/>
      <c r="H2907" s="21"/>
      <c r="I2907" s="21"/>
      <c r="J2907" s="21"/>
      <c r="K2907" s="21"/>
      <c r="L2907" s="21"/>
      <c r="M2907" s="21"/>
      <c r="N2907" s="22"/>
      <c r="O2907" s="21"/>
      <c r="P2907" s="22"/>
      <c r="Q2907" s="21"/>
      <c r="R2907" s="21"/>
      <c r="S2907" s="21"/>
      <c r="T2907" s="21"/>
      <c r="U2907" s="21"/>
      <c r="V2907" s="22"/>
      <c r="W2907" s="21"/>
      <c r="X2907" s="22"/>
      <c r="Y2907" s="21"/>
      <c r="Z2907" s="21"/>
      <c r="AA2907" s="21"/>
      <c r="AB2907" s="21"/>
      <c r="AC2907" s="26"/>
      <c r="AD2907" s="26"/>
      <c r="AE2907" s="62"/>
    </row>
    <row r="2908" spans="1:31" ht="13.5" customHeight="1" x14ac:dyDescent="0.35">
      <c r="A2908" s="6"/>
      <c r="B2908" s="6"/>
      <c r="C2908" s="39"/>
      <c r="D2908" s="6"/>
      <c r="E2908" s="153"/>
      <c r="F2908" s="10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21"/>
      <c r="R2908" s="21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3"/>
      <c r="AD2908" s="3"/>
      <c r="AE2908" s="65"/>
    </row>
    <row r="2909" spans="1:31" ht="13.5" customHeight="1" x14ac:dyDescent="0.35">
      <c r="A2909" s="49"/>
      <c r="B2909" s="49"/>
      <c r="C2909" s="39"/>
      <c r="D2909" s="1"/>
      <c r="E2909" s="153"/>
      <c r="F2909" s="10"/>
      <c r="G2909" s="21"/>
      <c r="H2909" s="21"/>
      <c r="I2909" s="21"/>
      <c r="J2909" s="21"/>
      <c r="K2909" s="21"/>
      <c r="L2909" s="21"/>
      <c r="M2909" s="21"/>
      <c r="N2909" s="22"/>
      <c r="O2909" s="21"/>
      <c r="P2909" s="22"/>
      <c r="Q2909" s="21"/>
      <c r="R2909" s="21"/>
      <c r="S2909" s="21"/>
      <c r="T2909" s="21"/>
      <c r="U2909" s="21"/>
      <c r="V2909" s="22"/>
      <c r="W2909" s="21"/>
      <c r="X2909" s="22"/>
      <c r="Y2909" s="21"/>
      <c r="Z2909" s="21"/>
      <c r="AA2909" s="21"/>
      <c r="AB2909" s="21"/>
      <c r="AC2909" s="26"/>
      <c r="AD2909" s="26"/>
      <c r="AE2909" s="62"/>
    </row>
    <row r="2910" spans="1:31" s="14" customFormat="1" x14ac:dyDescent="0.3">
      <c r="A2910" s="63"/>
      <c r="B2910" s="63"/>
      <c r="C2910" s="39"/>
      <c r="D2910" s="6"/>
      <c r="E2910" s="153"/>
      <c r="F2910" s="10"/>
      <c r="G2910" s="64"/>
      <c r="H2910" s="3"/>
      <c r="I2910" s="2"/>
      <c r="J2910" s="2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</row>
    <row r="2911" spans="1:31" ht="13.5" customHeight="1" x14ac:dyDescent="0.35">
      <c r="A2911" s="49"/>
      <c r="B2911" s="49"/>
      <c r="C2911" s="39"/>
      <c r="D2911" s="1"/>
      <c r="E2911" s="153"/>
      <c r="F2911" s="10"/>
      <c r="G2911" s="21"/>
      <c r="H2911" s="21"/>
      <c r="I2911" s="21"/>
      <c r="J2911" s="21"/>
      <c r="K2911" s="21"/>
      <c r="L2911" s="21"/>
      <c r="M2911" s="21"/>
      <c r="N2911" s="22"/>
      <c r="O2911" s="21"/>
      <c r="P2911" s="22"/>
      <c r="Q2911" s="21"/>
      <c r="R2911" s="21"/>
      <c r="S2911" s="21"/>
      <c r="T2911" s="21"/>
      <c r="U2911" s="21"/>
      <c r="V2911" s="22"/>
      <c r="W2911" s="21"/>
      <c r="X2911" s="22"/>
      <c r="Y2911" s="21"/>
      <c r="Z2911" s="21"/>
      <c r="AA2911" s="21"/>
      <c r="AB2911" s="21"/>
      <c r="AC2911" s="26"/>
      <c r="AD2911" s="26"/>
      <c r="AE2911" s="65"/>
    </row>
    <row r="2912" spans="1:31" x14ac:dyDescent="0.3">
      <c r="A2912" s="63"/>
      <c r="B2912" s="63"/>
      <c r="C2912" s="39"/>
      <c r="D2912" s="6"/>
      <c r="E2912" s="153"/>
      <c r="F2912" s="10"/>
      <c r="G2912" s="64"/>
      <c r="H2912" s="3"/>
      <c r="I2912" s="2"/>
      <c r="J2912" s="2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</row>
    <row r="2913" spans="1:31" ht="15" x14ac:dyDescent="0.35">
      <c r="A2913" s="6"/>
      <c r="B2913" s="6"/>
      <c r="C2913" s="39"/>
      <c r="D2913" s="6"/>
      <c r="E2913" s="153"/>
      <c r="F2913" s="10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21"/>
      <c r="R2913" s="21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65"/>
    </row>
    <row r="2914" spans="1:31" x14ac:dyDescent="0.3">
      <c r="A2914" s="6"/>
      <c r="B2914" s="6"/>
      <c r="C2914" s="39"/>
      <c r="D2914" s="6"/>
      <c r="E2914" s="153"/>
      <c r="F2914" s="10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</row>
    <row r="2915" spans="1:31" ht="13.5" customHeight="1" x14ac:dyDescent="0.35">
      <c r="A2915" s="49"/>
      <c r="B2915" s="49"/>
      <c r="C2915" s="39"/>
      <c r="D2915" s="1"/>
      <c r="E2915" s="153"/>
      <c r="F2915" s="10"/>
      <c r="G2915" s="21"/>
      <c r="H2915" s="21"/>
      <c r="I2915" s="21"/>
      <c r="J2915" s="21"/>
      <c r="K2915" s="21"/>
      <c r="L2915" s="21"/>
      <c r="M2915" s="21"/>
      <c r="N2915" s="22"/>
      <c r="O2915" s="21"/>
      <c r="P2915" s="22"/>
      <c r="Q2915" s="21"/>
      <c r="R2915" s="21"/>
      <c r="S2915" s="21"/>
      <c r="T2915" s="21"/>
      <c r="U2915" s="21"/>
      <c r="V2915" s="22"/>
      <c r="W2915" s="21"/>
      <c r="X2915" s="22"/>
      <c r="Y2915" s="21"/>
      <c r="Z2915" s="21"/>
      <c r="AA2915" s="21"/>
      <c r="AB2915" s="21"/>
      <c r="AC2915" s="26"/>
      <c r="AD2915" s="26"/>
      <c r="AE2915" s="62"/>
    </row>
    <row r="2916" spans="1:31" x14ac:dyDescent="0.3">
      <c r="A2916" s="6"/>
      <c r="B2916" s="6"/>
      <c r="C2916" s="39"/>
      <c r="D2916" s="6"/>
      <c r="E2916" s="153"/>
      <c r="F2916" s="10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</row>
    <row r="2917" spans="1:31" ht="13.5" customHeight="1" x14ac:dyDescent="0.35">
      <c r="A2917" s="49"/>
      <c r="B2917" s="49"/>
      <c r="C2917" s="14"/>
      <c r="D2917" s="1"/>
      <c r="E2917" s="153"/>
      <c r="F2917" s="10"/>
      <c r="G2917" s="21"/>
      <c r="H2917" s="21"/>
      <c r="I2917" s="21"/>
      <c r="J2917" s="21"/>
      <c r="K2917" s="21"/>
      <c r="L2917" s="21"/>
      <c r="M2917" s="21"/>
      <c r="N2917" s="22"/>
      <c r="O2917" s="21"/>
      <c r="P2917" s="22"/>
      <c r="Q2917" s="21"/>
      <c r="R2917" s="21"/>
      <c r="S2917" s="21"/>
      <c r="T2917" s="21"/>
      <c r="U2917" s="21"/>
      <c r="V2917" s="22"/>
      <c r="W2917" s="21"/>
      <c r="X2917" s="22"/>
      <c r="Y2917" s="21"/>
      <c r="Z2917" s="21"/>
      <c r="AA2917" s="21"/>
      <c r="AB2917" s="21"/>
      <c r="AC2917" s="26"/>
      <c r="AD2917" s="26"/>
      <c r="AE2917" s="62"/>
    </row>
    <row r="2918" spans="1:31" x14ac:dyDescent="0.3">
      <c r="A2918" s="63"/>
      <c r="B2918" s="63"/>
      <c r="C2918" s="39"/>
      <c r="D2918" s="6"/>
      <c r="E2918" s="153"/>
      <c r="F2918" s="10"/>
      <c r="G2918" s="64"/>
      <c r="H2918" s="3"/>
      <c r="I2918" s="2"/>
      <c r="J2918" s="2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</row>
    <row r="2919" spans="1:31" ht="13.5" customHeight="1" x14ac:dyDescent="0.35">
      <c r="A2919" s="49"/>
      <c r="B2919" s="49"/>
      <c r="C2919" s="14"/>
      <c r="D2919" s="1"/>
      <c r="E2919" s="153"/>
      <c r="F2919" s="10"/>
      <c r="G2919" s="21"/>
      <c r="H2919" s="21"/>
      <c r="I2919" s="21"/>
      <c r="J2919" s="21"/>
      <c r="K2919" s="21"/>
      <c r="L2919" s="21"/>
      <c r="M2919" s="21"/>
      <c r="N2919" s="22"/>
      <c r="O2919" s="21"/>
      <c r="P2919" s="22"/>
      <c r="Q2919" s="21"/>
      <c r="R2919" s="21"/>
      <c r="S2919" s="21"/>
      <c r="T2919" s="21"/>
      <c r="U2919" s="21"/>
      <c r="V2919" s="22"/>
      <c r="W2919" s="21"/>
      <c r="X2919" s="22"/>
      <c r="Y2919" s="21"/>
      <c r="Z2919" s="21"/>
      <c r="AA2919" s="21"/>
      <c r="AB2919" s="21"/>
      <c r="AC2919" s="26"/>
      <c r="AD2919" s="26"/>
      <c r="AE2919" s="62"/>
    </row>
    <row r="2920" spans="1:31" x14ac:dyDescent="0.3">
      <c r="A2920" s="63"/>
      <c r="B2920" s="63"/>
      <c r="C2920" s="39"/>
      <c r="D2920" s="6"/>
      <c r="E2920" s="153"/>
      <c r="F2920" s="10"/>
      <c r="G2920" s="64"/>
      <c r="H2920" s="3"/>
      <c r="I2920" s="2"/>
      <c r="J2920" s="2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</row>
    <row r="2921" spans="1:31" x14ac:dyDescent="0.3">
      <c r="A2921" s="63"/>
      <c r="B2921" s="63"/>
      <c r="C2921" s="39"/>
      <c r="D2921" s="6"/>
      <c r="E2921" s="153"/>
      <c r="F2921" s="10"/>
      <c r="G2921" s="64"/>
      <c r="H2921" s="3"/>
      <c r="I2921" s="2"/>
      <c r="J2921" s="2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</row>
    <row r="2922" spans="1:31" x14ac:dyDescent="0.3">
      <c r="A2922" s="63"/>
      <c r="B2922" s="63"/>
      <c r="C2922" s="39"/>
      <c r="D2922" s="6"/>
      <c r="E2922" s="153"/>
      <c r="F2922" s="10"/>
      <c r="G2922" s="64"/>
      <c r="H2922" s="3"/>
      <c r="I2922" s="2"/>
      <c r="J2922" s="2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</row>
    <row r="2923" spans="1:31" ht="13.5" customHeight="1" x14ac:dyDescent="0.35">
      <c r="A2923" s="49"/>
      <c r="B2923" s="49"/>
      <c r="C2923" s="14"/>
      <c r="D2923" s="1"/>
      <c r="E2923" s="153"/>
      <c r="F2923" s="10"/>
      <c r="G2923" s="21"/>
      <c r="H2923" s="21"/>
      <c r="I2923" s="21"/>
      <c r="J2923" s="21"/>
      <c r="K2923" s="21"/>
      <c r="L2923" s="21"/>
      <c r="M2923" s="21"/>
      <c r="N2923" s="22"/>
      <c r="O2923" s="21"/>
      <c r="P2923" s="22"/>
      <c r="Q2923" s="21"/>
      <c r="R2923" s="21"/>
      <c r="S2923" s="21"/>
      <c r="T2923" s="21"/>
      <c r="U2923" s="21"/>
      <c r="V2923" s="22"/>
      <c r="W2923" s="21"/>
      <c r="X2923" s="22"/>
      <c r="Y2923" s="21"/>
      <c r="Z2923" s="21"/>
      <c r="AA2923" s="21"/>
      <c r="AB2923" s="21"/>
      <c r="AC2923" s="26"/>
      <c r="AD2923" s="26"/>
      <c r="AE2923" s="62"/>
    </row>
    <row r="2924" spans="1:31" x14ac:dyDescent="0.3">
      <c r="A2924" s="6"/>
      <c r="B2924" s="6"/>
      <c r="C2924" s="39"/>
      <c r="D2924" s="6"/>
      <c r="E2924" s="153"/>
      <c r="F2924" s="10"/>
      <c r="G2924" s="2"/>
      <c r="H2924" s="3"/>
      <c r="I2924" s="2"/>
      <c r="J2924" s="2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</row>
    <row r="2925" spans="1:31" x14ac:dyDescent="0.3">
      <c r="A2925" s="6"/>
      <c r="B2925" s="6"/>
      <c r="C2925" s="39"/>
      <c r="D2925" s="6"/>
      <c r="E2925" s="153"/>
      <c r="F2925" s="10"/>
      <c r="G2925" s="2"/>
      <c r="H2925" s="3"/>
      <c r="I2925" s="2"/>
      <c r="J2925" s="2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</row>
    <row r="2926" spans="1:31" x14ac:dyDescent="0.3">
      <c r="A2926" s="63"/>
      <c r="B2926" s="63"/>
      <c r="C2926" s="39"/>
      <c r="D2926" s="6"/>
      <c r="E2926" s="153"/>
      <c r="F2926" s="10"/>
      <c r="G2926" s="64"/>
      <c r="H2926" s="3"/>
      <c r="I2926" s="2"/>
      <c r="J2926" s="2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</row>
    <row r="2927" spans="1:31" x14ac:dyDescent="0.3">
      <c r="A2927" s="63"/>
      <c r="B2927" s="63"/>
      <c r="C2927" s="39"/>
      <c r="D2927" s="6"/>
      <c r="E2927" s="153"/>
      <c r="F2927" s="10"/>
      <c r="G2927" s="64"/>
      <c r="H2927" s="3"/>
      <c r="I2927" s="2"/>
      <c r="J2927" s="2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</row>
    <row r="2928" spans="1:31" ht="13.5" customHeight="1" x14ac:dyDescent="0.35">
      <c r="A2928" s="49"/>
      <c r="B2928" s="49"/>
      <c r="C2928" s="39"/>
      <c r="D2928" s="1"/>
      <c r="E2928" s="153"/>
      <c r="F2928" s="10"/>
      <c r="G2928" s="21"/>
      <c r="H2928" s="21"/>
      <c r="I2928" s="21"/>
      <c r="J2928" s="21"/>
      <c r="K2928" s="21"/>
      <c r="L2928" s="21"/>
      <c r="M2928" s="21"/>
      <c r="N2928" s="22"/>
      <c r="O2928" s="21"/>
      <c r="P2928" s="22"/>
      <c r="Q2928" s="21"/>
      <c r="R2928" s="21"/>
      <c r="S2928" s="21"/>
      <c r="T2928" s="21"/>
      <c r="U2928" s="21"/>
      <c r="V2928" s="22"/>
      <c r="W2928" s="21"/>
      <c r="X2928" s="22"/>
      <c r="Y2928" s="21"/>
      <c r="Z2928" s="21"/>
      <c r="AA2928" s="21"/>
      <c r="AB2928" s="21"/>
      <c r="AC2928" s="26"/>
      <c r="AD2928" s="26"/>
      <c r="AE2928" s="62"/>
    </row>
    <row r="2929" spans="1:31" x14ac:dyDescent="0.3">
      <c r="A2929" s="6"/>
      <c r="B2929" s="6"/>
      <c r="C2929" s="39"/>
      <c r="D2929" s="6"/>
      <c r="E2929" s="153"/>
      <c r="F2929" s="10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21"/>
      <c r="R2929" s="21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</row>
    <row r="2930" spans="1:31" ht="13.5" customHeight="1" x14ac:dyDescent="0.35">
      <c r="A2930" s="49"/>
      <c r="B2930" s="49"/>
      <c r="C2930" s="39"/>
      <c r="D2930" s="1"/>
      <c r="E2930" s="153"/>
      <c r="F2930" s="10"/>
      <c r="G2930" s="21"/>
      <c r="H2930" s="21"/>
      <c r="I2930" s="21"/>
      <c r="J2930" s="21"/>
      <c r="K2930" s="21"/>
      <c r="L2930" s="21"/>
      <c r="M2930" s="21"/>
      <c r="N2930" s="22"/>
      <c r="O2930" s="21"/>
      <c r="P2930" s="22"/>
      <c r="Q2930" s="21"/>
      <c r="R2930" s="21"/>
      <c r="S2930" s="21"/>
      <c r="T2930" s="21"/>
      <c r="U2930" s="21"/>
      <c r="V2930" s="22"/>
      <c r="W2930" s="21"/>
      <c r="X2930" s="22"/>
      <c r="Y2930" s="21"/>
      <c r="Z2930" s="21"/>
      <c r="AA2930" s="21"/>
      <c r="AB2930" s="21"/>
      <c r="AC2930" s="26"/>
      <c r="AD2930" s="26"/>
      <c r="AE2930" s="62"/>
    </row>
    <row r="2931" spans="1:31" x14ac:dyDescent="0.3">
      <c r="A2931" s="63"/>
      <c r="B2931" s="63"/>
      <c r="C2931" s="39"/>
      <c r="D2931" s="6"/>
      <c r="E2931" s="153"/>
      <c r="F2931" s="10"/>
      <c r="G2931" s="64"/>
      <c r="H2931" s="3"/>
      <c r="I2931" s="2"/>
      <c r="J2931" s="2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</row>
    <row r="2932" spans="1:31" x14ac:dyDescent="0.3">
      <c r="A2932" s="6"/>
      <c r="B2932" s="6"/>
      <c r="C2932" s="39"/>
      <c r="D2932" s="6"/>
      <c r="E2932" s="153"/>
      <c r="F2932" s="10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21"/>
      <c r="R2932" s="21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</row>
    <row r="2933" spans="1:31" ht="13.5" customHeight="1" x14ac:dyDescent="0.35">
      <c r="A2933" s="49"/>
      <c r="B2933" s="49"/>
      <c r="C2933" s="39"/>
      <c r="D2933" s="1"/>
      <c r="E2933" s="153"/>
      <c r="F2933" s="10"/>
      <c r="G2933" s="21"/>
      <c r="H2933" s="21"/>
      <c r="I2933" s="21"/>
      <c r="J2933" s="21"/>
      <c r="K2933" s="21"/>
      <c r="L2933" s="21"/>
      <c r="M2933" s="21"/>
      <c r="N2933" s="22"/>
      <c r="O2933" s="21"/>
      <c r="P2933" s="22"/>
      <c r="Q2933" s="21"/>
      <c r="R2933" s="21"/>
      <c r="S2933" s="21"/>
      <c r="T2933" s="21"/>
      <c r="U2933" s="21"/>
      <c r="V2933" s="22"/>
      <c r="W2933" s="21"/>
      <c r="X2933" s="22"/>
      <c r="Y2933" s="21"/>
      <c r="Z2933" s="21"/>
      <c r="AA2933" s="21"/>
      <c r="AB2933" s="21"/>
      <c r="AC2933" s="26"/>
      <c r="AD2933" s="26"/>
      <c r="AE2933" s="62"/>
    </row>
    <row r="2934" spans="1:31" ht="13.5" customHeight="1" x14ac:dyDescent="0.35">
      <c r="A2934" s="49"/>
      <c r="B2934" s="49"/>
      <c r="C2934" s="14"/>
      <c r="D2934" s="1"/>
      <c r="E2934" s="153"/>
      <c r="F2934" s="10"/>
      <c r="G2934" s="21"/>
      <c r="H2934" s="21"/>
      <c r="I2934" s="21"/>
      <c r="J2934" s="21"/>
      <c r="K2934" s="21"/>
      <c r="L2934" s="21"/>
      <c r="M2934" s="21"/>
      <c r="N2934" s="22"/>
      <c r="O2934" s="21"/>
      <c r="P2934" s="22"/>
      <c r="Q2934" s="21"/>
      <c r="R2934" s="21"/>
      <c r="S2934" s="21"/>
      <c r="T2934" s="21"/>
      <c r="U2934" s="21"/>
      <c r="V2934" s="22"/>
      <c r="W2934" s="21"/>
      <c r="X2934" s="22"/>
      <c r="Y2934" s="21"/>
      <c r="Z2934" s="21"/>
      <c r="AA2934" s="21"/>
      <c r="AB2934" s="21"/>
      <c r="AC2934" s="26"/>
      <c r="AD2934" s="26"/>
      <c r="AE2934" s="65"/>
    </row>
    <row r="2935" spans="1:31" ht="13.5" customHeight="1" x14ac:dyDescent="0.35">
      <c r="A2935" s="49"/>
      <c r="B2935" s="49"/>
      <c r="C2935" s="14"/>
      <c r="D2935" s="1"/>
      <c r="E2935" s="153"/>
      <c r="F2935" s="10"/>
      <c r="G2935" s="21"/>
      <c r="H2935" s="21"/>
      <c r="I2935" s="21"/>
      <c r="J2935" s="21"/>
      <c r="K2935" s="21"/>
      <c r="L2935" s="21"/>
      <c r="M2935" s="21"/>
      <c r="N2935" s="22"/>
      <c r="O2935" s="21"/>
      <c r="P2935" s="22"/>
      <c r="Q2935" s="21"/>
      <c r="R2935" s="21"/>
      <c r="S2935" s="21"/>
      <c r="T2935" s="21"/>
      <c r="U2935" s="21"/>
      <c r="V2935" s="22"/>
      <c r="W2935" s="21"/>
      <c r="X2935" s="22"/>
      <c r="Y2935" s="21"/>
      <c r="Z2935" s="21"/>
      <c r="AA2935" s="21"/>
      <c r="AB2935" s="21"/>
      <c r="AC2935" s="26"/>
      <c r="AD2935" s="26"/>
      <c r="AE2935" s="62"/>
    </row>
    <row r="2936" spans="1:31" ht="13.5" customHeight="1" x14ac:dyDescent="0.35">
      <c r="A2936" s="49"/>
      <c r="B2936" s="49"/>
      <c r="C2936" s="14"/>
      <c r="D2936" s="1"/>
      <c r="E2936" s="153"/>
      <c r="F2936" s="10"/>
      <c r="G2936" s="21"/>
      <c r="H2936" s="21"/>
      <c r="I2936" s="21"/>
      <c r="J2936" s="21"/>
      <c r="K2936" s="21"/>
      <c r="L2936" s="21"/>
      <c r="M2936" s="21"/>
      <c r="N2936" s="22"/>
      <c r="O2936" s="21"/>
      <c r="P2936" s="22"/>
      <c r="Q2936" s="21"/>
      <c r="R2936" s="21"/>
      <c r="S2936" s="21"/>
      <c r="T2936" s="21"/>
      <c r="U2936" s="21"/>
      <c r="V2936" s="22"/>
      <c r="W2936" s="21"/>
      <c r="X2936" s="22"/>
      <c r="Y2936" s="21"/>
      <c r="Z2936" s="21"/>
      <c r="AA2936" s="21"/>
      <c r="AB2936" s="21"/>
      <c r="AC2936" s="26"/>
      <c r="AD2936" s="26"/>
      <c r="AE2936" s="62"/>
    </row>
    <row r="2937" spans="1:31" ht="13.5" customHeight="1" x14ac:dyDescent="0.35">
      <c r="A2937" s="49"/>
      <c r="B2937" s="49"/>
      <c r="C2937" s="14"/>
      <c r="D2937" s="1"/>
      <c r="E2937" s="153"/>
      <c r="F2937" s="10"/>
      <c r="G2937" s="21"/>
      <c r="H2937" s="21"/>
      <c r="I2937" s="21"/>
      <c r="J2937" s="21"/>
      <c r="K2937" s="21"/>
      <c r="L2937" s="21"/>
      <c r="M2937" s="21"/>
      <c r="N2937" s="22"/>
      <c r="O2937" s="21"/>
      <c r="P2937" s="22"/>
      <c r="Q2937" s="21"/>
      <c r="R2937" s="21"/>
      <c r="S2937" s="21"/>
      <c r="T2937" s="21"/>
      <c r="U2937" s="21"/>
      <c r="V2937" s="22"/>
      <c r="W2937" s="21"/>
      <c r="X2937" s="22"/>
      <c r="Y2937" s="21"/>
      <c r="Z2937" s="21"/>
      <c r="AA2937" s="21"/>
      <c r="AB2937" s="21"/>
      <c r="AC2937" s="26"/>
      <c r="AD2937" s="26"/>
      <c r="AE2937" s="62"/>
    </row>
    <row r="2938" spans="1:31" x14ac:dyDescent="0.3">
      <c r="A2938" s="6"/>
      <c r="B2938" s="6"/>
      <c r="C2938" s="39"/>
      <c r="D2938" s="6"/>
      <c r="E2938" s="153"/>
      <c r="F2938" s="10"/>
      <c r="G2938" s="2"/>
      <c r="H2938" s="3"/>
      <c r="I2938" s="2"/>
      <c r="J2938" s="2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</row>
    <row r="2939" spans="1:31" x14ac:dyDescent="0.3">
      <c r="A2939" s="63"/>
      <c r="B2939" s="63"/>
      <c r="C2939" s="39"/>
      <c r="D2939" s="6"/>
      <c r="E2939" s="153"/>
      <c r="F2939" s="10"/>
      <c r="G2939" s="64"/>
      <c r="H2939" s="3"/>
      <c r="I2939" s="2"/>
      <c r="J2939" s="2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</row>
    <row r="2940" spans="1:31" x14ac:dyDescent="0.3">
      <c r="A2940" s="6"/>
      <c r="B2940" s="6"/>
      <c r="C2940" s="39"/>
      <c r="D2940" s="6"/>
      <c r="E2940" s="153"/>
      <c r="F2940" s="10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21"/>
      <c r="R2940" s="21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</row>
    <row r="2941" spans="1:31" ht="13.5" customHeight="1" x14ac:dyDescent="0.35">
      <c r="A2941" s="49"/>
      <c r="B2941" s="49"/>
      <c r="C2941" s="39"/>
      <c r="D2941" s="1"/>
      <c r="E2941" s="153"/>
      <c r="F2941" s="10"/>
      <c r="G2941" s="21"/>
      <c r="H2941" s="21"/>
      <c r="I2941" s="21"/>
      <c r="J2941" s="21"/>
      <c r="K2941" s="21"/>
      <c r="L2941" s="21"/>
      <c r="M2941" s="21"/>
      <c r="N2941" s="22"/>
      <c r="O2941" s="21"/>
      <c r="P2941" s="22"/>
      <c r="Q2941" s="21"/>
      <c r="R2941" s="21"/>
      <c r="S2941" s="21"/>
      <c r="T2941" s="21"/>
      <c r="U2941" s="21"/>
      <c r="V2941" s="22"/>
      <c r="W2941" s="21"/>
      <c r="X2941" s="22"/>
      <c r="Y2941" s="21"/>
      <c r="Z2941" s="21"/>
      <c r="AA2941" s="21"/>
      <c r="AB2941" s="21"/>
      <c r="AC2941" s="26"/>
      <c r="AD2941" s="26"/>
      <c r="AE2941" s="62"/>
    </row>
    <row r="2942" spans="1:31" ht="13.5" customHeight="1" x14ac:dyDescent="0.35">
      <c r="A2942" s="49"/>
      <c r="B2942" s="49"/>
      <c r="C2942" s="39"/>
      <c r="D2942" s="1"/>
      <c r="E2942" s="153"/>
      <c r="F2942" s="10"/>
      <c r="G2942" s="21"/>
      <c r="H2942" s="21"/>
      <c r="I2942" s="21"/>
      <c r="J2942" s="21"/>
      <c r="K2942" s="21"/>
      <c r="L2942" s="21"/>
      <c r="M2942" s="21"/>
      <c r="N2942" s="22"/>
      <c r="O2942" s="21"/>
      <c r="P2942" s="22"/>
      <c r="Q2942" s="21"/>
      <c r="R2942" s="21"/>
      <c r="S2942" s="21"/>
      <c r="T2942" s="21"/>
      <c r="U2942" s="21"/>
      <c r="V2942" s="22"/>
      <c r="W2942" s="21"/>
      <c r="X2942" s="22"/>
      <c r="Y2942" s="21"/>
      <c r="Z2942" s="21"/>
      <c r="AA2942" s="21"/>
      <c r="AB2942" s="21"/>
      <c r="AC2942" s="26"/>
      <c r="AD2942" s="26"/>
      <c r="AE2942" s="62"/>
    </row>
    <row r="2943" spans="1:31" x14ac:dyDescent="0.3">
      <c r="A2943" s="6"/>
      <c r="B2943" s="6"/>
      <c r="C2943" s="39"/>
      <c r="D2943" s="6"/>
      <c r="E2943" s="153"/>
      <c r="F2943" s="10"/>
      <c r="G2943" s="2"/>
      <c r="H2943" s="3"/>
      <c r="I2943" s="2"/>
      <c r="J2943" s="2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</row>
    <row r="2944" spans="1:31" ht="13.5" customHeight="1" x14ac:dyDescent="0.35">
      <c r="A2944" s="49"/>
      <c r="B2944" s="49"/>
      <c r="C2944" s="14"/>
      <c r="D2944" s="1"/>
      <c r="E2944" s="153"/>
      <c r="F2944" s="10"/>
      <c r="G2944" s="21"/>
      <c r="H2944" s="21"/>
      <c r="I2944" s="21"/>
      <c r="J2944" s="21"/>
      <c r="K2944" s="21"/>
      <c r="L2944" s="21"/>
      <c r="M2944" s="21"/>
      <c r="N2944" s="22"/>
      <c r="O2944" s="21"/>
      <c r="P2944" s="22"/>
      <c r="Q2944" s="21"/>
      <c r="R2944" s="21"/>
      <c r="S2944" s="21"/>
      <c r="T2944" s="21"/>
      <c r="U2944" s="21"/>
      <c r="V2944" s="22"/>
      <c r="W2944" s="21"/>
      <c r="X2944" s="22"/>
      <c r="Y2944" s="21"/>
      <c r="Z2944" s="21"/>
      <c r="AA2944" s="21"/>
      <c r="AB2944" s="21"/>
      <c r="AC2944" s="26"/>
      <c r="AD2944" s="26"/>
      <c r="AE2944" s="65"/>
    </row>
    <row r="2945" spans="1:31" x14ac:dyDescent="0.3">
      <c r="A2945" s="6"/>
      <c r="B2945" s="6"/>
      <c r="C2945" s="39"/>
      <c r="D2945" s="6"/>
      <c r="E2945" s="153"/>
      <c r="F2945" s="10"/>
      <c r="G2945" s="2"/>
      <c r="H2945" s="3"/>
      <c r="I2945" s="2"/>
      <c r="J2945" s="2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</row>
    <row r="2946" spans="1:31" x14ac:dyDescent="0.3">
      <c r="A2946" s="63"/>
      <c r="B2946" s="63"/>
      <c r="C2946" s="39"/>
      <c r="D2946" s="6"/>
      <c r="E2946" s="153"/>
      <c r="F2946" s="10"/>
      <c r="G2946" s="64"/>
      <c r="H2946" s="3"/>
      <c r="I2946" s="2"/>
      <c r="J2946" s="2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</row>
    <row r="2947" spans="1:31" ht="13.5" customHeight="1" x14ac:dyDescent="0.35">
      <c r="A2947" s="49"/>
      <c r="B2947" s="49"/>
      <c r="C2947" s="39"/>
      <c r="D2947" s="1"/>
      <c r="E2947" s="153"/>
      <c r="F2947" s="10"/>
      <c r="G2947" s="21"/>
      <c r="H2947" s="21"/>
      <c r="I2947" s="21"/>
      <c r="J2947" s="21"/>
      <c r="K2947" s="21"/>
      <c r="L2947" s="21"/>
      <c r="M2947" s="21"/>
      <c r="N2947" s="22"/>
      <c r="O2947" s="21"/>
      <c r="P2947" s="22"/>
      <c r="Q2947" s="21"/>
      <c r="R2947" s="21"/>
      <c r="S2947" s="21"/>
      <c r="T2947" s="21"/>
      <c r="U2947" s="21"/>
      <c r="V2947" s="22"/>
      <c r="W2947" s="21"/>
      <c r="X2947" s="22"/>
      <c r="Y2947" s="21"/>
      <c r="Z2947" s="21"/>
      <c r="AA2947" s="21"/>
      <c r="AB2947" s="21"/>
      <c r="AC2947" s="26"/>
      <c r="AD2947" s="26"/>
      <c r="AE2947" s="62"/>
    </row>
    <row r="2948" spans="1:31" ht="13.5" customHeight="1" x14ac:dyDescent="0.35">
      <c r="A2948" s="49"/>
      <c r="B2948" s="49"/>
      <c r="C2948" s="14"/>
      <c r="D2948" s="1"/>
      <c r="E2948" s="153"/>
      <c r="F2948" s="10"/>
      <c r="G2948" s="21"/>
      <c r="H2948" s="21"/>
      <c r="I2948" s="21"/>
      <c r="J2948" s="21"/>
      <c r="K2948" s="21"/>
      <c r="L2948" s="21"/>
      <c r="M2948" s="21"/>
      <c r="N2948" s="22"/>
      <c r="O2948" s="21"/>
      <c r="P2948" s="22"/>
      <c r="Q2948" s="21"/>
      <c r="R2948" s="21"/>
      <c r="S2948" s="21"/>
      <c r="T2948" s="21"/>
      <c r="U2948" s="21"/>
      <c r="V2948" s="22"/>
      <c r="W2948" s="21"/>
      <c r="X2948" s="22"/>
      <c r="Y2948" s="21"/>
      <c r="Z2948" s="21"/>
      <c r="AA2948" s="21"/>
      <c r="AB2948" s="21"/>
      <c r="AC2948" s="26"/>
      <c r="AD2948" s="26"/>
      <c r="AE2948" s="62"/>
    </row>
    <row r="2949" spans="1:31" ht="13.5" customHeight="1" x14ac:dyDescent="0.35">
      <c r="A2949" s="49"/>
      <c r="B2949" s="49"/>
      <c r="C2949" s="14"/>
      <c r="D2949" s="1"/>
      <c r="E2949" s="153"/>
      <c r="F2949" s="10"/>
      <c r="G2949" s="21"/>
      <c r="H2949" s="21"/>
      <c r="I2949" s="21"/>
      <c r="J2949" s="21"/>
      <c r="K2949" s="21"/>
      <c r="L2949" s="21"/>
      <c r="M2949" s="21"/>
      <c r="N2949" s="22"/>
      <c r="O2949" s="21"/>
      <c r="P2949" s="22"/>
      <c r="Q2949" s="21"/>
      <c r="R2949" s="21"/>
      <c r="S2949" s="21"/>
      <c r="T2949" s="21"/>
      <c r="U2949" s="21"/>
      <c r="V2949" s="22"/>
      <c r="W2949" s="21"/>
      <c r="X2949" s="22"/>
      <c r="Y2949" s="21"/>
      <c r="Z2949" s="21"/>
      <c r="AA2949" s="21"/>
      <c r="AB2949" s="21"/>
      <c r="AC2949" s="26"/>
      <c r="AD2949" s="26"/>
      <c r="AE2949" s="62"/>
    </row>
    <row r="2950" spans="1:31" ht="13.5" customHeight="1" x14ac:dyDescent="0.35">
      <c r="A2950" s="49"/>
      <c r="B2950" s="49"/>
      <c r="C2950" s="39"/>
      <c r="D2950" s="1"/>
      <c r="E2950" s="153"/>
      <c r="F2950" s="10"/>
      <c r="G2950" s="21"/>
      <c r="H2950" s="21"/>
      <c r="I2950" s="21"/>
      <c r="J2950" s="21"/>
      <c r="K2950" s="21"/>
      <c r="L2950" s="21"/>
      <c r="M2950" s="21"/>
      <c r="N2950" s="22"/>
      <c r="O2950" s="21"/>
      <c r="P2950" s="22"/>
      <c r="Q2950" s="21"/>
      <c r="R2950" s="21"/>
      <c r="S2950" s="21"/>
      <c r="T2950" s="21"/>
      <c r="U2950" s="21"/>
      <c r="V2950" s="22"/>
      <c r="W2950" s="21"/>
      <c r="X2950" s="22"/>
      <c r="Y2950" s="21"/>
      <c r="Z2950" s="21"/>
      <c r="AA2950" s="21"/>
      <c r="AB2950" s="21"/>
      <c r="AC2950" s="26"/>
      <c r="AD2950" s="26"/>
      <c r="AE2950" s="62"/>
    </row>
    <row r="2951" spans="1:31" x14ac:dyDescent="0.3">
      <c r="A2951" s="63"/>
      <c r="B2951" s="63"/>
      <c r="C2951" s="39"/>
      <c r="D2951" s="6"/>
      <c r="E2951" s="153"/>
      <c r="F2951" s="10"/>
      <c r="G2951" s="64"/>
      <c r="H2951" s="3"/>
      <c r="I2951" s="2"/>
      <c r="J2951" s="2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</row>
    <row r="2952" spans="1:31" x14ac:dyDescent="0.3">
      <c r="A2952" s="6"/>
      <c r="B2952" s="6"/>
      <c r="C2952" s="39"/>
      <c r="D2952" s="6"/>
      <c r="E2952" s="153"/>
      <c r="F2952" s="10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21"/>
      <c r="R2952" s="21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</row>
    <row r="2953" spans="1:31" x14ac:dyDescent="0.3">
      <c r="A2953" s="63"/>
      <c r="B2953" s="63"/>
      <c r="C2953" s="39"/>
      <c r="D2953" s="6"/>
      <c r="E2953" s="153"/>
      <c r="F2953" s="10"/>
      <c r="G2953" s="64"/>
      <c r="H2953" s="3"/>
      <c r="I2953" s="2"/>
      <c r="J2953" s="2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</row>
    <row r="2954" spans="1:31" ht="15" x14ac:dyDescent="0.35">
      <c r="A2954" s="6"/>
      <c r="B2954" s="6"/>
      <c r="C2954" s="39"/>
      <c r="D2954" s="6"/>
      <c r="E2954" s="153"/>
      <c r="F2954" s="10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65"/>
    </row>
    <row r="2955" spans="1:31" x14ac:dyDescent="0.3">
      <c r="A2955" s="6"/>
      <c r="B2955" s="6"/>
      <c r="C2955" s="39"/>
      <c r="D2955" s="6"/>
      <c r="E2955" s="153"/>
      <c r="F2955" s="10"/>
      <c r="G2955" s="2"/>
      <c r="H2955" s="3"/>
      <c r="I2955" s="2"/>
      <c r="J2955" s="2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</row>
    <row r="2956" spans="1:31" ht="13.5" customHeight="1" x14ac:dyDescent="0.35">
      <c r="A2956" s="49"/>
      <c r="B2956" s="49"/>
      <c r="C2956" s="39"/>
      <c r="D2956" s="1"/>
      <c r="E2956" s="153"/>
      <c r="F2956" s="10"/>
      <c r="G2956" s="21"/>
      <c r="H2956" s="21"/>
      <c r="I2956" s="21"/>
      <c r="J2956" s="21"/>
      <c r="K2956" s="21"/>
      <c r="L2956" s="21"/>
      <c r="M2956" s="21"/>
      <c r="N2956" s="22"/>
      <c r="O2956" s="21"/>
      <c r="P2956" s="22"/>
      <c r="Q2956" s="21"/>
      <c r="R2956" s="21"/>
      <c r="S2956" s="21"/>
      <c r="T2956" s="21"/>
      <c r="U2956" s="21"/>
      <c r="V2956" s="22"/>
      <c r="W2956" s="21"/>
      <c r="X2956" s="22"/>
      <c r="Y2956" s="21"/>
      <c r="Z2956" s="21"/>
      <c r="AA2956" s="21"/>
      <c r="AB2956" s="21"/>
      <c r="AC2956" s="26"/>
      <c r="AD2956" s="26"/>
      <c r="AE2956" s="62"/>
    </row>
    <row r="2957" spans="1:31" x14ac:dyDescent="0.3">
      <c r="A2957" s="63"/>
      <c r="B2957" s="63"/>
      <c r="C2957" s="39"/>
      <c r="D2957" s="6"/>
      <c r="E2957" s="153"/>
      <c r="F2957" s="10"/>
      <c r="G2957" s="64"/>
      <c r="H2957" s="3"/>
      <c r="I2957" s="2"/>
      <c r="J2957" s="2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</row>
    <row r="2958" spans="1:31" ht="13.5" customHeight="1" x14ac:dyDescent="0.35">
      <c r="A2958" s="49"/>
      <c r="B2958" s="49"/>
      <c r="C2958" s="14"/>
      <c r="D2958" s="1"/>
      <c r="E2958" s="153"/>
      <c r="F2958" s="10"/>
      <c r="G2958" s="21"/>
      <c r="H2958" s="21"/>
      <c r="I2958" s="21"/>
      <c r="J2958" s="21"/>
      <c r="K2958" s="21"/>
      <c r="L2958" s="21"/>
      <c r="M2958" s="21"/>
      <c r="N2958" s="22"/>
      <c r="O2958" s="21"/>
      <c r="P2958" s="22"/>
      <c r="Q2958" s="21"/>
      <c r="R2958" s="21"/>
      <c r="S2958" s="21"/>
      <c r="T2958" s="21"/>
      <c r="U2958" s="21"/>
      <c r="V2958" s="22"/>
      <c r="W2958" s="21"/>
      <c r="X2958" s="22"/>
      <c r="Y2958" s="21"/>
      <c r="Z2958" s="21"/>
      <c r="AA2958" s="21"/>
      <c r="AB2958" s="21"/>
      <c r="AC2958" s="26"/>
      <c r="AD2958" s="26"/>
      <c r="AE2958" s="65"/>
    </row>
    <row r="2959" spans="1:31" ht="13.5" customHeight="1" x14ac:dyDescent="0.35">
      <c r="A2959" s="49"/>
      <c r="B2959" s="49"/>
      <c r="C2959" s="39"/>
      <c r="D2959" s="1"/>
      <c r="E2959" s="153"/>
      <c r="F2959" s="10"/>
      <c r="G2959" s="21"/>
      <c r="H2959" s="21"/>
      <c r="I2959" s="21"/>
      <c r="J2959" s="21"/>
      <c r="K2959" s="21"/>
      <c r="L2959" s="21"/>
      <c r="M2959" s="21"/>
      <c r="N2959" s="22"/>
      <c r="O2959" s="21"/>
      <c r="P2959" s="22"/>
      <c r="Q2959" s="21"/>
      <c r="R2959" s="21"/>
      <c r="S2959" s="21"/>
      <c r="T2959" s="21"/>
      <c r="U2959" s="21"/>
      <c r="V2959" s="22"/>
      <c r="W2959" s="21"/>
      <c r="X2959" s="22"/>
      <c r="Y2959" s="21"/>
      <c r="Z2959" s="21"/>
      <c r="AA2959" s="21"/>
      <c r="AB2959" s="21"/>
      <c r="AC2959" s="26"/>
      <c r="AD2959" s="26"/>
      <c r="AE2959" s="62"/>
    </row>
    <row r="2960" spans="1:31" x14ac:dyDescent="0.3">
      <c r="A2960" s="6"/>
      <c r="B2960" s="6"/>
      <c r="C2960" s="39"/>
      <c r="D2960" s="6"/>
      <c r="E2960" s="153"/>
      <c r="F2960" s="10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21"/>
      <c r="R2960" s="21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</row>
    <row r="2961" spans="1:31" x14ac:dyDescent="0.3">
      <c r="A2961" s="6"/>
      <c r="B2961" s="6"/>
      <c r="C2961" s="39"/>
      <c r="D2961" s="6"/>
      <c r="E2961" s="153"/>
      <c r="F2961" s="10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21"/>
      <c r="R2961" s="21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</row>
    <row r="2962" spans="1:31" ht="13.5" customHeight="1" x14ac:dyDescent="0.35">
      <c r="A2962" s="49"/>
      <c r="B2962" s="49"/>
      <c r="C2962" s="14"/>
      <c r="D2962" s="1"/>
      <c r="E2962" s="153"/>
      <c r="F2962" s="10"/>
      <c r="G2962" s="21"/>
      <c r="H2962" s="21"/>
      <c r="I2962" s="21"/>
      <c r="J2962" s="21"/>
      <c r="K2962" s="21"/>
      <c r="L2962" s="21"/>
      <c r="M2962" s="21"/>
      <c r="N2962" s="22"/>
      <c r="O2962" s="21"/>
      <c r="P2962" s="22"/>
      <c r="Q2962" s="21"/>
      <c r="R2962" s="21"/>
      <c r="S2962" s="21"/>
      <c r="T2962" s="21"/>
      <c r="U2962" s="21"/>
      <c r="V2962" s="22"/>
      <c r="W2962" s="21"/>
      <c r="X2962" s="22"/>
      <c r="Y2962" s="21"/>
      <c r="Z2962" s="21"/>
      <c r="AA2962" s="21"/>
      <c r="AB2962" s="21"/>
      <c r="AC2962" s="26"/>
      <c r="AD2962" s="26"/>
      <c r="AE2962" s="65"/>
    </row>
    <row r="2963" spans="1:31" x14ac:dyDescent="0.3">
      <c r="A2963" s="6"/>
      <c r="B2963" s="6"/>
      <c r="C2963" s="39"/>
      <c r="D2963" s="6"/>
      <c r="E2963" s="153"/>
      <c r="F2963" s="10"/>
      <c r="G2963" s="2"/>
      <c r="H2963" s="3"/>
      <c r="I2963" s="2"/>
      <c r="J2963" s="2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</row>
    <row r="2964" spans="1:31" ht="13.5" customHeight="1" x14ac:dyDescent="0.35">
      <c r="A2964" s="49"/>
      <c r="B2964" s="49"/>
      <c r="C2964" s="14"/>
      <c r="D2964" s="1"/>
      <c r="E2964" s="153"/>
      <c r="F2964" s="10"/>
      <c r="G2964" s="21"/>
      <c r="H2964" s="21"/>
      <c r="I2964" s="21"/>
      <c r="J2964" s="21"/>
      <c r="K2964" s="21"/>
      <c r="L2964" s="21"/>
      <c r="M2964" s="21"/>
      <c r="N2964" s="22"/>
      <c r="O2964" s="21"/>
      <c r="P2964" s="22"/>
      <c r="Q2964" s="21"/>
      <c r="R2964" s="21"/>
      <c r="S2964" s="21"/>
      <c r="T2964" s="21"/>
      <c r="U2964" s="21"/>
      <c r="V2964" s="22"/>
      <c r="W2964" s="21"/>
      <c r="X2964" s="22"/>
      <c r="Y2964" s="21"/>
      <c r="Z2964" s="21"/>
      <c r="AA2964" s="21"/>
      <c r="AB2964" s="21"/>
      <c r="AC2964" s="26"/>
      <c r="AD2964" s="26"/>
      <c r="AE2964" s="62"/>
    </row>
    <row r="2965" spans="1:31" x14ac:dyDescent="0.3">
      <c r="A2965" s="6"/>
      <c r="B2965" s="6"/>
      <c r="C2965" s="39"/>
      <c r="D2965" s="6"/>
      <c r="E2965" s="153"/>
      <c r="F2965" s="10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21"/>
      <c r="R2965" s="21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</row>
    <row r="2966" spans="1:31" x14ac:dyDescent="0.3">
      <c r="A2966" s="6"/>
      <c r="B2966" s="6"/>
      <c r="C2966" s="39"/>
      <c r="D2966" s="6"/>
      <c r="E2966" s="153"/>
      <c r="F2966" s="10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21"/>
      <c r="R2966" s="21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</row>
    <row r="2967" spans="1:31" x14ac:dyDescent="0.3">
      <c r="A2967" s="6"/>
      <c r="B2967" s="6"/>
      <c r="C2967" s="39"/>
      <c r="D2967" s="6"/>
      <c r="E2967" s="153"/>
      <c r="F2967" s="10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21"/>
      <c r="R2967" s="21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</row>
    <row r="2968" spans="1:31" x14ac:dyDescent="0.3">
      <c r="A2968" s="63"/>
      <c r="B2968" s="63"/>
      <c r="C2968" s="39"/>
      <c r="D2968" s="6"/>
      <c r="E2968" s="153"/>
      <c r="F2968" s="10"/>
      <c r="G2968" s="64"/>
      <c r="H2968" s="3"/>
      <c r="I2968" s="2"/>
      <c r="J2968" s="2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</row>
    <row r="2969" spans="1:31" x14ac:dyDescent="0.3">
      <c r="A2969" s="6"/>
      <c r="B2969" s="6"/>
      <c r="C2969" s="39"/>
      <c r="D2969" s="6"/>
      <c r="E2969" s="153"/>
      <c r="F2969" s="10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21"/>
      <c r="R2969" s="21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</row>
    <row r="2970" spans="1:31" ht="13.5" customHeight="1" x14ac:dyDescent="0.35">
      <c r="A2970" s="49"/>
      <c r="B2970" s="49"/>
      <c r="C2970" s="39"/>
      <c r="D2970" s="1"/>
      <c r="E2970" s="153"/>
      <c r="F2970" s="10"/>
      <c r="G2970" s="21"/>
      <c r="H2970" s="21"/>
      <c r="I2970" s="21"/>
      <c r="J2970" s="21"/>
      <c r="K2970" s="21"/>
      <c r="L2970" s="21"/>
      <c r="M2970" s="21"/>
      <c r="N2970" s="22"/>
      <c r="O2970" s="21"/>
      <c r="P2970" s="22"/>
      <c r="Q2970" s="21"/>
      <c r="R2970" s="21"/>
      <c r="S2970" s="21"/>
      <c r="T2970" s="21"/>
      <c r="U2970" s="21"/>
      <c r="V2970" s="22"/>
      <c r="W2970" s="21"/>
      <c r="X2970" s="22"/>
      <c r="Y2970" s="21"/>
      <c r="Z2970" s="21"/>
      <c r="AA2970" s="21"/>
      <c r="AB2970" s="21"/>
      <c r="AC2970" s="26"/>
      <c r="AD2970" s="26"/>
      <c r="AE2970" s="62"/>
    </row>
    <row r="2971" spans="1:31" x14ac:dyDescent="0.3">
      <c r="A2971" s="6"/>
      <c r="B2971" s="6"/>
      <c r="C2971" s="39"/>
      <c r="D2971" s="6"/>
      <c r="E2971" s="153"/>
      <c r="F2971" s="10"/>
      <c r="G2971" s="2"/>
      <c r="H2971" s="3"/>
      <c r="I2971" s="2"/>
      <c r="J2971" s="2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</row>
    <row r="2972" spans="1:31" ht="13.5" customHeight="1" x14ac:dyDescent="0.35">
      <c r="A2972" s="49"/>
      <c r="B2972" s="49"/>
      <c r="C2972" s="14"/>
      <c r="D2972" s="1"/>
      <c r="E2972" s="153"/>
      <c r="F2972" s="10"/>
      <c r="G2972" s="21"/>
      <c r="H2972" s="21"/>
      <c r="I2972" s="21"/>
      <c r="J2972" s="21"/>
      <c r="K2972" s="21"/>
      <c r="L2972" s="21"/>
      <c r="M2972" s="21"/>
      <c r="N2972" s="22"/>
      <c r="O2972" s="21"/>
      <c r="P2972" s="22"/>
      <c r="Q2972" s="21"/>
      <c r="R2972" s="21"/>
      <c r="S2972" s="21"/>
      <c r="T2972" s="21"/>
      <c r="U2972" s="21"/>
      <c r="V2972" s="22"/>
      <c r="W2972" s="21"/>
      <c r="X2972" s="22"/>
      <c r="Y2972" s="21"/>
      <c r="Z2972" s="21"/>
      <c r="AA2972" s="21"/>
      <c r="AB2972" s="21"/>
      <c r="AC2972" s="26"/>
      <c r="AD2972" s="26"/>
      <c r="AE2972" s="62"/>
    </row>
    <row r="2973" spans="1:31" x14ac:dyDescent="0.3">
      <c r="A2973" s="6"/>
      <c r="B2973" s="6"/>
      <c r="C2973" s="39"/>
      <c r="D2973" s="6"/>
      <c r="E2973" s="153"/>
      <c r="F2973" s="10"/>
      <c r="G2973" s="2"/>
      <c r="H2973" s="3"/>
      <c r="I2973" s="2"/>
      <c r="J2973" s="2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</row>
    <row r="2974" spans="1:31" x14ac:dyDescent="0.3">
      <c r="A2974" s="6"/>
      <c r="B2974" s="6"/>
      <c r="C2974" s="39"/>
      <c r="D2974" s="6"/>
      <c r="E2974" s="153"/>
      <c r="F2974" s="10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21"/>
      <c r="R2974" s="21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</row>
    <row r="2975" spans="1:31" x14ac:dyDescent="0.3">
      <c r="A2975" s="6"/>
      <c r="B2975" s="6"/>
      <c r="C2975" s="39"/>
      <c r="D2975" s="6"/>
      <c r="E2975" s="153"/>
      <c r="F2975" s="10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</row>
    <row r="2976" spans="1:31" x14ac:dyDescent="0.3">
      <c r="A2976" s="63"/>
      <c r="B2976" s="63"/>
      <c r="C2976" s="39"/>
      <c r="D2976" s="6"/>
      <c r="E2976" s="153"/>
      <c r="F2976" s="10"/>
      <c r="G2976" s="64"/>
      <c r="H2976" s="3"/>
      <c r="I2976" s="2"/>
      <c r="J2976" s="2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</row>
    <row r="2977" spans="1:31" ht="13.5" customHeight="1" x14ac:dyDescent="0.35">
      <c r="A2977" s="49"/>
      <c r="B2977" s="49"/>
      <c r="C2977" s="14"/>
      <c r="D2977" s="1"/>
      <c r="E2977" s="153"/>
      <c r="F2977" s="10"/>
      <c r="G2977" s="21"/>
      <c r="H2977" s="21"/>
      <c r="I2977" s="21"/>
      <c r="J2977" s="21"/>
      <c r="K2977" s="21"/>
      <c r="L2977" s="21"/>
      <c r="M2977" s="21"/>
      <c r="N2977" s="22"/>
      <c r="O2977" s="21"/>
      <c r="P2977" s="22"/>
      <c r="Q2977" s="21"/>
      <c r="R2977" s="21"/>
      <c r="S2977" s="21"/>
      <c r="T2977" s="21"/>
      <c r="U2977" s="21"/>
      <c r="V2977" s="22"/>
      <c r="W2977" s="21"/>
      <c r="X2977" s="22"/>
      <c r="Y2977" s="21"/>
      <c r="Z2977" s="21"/>
      <c r="AA2977" s="21"/>
      <c r="AB2977" s="21"/>
      <c r="AC2977" s="26"/>
      <c r="AD2977" s="26"/>
      <c r="AE2977" s="62"/>
    </row>
    <row r="2978" spans="1:31" ht="13.5" customHeight="1" x14ac:dyDescent="0.35">
      <c r="A2978" s="49"/>
      <c r="B2978" s="49"/>
      <c r="C2978" s="14"/>
      <c r="D2978" s="1"/>
      <c r="E2978" s="153"/>
      <c r="F2978" s="10"/>
      <c r="G2978" s="21"/>
      <c r="H2978" s="21"/>
      <c r="I2978" s="21"/>
      <c r="J2978" s="21"/>
      <c r="K2978" s="21"/>
      <c r="L2978" s="21"/>
      <c r="M2978" s="21"/>
      <c r="N2978" s="22"/>
      <c r="O2978" s="21"/>
      <c r="P2978" s="22"/>
      <c r="Q2978" s="21"/>
      <c r="R2978" s="21"/>
      <c r="S2978" s="21"/>
      <c r="T2978" s="21"/>
      <c r="U2978" s="21"/>
      <c r="V2978" s="22"/>
      <c r="W2978" s="21"/>
      <c r="X2978" s="22"/>
      <c r="Y2978" s="21"/>
      <c r="Z2978" s="21"/>
      <c r="AA2978" s="21"/>
      <c r="AB2978" s="21"/>
      <c r="AC2978" s="26"/>
      <c r="AD2978" s="26"/>
      <c r="AE2978" s="62"/>
    </row>
    <row r="2979" spans="1:31" x14ac:dyDescent="0.3">
      <c r="A2979" s="6"/>
      <c r="B2979" s="6"/>
      <c r="C2979" s="39"/>
      <c r="D2979" s="6"/>
      <c r="E2979" s="153"/>
      <c r="F2979" s="10"/>
      <c r="G2979" s="2"/>
      <c r="H2979" s="3"/>
      <c r="I2979" s="2"/>
      <c r="J2979" s="2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</row>
    <row r="2980" spans="1:31" ht="13.5" customHeight="1" x14ac:dyDescent="0.35">
      <c r="A2980" s="49"/>
      <c r="B2980" s="49"/>
      <c r="C2980" s="14"/>
      <c r="D2980" s="1"/>
      <c r="E2980" s="153"/>
      <c r="F2980" s="10"/>
      <c r="G2980" s="21"/>
      <c r="H2980" s="21"/>
      <c r="I2980" s="21"/>
      <c r="J2980" s="21"/>
      <c r="K2980" s="21"/>
      <c r="L2980" s="21"/>
      <c r="M2980" s="21"/>
      <c r="N2980" s="22"/>
      <c r="O2980" s="21"/>
      <c r="P2980" s="22"/>
      <c r="Q2980" s="21"/>
      <c r="R2980" s="21"/>
      <c r="S2980" s="21"/>
      <c r="T2980" s="21"/>
      <c r="U2980" s="21"/>
      <c r="V2980" s="22"/>
      <c r="W2980" s="21"/>
      <c r="X2980" s="22"/>
      <c r="Y2980" s="21"/>
      <c r="Z2980" s="21"/>
      <c r="AA2980" s="21"/>
      <c r="AB2980" s="21"/>
      <c r="AC2980" s="26"/>
      <c r="AD2980" s="26"/>
      <c r="AE2980" s="62"/>
    </row>
    <row r="2981" spans="1:31" x14ac:dyDescent="0.3">
      <c r="A2981" s="63"/>
      <c r="B2981" s="63"/>
      <c r="C2981" s="39"/>
      <c r="D2981" s="6"/>
      <c r="E2981" s="153"/>
      <c r="F2981" s="10"/>
      <c r="G2981" s="64"/>
      <c r="H2981" s="3"/>
      <c r="I2981" s="2"/>
      <c r="J2981" s="2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</row>
    <row r="2982" spans="1:31" ht="13.5" customHeight="1" x14ac:dyDescent="0.35">
      <c r="A2982" s="49"/>
      <c r="B2982" s="49"/>
      <c r="C2982" s="14"/>
      <c r="D2982" s="1"/>
      <c r="E2982" s="153"/>
      <c r="F2982" s="10"/>
      <c r="G2982" s="21"/>
      <c r="H2982" s="21"/>
      <c r="I2982" s="21"/>
      <c r="J2982" s="21"/>
      <c r="K2982" s="21"/>
      <c r="L2982" s="21"/>
      <c r="M2982" s="21"/>
      <c r="N2982" s="22"/>
      <c r="O2982" s="21"/>
      <c r="P2982" s="22"/>
      <c r="Q2982" s="21"/>
      <c r="R2982" s="21"/>
      <c r="S2982" s="21"/>
      <c r="T2982" s="21"/>
      <c r="U2982" s="21"/>
      <c r="V2982" s="22"/>
      <c r="W2982" s="21"/>
      <c r="X2982" s="22"/>
      <c r="Y2982" s="21"/>
      <c r="Z2982" s="21"/>
      <c r="AA2982" s="21"/>
      <c r="AB2982" s="21"/>
      <c r="AC2982" s="26"/>
      <c r="AD2982" s="26"/>
      <c r="AE2982" s="62"/>
    </row>
    <row r="2983" spans="1:31" ht="13.5" customHeight="1" x14ac:dyDescent="0.35">
      <c r="A2983" s="49"/>
      <c r="B2983" s="49"/>
      <c r="C2983" s="14"/>
      <c r="D2983" s="1"/>
      <c r="E2983" s="153"/>
      <c r="F2983" s="10"/>
      <c r="G2983" s="21"/>
      <c r="H2983" s="21"/>
      <c r="I2983" s="21"/>
      <c r="J2983" s="21"/>
      <c r="K2983" s="21"/>
      <c r="L2983" s="21"/>
      <c r="M2983" s="21"/>
      <c r="N2983" s="22"/>
      <c r="O2983" s="21"/>
      <c r="P2983" s="22"/>
      <c r="Q2983" s="21"/>
      <c r="R2983" s="21"/>
      <c r="S2983" s="21"/>
      <c r="T2983" s="21"/>
      <c r="U2983" s="21"/>
      <c r="V2983" s="22"/>
      <c r="W2983" s="21"/>
      <c r="X2983" s="22"/>
      <c r="Y2983" s="21"/>
      <c r="Z2983" s="21"/>
      <c r="AA2983" s="21"/>
      <c r="AB2983" s="21"/>
      <c r="AC2983" s="26"/>
      <c r="AD2983" s="26"/>
      <c r="AE2983" s="62"/>
    </row>
    <row r="2984" spans="1:31" ht="13.5" customHeight="1" x14ac:dyDescent="0.35">
      <c r="A2984" s="49"/>
      <c r="B2984" s="49"/>
      <c r="C2984" s="39"/>
      <c r="D2984" s="1"/>
      <c r="E2984" s="153"/>
      <c r="F2984" s="10"/>
      <c r="G2984" s="21"/>
      <c r="H2984" s="21"/>
      <c r="I2984" s="21"/>
      <c r="J2984" s="21"/>
      <c r="K2984" s="21"/>
      <c r="L2984" s="21"/>
      <c r="M2984" s="21"/>
      <c r="N2984" s="22"/>
      <c r="O2984" s="21"/>
      <c r="P2984" s="22"/>
      <c r="Q2984" s="21"/>
      <c r="R2984" s="21"/>
      <c r="S2984" s="21"/>
      <c r="T2984" s="21"/>
      <c r="U2984" s="21"/>
      <c r="V2984" s="22"/>
      <c r="W2984" s="21"/>
      <c r="X2984" s="22"/>
      <c r="Y2984" s="21"/>
      <c r="Z2984" s="21"/>
      <c r="AA2984" s="21"/>
      <c r="AB2984" s="21"/>
      <c r="AC2984" s="26"/>
      <c r="AD2984" s="26"/>
      <c r="AE2984" s="62"/>
    </row>
    <row r="2985" spans="1:31" ht="13.5" customHeight="1" x14ac:dyDescent="0.35">
      <c r="A2985" s="49"/>
      <c r="B2985" s="49"/>
      <c r="C2985" s="14"/>
      <c r="D2985" s="1"/>
      <c r="E2985" s="153"/>
      <c r="F2985" s="10"/>
      <c r="G2985" s="21"/>
      <c r="H2985" s="21"/>
      <c r="I2985" s="21"/>
      <c r="J2985" s="21"/>
      <c r="K2985" s="21"/>
      <c r="L2985" s="21"/>
      <c r="M2985" s="21"/>
      <c r="N2985" s="22"/>
      <c r="O2985" s="21"/>
      <c r="P2985" s="22"/>
      <c r="Q2985" s="21"/>
      <c r="R2985" s="21"/>
      <c r="S2985" s="21"/>
      <c r="T2985" s="21"/>
      <c r="U2985" s="21"/>
      <c r="V2985" s="22"/>
      <c r="W2985" s="21"/>
      <c r="X2985" s="22"/>
      <c r="Y2985" s="21"/>
      <c r="Z2985" s="21"/>
      <c r="AA2985" s="21"/>
      <c r="AB2985" s="21"/>
      <c r="AC2985" s="26"/>
      <c r="AD2985" s="26"/>
      <c r="AE2985" s="62"/>
    </row>
    <row r="2986" spans="1:31" ht="13.5" customHeight="1" x14ac:dyDescent="0.35">
      <c r="A2986" s="49"/>
      <c r="B2986" s="49"/>
      <c r="C2986" s="39"/>
      <c r="D2986" s="1"/>
      <c r="E2986" s="153"/>
      <c r="F2986" s="10"/>
      <c r="G2986" s="21"/>
      <c r="H2986" s="21"/>
      <c r="I2986" s="21"/>
      <c r="J2986" s="21"/>
      <c r="K2986" s="21"/>
      <c r="L2986" s="21"/>
      <c r="M2986" s="21"/>
      <c r="N2986" s="22"/>
      <c r="O2986" s="21"/>
      <c r="P2986" s="22"/>
      <c r="Q2986" s="21"/>
      <c r="R2986" s="21"/>
      <c r="S2986" s="21"/>
      <c r="T2986" s="21"/>
      <c r="U2986" s="21"/>
      <c r="V2986" s="22"/>
      <c r="W2986" s="21"/>
      <c r="X2986" s="22"/>
      <c r="Y2986" s="21"/>
      <c r="Z2986" s="21"/>
      <c r="AA2986" s="21"/>
      <c r="AB2986" s="21"/>
      <c r="AC2986" s="26"/>
      <c r="AD2986" s="26"/>
      <c r="AE2986" s="62"/>
    </row>
    <row r="2987" spans="1:31" x14ac:dyDescent="0.3">
      <c r="A2987" s="6"/>
      <c r="B2987" s="6"/>
      <c r="C2987" s="39"/>
      <c r="D2987" s="6"/>
      <c r="E2987" s="153"/>
      <c r="F2987" s="10"/>
      <c r="G2987" s="2"/>
      <c r="H2987" s="3"/>
      <c r="I2987" s="2"/>
      <c r="J2987" s="2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</row>
    <row r="2988" spans="1:31" ht="13.5" customHeight="1" x14ac:dyDescent="0.35">
      <c r="A2988" s="49"/>
      <c r="B2988" s="49"/>
      <c r="C2988" s="14"/>
      <c r="D2988" s="1"/>
      <c r="E2988" s="153"/>
      <c r="F2988" s="10"/>
      <c r="G2988" s="21"/>
      <c r="H2988" s="21"/>
      <c r="I2988" s="21"/>
      <c r="J2988" s="21"/>
      <c r="K2988" s="21"/>
      <c r="L2988" s="21"/>
      <c r="M2988" s="21"/>
      <c r="N2988" s="22"/>
      <c r="O2988" s="21"/>
      <c r="P2988" s="22"/>
      <c r="Q2988" s="21"/>
      <c r="R2988" s="21"/>
      <c r="S2988" s="21"/>
      <c r="T2988" s="21"/>
      <c r="U2988" s="21"/>
      <c r="V2988" s="22"/>
      <c r="W2988" s="21"/>
      <c r="X2988" s="22"/>
      <c r="Y2988" s="21"/>
      <c r="Z2988" s="21"/>
      <c r="AA2988" s="21"/>
      <c r="AB2988" s="21"/>
      <c r="AC2988" s="26"/>
      <c r="AD2988" s="26"/>
      <c r="AE2988" s="62"/>
    </row>
    <row r="2989" spans="1:31" ht="13.5" customHeight="1" x14ac:dyDescent="0.35">
      <c r="A2989" s="49"/>
      <c r="B2989" s="49"/>
      <c r="C2989" s="39"/>
      <c r="D2989" s="1"/>
      <c r="E2989" s="153"/>
      <c r="F2989" s="10"/>
      <c r="G2989" s="21"/>
      <c r="H2989" s="21"/>
      <c r="I2989" s="21"/>
      <c r="J2989" s="21"/>
      <c r="K2989" s="21"/>
      <c r="L2989" s="21"/>
      <c r="M2989" s="21"/>
      <c r="N2989" s="22"/>
      <c r="O2989" s="21"/>
      <c r="P2989" s="22"/>
      <c r="Q2989" s="21"/>
      <c r="R2989" s="21"/>
      <c r="S2989" s="21"/>
      <c r="T2989" s="21"/>
      <c r="U2989" s="21"/>
      <c r="V2989" s="22"/>
      <c r="W2989" s="21"/>
      <c r="X2989" s="22"/>
      <c r="Y2989" s="21"/>
      <c r="Z2989" s="21"/>
      <c r="AA2989" s="21"/>
      <c r="AB2989" s="21"/>
      <c r="AC2989" s="26"/>
      <c r="AD2989" s="26"/>
      <c r="AE2989" s="62"/>
    </row>
    <row r="2990" spans="1:31" x14ac:dyDescent="0.3">
      <c r="A2990" s="6"/>
      <c r="B2990" s="6"/>
      <c r="C2990" s="39"/>
      <c r="D2990" s="6"/>
      <c r="E2990" s="153"/>
      <c r="F2990" s="10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21"/>
      <c r="R2990" s="21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</row>
    <row r="2991" spans="1:31" ht="13.5" customHeight="1" x14ac:dyDescent="0.35">
      <c r="A2991" s="49"/>
      <c r="B2991" s="49"/>
      <c r="C2991" s="14"/>
      <c r="D2991" s="1"/>
      <c r="E2991" s="153"/>
      <c r="F2991" s="10"/>
      <c r="G2991" s="21"/>
      <c r="H2991" s="21"/>
      <c r="I2991" s="21"/>
      <c r="J2991" s="21"/>
      <c r="K2991" s="21"/>
      <c r="L2991" s="21"/>
      <c r="M2991" s="21"/>
      <c r="N2991" s="22"/>
      <c r="O2991" s="21"/>
      <c r="P2991" s="22"/>
      <c r="Q2991" s="21"/>
      <c r="R2991" s="21"/>
      <c r="S2991" s="21"/>
      <c r="T2991" s="21"/>
      <c r="U2991" s="21"/>
      <c r="V2991" s="22"/>
      <c r="W2991" s="21"/>
      <c r="X2991" s="22"/>
      <c r="Y2991" s="21"/>
      <c r="Z2991" s="21"/>
      <c r="AA2991" s="21"/>
      <c r="AB2991" s="21"/>
      <c r="AC2991" s="26"/>
      <c r="AD2991" s="26"/>
      <c r="AE2991" s="62"/>
    </row>
    <row r="2992" spans="1:31" ht="13.5" customHeight="1" x14ac:dyDescent="0.35">
      <c r="A2992" s="49"/>
      <c r="B2992" s="49"/>
      <c r="C2992" s="39"/>
      <c r="D2992" s="1"/>
      <c r="E2992" s="153"/>
      <c r="F2992" s="10"/>
      <c r="G2992" s="21"/>
      <c r="H2992" s="21"/>
      <c r="I2992" s="21"/>
      <c r="J2992" s="21"/>
      <c r="K2992" s="21"/>
      <c r="L2992" s="21"/>
      <c r="M2992" s="21"/>
      <c r="N2992" s="22"/>
      <c r="O2992" s="21"/>
      <c r="P2992" s="22"/>
      <c r="Q2992" s="21"/>
      <c r="R2992" s="21"/>
      <c r="S2992" s="21"/>
      <c r="T2992" s="21"/>
      <c r="U2992" s="21"/>
      <c r="V2992" s="22"/>
      <c r="W2992" s="21"/>
      <c r="X2992" s="22"/>
      <c r="Y2992" s="21"/>
      <c r="Z2992" s="21"/>
      <c r="AA2992" s="21"/>
      <c r="AB2992" s="21"/>
      <c r="AC2992" s="26"/>
      <c r="AD2992" s="26"/>
      <c r="AE2992" s="62"/>
    </row>
    <row r="2993" spans="1:31" x14ac:dyDescent="0.3">
      <c r="A2993" s="6"/>
      <c r="B2993" s="6"/>
      <c r="C2993" s="39"/>
      <c r="D2993" s="6"/>
      <c r="E2993" s="153"/>
      <c r="F2993" s="10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21"/>
      <c r="R2993" s="21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</row>
    <row r="2994" spans="1:31" x14ac:dyDescent="0.3">
      <c r="A2994" s="63"/>
      <c r="B2994" s="63"/>
      <c r="C2994" s="39"/>
      <c r="D2994" s="6"/>
      <c r="E2994" s="153"/>
      <c r="F2994" s="10"/>
      <c r="G2994" s="64"/>
      <c r="H2994" s="3"/>
      <c r="I2994" s="2"/>
      <c r="J2994" s="2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</row>
    <row r="2995" spans="1:31" x14ac:dyDescent="0.3">
      <c r="A2995" s="6"/>
      <c r="B2995" s="6"/>
      <c r="C2995" s="39"/>
      <c r="D2995" s="6"/>
      <c r="E2995" s="153"/>
      <c r="F2995" s="10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21"/>
      <c r="R2995" s="21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</row>
    <row r="2996" spans="1:31" ht="13.5" customHeight="1" x14ac:dyDescent="0.35">
      <c r="A2996" s="49"/>
      <c r="B2996" s="49"/>
      <c r="C2996" s="39"/>
      <c r="D2996" s="1"/>
      <c r="E2996" s="153"/>
      <c r="F2996" s="10"/>
      <c r="G2996" s="21"/>
      <c r="H2996" s="21"/>
      <c r="I2996" s="21"/>
      <c r="J2996" s="21"/>
      <c r="K2996" s="21"/>
      <c r="L2996" s="21"/>
      <c r="M2996" s="21"/>
      <c r="N2996" s="22"/>
      <c r="O2996" s="21"/>
      <c r="P2996" s="22"/>
      <c r="Q2996" s="21"/>
      <c r="R2996" s="21"/>
      <c r="S2996" s="21"/>
      <c r="T2996" s="21"/>
      <c r="U2996" s="21"/>
      <c r="V2996" s="22"/>
      <c r="W2996" s="21"/>
      <c r="X2996" s="22"/>
      <c r="Y2996" s="21"/>
      <c r="Z2996" s="21"/>
      <c r="AA2996" s="21"/>
      <c r="AB2996" s="21"/>
      <c r="AC2996" s="26"/>
      <c r="AD2996" s="26"/>
      <c r="AE2996" s="65"/>
    </row>
    <row r="2997" spans="1:31" x14ac:dyDescent="0.3">
      <c r="A2997" s="6"/>
      <c r="B2997" s="6"/>
      <c r="C2997" s="39"/>
      <c r="D2997" s="6"/>
      <c r="E2997" s="153"/>
      <c r="F2997" s="10"/>
      <c r="G2997" s="2"/>
      <c r="H2997" s="3"/>
      <c r="I2997" s="2"/>
      <c r="J2997" s="2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</row>
    <row r="2998" spans="1:31" ht="13.5" customHeight="1" x14ac:dyDescent="0.35">
      <c r="A2998" s="49"/>
      <c r="B2998" s="49"/>
      <c r="C2998" s="39"/>
      <c r="D2998" s="1"/>
      <c r="E2998" s="153"/>
      <c r="F2998" s="10"/>
      <c r="G2998" s="21"/>
      <c r="H2998" s="21"/>
      <c r="I2998" s="21"/>
      <c r="J2998" s="21"/>
      <c r="K2998" s="21"/>
      <c r="L2998" s="21"/>
      <c r="M2998" s="21"/>
      <c r="N2998" s="22"/>
      <c r="O2998" s="21"/>
      <c r="P2998" s="22"/>
      <c r="Q2998" s="21"/>
      <c r="R2998" s="21"/>
      <c r="S2998" s="21"/>
      <c r="T2998" s="21"/>
      <c r="U2998" s="21"/>
      <c r="V2998" s="22"/>
      <c r="W2998" s="21"/>
      <c r="X2998" s="22"/>
      <c r="Y2998" s="21"/>
      <c r="Z2998" s="21"/>
      <c r="AA2998" s="21"/>
      <c r="AB2998" s="21"/>
      <c r="AC2998" s="26"/>
      <c r="AD2998" s="26"/>
      <c r="AE2998" s="62"/>
    </row>
    <row r="2999" spans="1:31" ht="13.5" customHeight="1" x14ac:dyDescent="0.35">
      <c r="A2999" s="49"/>
      <c r="B2999" s="49"/>
      <c r="C2999" s="39"/>
      <c r="D2999" s="1"/>
      <c r="E2999" s="153"/>
      <c r="F2999" s="10"/>
      <c r="G2999" s="21"/>
      <c r="H2999" s="21"/>
      <c r="I2999" s="21"/>
      <c r="J2999" s="21"/>
      <c r="K2999" s="21"/>
      <c r="L2999" s="21"/>
      <c r="M2999" s="21"/>
      <c r="N2999" s="22"/>
      <c r="O2999" s="21"/>
      <c r="P2999" s="22"/>
      <c r="Q2999" s="21"/>
      <c r="R2999" s="21"/>
      <c r="S2999" s="21"/>
      <c r="T2999" s="21"/>
      <c r="U2999" s="21"/>
      <c r="V2999" s="22"/>
      <c r="W2999" s="21"/>
      <c r="X2999" s="22"/>
      <c r="Y2999" s="21"/>
      <c r="Z2999" s="21"/>
      <c r="AA2999" s="21"/>
      <c r="AB2999" s="21"/>
      <c r="AC2999" s="26"/>
      <c r="AD2999" s="26"/>
      <c r="AE2999" s="62"/>
    </row>
    <row r="3000" spans="1:31" x14ac:dyDescent="0.3">
      <c r="A3000" s="6"/>
      <c r="B3000" s="6"/>
      <c r="C3000" s="39"/>
      <c r="D3000" s="6"/>
      <c r="E3000" s="153"/>
      <c r="F3000" s="10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21"/>
      <c r="R3000" s="21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</row>
    <row r="3001" spans="1:31" ht="13.5" customHeight="1" x14ac:dyDescent="0.35">
      <c r="A3001" s="49"/>
      <c r="B3001" s="49"/>
      <c r="C3001" s="14"/>
      <c r="D3001" s="1"/>
      <c r="E3001" s="153"/>
      <c r="F3001" s="10"/>
      <c r="G3001" s="21"/>
      <c r="H3001" s="21"/>
      <c r="I3001" s="21"/>
      <c r="J3001" s="21"/>
      <c r="K3001" s="21"/>
      <c r="L3001" s="21"/>
      <c r="M3001" s="21"/>
      <c r="N3001" s="22"/>
      <c r="O3001" s="21"/>
      <c r="P3001" s="22"/>
      <c r="Q3001" s="21"/>
      <c r="R3001" s="21"/>
      <c r="S3001" s="21"/>
      <c r="T3001" s="21"/>
      <c r="U3001" s="21"/>
      <c r="V3001" s="22"/>
      <c r="W3001" s="21"/>
      <c r="X3001" s="22"/>
      <c r="Y3001" s="21"/>
      <c r="Z3001" s="21"/>
      <c r="AA3001" s="21"/>
      <c r="AB3001" s="21"/>
      <c r="AC3001" s="26"/>
      <c r="AD3001" s="26"/>
      <c r="AE3001" s="62"/>
    </row>
    <row r="3002" spans="1:31" ht="13.5" customHeight="1" x14ac:dyDescent="0.35">
      <c r="A3002" s="49"/>
      <c r="B3002" s="49"/>
      <c r="C3002" s="14"/>
      <c r="D3002" s="1"/>
      <c r="E3002" s="153"/>
      <c r="F3002" s="10"/>
      <c r="G3002" s="21"/>
      <c r="H3002" s="21"/>
      <c r="I3002" s="21"/>
      <c r="J3002" s="21"/>
      <c r="K3002" s="21"/>
      <c r="L3002" s="21"/>
      <c r="M3002" s="21"/>
      <c r="N3002" s="22"/>
      <c r="O3002" s="21"/>
      <c r="P3002" s="22"/>
      <c r="Q3002" s="21"/>
      <c r="R3002" s="21"/>
      <c r="S3002" s="21"/>
      <c r="T3002" s="21"/>
      <c r="U3002" s="21"/>
      <c r="V3002" s="22"/>
      <c r="W3002" s="21"/>
      <c r="X3002" s="22"/>
      <c r="Y3002" s="21"/>
      <c r="Z3002" s="21"/>
      <c r="AA3002" s="21"/>
      <c r="AB3002" s="21"/>
      <c r="AC3002" s="26"/>
      <c r="AD3002" s="26"/>
      <c r="AE3002" s="62"/>
    </row>
    <row r="3003" spans="1:31" ht="13.5" customHeight="1" x14ac:dyDescent="0.35">
      <c r="A3003" s="49"/>
      <c r="B3003" s="49"/>
      <c r="C3003" s="14"/>
      <c r="D3003" s="1"/>
      <c r="E3003" s="153"/>
      <c r="F3003" s="10"/>
      <c r="G3003" s="21"/>
      <c r="H3003" s="21"/>
      <c r="I3003" s="21"/>
      <c r="J3003" s="21"/>
      <c r="K3003" s="21"/>
      <c r="L3003" s="21"/>
      <c r="M3003" s="21"/>
      <c r="N3003" s="22"/>
      <c r="O3003" s="21"/>
      <c r="P3003" s="22"/>
      <c r="Q3003" s="21"/>
      <c r="R3003" s="21"/>
      <c r="S3003" s="21"/>
      <c r="T3003" s="21"/>
      <c r="U3003" s="21"/>
      <c r="V3003" s="22"/>
      <c r="W3003" s="21"/>
      <c r="X3003" s="22"/>
      <c r="Y3003" s="21"/>
      <c r="Z3003" s="21"/>
      <c r="AA3003" s="21"/>
      <c r="AB3003" s="21"/>
      <c r="AC3003" s="26"/>
      <c r="AD3003" s="26"/>
      <c r="AE3003" s="62"/>
    </row>
    <row r="3004" spans="1:31" x14ac:dyDescent="0.3">
      <c r="A3004" s="6"/>
      <c r="B3004" s="6"/>
      <c r="C3004" s="39"/>
      <c r="D3004" s="6"/>
      <c r="E3004" s="153"/>
      <c r="F3004" s="10"/>
      <c r="G3004" s="2"/>
      <c r="H3004" s="3"/>
      <c r="I3004" s="2"/>
      <c r="J3004" s="2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</row>
    <row r="3005" spans="1:31" ht="13.5" customHeight="1" x14ac:dyDescent="0.3">
      <c r="A3005" s="49"/>
      <c r="B3005" s="49"/>
      <c r="C3005" s="14"/>
      <c r="D3005" s="6"/>
      <c r="E3005" s="153"/>
      <c r="F3005" s="10"/>
      <c r="G3005" s="21"/>
      <c r="H3005" s="21"/>
      <c r="I3005" s="21"/>
      <c r="J3005" s="21"/>
      <c r="K3005" s="21"/>
      <c r="L3005" s="21"/>
      <c r="M3005" s="21"/>
      <c r="N3005" s="22"/>
      <c r="O3005" s="21"/>
      <c r="P3005" s="22"/>
      <c r="Q3005" s="21"/>
      <c r="R3005" s="21"/>
      <c r="S3005" s="21"/>
      <c r="T3005" s="21"/>
      <c r="U3005" s="21"/>
      <c r="V3005" s="22"/>
      <c r="W3005" s="21"/>
      <c r="X3005" s="22"/>
      <c r="Y3005" s="21"/>
      <c r="Z3005" s="21"/>
      <c r="AA3005" s="21"/>
      <c r="AB3005" s="21"/>
      <c r="AC3005" s="26"/>
      <c r="AD3005" s="26"/>
      <c r="AE3005" s="62"/>
    </row>
    <row r="3006" spans="1:31" ht="13.5" customHeight="1" x14ac:dyDescent="0.35">
      <c r="A3006" s="49"/>
      <c r="B3006" s="49"/>
      <c r="C3006" s="14"/>
      <c r="D3006" s="6"/>
      <c r="E3006" s="153"/>
      <c r="F3006" s="10"/>
      <c r="G3006" s="21"/>
      <c r="H3006" s="21"/>
      <c r="I3006" s="21"/>
      <c r="J3006" s="21"/>
      <c r="K3006" s="21"/>
      <c r="L3006" s="21"/>
      <c r="M3006" s="21"/>
      <c r="N3006" s="22"/>
      <c r="O3006" s="21"/>
      <c r="P3006" s="22"/>
      <c r="Q3006" s="21"/>
      <c r="R3006" s="21"/>
      <c r="S3006" s="21"/>
      <c r="T3006" s="21"/>
      <c r="U3006" s="21"/>
      <c r="V3006" s="22"/>
      <c r="W3006" s="21"/>
      <c r="X3006" s="22"/>
      <c r="Y3006" s="21"/>
      <c r="Z3006" s="21"/>
      <c r="AA3006" s="21"/>
      <c r="AB3006" s="21"/>
      <c r="AC3006" s="26"/>
      <c r="AD3006" s="26"/>
      <c r="AE3006" s="65"/>
    </row>
    <row r="3007" spans="1:31" ht="13.5" customHeight="1" x14ac:dyDescent="0.35">
      <c r="A3007" s="49"/>
      <c r="B3007" s="49"/>
      <c r="C3007" s="39"/>
      <c r="D3007" s="1"/>
      <c r="E3007" s="153"/>
      <c r="F3007" s="10"/>
      <c r="G3007" s="21"/>
      <c r="H3007" s="21"/>
      <c r="I3007" s="21"/>
      <c r="J3007" s="21"/>
      <c r="K3007" s="21"/>
      <c r="L3007" s="21"/>
      <c r="M3007" s="21"/>
      <c r="N3007" s="22"/>
      <c r="O3007" s="21"/>
      <c r="P3007" s="22"/>
      <c r="Q3007" s="21"/>
      <c r="R3007" s="21"/>
      <c r="S3007" s="21"/>
      <c r="T3007" s="21"/>
      <c r="U3007" s="21"/>
      <c r="V3007" s="22"/>
      <c r="W3007" s="21"/>
      <c r="X3007" s="22"/>
      <c r="Y3007" s="21"/>
      <c r="Z3007" s="21"/>
      <c r="AA3007" s="21"/>
      <c r="AB3007" s="21"/>
      <c r="AC3007" s="26"/>
      <c r="AD3007" s="26"/>
      <c r="AE3007" s="62"/>
    </row>
    <row r="3008" spans="1:31" x14ac:dyDescent="0.3">
      <c r="A3008" s="6"/>
      <c r="B3008" s="6"/>
      <c r="C3008" s="39"/>
      <c r="D3008" s="6"/>
      <c r="E3008" s="153"/>
      <c r="F3008" s="10"/>
      <c r="G3008" s="2"/>
      <c r="H3008" s="3"/>
      <c r="I3008" s="2"/>
      <c r="J3008" s="2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</row>
    <row r="3009" spans="1:31" ht="13.5" customHeight="1" x14ac:dyDescent="0.35">
      <c r="A3009" s="49"/>
      <c r="B3009" s="49"/>
      <c r="C3009" s="14"/>
      <c r="D3009" s="1"/>
      <c r="E3009" s="153"/>
      <c r="F3009" s="10"/>
      <c r="G3009" s="21"/>
      <c r="H3009" s="21"/>
      <c r="I3009" s="21"/>
      <c r="J3009" s="21"/>
      <c r="K3009" s="21"/>
      <c r="L3009" s="21"/>
      <c r="M3009" s="21"/>
      <c r="N3009" s="22"/>
      <c r="O3009" s="21"/>
      <c r="P3009" s="22"/>
      <c r="Q3009" s="21"/>
      <c r="R3009" s="21"/>
      <c r="S3009" s="21"/>
      <c r="T3009" s="21"/>
      <c r="U3009" s="21"/>
      <c r="V3009" s="22"/>
      <c r="W3009" s="21"/>
      <c r="X3009" s="22"/>
      <c r="Y3009" s="21"/>
      <c r="Z3009" s="21"/>
      <c r="AA3009" s="21"/>
      <c r="AB3009" s="21"/>
      <c r="AC3009" s="26"/>
      <c r="AD3009" s="26"/>
      <c r="AE3009" s="62"/>
    </row>
    <row r="3010" spans="1:31" x14ac:dyDescent="0.3">
      <c r="A3010" s="6"/>
      <c r="B3010" s="6"/>
      <c r="C3010" s="39"/>
      <c r="D3010" s="6"/>
      <c r="E3010" s="153"/>
      <c r="F3010" s="10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21"/>
      <c r="R3010" s="21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</row>
    <row r="3011" spans="1:31" x14ac:dyDescent="0.3">
      <c r="A3011" s="63"/>
      <c r="B3011" s="63"/>
      <c r="C3011" s="39"/>
      <c r="D3011" s="6"/>
      <c r="E3011" s="153"/>
      <c r="F3011" s="10"/>
      <c r="G3011" s="64"/>
      <c r="H3011" s="3"/>
      <c r="I3011" s="2"/>
      <c r="J3011" s="2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</row>
    <row r="3012" spans="1:31" x14ac:dyDescent="0.3">
      <c r="A3012" s="6"/>
      <c r="B3012" s="6"/>
      <c r="C3012" s="39"/>
      <c r="D3012" s="6"/>
      <c r="E3012" s="153"/>
      <c r="F3012" s="10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21"/>
      <c r="R3012" s="21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</row>
    <row r="3013" spans="1:31" ht="15" x14ac:dyDescent="0.35">
      <c r="A3013" s="63"/>
      <c r="B3013" s="63"/>
      <c r="C3013" s="39"/>
      <c r="D3013" s="6"/>
      <c r="E3013" s="153"/>
      <c r="F3013" s="10"/>
      <c r="G3013" s="64"/>
      <c r="H3013" s="3"/>
      <c r="I3013" s="2"/>
      <c r="J3013" s="2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65"/>
    </row>
    <row r="3014" spans="1:31" x14ac:dyDescent="0.3">
      <c r="A3014" s="6"/>
      <c r="B3014" s="6"/>
      <c r="C3014" s="39"/>
      <c r="D3014" s="6"/>
      <c r="E3014" s="153"/>
      <c r="F3014" s="10"/>
      <c r="G3014" s="2"/>
      <c r="H3014" s="3"/>
      <c r="I3014" s="2"/>
      <c r="J3014" s="2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</row>
    <row r="3015" spans="1:31" x14ac:dyDescent="0.3">
      <c r="A3015" s="63"/>
      <c r="B3015" s="63"/>
      <c r="C3015" s="39"/>
      <c r="D3015" s="6"/>
      <c r="E3015" s="153"/>
      <c r="F3015" s="10"/>
      <c r="G3015" s="64"/>
      <c r="H3015" s="3"/>
      <c r="I3015" s="2"/>
      <c r="J3015" s="2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</row>
    <row r="3016" spans="1:31" ht="13.5" customHeight="1" x14ac:dyDescent="0.35">
      <c r="A3016" s="49"/>
      <c r="B3016" s="49"/>
      <c r="C3016" s="14"/>
      <c r="D3016" s="1"/>
      <c r="E3016" s="153"/>
      <c r="F3016" s="10"/>
      <c r="G3016" s="21"/>
      <c r="H3016" s="21"/>
      <c r="I3016" s="21"/>
      <c r="J3016" s="21"/>
      <c r="K3016" s="21"/>
      <c r="L3016" s="21"/>
      <c r="M3016" s="21"/>
      <c r="N3016" s="22"/>
      <c r="O3016" s="21"/>
      <c r="P3016" s="22"/>
      <c r="Q3016" s="21"/>
      <c r="R3016" s="21"/>
      <c r="S3016" s="21"/>
      <c r="T3016" s="21"/>
      <c r="U3016" s="21"/>
      <c r="V3016" s="22"/>
      <c r="W3016" s="21"/>
      <c r="X3016" s="22"/>
      <c r="Y3016" s="21"/>
      <c r="Z3016" s="21"/>
      <c r="AA3016" s="21"/>
      <c r="AB3016" s="21"/>
      <c r="AC3016" s="26"/>
      <c r="AD3016" s="26"/>
      <c r="AE3016" s="62"/>
    </row>
    <row r="3017" spans="1:31" ht="13.5" customHeight="1" x14ac:dyDescent="0.35">
      <c r="A3017" s="49"/>
      <c r="B3017" s="49"/>
      <c r="C3017" s="39"/>
      <c r="D3017" s="1"/>
      <c r="E3017" s="153"/>
      <c r="F3017" s="10"/>
      <c r="G3017" s="21"/>
      <c r="H3017" s="21"/>
      <c r="I3017" s="21"/>
      <c r="J3017" s="21"/>
      <c r="K3017" s="21"/>
      <c r="L3017" s="21"/>
      <c r="M3017" s="21"/>
      <c r="N3017" s="22"/>
      <c r="O3017" s="21"/>
      <c r="P3017" s="22"/>
      <c r="Q3017" s="21"/>
      <c r="R3017" s="21"/>
      <c r="S3017" s="21"/>
      <c r="T3017" s="21"/>
      <c r="U3017" s="21"/>
      <c r="V3017" s="22"/>
      <c r="W3017" s="21"/>
      <c r="X3017" s="22"/>
      <c r="Y3017" s="21"/>
      <c r="Z3017" s="21"/>
      <c r="AA3017" s="21"/>
      <c r="AB3017" s="21"/>
      <c r="AC3017" s="26"/>
      <c r="AD3017" s="26"/>
      <c r="AE3017" s="62"/>
    </row>
    <row r="3018" spans="1:31" ht="13.5" customHeight="1" x14ac:dyDescent="0.35">
      <c r="A3018" s="49"/>
      <c r="B3018" s="49"/>
      <c r="C3018" s="39"/>
      <c r="D3018" s="1"/>
      <c r="E3018" s="153"/>
      <c r="F3018" s="10"/>
      <c r="G3018" s="21"/>
      <c r="H3018" s="21"/>
      <c r="I3018" s="21"/>
      <c r="J3018" s="21"/>
      <c r="K3018" s="21"/>
      <c r="L3018" s="21"/>
      <c r="M3018" s="21"/>
      <c r="N3018" s="22"/>
      <c r="O3018" s="21"/>
      <c r="P3018" s="22"/>
      <c r="Q3018" s="21"/>
      <c r="R3018" s="21"/>
      <c r="S3018" s="21"/>
      <c r="T3018" s="21"/>
      <c r="U3018" s="21"/>
      <c r="V3018" s="22"/>
      <c r="W3018" s="21"/>
      <c r="X3018" s="22"/>
      <c r="Y3018" s="21"/>
      <c r="Z3018" s="21"/>
      <c r="AA3018" s="21"/>
      <c r="AB3018" s="21"/>
      <c r="AC3018" s="26"/>
      <c r="AD3018" s="26"/>
      <c r="AE3018" s="62"/>
    </row>
    <row r="3019" spans="1:31" ht="13.5" customHeight="1" x14ac:dyDescent="0.35">
      <c r="A3019" s="49"/>
      <c r="B3019" s="49"/>
      <c r="C3019" s="39"/>
      <c r="D3019" s="1"/>
      <c r="E3019" s="153"/>
      <c r="F3019" s="10"/>
      <c r="G3019" s="21"/>
      <c r="H3019" s="21"/>
      <c r="I3019" s="21"/>
      <c r="J3019" s="21"/>
      <c r="K3019" s="21"/>
      <c r="L3019" s="21"/>
      <c r="M3019" s="21"/>
      <c r="N3019" s="22"/>
      <c r="O3019" s="21"/>
      <c r="P3019" s="22"/>
      <c r="Q3019" s="21"/>
      <c r="R3019" s="21"/>
      <c r="S3019" s="21"/>
      <c r="T3019" s="21"/>
      <c r="U3019" s="21"/>
      <c r="V3019" s="22"/>
      <c r="W3019" s="21"/>
      <c r="X3019" s="22"/>
      <c r="Y3019" s="21"/>
      <c r="Z3019" s="21"/>
      <c r="AA3019" s="21"/>
      <c r="AB3019" s="21"/>
      <c r="AC3019" s="26"/>
      <c r="AD3019" s="26"/>
      <c r="AE3019" s="62"/>
    </row>
    <row r="3020" spans="1:31" ht="15" x14ac:dyDescent="0.35">
      <c r="A3020" s="6"/>
      <c r="B3020" s="6"/>
      <c r="C3020" s="39"/>
      <c r="D3020" s="6"/>
      <c r="E3020" s="153"/>
      <c r="F3020" s="10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65"/>
    </row>
    <row r="3021" spans="1:31" x14ac:dyDescent="0.3">
      <c r="A3021" s="63"/>
      <c r="B3021" s="63"/>
      <c r="C3021" s="39"/>
      <c r="D3021" s="6"/>
      <c r="E3021" s="153"/>
      <c r="F3021" s="10"/>
      <c r="G3021" s="64"/>
      <c r="H3021" s="3"/>
      <c r="I3021" s="2"/>
      <c r="J3021" s="2"/>
      <c r="K3021" s="3"/>
      <c r="L3021" s="3"/>
      <c r="M3021" s="3"/>
      <c r="N3021" s="3"/>
      <c r="O3021" s="3"/>
      <c r="P3021" s="3"/>
      <c r="Q3021" s="21"/>
      <c r="R3021" s="21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</row>
    <row r="3022" spans="1:31" ht="13.5" customHeight="1" x14ac:dyDescent="0.35">
      <c r="A3022" s="49"/>
      <c r="B3022" s="49"/>
      <c r="C3022" s="14"/>
      <c r="D3022" s="1"/>
      <c r="E3022" s="153"/>
      <c r="F3022" s="10"/>
      <c r="G3022" s="21"/>
      <c r="H3022" s="21"/>
      <c r="I3022" s="21"/>
      <c r="J3022" s="21"/>
      <c r="K3022" s="21"/>
      <c r="L3022" s="21"/>
      <c r="M3022" s="21"/>
      <c r="N3022" s="22"/>
      <c r="O3022" s="21"/>
      <c r="P3022" s="22"/>
      <c r="Q3022" s="21"/>
      <c r="R3022" s="21"/>
      <c r="S3022" s="21"/>
      <c r="T3022" s="21"/>
      <c r="U3022" s="21"/>
      <c r="V3022" s="22"/>
      <c r="W3022" s="21"/>
      <c r="X3022" s="22"/>
      <c r="Y3022" s="21"/>
      <c r="Z3022" s="21"/>
      <c r="AA3022" s="21"/>
      <c r="AB3022" s="21"/>
      <c r="AC3022" s="26"/>
      <c r="AD3022" s="26"/>
      <c r="AE3022" s="62"/>
    </row>
    <row r="3023" spans="1:31" ht="15" x14ac:dyDescent="0.35">
      <c r="A3023" s="63"/>
      <c r="B3023" s="63"/>
      <c r="C3023" s="39"/>
      <c r="D3023" s="6"/>
      <c r="E3023" s="153"/>
      <c r="F3023" s="10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21"/>
      <c r="R3023" s="21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65"/>
    </row>
    <row r="3024" spans="1:31" x14ac:dyDescent="0.3">
      <c r="A3024" s="6"/>
      <c r="B3024" s="6"/>
      <c r="C3024" s="39"/>
      <c r="D3024" s="6"/>
      <c r="E3024" s="153"/>
      <c r="F3024" s="10"/>
      <c r="G3024" s="2"/>
      <c r="H3024" s="3"/>
      <c r="I3024" s="2"/>
      <c r="J3024" s="2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</row>
    <row r="3025" spans="1:31" ht="13.5" customHeight="1" x14ac:dyDescent="0.35">
      <c r="A3025" s="49"/>
      <c r="B3025" s="49"/>
      <c r="C3025" s="14"/>
      <c r="D3025" s="1"/>
      <c r="E3025" s="153"/>
      <c r="F3025" s="10"/>
      <c r="G3025" s="21"/>
      <c r="H3025" s="21"/>
      <c r="I3025" s="21"/>
      <c r="J3025" s="21"/>
      <c r="K3025" s="21"/>
      <c r="L3025" s="21"/>
      <c r="M3025" s="21"/>
      <c r="N3025" s="22"/>
      <c r="O3025" s="21"/>
      <c r="P3025" s="22"/>
      <c r="Q3025" s="21"/>
      <c r="R3025" s="21"/>
      <c r="S3025" s="21"/>
      <c r="T3025" s="21"/>
      <c r="U3025" s="21"/>
      <c r="V3025" s="22"/>
      <c r="W3025" s="21"/>
      <c r="X3025" s="22"/>
      <c r="Y3025" s="21"/>
      <c r="Z3025" s="21"/>
      <c r="AA3025" s="21"/>
      <c r="AB3025" s="21"/>
      <c r="AC3025" s="26"/>
      <c r="AD3025" s="26"/>
      <c r="AE3025" s="62"/>
    </row>
    <row r="3026" spans="1:31" x14ac:dyDescent="0.3">
      <c r="A3026" s="6"/>
      <c r="B3026" s="6"/>
      <c r="C3026" s="39"/>
      <c r="D3026" s="6"/>
      <c r="E3026" s="153"/>
      <c r="F3026" s="10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21"/>
      <c r="R3026" s="21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</row>
    <row r="3027" spans="1:31" ht="13.5" customHeight="1" x14ac:dyDescent="0.35">
      <c r="A3027" s="49"/>
      <c r="B3027" s="49"/>
      <c r="C3027" s="14"/>
      <c r="D3027" s="1"/>
      <c r="E3027" s="153"/>
      <c r="F3027" s="10"/>
      <c r="G3027" s="21"/>
      <c r="H3027" s="21"/>
      <c r="I3027" s="21"/>
      <c r="J3027" s="21"/>
      <c r="K3027" s="21"/>
      <c r="L3027" s="21"/>
      <c r="M3027" s="21"/>
      <c r="N3027" s="22"/>
      <c r="O3027" s="21"/>
      <c r="P3027" s="22"/>
      <c r="Q3027" s="21"/>
      <c r="R3027" s="21"/>
      <c r="S3027" s="21"/>
      <c r="T3027" s="21"/>
      <c r="U3027" s="21"/>
      <c r="V3027" s="22"/>
      <c r="W3027" s="21"/>
      <c r="X3027" s="22"/>
      <c r="Y3027" s="21"/>
      <c r="Z3027" s="21"/>
      <c r="AA3027" s="21"/>
      <c r="AB3027" s="21"/>
      <c r="AC3027" s="26"/>
      <c r="AD3027" s="26"/>
      <c r="AE3027" s="65"/>
    </row>
    <row r="3028" spans="1:31" x14ac:dyDescent="0.3">
      <c r="A3028" s="63"/>
      <c r="B3028" s="63"/>
      <c r="C3028" s="39"/>
      <c r="D3028" s="6"/>
      <c r="E3028" s="153"/>
      <c r="F3028" s="10"/>
      <c r="G3028" s="64"/>
      <c r="H3028" s="3"/>
      <c r="I3028" s="2"/>
      <c r="J3028" s="2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</row>
    <row r="3029" spans="1:31" ht="15" x14ac:dyDescent="0.35">
      <c r="A3029" s="6"/>
      <c r="B3029" s="6"/>
      <c r="C3029" s="39"/>
      <c r="D3029" s="6"/>
      <c r="E3029" s="153"/>
      <c r="F3029" s="10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21"/>
      <c r="R3029" s="21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65"/>
    </row>
    <row r="3030" spans="1:31" ht="13.5" customHeight="1" x14ac:dyDescent="0.35">
      <c r="A3030" s="49"/>
      <c r="B3030" s="49"/>
      <c r="C3030" s="14"/>
      <c r="D3030" s="1"/>
      <c r="E3030" s="153"/>
      <c r="F3030" s="10"/>
      <c r="G3030" s="21"/>
      <c r="H3030" s="21"/>
      <c r="I3030" s="21"/>
      <c r="J3030" s="21"/>
      <c r="K3030" s="21"/>
      <c r="L3030" s="21"/>
      <c r="M3030" s="21"/>
      <c r="N3030" s="22"/>
      <c r="O3030" s="21"/>
      <c r="P3030" s="22"/>
      <c r="Q3030" s="21"/>
      <c r="R3030" s="21"/>
      <c r="S3030" s="21"/>
      <c r="T3030" s="21"/>
      <c r="U3030" s="21"/>
      <c r="V3030" s="22"/>
      <c r="W3030" s="21"/>
      <c r="X3030" s="22"/>
      <c r="Y3030" s="21"/>
      <c r="Z3030" s="21"/>
      <c r="AA3030" s="21"/>
      <c r="AB3030" s="21"/>
      <c r="AC3030" s="26"/>
      <c r="AD3030" s="26"/>
      <c r="AE3030" s="62"/>
    </row>
    <row r="3031" spans="1:31" ht="13.5" customHeight="1" x14ac:dyDescent="0.35">
      <c r="A3031" s="49"/>
      <c r="B3031" s="49"/>
      <c r="C3031" s="39"/>
      <c r="D3031" s="1"/>
      <c r="E3031" s="153"/>
      <c r="F3031" s="10"/>
      <c r="G3031" s="21"/>
      <c r="H3031" s="21"/>
      <c r="I3031" s="21"/>
      <c r="J3031" s="21"/>
      <c r="K3031" s="21"/>
      <c r="L3031" s="21"/>
      <c r="M3031" s="21"/>
      <c r="N3031" s="22"/>
      <c r="O3031" s="21"/>
      <c r="P3031" s="22"/>
      <c r="Q3031" s="21"/>
      <c r="R3031" s="21"/>
      <c r="S3031" s="21"/>
      <c r="T3031" s="21"/>
      <c r="U3031" s="21"/>
      <c r="V3031" s="22"/>
      <c r="W3031" s="21"/>
      <c r="X3031" s="22"/>
      <c r="Y3031" s="21"/>
      <c r="Z3031" s="21"/>
      <c r="AA3031" s="21"/>
      <c r="AB3031" s="21"/>
      <c r="AC3031" s="26"/>
      <c r="AD3031" s="26"/>
      <c r="AE3031" s="62"/>
    </row>
    <row r="3032" spans="1:31" ht="13.5" customHeight="1" x14ac:dyDescent="0.35">
      <c r="A3032" s="49"/>
      <c r="B3032" s="49"/>
      <c r="C3032" s="39"/>
      <c r="D3032" s="1"/>
      <c r="E3032" s="153"/>
      <c r="F3032" s="10"/>
      <c r="G3032" s="21"/>
      <c r="H3032" s="21"/>
      <c r="I3032" s="21"/>
      <c r="J3032" s="21"/>
      <c r="K3032" s="21"/>
      <c r="L3032" s="21"/>
      <c r="M3032" s="21"/>
      <c r="N3032" s="22"/>
      <c r="O3032" s="21"/>
      <c r="P3032" s="22"/>
      <c r="Q3032" s="21"/>
      <c r="R3032" s="21"/>
      <c r="S3032" s="21"/>
      <c r="T3032" s="21"/>
      <c r="U3032" s="21"/>
      <c r="V3032" s="22"/>
      <c r="W3032" s="21"/>
      <c r="X3032" s="22"/>
      <c r="Y3032" s="21"/>
      <c r="Z3032" s="21"/>
      <c r="AA3032" s="21"/>
      <c r="AB3032" s="21"/>
      <c r="AC3032" s="26"/>
      <c r="AD3032" s="26"/>
      <c r="AE3032" s="62"/>
    </row>
    <row r="3033" spans="1:31" ht="13.5" customHeight="1" x14ac:dyDescent="0.35">
      <c r="A3033" s="49"/>
      <c r="B3033" s="49"/>
      <c r="C3033" s="14"/>
      <c r="D3033" s="1"/>
      <c r="E3033" s="153"/>
      <c r="F3033" s="10"/>
      <c r="G3033" s="21"/>
      <c r="H3033" s="21"/>
      <c r="I3033" s="21"/>
      <c r="J3033" s="21"/>
      <c r="K3033" s="21"/>
      <c r="L3033" s="21"/>
      <c r="M3033" s="21"/>
      <c r="N3033" s="22"/>
      <c r="O3033" s="21"/>
      <c r="P3033" s="22"/>
      <c r="Q3033" s="21"/>
      <c r="R3033" s="21"/>
      <c r="S3033" s="21"/>
      <c r="T3033" s="21"/>
      <c r="U3033" s="21"/>
      <c r="V3033" s="22"/>
      <c r="W3033" s="21"/>
      <c r="X3033" s="22"/>
      <c r="Y3033" s="21"/>
      <c r="Z3033" s="21"/>
      <c r="AA3033" s="21"/>
      <c r="AB3033" s="21"/>
      <c r="AC3033" s="26"/>
      <c r="AD3033" s="26"/>
      <c r="AE3033" s="62"/>
    </row>
    <row r="3034" spans="1:31" x14ac:dyDescent="0.3">
      <c r="A3034" s="6"/>
      <c r="B3034" s="6"/>
      <c r="C3034" s="39"/>
      <c r="D3034" s="6"/>
      <c r="E3034" s="153"/>
      <c r="F3034" s="10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21"/>
      <c r="R3034" s="21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</row>
    <row r="3035" spans="1:31" x14ac:dyDescent="0.3">
      <c r="A3035" s="63"/>
      <c r="B3035" s="63"/>
      <c r="C3035" s="39"/>
      <c r="D3035" s="6"/>
      <c r="E3035" s="153"/>
      <c r="F3035" s="10"/>
      <c r="G3035" s="64"/>
      <c r="H3035" s="3"/>
      <c r="I3035" s="2"/>
      <c r="J3035" s="2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</row>
    <row r="3036" spans="1:31" ht="13.5" customHeight="1" x14ac:dyDescent="0.35">
      <c r="A3036" s="49"/>
      <c r="B3036" s="49"/>
      <c r="C3036" s="39"/>
      <c r="D3036" s="1"/>
      <c r="E3036" s="153"/>
      <c r="F3036" s="10"/>
      <c r="G3036" s="21"/>
      <c r="H3036" s="21"/>
      <c r="I3036" s="21"/>
      <c r="J3036" s="21"/>
      <c r="K3036" s="21"/>
      <c r="L3036" s="21"/>
      <c r="M3036" s="21"/>
      <c r="N3036" s="22"/>
      <c r="O3036" s="21"/>
      <c r="P3036" s="22"/>
      <c r="Q3036" s="21"/>
      <c r="R3036" s="21"/>
      <c r="S3036" s="21"/>
      <c r="T3036" s="21"/>
      <c r="U3036" s="21"/>
      <c r="V3036" s="22"/>
      <c r="W3036" s="21"/>
      <c r="X3036" s="22"/>
      <c r="Y3036" s="21"/>
      <c r="Z3036" s="21"/>
      <c r="AA3036" s="21"/>
      <c r="AB3036" s="21"/>
      <c r="AC3036" s="26"/>
      <c r="AD3036" s="26"/>
      <c r="AE3036" s="62"/>
    </row>
    <row r="3037" spans="1:31" ht="13.5" customHeight="1" x14ac:dyDescent="0.35">
      <c r="A3037" s="49"/>
      <c r="B3037" s="49"/>
      <c r="C3037" s="14"/>
      <c r="D3037" s="1"/>
      <c r="E3037" s="153"/>
      <c r="F3037" s="10"/>
      <c r="G3037" s="21"/>
      <c r="H3037" s="21"/>
      <c r="I3037" s="21"/>
      <c r="J3037" s="21"/>
      <c r="K3037" s="21"/>
      <c r="L3037" s="21"/>
      <c r="M3037" s="21"/>
      <c r="N3037" s="22"/>
      <c r="O3037" s="21"/>
      <c r="P3037" s="22"/>
      <c r="Q3037" s="21"/>
      <c r="R3037" s="21"/>
      <c r="S3037" s="21"/>
      <c r="T3037" s="21"/>
      <c r="U3037" s="21"/>
      <c r="V3037" s="22"/>
      <c r="W3037" s="21"/>
      <c r="X3037" s="22"/>
      <c r="Y3037" s="21"/>
      <c r="Z3037" s="21"/>
      <c r="AA3037" s="21"/>
      <c r="AB3037" s="21"/>
      <c r="AC3037" s="26"/>
      <c r="AD3037" s="26"/>
      <c r="AE3037" s="62"/>
    </row>
    <row r="3038" spans="1:31" ht="13.5" customHeight="1" x14ac:dyDescent="0.35">
      <c r="A3038" s="49"/>
      <c r="B3038" s="49"/>
      <c r="C3038" s="39"/>
      <c r="D3038" s="1"/>
      <c r="E3038" s="153"/>
      <c r="F3038" s="10"/>
      <c r="G3038" s="21"/>
      <c r="H3038" s="21"/>
      <c r="I3038" s="21"/>
      <c r="J3038" s="21"/>
      <c r="K3038" s="21"/>
      <c r="L3038" s="21"/>
      <c r="M3038" s="21"/>
      <c r="N3038" s="22"/>
      <c r="O3038" s="21"/>
      <c r="P3038" s="22"/>
      <c r="Q3038" s="21"/>
      <c r="R3038" s="21"/>
      <c r="S3038" s="21"/>
      <c r="T3038" s="21"/>
      <c r="U3038" s="21"/>
      <c r="V3038" s="22"/>
      <c r="W3038" s="21"/>
      <c r="X3038" s="22"/>
      <c r="Y3038" s="21"/>
      <c r="Z3038" s="21"/>
      <c r="AA3038" s="21"/>
      <c r="AB3038" s="21"/>
      <c r="AC3038" s="26"/>
      <c r="AD3038" s="26"/>
      <c r="AE3038" s="62"/>
    </row>
    <row r="3039" spans="1:31" ht="15" x14ac:dyDescent="0.35">
      <c r="A3039" s="6"/>
      <c r="B3039" s="6"/>
      <c r="C3039" s="39"/>
      <c r="D3039" s="6"/>
      <c r="E3039" s="153"/>
      <c r="F3039" s="10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21"/>
      <c r="R3039" s="21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65"/>
    </row>
    <row r="3040" spans="1:31" x14ac:dyDescent="0.3">
      <c r="A3040" s="63"/>
      <c r="B3040" s="63"/>
      <c r="C3040" s="39"/>
      <c r="D3040" s="6"/>
      <c r="E3040" s="153"/>
      <c r="F3040" s="10"/>
      <c r="G3040" s="64"/>
      <c r="H3040" s="3"/>
      <c r="I3040" s="2"/>
      <c r="J3040" s="2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</row>
    <row r="3041" spans="1:31" x14ac:dyDescent="0.3">
      <c r="A3041" s="6"/>
      <c r="B3041" s="6"/>
      <c r="C3041" s="39"/>
      <c r="D3041" s="6"/>
      <c r="E3041" s="153"/>
      <c r="F3041" s="10"/>
      <c r="G3041" s="2"/>
      <c r="H3041" s="3"/>
      <c r="I3041" s="2"/>
      <c r="J3041" s="2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</row>
    <row r="3042" spans="1:31" x14ac:dyDescent="0.3">
      <c r="A3042" s="6"/>
      <c r="B3042" s="6"/>
      <c r="C3042" s="39"/>
      <c r="D3042" s="6"/>
      <c r="E3042" s="153"/>
      <c r="F3042" s="10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21"/>
      <c r="R3042" s="21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</row>
    <row r="3043" spans="1:31" x14ac:dyDescent="0.3">
      <c r="A3043" s="63"/>
      <c r="B3043" s="63"/>
      <c r="C3043" s="39"/>
      <c r="D3043" s="6"/>
      <c r="E3043" s="153"/>
      <c r="F3043" s="10"/>
      <c r="G3043" s="64"/>
      <c r="H3043" s="3"/>
      <c r="I3043" s="2"/>
      <c r="J3043" s="2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</row>
    <row r="3044" spans="1:31" ht="13.5" customHeight="1" x14ac:dyDescent="0.35">
      <c r="A3044" s="49"/>
      <c r="B3044" s="49"/>
      <c r="C3044" s="39"/>
      <c r="D3044" s="1"/>
      <c r="E3044" s="153"/>
      <c r="F3044" s="10"/>
      <c r="G3044" s="21"/>
      <c r="H3044" s="21"/>
      <c r="I3044" s="21"/>
      <c r="J3044" s="21"/>
      <c r="K3044" s="21"/>
      <c r="L3044" s="21"/>
      <c r="M3044" s="21"/>
      <c r="N3044" s="22"/>
      <c r="O3044" s="21"/>
      <c r="P3044" s="22"/>
      <c r="Q3044" s="21"/>
      <c r="R3044" s="21"/>
      <c r="S3044" s="21"/>
      <c r="T3044" s="21"/>
      <c r="U3044" s="21"/>
      <c r="V3044" s="22"/>
      <c r="W3044" s="21"/>
      <c r="X3044" s="22"/>
      <c r="Y3044" s="21"/>
      <c r="Z3044" s="21"/>
      <c r="AA3044" s="21"/>
      <c r="AB3044" s="21"/>
      <c r="AC3044" s="26"/>
      <c r="AD3044" s="26"/>
      <c r="AE3044" s="62"/>
    </row>
    <row r="3045" spans="1:31" ht="13.5" customHeight="1" x14ac:dyDescent="0.35">
      <c r="A3045" s="49"/>
      <c r="B3045" s="49"/>
      <c r="C3045" s="14"/>
      <c r="D3045" s="1"/>
      <c r="E3045" s="153"/>
      <c r="F3045" s="10"/>
      <c r="G3045" s="21"/>
      <c r="H3045" s="21"/>
      <c r="I3045" s="21"/>
      <c r="J3045" s="21"/>
      <c r="K3045" s="21"/>
      <c r="L3045" s="21"/>
      <c r="M3045" s="21"/>
      <c r="N3045" s="22"/>
      <c r="O3045" s="21"/>
      <c r="P3045" s="22"/>
      <c r="Q3045" s="21"/>
      <c r="R3045" s="21"/>
      <c r="S3045" s="21"/>
      <c r="T3045" s="21"/>
      <c r="U3045" s="21"/>
      <c r="V3045" s="22"/>
      <c r="W3045" s="21"/>
      <c r="X3045" s="22"/>
      <c r="Y3045" s="21"/>
      <c r="Z3045" s="21"/>
      <c r="AA3045" s="21"/>
      <c r="AB3045" s="21"/>
      <c r="AC3045" s="26"/>
      <c r="AD3045" s="26"/>
      <c r="AE3045" s="62"/>
    </row>
    <row r="3046" spans="1:31" x14ac:dyDescent="0.3">
      <c r="A3046" s="63"/>
      <c r="B3046" s="63"/>
      <c r="C3046" s="39"/>
      <c r="D3046" s="6"/>
      <c r="E3046" s="153"/>
      <c r="F3046" s="10"/>
      <c r="G3046" s="64"/>
      <c r="H3046" s="3"/>
      <c r="I3046" s="2"/>
      <c r="J3046" s="2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</row>
    <row r="3047" spans="1:31" x14ac:dyDescent="0.3">
      <c r="A3047" s="63"/>
      <c r="B3047" s="63"/>
      <c r="C3047" s="39"/>
      <c r="D3047" s="6"/>
      <c r="E3047" s="153"/>
      <c r="F3047" s="10"/>
      <c r="G3047" s="64"/>
      <c r="H3047" s="3"/>
      <c r="I3047" s="2"/>
      <c r="J3047" s="2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</row>
    <row r="3048" spans="1:31" ht="13.5" customHeight="1" x14ac:dyDescent="0.35">
      <c r="A3048" s="49"/>
      <c r="B3048" s="49"/>
      <c r="C3048" s="14"/>
      <c r="D3048" s="1"/>
      <c r="E3048" s="153"/>
      <c r="F3048" s="10"/>
      <c r="G3048" s="21"/>
      <c r="H3048" s="21"/>
      <c r="I3048" s="21"/>
      <c r="J3048" s="21"/>
      <c r="K3048" s="21"/>
      <c r="L3048" s="21"/>
      <c r="M3048" s="21"/>
      <c r="N3048" s="22"/>
      <c r="O3048" s="21"/>
      <c r="P3048" s="22"/>
      <c r="Q3048" s="21"/>
      <c r="R3048" s="21"/>
      <c r="S3048" s="21"/>
      <c r="T3048" s="21"/>
      <c r="U3048" s="21"/>
      <c r="V3048" s="22"/>
      <c r="W3048" s="21"/>
      <c r="X3048" s="22"/>
      <c r="Y3048" s="21"/>
      <c r="Z3048" s="21"/>
      <c r="AA3048" s="21"/>
      <c r="AB3048" s="21"/>
      <c r="AC3048" s="26"/>
      <c r="AD3048" s="26"/>
      <c r="AE3048" s="62"/>
    </row>
    <row r="3049" spans="1:31" ht="13.5" customHeight="1" x14ac:dyDescent="0.35">
      <c r="A3049" s="49"/>
      <c r="B3049" s="49"/>
      <c r="C3049" s="14"/>
      <c r="D3049" s="1"/>
      <c r="E3049" s="153"/>
      <c r="F3049" s="10"/>
      <c r="G3049" s="21"/>
      <c r="H3049" s="21"/>
      <c r="I3049" s="21"/>
      <c r="J3049" s="21"/>
      <c r="K3049" s="21"/>
      <c r="L3049" s="21"/>
      <c r="M3049" s="21"/>
      <c r="N3049" s="22"/>
      <c r="O3049" s="21"/>
      <c r="P3049" s="22"/>
      <c r="Q3049" s="21"/>
      <c r="R3049" s="21"/>
      <c r="S3049" s="21"/>
      <c r="T3049" s="21"/>
      <c r="U3049" s="21"/>
      <c r="V3049" s="22"/>
      <c r="W3049" s="21"/>
      <c r="X3049" s="22"/>
      <c r="Y3049" s="21"/>
      <c r="Z3049" s="21"/>
      <c r="AA3049" s="21"/>
      <c r="AB3049" s="21"/>
      <c r="AC3049" s="26"/>
      <c r="AD3049" s="26"/>
      <c r="AE3049" s="62"/>
    </row>
    <row r="3050" spans="1:31" ht="13.5" customHeight="1" x14ac:dyDescent="0.35">
      <c r="A3050" s="49"/>
      <c r="B3050" s="49"/>
      <c r="C3050" s="39"/>
      <c r="D3050" s="1"/>
      <c r="E3050" s="153"/>
      <c r="F3050" s="10"/>
      <c r="G3050" s="21"/>
      <c r="H3050" s="21"/>
      <c r="I3050" s="21"/>
      <c r="J3050" s="21"/>
      <c r="K3050" s="21"/>
      <c r="L3050" s="21"/>
      <c r="M3050" s="21"/>
      <c r="N3050" s="22"/>
      <c r="O3050" s="21"/>
      <c r="P3050" s="22"/>
      <c r="Q3050" s="21"/>
      <c r="R3050" s="21"/>
      <c r="S3050" s="21"/>
      <c r="T3050" s="21"/>
      <c r="U3050" s="21"/>
      <c r="V3050" s="22"/>
      <c r="W3050" s="21"/>
      <c r="X3050" s="22"/>
      <c r="Y3050" s="21"/>
      <c r="Z3050" s="21"/>
      <c r="AA3050" s="21"/>
      <c r="AB3050" s="21"/>
      <c r="AC3050" s="26"/>
      <c r="AD3050" s="26"/>
      <c r="AE3050" s="62"/>
    </row>
    <row r="3051" spans="1:31" x14ac:dyDescent="0.3">
      <c r="A3051" s="63"/>
      <c r="B3051" s="63"/>
      <c r="C3051" s="39"/>
      <c r="D3051" s="6"/>
      <c r="E3051" s="153"/>
      <c r="F3051" s="10"/>
      <c r="G3051" s="64"/>
      <c r="H3051" s="3"/>
      <c r="I3051" s="2"/>
      <c r="J3051" s="2"/>
      <c r="K3051" s="3"/>
      <c r="L3051" s="3"/>
      <c r="M3051" s="3"/>
      <c r="N3051" s="3"/>
      <c r="O3051" s="3"/>
      <c r="P3051" s="3"/>
      <c r="Q3051" s="21"/>
      <c r="R3051" s="21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</row>
    <row r="3052" spans="1:31" ht="13.5" customHeight="1" x14ac:dyDescent="0.35">
      <c r="A3052" s="49"/>
      <c r="B3052" s="49"/>
      <c r="C3052" s="14"/>
      <c r="D3052" s="1"/>
      <c r="E3052" s="153"/>
      <c r="F3052" s="10"/>
      <c r="G3052" s="21"/>
      <c r="H3052" s="21"/>
      <c r="I3052" s="21"/>
      <c r="J3052" s="21"/>
      <c r="K3052" s="21"/>
      <c r="L3052" s="21"/>
      <c r="M3052" s="21"/>
      <c r="N3052" s="22"/>
      <c r="O3052" s="21"/>
      <c r="P3052" s="22"/>
      <c r="Q3052" s="21"/>
      <c r="R3052" s="21"/>
      <c r="S3052" s="21"/>
      <c r="T3052" s="21"/>
      <c r="U3052" s="21"/>
      <c r="V3052" s="22"/>
      <c r="W3052" s="21"/>
      <c r="X3052" s="22"/>
      <c r="Y3052" s="21"/>
      <c r="Z3052" s="21"/>
      <c r="AA3052" s="21"/>
      <c r="AB3052" s="21"/>
      <c r="AC3052" s="26"/>
      <c r="AD3052" s="26"/>
      <c r="AE3052" s="62"/>
    </row>
    <row r="3053" spans="1:31" ht="15" x14ac:dyDescent="0.35">
      <c r="A3053" s="6"/>
      <c r="B3053" s="6"/>
      <c r="C3053" s="39"/>
      <c r="D3053" s="6"/>
      <c r="E3053" s="153"/>
      <c r="F3053" s="10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21"/>
      <c r="R3053" s="21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65"/>
    </row>
    <row r="3054" spans="1:31" ht="13.5" customHeight="1" x14ac:dyDescent="0.35">
      <c r="A3054" s="49"/>
      <c r="B3054" s="49"/>
      <c r="C3054" s="14"/>
      <c r="D3054" s="1"/>
      <c r="E3054" s="153"/>
      <c r="F3054" s="10"/>
      <c r="G3054" s="21"/>
      <c r="H3054" s="21"/>
      <c r="I3054" s="21"/>
      <c r="J3054" s="21"/>
      <c r="K3054" s="21"/>
      <c r="L3054" s="21"/>
      <c r="M3054" s="21"/>
      <c r="N3054" s="22"/>
      <c r="O3054" s="21"/>
      <c r="P3054" s="22"/>
      <c r="Q3054" s="21"/>
      <c r="R3054" s="21"/>
      <c r="S3054" s="21"/>
      <c r="T3054" s="21"/>
      <c r="U3054" s="21"/>
      <c r="V3054" s="22"/>
      <c r="W3054" s="21"/>
      <c r="X3054" s="22"/>
      <c r="Y3054" s="21"/>
      <c r="Z3054" s="21"/>
      <c r="AA3054" s="21"/>
      <c r="AB3054" s="21"/>
      <c r="AC3054" s="26"/>
      <c r="AD3054" s="26"/>
      <c r="AE3054" s="62"/>
    </row>
    <row r="3055" spans="1:31" ht="13.5" customHeight="1" x14ac:dyDescent="0.35">
      <c r="A3055" s="49"/>
      <c r="B3055" s="49"/>
      <c r="C3055" s="14"/>
      <c r="D3055" s="1"/>
      <c r="E3055" s="153"/>
      <c r="F3055" s="10"/>
      <c r="G3055" s="21"/>
      <c r="H3055" s="21"/>
      <c r="I3055" s="21"/>
      <c r="J3055" s="21"/>
      <c r="K3055" s="21"/>
      <c r="L3055" s="21"/>
      <c r="M3055" s="21"/>
      <c r="N3055" s="22"/>
      <c r="O3055" s="21"/>
      <c r="P3055" s="22"/>
      <c r="Q3055" s="21"/>
      <c r="R3055" s="21"/>
      <c r="S3055" s="21"/>
      <c r="T3055" s="21"/>
      <c r="U3055" s="21"/>
      <c r="V3055" s="22"/>
      <c r="W3055" s="21"/>
      <c r="X3055" s="22"/>
      <c r="Y3055" s="21"/>
      <c r="Z3055" s="21"/>
      <c r="AA3055" s="21"/>
      <c r="AB3055" s="21"/>
      <c r="AC3055" s="26"/>
      <c r="AD3055" s="26"/>
      <c r="AE3055" s="62"/>
    </row>
    <row r="3056" spans="1:31" ht="13.5" customHeight="1" x14ac:dyDescent="0.35">
      <c r="A3056" s="49"/>
      <c r="B3056" s="49"/>
      <c r="C3056" s="14"/>
      <c r="D3056" s="1"/>
      <c r="E3056" s="153"/>
      <c r="F3056" s="10"/>
      <c r="G3056" s="21"/>
      <c r="H3056" s="21"/>
      <c r="I3056" s="21"/>
      <c r="J3056" s="21"/>
      <c r="K3056" s="21"/>
      <c r="L3056" s="21"/>
      <c r="M3056" s="21"/>
      <c r="N3056" s="22"/>
      <c r="O3056" s="21"/>
      <c r="P3056" s="22"/>
      <c r="Q3056" s="21"/>
      <c r="R3056" s="21"/>
      <c r="S3056" s="21"/>
      <c r="T3056" s="21"/>
      <c r="U3056" s="21"/>
      <c r="V3056" s="22"/>
      <c r="W3056" s="21"/>
      <c r="X3056" s="22"/>
      <c r="Y3056" s="21"/>
      <c r="Z3056" s="21"/>
      <c r="AA3056" s="21"/>
      <c r="AB3056" s="21"/>
      <c r="AC3056" s="26"/>
      <c r="AD3056" s="26"/>
      <c r="AE3056" s="65"/>
    </row>
    <row r="3057" spans="1:31" ht="15" x14ac:dyDescent="0.35">
      <c r="A3057" s="6"/>
      <c r="B3057" s="6"/>
      <c r="C3057" s="39"/>
      <c r="D3057" s="6"/>
      <c r="E3057" s="153"/>
      <c r="F3057" s="10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65"/>
    </row>
    <row r="3058" spans="1:31" ht="15" x14ac:dyDescent="0.35">
      <c r="A3058" s="63"/>
      <c r="B3058" s="63"/>
      <c r="C3058" s="39"/>
      <c r="D3058" s="6"/>
      <c r="E3058" s="153"/>
      <c r="F3058" s="10"/>
      <c r="G3058" s="64"/>
      <c r="H3058" s="3"/>
      <c r="I3058" s="2"/>
      <c r="J3058" s="2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65"/>
    </row>
    <row r="3059" spans="1:31" x14ac:dyDescent="0.3">
      <c r="A3059" s="6"/>
      <c r="B3059" s="6"/>
      <c r="C3059" s="39"/>
      <c r="D3059" s="6"/>
      <c r="E3059" s="153"/>
      <c r="F3059" s="10"/>
      <c r="G3059" s="2"/>
      <c r="H3059" s="3"/>
      <c r="I3059" s="2"/>
      <c r="J3059" s="2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</row>
    <row r="3060" spans="1:31" ht="13.5" customHeight="1" x14ac:dyDescent="0.35">
      <c r="A3060" s="49"/>
      <c r="B3060" s="49"/>
      <c r="C3060" s="14"/>
      <c r="D3060" s="1"/>
      <c r="E3060" s="153"/>
      <c r="F3060" s="10"/>
      <c r="G3060" s="21"/>
      <c r="H3060" s="21"/>
      <c r="I3060" s="21"/>
      <c r="J3060" s="21"/>
      <c r="K3060" s="21"/>
      <c r="L3060" s="21"/>
      <c r="M3060" s="21"/>
      <c r="N3060" s="22"/>
      <c r="O3060" s="21"/>
      <c r="P3060" s="22"/>
      <c r="Q3060" s="21"/>
      <c r="R3060" s="21"/>
      <c r="S3060" s="21"/>
      <c r="T3060" s="21"/>
      <c r="U3060" s="21"/>
      <c r="V3060" s="22"/>
      <c r="W3060" s="21"/>
      <c r="X3060" s="22"/>
      <c r="Y3060" s="21"/>
      <c r="Z3060" s="21"/>
      <c r="AA3060" s="21"/>
      <c r="AB3060" s="21"/>
      <c r="AC3060" s="26"/>
      <c r="AD3060" s="26"/>
      <c r="AE3060" s="62"/>
    </row>
    <row r="3061" spans="1:31" ht="13.5" customHeight="1" x14ac:dyDescent="0.35">
      <c r="A3061" s="49"/>
      <c r="B3061" s="49"/>
      <c r="C3061" s="39"/>
      <c r="D3061" s="1"/>
      <c r="E3061" s="153"/>
      <c r="F3061" s="10"/>
      <c r="G3061" s="21"/>
      <c r="H3061" s="21"/>
      <c r="I3061" s="21"/>
      <c r="J3061" s="21"/>
      <c r="K3061" s="21"/>
      <c r="L3061" s="21"/>
      <c r="M3061" s="21"/>
      <c r="N3061" s="22"/>
      <c r="O3061" s="21"/>
      <c r="P3061" s="22"/>
      <c r="Q3061" s="21"/>
      <c r="R3061" s="21"/>
      <c r="S3061" s="21"/>
      <c r="T3061" s="21"/>
      <c r="U3061" s="21"/>
      <c r="V3061" s="22"/>
      <c r="W3061" s="21"/>
      <c r="X3061" s="22"/>
      <c r="Y3061" s="21"/>
      <c r="Z3061" s="21"/>
      <c r="AA3061" s="21"/>
      <c r="AB3061" s="21"/>
      <c r="AC3061" s="26"/>
      <c r="AD3061" s="26"/>
      <c r="AE3061" s="65"/>
    </row>
    <row r="3062" spans="1:31" ht="13.5" customHeight="1" x14ac:dyDescent="0.35">
      <c r="A3062" s="49"/>
      <c r="B3062" s="49"/>
      <c r="C3062" s="14"/>
      <c r="D3062" s="1"/>
      <c r="E3062" s="153"/>
      <c r="F3062" s="10"/>
      <c r="G3062" s="21"/>
      <c r="H3062" s="21"/>
      <c r="I3062" s="21"/>
      <c r="J3062" s="21"/>
      <c r="K3062" s="21"/>
      <c r="L3062" s="21"/>
      <c r="M3062" s="21"/>
      <c r="N3062" s="22"/>
      <c r="O3062" s="21"/>
      <c r="P3062" s="22"/>
      <c r="Q3062" s="21"/>
      <c r="R3062" s="21"/>
      <c r="S3062" s="21"/>
      <c r="T3062" s="21"/>
      <c r="U3062" s="21"/>
      <c r="V3062" s="22"/>
      <c r="W3062" s="21"/>
      <c r="X3062" s="22"/>
      <c r="Y3062" s="21"/>
      <c r="Z3062" s="21"/>
      <c r="AA3062" s="21"/>
      <c r="AB3062" s="21"/>
      <c r="AC3062" s="26"/>
      <c r="AD3062" s="26"/>
      <c r="AE3062" s="62"/>
    </row>
    <row r="3063" spans="1:31" x14ac:dyDescent="0.3">
      <c r="A3063" s="6"/>
      <c r="B3063" s="6"/>
      <c r="C3063" s="39"/>
      <c r="D3063" s="6"/>
      <c r="E3063" s="153"/>
      <c r="F3063" s="10"/>
      <c r="G3063" s="2"/>
      <c r="H3063" s="3"/>
      <c r="I3063" s="2"/>
      <c r="J3063" s="2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</row>
    <row r="3064" spans="1:31" x14ac:dyDescent="0.3">
      <c r="A3064" s="63"/>
      <c r="B3064" s="63"/>
      <c r="C3064" s="39"/>
      <c r="D3064" s="6"/>
      <c r="E3064" s="153"/>
      <c r="F3064" s="10"/>
      <c r="G3064" s="64"/>
      <c r="H3064" s="3"/>
      <c r="I3064" s="2"/>
      <c r="J3064" s="2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</row>
    <row r="3065" spans="1:31" ht="15" x14ac:dyDescent="0.35">
      <c r="A3065" s="63"/>
      <c r="B3065" s="63"/>
      <c r="C3065" s="39"/>
      <c r="D3065" s="6"/>
      <c r="E3065" s="153"/>
      <c r="F3065" s="10"/>
      <c r="G3065" s="64"/>
      <c r="H3065" s="3"/>
      <c r="I3065" s="2"/>
      <c r="J3065" s="2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65"/>
    </row>
    <row r="3066" spans="1:31" ht="13.5" customHeight="1" x14ac:dyDescent="0.35">
      <c r="A3066" s="49"/>
      <c r="B3066" s="49"/>
      <c r="C3066" s="14"/>
      <c r="D3066" s="1"/>
      <c r="E3066" s="153"/>
      <c r="F3066" s="10"/>
      <c r="G3066" s="21"/>
      <c r="H3066" s="21"/>
      <c r="I3066" s="21"/>
      <c r="J3066" s="21"/>
      <c r="K3066" s="21"/>
      <c r="L3066" s="21"/>
      <c r="M3066" s="21"/>
      <c r="N3066" s="22"/>
      <c r="O3066" s="21"/>
      <c r="P3066" s="22"/>
      <c r="Q3066" s="21"/>
      <c r="R3066" s="21"/>
      <c r="S3066" s="21"/>
      <c r="T3066" s="21"/>
      <c r="U3066" s="21"/>
      <c r="V3066" s="22"/>
      <c r="W3066" s="21"/>
      <c r="X3066" s="22"/>
      <c r="Y3066" s="21"/>
      <c r="Z3066" s="21"/>
      <c r="AA3066" s="21"/>
      <c r="AB3066" s="21"/>
      <c r="AC3066" s="26"/>
      <c r="AD3066" s="26"/>
      <c r="AE3066" s="65"/>
    </row>
    <row r="3067" spans="1:31" x14ac:dyDescent="0.3">
      <c r="A3067" s="63"/>
      <c r="B3067" s="63"/>
      <c r="C3067" s="39"/>
      <c r="D3067" s="6"/>
      <c r="E3067" s="153"/>
      <c r="F3067" s="10"/>
      <c r="G3067" s="64"/>
      <c r="H3067" s="3"/>
      <c r="I3067" s="2"/>
      <c r="J3067" s="2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</row>
    <row r="3068" spans="1:31" ht="13.5" customHeight="1" x14ac:dyDescent="0.35">
      <c r="A3068" s="49"/>
      <c r="B3068" s="49"/>
      <c r="C3068" s="14"/>
      <c r="D3068" s="6"/>
      <c r="E3068" s="153"/>
      <c r="F3068" s="10"/>
      <c r="G3068" s="21"/>
      <c r="H3068" s="21"/>
      <c r="I3068" s="21"/>
      <c r="J3068" s="21"/>
      <c r="K3068" s="21"/>
      <c r="L3068" s="21"/>
      <c r="M3068" s="21"/>
      <c r="N3068" s="22"/>
      <c r="O3068" s="21"/>
      <c r="P3068" s="22"/>
      <c r="Q3068" s="21"/>
      <c r="R3068" s="21"/>
      <c r="S3068" s="21"/>
      <c r="T3068" s="21"/>
      <c r="U3068" s="21"/>
      <c r="V3068" s="22"/>
      <c r="W3068" s="21"/>
      <c r="X3068" s="22"/>
      <c r="Y3068" s="21"/>
      <c r="Z3068" s="21"/>
      <c r="AA3068" s="21"/>
      <c r="AB3068" s="21"/>
      <c r="AC3068" s="26"/>
      <c r="AD3068" s="26"/>
      <c r="AE3068" s="65"/>
    </row>
    <row r="3069" spans="1:31" ht="13.5" customHeight="1" x14ac:dyDescent="0.35">
      <c r="A3069" s="49"/>
      <c r="B3069" s="49"/>
      <c r="C3069" s="14"/>
      <c r="D3069" s="1"/>
      <c r="E3069" s="153"/>
      <c r="F3069" s="10"/>
      <c r="G3069" s="21"/>
      <c r="H3069" s="21"/>
      <c r="I3069" s="21"/>
      <c r="J3069" s="21"/>
      <c r="K3069" s="21"/>
      <c r="L3069" s="21"/>
      <c r="M3069" s="21"/>
      <c r="N3069" s="22"/>
      <c r="O3069" s="21"/>
      <c r="P3069" s="22"/>
      <c r="Q3069" s="21"/>
      <c r="R3069" s="21"/>
      <c r="S3069" s="21"/>
      <c r="T3069" s="21"/>
      <c r="U3069" s="21"/>
      <c r="V3069" s="22"/>
      <c r="W3069" s="21"/>
      <c r="X3069" s="22"/>
      <c r="Y3069" s="21"/>
      <c r="Z3069" s="21"/>
      <c r="AA3069" s="21"/>
      <c r="AB3069" s="21"/>
      <c r="AC3069" s="26"/>
      <c r="AD3069" s="26"/>
      <c r="AE3069" s="62"/>
    </row>
    <row r="3070" spans="1:31" x14ac:dyDescent="0.3">
      <c r="A3070" s="63"/>
      <c r="B3070" s="63"/>
      <c r="C3070" s="39"/>
      <c r="D3070" s="6"/>
      <c r="E3070" s="153"/>
      <c r="F3070" s="10"/>
      <c r="G3070" s="64"/>
      <c r="H3070" s="3"/>
      <c r="I3070" s="2"/>
      <c r="J3070" s="2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</row>
    <row r="3071" spans="1:31" x14ac:dyDescent="0.3">
      <c r="A3071" s="6"/>
      <c r="B3071" s="6"/>
      <c r="C3071" s="39"/>
      <c r="D3071" s="6"/>
      <c r="E3071" s="153"/>
      <c r="F3071" s="10"/>
      <c r="G3071" s="2"/>
      <c r="H3071" s="3"/>
      <c r="I3071" s="2"/>
      <c r="J3071" s="2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</row>
    <row r="3072" spans="1:31" x14ac:dyDescent="0.3">
      <c r="A3072" s="6"/>
      <c r="B3072" s="6"/>
      <c r="C3072" s="39"/>
      <c r="D3072" s="6"/>
      <c r="E3072" s="153"/>
      <c r="F3072" s="10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</row>
    <row r="3073" spans="1:31" x14ac:dyDescent="0.3">
      <c r="A3073" s="6"/>
      <c r="B3073" s="6"/>
      <c r="C3073" s="39"/>
      <c r="D3073" s="6"/>
      <c r="E3073" s="153"/>
      <c r="F3073" s="10"/>
      <c r="G3073" s="2"/>
      <c r="H3073" s="3"/>
      <c r="I3073" s="2"/>
      <c r="J3073" s="2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</row>
    <row r="3074" spans="1:31" x14ac:dyDescent="0.3">
      <c r="A3074" s="6"/>
      <c r="B3074" s="6"/>
      <c r="C3074" s="39"/>
      <c r="D3074" s="6"/>
      <c r="E3074" s="153"/>
      <c r="F3074" s="10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21"/>
      <c r="R3074" s="21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</row>
    <row r="3075" spans="1:31" x14ac:dyDescent="0.3">
      <c r="A3075" s="63"/>
      <c r="B3075" s="63"/>
      <c r="C3075" s="39"/>
      <c r="D3075" s="6"/>
      <c r="E3075" s="153"/>
      <c r="F3075" s="10"/>
      <c r="G3075" s="64"/>
      <c r="H3075" s="3"/>
      <c r="I3075" s="2"/>
      <c r="J3075" s="2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</row>
    <row r="3076" spans="1:31" ht="13.5" customHeight="1" x14ac:dyDescent="0.35">
      <c r="A3076" s="6"/>
      <c r="B3076" s="6"/>
      <c r="C3076" s="39"/>
      <c r="D3076" s="6"/>
      <c r="E3076" s="153"/>
      <c r="F3076" s="10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21"/>
      <c r="R3076" s="21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65"/>
    </row>
    <row r="3077" spans="1:31" ht="13.5" customHeight="1" x14ac:dyDescent="0.35">
      <c r="A3077" s="49"/>
      <c r="B3077" s="49"/>
      <c r="C3077" s="14"/>
      <c r="D3077" s="1"/>
      <c r="E3077" s="153"/>
      <c r="F3077" s="10"/>
      <c r="G3077" s="21"/>
      <c r="H3077" s="21"/>
      <c r="I3077" s="21"/>
      <c r="J3077" s="21"/>
      <c r="K3077" s="21"/>
      <c r="L3077" s="21"/>
      <c r="M3077" s="21"/>
      <c r="N3077" s="22"/>
      <c r="O3077" s="21"/>
      <c r="P3077" s="22"/>
      <c r="Q3077" s="21"/>
      <c r="R3077" s="21"/>
      <c r="S3077" s="21"/>
      <c r="T3077" s="21"/>
      <c r="U3077" s="21"/>
      <c r="V3077" s="22"/>
      <c r="W3077" s="21"/>
      <c r="X3077" s="22"/>
      <c r="Y3077" s="21"/>
      <c r="Z3077" s="21"/>
      <c r="AA3077" s="21"/>
      <c r="AB3077" s="21"/>
      <c r="AC3077" s="26"/>
      <c r="AD3077" s="26"/>
      <c r="AE3077" s="62"/>
    </row>
    <row r="3078" spans="1:31" x14ac:dyDescent="0.3">
      <c r="A3078" s="6"/>
      <c r="B3078" s="6"/>
      <c r="C3078" s="39"/>
      <c r="D3078" s="6"/>
      <c r="E3078" s="153"/>
      <c r="F3078" s="10"/>
      <c r="G3078" s="2"/>
      <c r="H3078" s="3"/>
      <c r="I3078" s="2"/>
      <c r="J3078" s="2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</row>
    <row r="3079" spans="1:31" ht="13.5" customHeight="1" x14ac:dyDescent="0.35">
      <c r="A3079" s="49"/>
      <c r="B3079" s="49"/>
      <c r="C3079" s="14"/>
      <c r="D3079" s="1"/>
      <c r="E3079" s="153"/>
      <c r="F3079" s="10"/>
      <c r="G3079" s="21"/>
      <c r="H3079" s="21"/>
      <c r="I3079" s="21"/>
      <c r="J3079" s="21"/>
      <c r="K3079" s="21"/>
      <c r="L3079" s="21"/>
      <c r="M3079" s="21"/>
      <c r="N3079" s="22"/>
      <c r="O3079" s="21"/>
      <c r="P3079" s="22"/>
      <c r="Q3079" s="21"/>
      <c r="R3079" s="21"/>
      <c r="S3079" s="21"/>
      <c r="T3079" s="21"/>
      <c r="U3079" s="21"/>
      <c r="V3079" s="22"/>
      <c r="W3079" s="21"/>
      <c r="X3079" s="22"/>
      <c r="Y3079" s="21"/>
      <c r="Z3079" s="21"/>
      <c r="AA3079" s="21"/>
      <c r="AB3079" s="21"/>
      <c r="AC3079" s="26"/>
      <c r="AD3079" s="26"/>
      <c r="AE3079" s="62"/>
    </row>
    <row r="3080" spans="1:31" ht="13.5" customHeight="1" x14ac:dyDescent="0.35">
      <c r="A3080" s="49"/>
      <c r="B3080" s="49"/>
      <c r="C3080" s="14"/>
      <c r="D3080" s="1"/>
      <c r="E3080" s="153"/>
      <c r="F3080" s="10"/>
      <c r="G3080" s="21"/>
      <c r="H3080" s="21"/>
      <c r="I3080" s="21"/>
      <c r="J3080" s="21"/>
      <c r="K3080" s="21"/>
      <c r="L3080" s="21"/>
      <c r="M3080" s="21"/>
      <c r="N3080" s="22"/>
      <c r="O3080" s="21"/>
      <c r="P3080" s="22"/>
      <c r="Q3080" s="21"/>
      <c r="R3080" s="21"/>
      <c r="S3080" s="21"/>
      <c r="T3080" s="21"/>
      <c r="U3080" s="21"/>
      <c r="V3080" s="22"/>
      <c r="W3080" s="21"/>
      <c r="X3080" s="22"/>
      <c r="Y3080" s="21"/>
      <c r="Z3080" s="21"/>
      <c r="AA3080" s="21"/>
      <c r="AB3080" s="21"/>
      <c r="AC3080" s="26"/>
      <c r="AD3080" s="26"/>
      <c r="AE3080" s="62"/>
    </row>
    <row r="3081" spans="1:31" ht="13.5" customHeight="1" x14ac:dyDescent="0.35">
      <c r="A3081" s="49"/>
      <c r="B3081" s="49"/>
      <c r="C3081" s="14"/>
      <c r="D3081" s="1"/>
      <c r="E3081" s="153"/>
      <c r="F3081" s="10"/>
      <c r="G3081" s="21"/>
      <c r="H3081" s="21"/>
      <c r="I3081" s="21"/>
      <c r="J3081" s="21"/>
      <c r="K3081" s="21"/>
      <c r="L3081" s="21"/>
      <c r="M3081" s="21"/>
      <c r="N3081" s="22"/>
      <c r="O3081" s="21"/>
      <c r="P3081" s="22"/>
      <c r="Q3081" s="21"/>
      <c r="R3081" s="21"/>
      <c r="S3081" s="21"/>
      <c r="T3081" s="21"/>
      <c r="U3081" s="21"/>
      <c r="V3081" s="22"/>
      <c r="W3081" s="21"/>
      <c r="X3081" s="22"/>
      <c r="Y3081" s="21"/>
      <c r="Z3081" s="21"/>
      <c r="AA3081" s="21"/>
      <c r="AB3081" s="21"/>
      <c r="AC3081" s="26"/>
      <c r="AD3081" s="26"/>
      <c r="AE3081" s="62"/>
    </row>
    <row r="3082" spans="1:31" x14ac:dyDescent="0.3">
      <c r="A3082" s="6"/>
      <c r="B3082" s="6"/>
      <c r="C3082" s="39"/>
      <c r="D3082" s="6"/>
      <c r="E3082" s="153"/>
      <c r="F3082" s="10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21"/>
      <c r="R3082" s="21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</row>
    <row r="3083" spans="1:31" ht="13.5" customHeight="1" x14ac:dyDescent="0.35">
      <c r="A3083" s="49"/>
      <c r="B3083" s="49"/>
      <c r="C3083" s="14"/>
      <c r="D3083" s="1"/>
      <c r="E3083" s="153"/>
      <c r="F3083" s="10"/>
      <c r="G3083" s="21"/>
      <c r="H3083" s="21"/>
      <c r="I3083" s="21"/>
      <c r="J3083" s="21"/>
      <c r="K3083" s="21"/>
      <c r="L3083" s="21"/>
      <c r="M3083" s="21"/>
      <c r="N3083" s="22"/>
      <c r="O3083" s="21"/>
      <c r="P3083" s="22"/>
      <c r="Q3083" s="21"/>
      <c r="R3083" s="21"/>
      <c r="S3083" s="21"/>
      <c r="T3083" s="21"/>
      <c r="U3083" s="21"/>
      <c r="V3083" s="22"/>
      <c r="W3083" s="21"/>
      <c r="X3083" s="22"/>
      <c r="Y3083" s="21"/>
      <c r="Z3083" s="21"/>
      <c r="AA3083" s="21"/>
      <c r="AB3083" s="21"/>
      <c r="AC3083" s="26"/>
      <c r="AD3083" s="26"/>
      <c r="AE3083" s="65"/>
    </row>
    <row r="3084" spans="1:31" ht="13.5" customHeight="1" x14ac:dyDescent="0.35">
      <c r="A3084" s="49"/>
      <c r="B3084" s="49"/>
      <c r="C3084" s="39"/>
      <c r="D3084" s="1"/>
      <c r="E3084" s="153"/>
      <c r="F3084" s="10"/>
      <c r="G3084" s="21"/>
      <c r="H3084" s="21"/>
      <c r="I3084" s="21"/>
      <c r="J3084" s="21"/>
      <c r="K3084" s="21"/>
      <c r="L3084" s="21"/>
      <c r="M3084" s="21"/>
      <c r="N3084" s="22"/>
      <c r="O3084" s="21"/>
      <c r="P3084" s="22"/>
      <c r="Q3084" s="21"/>
      <c r="R3084" s="21"/>
      <c r="S3084" s="21"/>
      <c r="T3084" s="21"/>
      <c r="U3084" s="21"/>
      <c r="V3084" s="22"/>
      <c r="W3084" s="21"/>
      <c r="X3084" s="22"/>
      <c r="Y3084" s="21"/>
      <c r="Z3084" s="21"/>
      <c r="AA3084" s="21"/>
      <c r="AB3084" s="21"/>
      <c r="AC3084" s="26"/>
      <c r="AD3084" s="26"/>
      <c r="AE3084" s="62"/>
    </row>
    <row r="3085" spans="1:31" x14ac:dyDescent="0.3">
      <c r="A3085" s="6"/>
      <c r="B3085" s="6"/>
      <c r="C3085" s="39"/>
      <c r="D3085" s="6"/>
      <c r="E3085" s="153"/>
      <c r="F3085" s="10"/>
      <c r="G3085" s="2"/>
      <c r="H3085" s="3"/>
      <c r="I3085" s="2"/>
      <c r="J3085" s="2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</row>
    <row r="3086" spans="1:31" x14ac:dyDescent="0.3">
      <c r="A3086" s="6"/>
      <c r="B3086" s="6"/>
      <c r="C3086" s="39"/>
      <c r="D3086" s="6"/>
      <c r="E3086" s="153"/>
      <c r="F3086" s="10"/>
      <c r="G3086" s="2"/>
      <c r="H3086" s="3"/>
      <c r="I3086" s="2"/>
      <c r="J3086" s="2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</row>
    <row r="3087" spans="1:31" ht="13.5" customHeight="1" x14ac:dyDescent="0.35">
      <c r="A3087" s="49"/>
      <c r="B3087" s="49"/>
      <c r="C3087" s="14"/>
      <c r="D3087" s="1"/>
      <c r="E3087" s="153"/>
      <c r="F3087" s="10"/>
      <c r="G3087" s="21"/>
      <c r="H3087" s="21"/>
      <c r="I3087" s="21"/>
      <c r="J3087" s="21"/>
      <c r="K3087" s="21"/>
      <c r="L3087" s="21"/>
      <c r="M3087" s="21"/>
      <c r="N3087" s="22"/>
      <c r="O3087" s="21"/>
      <c r="P3087" s="22"/>
      <c r="Q3087" s="21"/>
      <c r="R3087" s="21"/>
      <c r="S3087" s="21"/>
      <c r="T3087" s="21"/>
      <c r="U3087" s="21"/>
      <c r="V3087" s="22"/>
      <c r="W3087" s="21"/>
      <c r="X3087" s="22"/>
      <c r="Y3087" s="21"/>
      <c r="Z3087" s="21"/>
      <c r="AA3087" s="21"/>
      <c r="AB3087" s="21"/>
      <c r="AC3087" s="26"/>
      <c r="AD3087" s="26"/>
      <c r="AE3087" s="65"/>
    </row>
    <row r="3088" spans="1:31" ht="15" x14ac:dyDescent="0.35">
      <c r="A3088" s="63"/>
      <c r="B3088" s="63"/>
      <c r="C3088" s="39"/>
      <c r="D3088" s="6"/>
      <c r="E3088" s="153"/>
      <c r="F3088" s="10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21"/>
      <c r="R3088" s="21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65"/>
    </row>
    <row r="3089" spans="1:31" x14ac:dyDescent="0.3">
      <c r="A3089" s="6"/>
      <c r="B3089" s="6"/>
      <c r="C3089" s="39"/>
      <c r="D3089" s="6"/>
      <c r="E3089" s="153"/>
      <c r="F3089" s="10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21"/>
      <c r="R3089" s="21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</row>
    <row r="3090" spans="1:31" x14ac:dyDescent="0.3">
      <c r="A3090" s="6"/>
      <c r="B3090" s="6"/>
      <c r="C3090" s="39"/>
      <c r="D3090" s="6"/>
      <c r="E3090" s="153"/>
      <c r="F3090" s="10"/>
      <c r="G3090" s="2"/>
      <c r="H3090" s="3"/>
      <c r="I3090" s="2"/>
      <c r="J3090" s="2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</row>
    <row r="3091" spans="1:31" ht="13.5" customHeight="1" x14ac:dyDescent="0.35">
      <c r="A3091" s="49"/>
      <c r="B3091" s="49"/>
      <c r="C3091" s="14"/>
      <c r="D3091" s="1"/>
      <c r="E3091" s="153"/>
      <c r="F3091" s="10"/>
      <c r="G3091" s="21"/>
      <c r="H3091" s="21"/>
      <c r="I3091" s="21"/>
      <c r="J3091" s="21"/>
      <c r="K3091" s="21"/>
      <c r="L3091" s="21"/>
      <c r="M3091" s="21"/>
      <c r="N3091" s="22"/>
      <c r="O3091" s="21"/>
      <c r="P3091" s="22"/>
      <c r="Q3091" s="21"/>
      <c r="R3091" s="21"/>
      <c r="S3091" s="21"/>
      <c r="T3091" s="21"/>
      <c r="U3091" s="21"/>
      <c r="V3091" s="22"/>
      <c r="W3091" s="21"/>
      <c r="X3091" s="22"/>
      <c r="Y3091" s="21"/>
      <c r="Z3091" s="21"/>
      <c r="AA3091" s="21"/>
      <c r="AB3091" s="21"/>
      <c r="AC3091" s="26"/>
      <c r="AD3091" s="26"/>
      <c r="AE3091" s="65"/>
    </row>
    <row r="3092" spans="1:31" x14ac:dyDescent="0.3">
      <c r="A3092" s="63"/>
      <c r="B3092" s="63"/>
      <c r="C3092" s="39"/>
      <c r="D3092" s="6"/>
      <c r="E3092" s="153"/>
      <c r="F3092" s="10"/>
      <c r="G3092" s="64"/>
      <c r="H3092" s="3"/>
      <c r="I3092" s="2"/>
      <c r="J3092" s="2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</row>
    <row r="3093" spans="1:31" ht="13.5" customHeight="1" x14ac:dyDescent="0.35">
      <c r="A3093" s="49"/>
      <c r="B3093" s="49"/>
      <c r="C3093" s="39"/>
      <c r="D3093" s="1"/>
      <c r="E3093" s="153"/>
      <c r="F3093" s="10"/>
      <c r="G3093" s="21"/>
      <c r="H3093" s="21"/>
      <c r="I3093" s="21"/>
      <c r="J3093" s="21"/>
      <c r="K3093" s="21"/>
      <c r="L3093" s="21"/>
      <c r="M3093" s="21"/>
      <c r="N3093" s="22"/>
      <c r="O3093" s="21"/>
      <c r="P3093" s="22"/>
      <c r="Q3093" s="21"/>
      <c r="R3093" s="21"/>
      <c r="S3093" s="21"/>
      <c r="T3093" s="21"/>
      <c r="U3093" s="21"/>
      <c r="V3093" s="22"/>
      <c r="W3093" s="21"/>
      <c r="X3093" s="22"/>
      <c r="Y3093" s="21"/>
      <c r="Z3093" s="21"/>
      <c r="AA3093" s="21"/>
      <c r="AB3093" s="21"/>
      <c r="AC3093" s="26"/>
      <c r="AD3093" s="26"/>
      <c r="AE3093" s="62"/>
    </row>
    <row r="3094" spans="1:31" ht="13.5" customHeight="1" x14ac:dyDescent="0.35">
      <c r="A3094" s="49"/>
      <c r="B3094" s="49"/>
      <c r="C3094" s="14"/>
      <c r="D3094" s="1"/>
      <c r="E3094" s="153"/>
      <c r="F3094" s="10"/>
      <c r="G3094" s="21"/>
      <c r="H3094" s="21"/>
      <c r="I3094" s="21"/>
      <c r="J3094" s="21"/>
      <c r="K3094" s="21"/>
      <c r="L3094" s="21"/>
      <c r="M3094" s="21"/>
      <c r="N3094" s="22"/>
      <c r="O3094" s="21"/>
      <c r="P3094" s="22"/>
      <c r="Q3094" s="21"/>
      <c r="R3094" s="21"/>
      <c r="S3094" s="21"/>
      <c r="T3094" s="21"/>
      <c r="U3094" s="21"/>
      <c r="V3094" s="22"/>
      <c r="W3094" s="21"/>
      <c r="X3094" s="22"/>
      <c r="Y3094" s="21"/>
      <c r="Z3094" s="21"/>
      <c r="AA3094" s="21"/>
      <c r="AB3094" s="21"/>
      <c r="AC3094" s="26"/>
      <c r="AD3094" s="26"/>
      <c r="AE3094" s="62"/>
    </row>
    <row r="3095" spans="1:31" x14ac:dyDescent="0.3">
      <c r="A3095" s="63"/>
      <c r="B3095" s="63"/>
      <c r="C3095" s="39"/>
      <c r="D3095" s="6"/>
      <c r="E3095" s="153"/>
      <c r="F3095" s="10"/>
      <c r="G3095" s="64"/>
      <c r="H3095" s="3"/>
      <c r="I3095" s="2"/>
      <c r="J3095" s="2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</row>
    <row r="3096" spans="1:31" x14ac:dyDescent="0.3">
      <c r="A3096" s="6"/>
      <c r="B3096" s="6"/>
      <c r="C3096" s="39"/>
      <c r="D3096" s="6"/>
      <c r="E3096" s="153"/>
      <c r="F3096" s="10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21"/>
      <c r="R3096" s="21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</row>
    <row r="3097" spans="1:31" x14ac:dyDescent="0.3">
      <c r="A3097" s="6"/>
      <c r="B3097" s="6"/>
      <c r="C3097" s="39"/>
      <c r="D3097" s="6"/>
      <c r="E3097" s="153"/>
      <c r="F3097" s="10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21"/>
      <c r="R3097" s="21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</row>
    <row r="3098" spans="1:31" ht="13.5" customHeight="1" x14ac:dyDescent="0.35">
      <c r="A3098" s="49"/>
      <c r="B3098" s="49"/>
      <c r="C3098" s="14"/>
      <c r="D3098" s="1"/>
      <c r="E3098" s="153"/>
      <c r="F3098" s="10"/>
      <c r="G3098" s="21"/>
      <c r="H3098" s="21"/>
      <c r="I3098" s="21"/>
      <c r="J3098" s="21"/>
      <c r="K3098" s="21"/>
      <c r="L3098" s="21"/>
      <c r="M3098" s="21"/>
      <c r="N3098" s="22"/>
      <c r="O3098" s="21"/>
      <c r="P3098" s="22"/>
      <c r="Q3098" s="21"/>
      <c r="R3098" s="21"/>
      <c r="S3098" s="21"/>
      <c r="T3098" s="21"/>
      <c r="U3098" s="21"/>
      <c r="V3098" s="22"/>
      <c r="W3098" s="21"/>
      <c r="X3098" s="22"/>
      <c r="Y3098" s="21"/>
      <c r="Z3098" s="21"/>
      <c r="AA3098" s="21"/>
      <c r="AB3098" s="21"/>
      <c r="AC3098" s="26"/>
      <c r="AD3098" s="26"/>
      <c r="AE3098" s="62"/>
    </row>
    <row r="3099" spans="1:31" ht="13.5" customHeight="1" x14ac:dyDescent="0.35">
      <c r="A3099" s="49"/>
      <c r="B3099" s="49"/>
      <c r="C3099" s="39"/>
      <c r="D3099" s="1"/>
      <c r="E3099" s="153"/>
      <c r="F3099" s="10"/>
      <c r="G3099" s="21"/>
      <c r="H3099" s="21"/>
      <c r="I3099" s="21"/>
      <c r="J3099" s="21"/>
      <c r="K3099" s="21"/>
      <c r="L3099" s="21"/>
      <c r="M3099" s="21"/>
      <c r="N3099" s="22"/>
      <c r="O3099" s="21"/>
      <c r="P3099" s="22"/>
      <c r="Q3099" s="21"/>
      <c r="R3099" s="21"/>
      <c r="S3099" s="21"/>
      <c r="T3099" s="21"/>
      <c r="U3099" s="21"/>
      <c r="V3099" s="22"/>
      <c r="W3099" s="21"/>
      <c r="X3099" s="22"/>
      <c r="Y3099" s="21"/>
      <c r="Z3099" s="21"/>
      <c r="AA3099" s="21"/>
      <c r="AB3099" s="21"/>
      <c r="AC3099" s="26"/>
      <c r="AD3099" s="26"/>
      <c r="AE3099" s="62"/>
    </row>
    <row r="3100" spans="1:31" x14ac:dyDescent="0.3">
      <c r="A3100" s="6"/>
      <c r="B3100" s="6"/>
      <c r="C3100" s="39"/>
      <c r="D3100" s="6"/>
      <c r="E3100" s="153"/>
      <c r="F3100" s="10"/>
      <c r="G3100" s="2"/>
      <c r="H3100" s="3"/>
      <c r="I3100" s="2"/>
      <c r="J3100" s="2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</row>
    <row r="3101" spans="1:31" ht="13.5" customHeight="1" x14ac:dyDescent="0.35">
      <c r="A3101" s="49"/>
      <c r="B3101" s="49"/>
      <c r="C3101" s="39"/>
      <c r="D3101" s="1"/>
      <c r="E3101" s="153"/>
      <c r="F3101" s="10"/>
      <c r="G3101" s="21"/>
      <c r="H3101" s="21"/>
      <c r="I3101" s="21"/>
      <c r="J3101" s="21"/>
      <c r="K3101" s="21"/>
      <c r="L3101" s="21"/>
      <c r="M3101" s="21"/>
      <c r="N3101" s="22"/>
      <c r="O3101" s="21"/>
      <c r="P3101" s="22"/>
      <c r="Q3101" s="21"/>
      <c r="R3101" s="21"/>
      <c r="S3101" s="21"/>
      <c r="T3101" s="21"/>
      <c r="U3101" s="21"/>
      <c r="V3101" s="22"/>
      <c r="W3101" s="21"/>
      <c r="X3101" s="22"/>
      <c r="Y3101" s="21"/>
      <c r="Z3101" s="21"/>
      <c r="AA3101" s="21"/>
      <c r="AB3101" s="21"/>
      <c r="AC3101" s="26"/>
      <c r="AD3101" s="26"/>
      <c r="AE3101" s="62"/>
    </row>
    <row r="3102" spans="1:31" ht="13.5" customHeight="1" x14ac:dyDescent="0.3">
      <c r="A3102" s="49"/>
      <c r="B3102" s="49"/>
      <c r="C3102" s="14"/>
      <c r="D3102" s="6"/>
      <c r="E3102" s="153"/>
      <c r="F3102" s="10"/>
      <c r="G3102" s="21"/>
      <c r="H3102" s="21"/>
      <c r="I3102" s="21"/>
      <c r="J3102" s="21"/>
      <c r="K3102" s="21"/>
      <c r="L3102" s="21"/>
      <c r="M3102" s="21"/>
      <c r="N3102" s="22"/>
      <c r="O3102" s="21"/>
      <c r="P3102" s="22"/>
      <c r="Q3102" s="21"/>
      <c r="R3102" s="21"/>
      <c r="S3102" s="21"/>
      <c r="T3102" s="21"/>
      <c r="U3102" s="21"/>
      <c r="V3102" s="22"/>
      <c r="W3102" s="21"/>
      <c r="X3102" s="22"/>
      <c r="Y3102" s="21"/>
      <c r="Z3102" s="21"/>
      <c r="AA3102" s="21"/>
      <c r="AB3102" s="21"/>
      <c r="AC3102" s="26"/>
      <c r="AD3102" s="26"/>
      <c r="AE3102" s="62"/>
    </row>
    <row r="3103" spans="1:31" ht="13.5" customHeight="1" x14ac:dyDescent="0.35">
      <c r="A3103" s="49"/>
      <c r="B3103" s="49"/>
      <c r="C3103" s="39"/>
      <c r="D3103" s="1"/>
      <c r="E3103" s="153"/>
      <c r="F3103" s="10"/>
      <c r="G3103" s="21"/>
      <c r="H3103" s="21"/>
      <c r="I3103" s="21"/>
      <c r="J3103" s="21"/>
      <c r="K3103" s="21"/>
      <c r="L3103" s="21"/>
      <c r="M3103" s="21"/>
      <c r="N3103" s="22"/>
      <c r="O3103" s="21"/>
      <c r="P3103" s="22"/>
      <c r="Q3103" s="21"/>
      <c r="R3103" s="21"/>
      <c r="S3103" s="21"/>
      <c r="T3103" s="21"/>
      <c r="U3103" s="21"/>
      <c r="V3103" s="22"/>
      <c r="W3103" s="21"/>
      <c r="X3103" s="22"/>
      <c r="Y3103" s="21"/>
      <c r="Z3103" s="21"/>
      <c r="AA3103" s="21"/>
      <c r="AB3103" s="21"/>
      <c r="AC3103" s="26"/>
      <c r="AD3103" s="26"/>
      <c r="AE3103" s="62"/>
    </row>
    <row r="3104" spans="1:31" ht="13.5" customHeight="1" x14ac:dyDescent="0.35">
      <c r="A3104" s="49"/>
      <c r="B3104" s="49"/>
      <c r="C3104" s="14"/>
      <c r="D3104" s="1"/>
      <c r="E3104" s="153"/>
      <c r="F3104" s="10"/>
      <c r="G3104" s="21"/>
      <c r="H3104" s="21"/>
      <c r="I3104" s="21"/>
      <c r="J3104" s="21"/>
      <c r="K3104" s="21"/>
      <c r="L3104" s="21"/>
      <c r="M3104" s="21"/>
      <c r="N3104" s="22"/>
      <c r="O3104" s="21"/>
      <c r="P3104" s="22"/>
      <c r="Q3104" s="21"/>
      <c r="R3104" s="21"/>
      <c r="S3104" s="21"/>
      <c r="T3104" s="21"/>
      <c r="U3104" s="21"/>
      <c r="V3104" s="22"/>
      <c r="W3104" s="21"/>
      <c r="X3104" s="22"/>
      <c r="Y3104" s="21"/>
      <c r="Z3104" s="21"/>
      <c r="AA3104" s="21"/>
      <c r="AB3104" s="21"/>
      <c r="AC3104" s="26"/>
      <c r="AD3104" s="26"/>
      <c r="AE3104" s="62"/>
    </row>
    <row r="3105" spans="1:31" x14ac:dyDescent="0.3">
      <c r="A3105" s="63"/>
      <c r="B3105" s="63"/>
      <c r="C3105" s="39"/>
      <c r="D3105" s="6"/>
      <c r="E3105" s="153"/>
      <c r="F3105" s="10"/>
      <c r="G3105" s="64"/>
      <c r="H3105" s="3"/>
      <c r="I3105" s="2"/>
      <c r="J3105" s="2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</row>
    <row r="3106" spans="1:31" ht="13.5" customHeight="1" x14ac:dyDescent="0.35">
      <c r="A3106" s="49"/>
      <c r="B3106" s="49"/>
      <c r="C3106" s="14"/>
      <c r="D3106" s="1"/>
      <c r="E3106" s="153"/>
      <c r="F3106" s="10"/>
      <c r="G3106" s="21"/>
      <c r="H3106" s="21"/>
      <c r="I3106" s="21"/>
      <c r="J3106" s="21"/>
      <c r="K3106" s="21"/>
      <c r="L3106" s="21"/>
      <c r="M3106" s="21"/>
      <c r="N3106" s="22"/>
      <c r="O3106" s="21"/>
      <c r="P3106" s="22"/>
      <c r="Q3106" s="21"/>
      <c r="R3106" s="21"/>
      <c r="S3106" s="21"/>
      <c r="T3106" s="21"/>
      <c r="U3106" s="21"/>
      <c r="V3106" s="22"/>
      <c r="W3106" s="21"/>
      <c r="X3106" s="22"/>
      <c r="Y3106" s="21"/>
      <c r="Z3106" s="21"/>
      <c r="AA3106" s="21"/>
      <c r="AB3106" s="21"/>
      <c r="AC3106" s="26"/>
      <c r="AD3106" s="26"/>
      <c r="AE3106" s="62"/>
    </row>
    <row r="3107" spans="1:31" ht="13.5" customHeight="1" x14ac:dyDescent="0.35">
      <c r="A3107" s="49"/>
      <c r="B3107" s="49"/>
      <c r="C3107" s="39"/>
      <c r="D3107" s="1"/>
      <c r="E3107" s="153"/>
      <c r="F3107" s="10"/>
      <c r="G3107" s="21"/>
      <c r="H3107" s="21"/>
      <c r="I3107" s="21"/>
      <c r="J3107" s="21"/>
      <c r="K3107" s="21"/>
      <c r="L3107" s="21"/>
      <c r="M3107" s="21"/>
      <c r="N3107" s="22"/>
      <c r="O3107" s="21"/>
      <c r="P3107" s="22"/>
      <c r="Q3107" s="21"/>
      <c r="R3107" s="21"/>
      <c r="S3107" s="21"/>
      <c r="T3107" s="21"/>
      <c r="U3107" s="21"/>
      <c r="V3107" s="22"/>
      <c r="W3107" s="21"/>
      <c r="X3107" s="22"/>
      <c r="Y3107" s="21"/>
      <c r="Z3107" s="21"/>
      <c r="AA3107" s="21"/>
      <c r="AB3107" s="21"/>
      <c r="AC3107" s="26"/>
      <c r="AD3107" s="26"/>
      <c r="AE3107" s="62"/>
    </row>
    <row r="3108" spans="1:31" x14ac:dyDescent="0.3">
      <c r="A3108" s="6"/>
      <c r="B3108" s="6"/>
      <c r="C3108" s="39"/>
      <c r="D3108" s="6"/>
      <c r="E3108" s="153"/>
      <c r="F3108" s="10"/>
      <c r="G3108" s="2"/>
      <c r="H3108" s="3"/>
      <c r="I3108" s="2"/>
      <c r="J3108" s="2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</row>
    <row r="3109" spans="1:31" ht="13.5" customHeight="1" x14ac:dyDescent="0.3">
      <c r="A3109" s="49"/>
      <c r="B3109" s="49"/>
      <c r="C3109" s="14"/>
      <c r="D3109" s="6"/>
      <c r="E3109" s="153"/>
      <c r="F3109" s="10"/>
      <c r="G3109" s="21"/>
      <c r="H3109" s="21"/>
      <c r="I3109" s="21"/>
      <c r="J3109" s="21"/>
      <c r="K3109" s="21"/>
      <c r="L3109" s="21"/>
      <c r="M3109" s="21"/>
      <c r="N3109" s="22"/>
      <c r="O3109" s="21"/>
      <c r="P3109" s="22"/>
      <c r="Q3109" s="21"/>
      <c r="R3109" s="21"/>
      <c r="S3109" s="21"/>
      <c r="T3109" s="21"/>
      <c r="U3109" s="21"/>
      <c r="V3109" s="22"/>
      <c r="W3109" s="21"/>
      <c r="X3109" s="22"/>
      <c r="Y3109" s="21"/>
      <c r="Z3109" s="21"/>
      <c r="AA3109" s="21"/>
      <c r="AB3109" s="21"/>
      <c r="AC3109" s="26"/>
      <c r="AD3109" s="26"/>
      <c r="AE3109" s="62"/>
    </row>
    <row r="3110" spans="1:31" ht="13.5" customHeight="1" x14ac:dyDescent="0.35">
      <c r="A3110" s="49"/>
      <c r="B3110" s="49"/>
      <c r="C3110" s="14"/>
      <c r="D3110" s="1"/>
      <c r="E3110" s="153"/>
      <c r="F3110" s="10"/>
      <c r="G3110" s="21"/>
      <c r="H3110" s="21"/>
      <c r="I3110" s="21"/>
      <c r="J3110" s="21"/>
      <c r="K3110" s="21"/>
      <c r="L3110" s="21"/>
      <c r="M3110" s="21"/>
      <c r="N3110" s="22"/>
      <c r="O3110" s="21"/>
      <c r="P3110" s="22"/>
      <c r="Q3110" s="21"/>
      <c r="R3110" s="21"/>
      <c r="S3110" s="21"/>
      <c r="T3110" s="21"/>
      <c r="U3110" s="21"/>
      <c r="V3110" s="22"/>
      <c r="W3110" s="21"/>
      <c r="X3110" s="22"/>
      <c r="Y3110" s="21"/>
      <c r="Z3110" s="21"/>
      <c r="AA3110" s="21"/>
      <c r="AB3110" s="21"/>
      <c r="AC3110" s="26"/>
      <c r="AD3110" s="26"/>
      <c r="AE3110" s="62"/>
    </row>
    <row r="3111" spans="1:31" x14ac:dyDescent="0.3">
      <c r="A3111" s="6"/>
      <c r="B3111" s="6"/>
      <c r="C3111" s="39"/>
      <c r="D3111" s="6"/>
      <c r="E3111" s="153"/>
      <c r="F3111" s="10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21"/>
      <c r="R3111" s="21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</row>
    <row r="3112" spans="1:31" ht="13.5" customHeight="1" x14ac:dyDescent="0.35">
      <c r="A3112" s="6"/>
      <c r="B3112" s="6"/>
      <c r="C3112" s="39"/>
      <c r="D3112" s="6"/>
      <c r="E3112" s="153"/>
      <c r="F3112" s="10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21"/>
      <c r="R3112" s="21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65"/>
    </row>
    <row r="3113" spans="1:31" x14ac:dyDescent="0.3">
      <c r="A3113" s="6"/>
      <c r="B3113" s="6"/>
      <c r="C3113" s="39"/>
      <c r="D3113" s="6"/>
      <c r="E3113" s="153"/>
      <c r="F3113" s="10"/>
      <c r="G3113" s="2"/>
      <c r="H3113" s="3"/>
      <c r="I3113" s="2"/>
      <c r="J3113" s="2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</row>
    <row r="3114" spans="1:31" ht="13.5" customHeight="1" x14ac:dyDescent="0.35">
      <c r="A3114" s="49"/>
      <c r="B3114" s="49"/>
      <c r="C3114" s="14"/>
      <c r="D3114" s="1"/>
      <c r="E3114" s="153"/>
      <c r="F3114" s="10"/>
      <c r="G3114" s="21"/>
      <c r="H3114" s="21"/>
      <c r="I3114" s="21"/>
      <c r="J3114" s="21"/>
      <c r="K3114" s="21"/>
      <c r="L3114" s="21"/>
      <c r="M3114" s="21"/>
      <c r="N3114" s="22"/>
      <c r="O3114" s="21"/>
      <c r="P3114" s="22"/>
      <c r="Q3114" s="21"/>
      <c r="R3114" s="21"/>
      <c r="S3114" s="21"/>
      <c r="T3114" s="21"/>
      <c r="U3114" s="21"/>
      <c r="V3114" s="22"/>
      <c r="W3114" s="21"/>
      <c r="X3114" s="22"/>
      <c r="Y3114" s="21"/>
      <c r="Z3114" s="21"/>
      <c r="AA3114" s="21"/>
      <c r="AB3114" s="21"/>
      <c r="AC3114" s="26"/>
      <c r="AD3114" s="26"/>
      <c r="AE3114" s="62"/>
    </row>
    <row r="3115" spans="1:31" x14ac:dyDescent="0.3">
      <c r="A3115" s="6"/>
      <c r="B3115" s="6"/>
      <c r="C3115" s="39"/>
      <c r="D3115" s="6"/>
      <c r="E3115" s="153"/>
      <c r="F3115" s="10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21"/>
      <c r="R3115" s="21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</row>
    <row r="3116" spans="1:31" ht="15" x14ac:dyDescent="0.35">
      <c r="A3116" s="6"/>
      <c r="B3116" s="6"/>
      <c r="C3116" s="39"/>
      <c r="D3116" s="6"/>
      <c r="E3116" s="153"/>
      <c r="F3116" s="10"/>
      <c r="G3116" s="2"/>
      <c r="H3116" s="3"/>
      <c r="I3116" s="2"/>
      <c r="J3116" s="2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65"/>
    </row>
    <row r="3117" spans="1:31" ht="13.5" customHeight="1" x14ac:dyDescent="0.35">
      <c r="A3117" s="49"/>
      <c r="B3117" s="49"/>
      <c r="C3117" s="14"/>
      <c r="D3117" s="1"/>
      <c r="E3117" s="153"/>
      <c r="F3117" s="10"/>
      <c r="G3117" s="21"/>
      <c r="H3117" s="21"/>
      <c r="I3117" s="21"/>
      <c r="J3117" s="21"/>
      <c r="K3117" s="21"/>
      <c r="L3117" s="21"/>
      <c r="M3117" s="21"/>
      <c r="N3117" s="22"/>
      <c r="O3117" s="21"/>
      <c r="P3117" s="22"/>
      <c r="Q3117" s="21"/>
      <c r="R3117" s="21"/>
      <c r="S3117" s="21"/>
      <c r="T3117" s="21"/>
      <c r="U3117" s="21"/>
      <c r="V3117" s="22"/>
      <c r="W3117" s="21"/>
      <c r="X3117" s="22"/>
      <c r="Y3117" s="21"/>
      <c r="Z3117" s="21"/>
      <c r="AA3117" s="21"/>
      <c r="AB3117" s="21"/>
      <c r="AC3117" s="26"/>
      <c r="AD3117" s="26"/>
      <c r="AE3117" s="62"/>
    </row>
    <row r="3118" spans="1:31" ht="13.5" customHeight="1" x14ac:dyDescent="0.35">
      <c r="A3118" s="49"/>
      <c r="B3118" s="49"/>
      <c r="C3118" s="14"/>
      <c r="D3118" s="1"/>
      <c r="E3118" s="153"/>
      <c r="F3118" s="10"/>
      <c r="G3118" s="21"/>
      <c r="H3118" s="21"/>
      <c r="I3118" s="21"/>
      <c r="J3118" s="21"/>
      <c r="K3118" s="21"/>
      <c r="L3118" s="21"/>
      <c r="M3118" s="21"/>
      <c r="N3118" s="22"/>
      <c r="O3118" s="21"/>
      <c r="P3118" s="22"/>
      <c r="Q3118" s="21"/>
      <c r="R3118" s="21"/>
      <c r="S3118" s="21"/>
      <c r="T3118" s="21"/>
      <c r="U3118" s="21"/>
      <c r="V3118" s="22"/>
      <c r="W3118" s="21"/>
      <c r="X3118" s="22"/>
      <c r="Y3118" s="21"/>
      <c r="Z3118" s="21"/>
      <c r="AA3118" s="21"/>
      <c r="AB3118" s="21"/>
      <c r="AC3118" s="26"/>
      <c r="AD3118" s="26"/>
      <c r="AE3118" s="62"/>
    </row>
    <row r="3119" spans="1:31" ht="13.5" customHeight="1" x14ac:dyDescent="0.35">
      <c r="A3119" s="49"/>
      <c r="B3119" s="49"/>
      <c r="C3119" s="14"/>
      <c r="D3119" s="1"/>
      <c r="E3119" s="153"/>
      <c r="F3119" s="10"/>
      <c r="G3119" s="21"/>
      <c r="H3119" s="21"/>
      <c r="I3119" s="21"/>
      <c r="J3119" s="21"/>
      <c r="K3119" s="21"/>
      <c r="L3119" s="21"/>
      <c r="M3119" s="21"/>
      <c r="N3119" s="22"/>
      <c r="O3119" s="21"/>
      <c r="P3119" s="22"/>
      <c r="Q3119" s="21"/>
      <c r="R3119" s="21"/>
      <c r="S3119" s="21"/>
      <c r="T3119" s="21"/>
      <c r="U3119" s="21"/>
      <c r="V3119" s="22"/>
      <c r="W3119" s="21"/>
      <c r="X3119" s="22"/>
      <c r="Y3119" s="21"/>
      <c r="Z3119" s="21"/>
      <c r="AA3119" s="21"/>
      <c r="AB3119" s="21"/>
      <c r="AC3119" s="26"/>
      <c r="AD3119" s="26"/>
      <c r="AE3119" s="62"/>
    </row>
    <row r="3120" spans="1:31" x14ac:dyDescent="0.3">
      <c r="A3120" s="6"/>
      <c r="B3120" s="6"/>
      <c r="C3120" s="39"/>
      <c r="D3120" s="6"/>
      <c r="E3120" s="153"/>
      <c r="F3120" s="10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21"/>
      <c r="R3120" s="21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</row>
    <row r="3121" spans="1:31" ht="13.5" customHeight="1" x14ac:dyDescent="0.35">
      <c r="A3121" s="49"/>
      <c r="B3121" s="49"/>
      <c r="C3121" s="14"/>
      <c r="D3121" s="1"/>
      <c r="E3121" s="153"/>
      <c r="F3121" s="10"/>
      <c r="G3121" s="21"/>
      <c r="H3121" s="21"/>
      <c r="I3121" s="21"/>
      <c r="J3121" s="21"/>
      <c r="K3121" s="21"/>
      <c r="L3121" s="21"/>
      <c r="M3121" s="23"/>
      <c r="N3121" s="22"/>
      <c r="O3121" s="21"/>
      <c r="P3121" s="22"/>
      <c r="Q3121" s="21"/>
      <c r="R3121" s="21"/>
      <c r="S3121" s="21"/>
      <c r="T3121" s="21"/>
      <c r="U3121" s="21"/>
      <c r="V3121" s="22"/>
      <c r="W3121" s="21"/>
      <c r="X3121" s="22"/>
      <c r="Y3121" s="21"/>
      <c r="Z3121" s="21"/>
      <c r="AA3121" s="21"/>
      <c r="AB3121" s="21"/>
      <c r="AC3121" s="26"/>
      <c r="AD3121" s="26"/>
      <c r="AE3121" s="65"/>
    </row>
    <row r="3122" spans="1:31" x14ac:dyDescent="0.3">
      <c r="A3122" s="6"/>
      <c r="B3122" s="6"/>
      <c r="C3122" s="39"/>
      <c r="D3122" s="6"/>
      <c r="E3122" s="153"/>
      <c r="F3122" s="10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21"/>
      <c r="R3122" s="21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</row>
    <row r="3123" spans="1:31" x14ac:dyDescent="0.3">
      <c r="A3123" s="63"/>
      <c r="B3123" s="63"/>
      <c r="C3123" s="39"/>
      <c r="D3123" s="6"/>
      <c r="E3123" s="153"/>
      <c r="F3123" s="10"/>
      <c r="G3123" s="64"/>
      <c r="H3123" s="3"/>
      <c r="I3123" s="2"/>
      <c r="J3123" s="2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</row>
    <row r="3124" spans="1:31" x14ac:dyDescent="0.3">
      <c r="A3124" s="6"/>
      <c r="B3124" s="6"/>
      <c r="C3124" s="39"/>
      <c r="D3124" s="6"/>
      <c r="E3124" s="153"/>
      <c r="F3124" s="10"/>
      <c r="G3124" s="2"/>
      <c r="H3124" s="3"/>
      <c r="I3124" s="2"/>
      <c r="J3124" s="2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</row>
    <row r="3125" spans="1:31" x14ac:dyDescent="0.3">
      <c r="A3125" s="6"/>
      <c r="B3125" s="6"/>
      <c r="C3125" s="39"/>
      <c r="D3125" s="6"/>
      <c r="E3125" s="153"/>
      <c r="F3125" s="10"/>
      <c r="G3125" s="2"/>
      <c r="H3125" s="3"/>
      <c r="I3125" s="2"/>
      <c r="J3125" s="2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</row>
    <row r="3126" spans="1:31" ht="13.5" customHeight="1" x14ac:dyDescent="0.35">
      <c r="A3126" s="49"/>
      <c r="B3126" s="49"/>
      <c r="C3126" s="14"/>
      <c r="D3126" s="1"/>
      <c r="E3126" s="153"/>
      <c r="F3126" s="10"/>
      <c r="G3126" s="21"/>
      <c r="H3126" s="21"/>
      <c r="I3126" s="21"/>
      <c r="J3126" s="21"/>
      <c r="K3126" s="21"/>
      <c r="L3126" s="21"/>
      <c r="M3126" s="21"/>
      <c r="N3126" s="22"/>
      <c r="O3126" s="21"/>
      <c r="P3126" s="22"/>
      <c r="Q3126" s="21"/>
      <c r="R3126" s="21"/>
      <c r="S3126" s="21"/>
      <c r="T3126" s="21"/>
      <c r="U3126" s="21"/>
      <c r="V3126" s="22"/>
      <c r="W3126" s="21"/>
      <c r="X3126" s="22"/>
      <c r="Y3126" s="21"/>
      <c r="Z3126" s="21"/>
      <c r="AA3126" s="21"/>
      <c r="AB3126" s="21"/>
      <c r="AC3126" s="26"/>
      <c r="AD3126" s="26"/>
      <c r="AE3126" s="65"/>
    </row>
    <row r="3127" spans="1:31" ht="13.5" customHeight="1" x14ac:dyDescent="0.35">
      <c r="A3127" s="49"/>
      <c r="B3127" s="49"/>
      <c r="C3127" s="39"/>
      <c r="D3127" s="1"/>
      <c r="E3127" s="153"/>
      <c r="F3127" s="10"/>
      <c r="G3127" s="21"/>
      <c r="H3127" s="21"/>
      <c r="I3127" s="21"/>
      <c r="J3127" s="21"/>
      <c r="K3127" s="21"/>
      <c r="L3127" s="21"/>
      <c r="M3127" s="21"/>
      <c r="N3127" s="22"/>
      <c r="O3127" s="21"/>
      <c r="P3127" s="22"/>
      <c r="Q3127" s="21"/>
      <c r="R3127" s="21"/>
      <c r="S3127" s="21"/>
      <c r="T3127" s="21"/>
      <c r="U3127" s="21"/>
      <c r="V3127" s="22"/>
      <c r="W3127" s="21"/>
      <c r="X3127" s="22"/>
      <c r="Y3127" s="21"/>
      <c r="Z3127" s="21"/>
      <c r="AA3127" s="21"/>
      <c r="AB3127" s="21"/>
      <c r="AC3127" s="26"/>
      <c r="AD3127" s="26"/>
      <c r="AE3127" s="65"/>
    </row>
    <row r="3128" spans="1:31" x14ac:dyDescent="0.3">
      <c r="A3128" s="63"/>
      <c r="B3128" s="63"/>
      <c r="C3128" s="39"/>
      <c r="D3128" s="6"/>
      <c r="E3128" s="153"/>
      <c r="F3128" s="10"/>
      <c r="G3128" s="64"/>
      <c r="H3128" s="3"/>
      <c r="I3128" s="2"/>
      <c r="J3128" s="2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</row>
    <row r="3129" spans="1:31" ht="13.5" customHeight="1" x14ac:dyDescent="0.35">
      <c r="A3129" s="49"/>
      <c r="B3129" s="49"/>
      <c r="C3129" s="14"/>
      <c r="D3129" s="1"/>
      <c r="E3129" s="153"/>
      <c r="F3129" s="10"/>
      <c r="G3129" s="21"/>
      <c r="H3129" s="21"/>
      <c r="I3129" s="21"/>
      <c r="J3129" s="21"/>
      <c r="K3129" s="21"/>
      <c r="L3129" s="21"/>
      <c r="M3129" s="21"/>
      <c r="N3129" s="22"/>
      <c r="O3129" s="21"/>
      <c r="P3129" s="22"/>
      <c r="Q3129" s="21"/>
      <c r="R3129" s="21"/>
      <c r="S3129" s="21"/>
      <c r="T3129" s="21"/>
      <c r="U3129" s="21"/>
      <c r="V3129" s="22"/>
      <c r="W3129" s="21"/>
      <c r="X3129" s="22"/>
      <c r="Y3129" s="21"/>
      <c r="Z3129" s="21"/>
      <c r="AA3129" s="21"/>
      <c r="AB3129" s="21"/>
      <c r="AC3129" s="26"/>
      <c r="AD3129" s="26"/>
      <c r="AE3129" s="62"/>
    </row>
    <row r="3130" spans="1:31" x14ac:dyDescent="0.3">
      <c r="A3130" s="63"/>
      <c r="B3130" s="63"/>
      <c r="C3130" s="39"/>
      <c r="D3130" s="6"/>
      <c r="E3130" s="153"/>
      <c r="F3130" s="10"/>
      <c r="G3130" s="64"/>
      <c r="H3130" s="3"/>
      <c r="I3130" s="2"/>
      <c r="J3130" s="2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</row>
    <row r="3131" spans="1:31" x14ac:dyDescent="0.3">
      <c r="A3131" s="6"/>
      <c r="B3131" s="6"/>
      <c r="C3131" s="39"/>
      <c r="D3131" s="6"/>
      <c r="E3131" s="153"/>
      <c r="F3131" s="10"/>
      <c r="G3131" s="2"/>
      <c r="H3131" s="3"/>
      <c r="I3131" s="2"/>
      <c r="J3131" s="2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</row>
    <row r="3132" spans="1:31" ht="13.5" customHeight="1" x14ac:dyDescent="0.35">
      <c r="A3132" s="49"/>
      <c r="B3132" s="49"/>
      <c r="C3132" s="14"/>
      <c r="D3132" s="1"/>
      <c r="E3132" s="153"/>
      <c r="F3132" s="10"/>
      <c r="G3132" s="21"/>
      <c r="H3132" s="21"/>
      <c r="I3132" s="21"/>
      <c r="J3132" s="21"/>
      <c r="K3132" s="21"/>
      <c r="L3132" s="21"/>
      <c r="M3132" s="21"/>
      <c r="N3132" s="22"/>
      <c r="O3132" s="21"/>
      <c r="P3132" s="22"/>
      <c r="Q3132" s="21"/>
      <c r="R3132" s="21"/>
      <c r="S3132" s="21"/>
      <c r="T3132" s="21"/>
      <c r="U3132" s="21"/>
      <c r="V3132" s="22"/>
      <c r="W3132" s="21"/>
      <c r="X3132" s="22"/>
      <c r="Y3132" s="21"/>
      <c r="Z3132" s="21"/>
      <c r="AA3132" s="21"/>
      <c r="AB3132" s="21"/>
      <c r="AC3132" s="26"/>
      <c r="AD3132" s="26"/>
      <c r="AE3132" s="62"/>
    </row>
    <row r="3133" spans="1:31" ht="13.5" customHeight="1" x14ac:dyDescent="0.35">
      <c r="A3133" s="49"/>
      <c r="B3133" s="49"/>
      <c r="C3133" s="14"/>
      <c r="D3133" s="1"/>
      <c r="E3133" s="153"/>
      <c r="F3133" s="10"/>
      <c r="G3133" s="21"/>
      <c r="H3133" s="21"/>
      <c r="I3133" s="21"/>
      <c r="J3133" s="21"/>
      <c r="K3133" s="21"/>
      <c r="L3133" s="21"/>
      <c r="M3133" s="21"/>
      <c r="N3133" s="22"/>
      <c r="O3133" s="21"/>
      <c r="P3133" s="22"/>
      <c r="Q3133" s="21"/>
      <c r="R3133" s="21"/>
      <c r="S3133" s="21"/>
      <c r="T3133" s="21"/>
      <c r="U3133" s="21"/>
      <c r="V3133" s="22"/>
      <c r="W3133" s="21"/>
      <c r="X3133" s="22"/>
      <c r="Y3133" s="21"/>
      <c r="Z3133" s="21"/>
      <c r="AA3133" s="21"/>
      <c r="AB3133" s="21"/>
      <c r="AC3133" s="26"/>
      <c r="AD3133" s="26"/>
      <c r="AE3133" s="62"/>
    </row>
    <row r="3134" spans="1:31" ht="13.5" customHeight="1" x14ac:dyDescent="0.35">
      <c r="A3134" s="49"/>
      <c r="B3134" s="49"/>
      <c r="C3134" s="14"/>
      <c r="D3134" s="1"/>
      <c r="E3134" s="153"/>
      <c r="F3134" s="10"/>
      <c r="G3134" s="21"/>
      <c r="H3134" s="21"/>
      <c r="I3134" s="21"/>
      <c r="J3134" s="21"/>
      <c r="K3134" s="21"/>
      <c r="L3134" s="21"/>
      <c r="M3134" s="21"/>
      <c r="N3134" s="22"/>
      <c r="O3134" s="21"/>
      <c r="P3134" s="22"/>
      <c r="Q3134" s="21"/>
      <c r="R3134" s="21"/>
      <c r="S3134" s="21"/>
      <c r="T3134" s="21"/>
      <c r="U3134" s="21"/>
      <c r="V3134" s="22"/>
      <c r="W3134" s="21"/>
      <c r="X3134" s="22"/>
      <c r="Y3134" s="21"/>
      <c r="Z3134" s="21"/>
      <c r="AA3134" s="21"/>
      <c r="AB3134" s="21"/>
      <c r="AC3134" s="26"/>
      <c r="AD3134" s="26"/>
      <c r="AE3134" s="62"/>
    </row>
    <row r="3135" spans="1:31" ht="13.5" customHeight="1" x14ac:dyDescent="0.35">
      <c r="A3135" s="49"/>
      <c r="B3135" s="49"/>
      <c r="C3135" s="14"/>
      <c r="D3135" s="1"/>
      <c r="E3135" s="153"/>
      <c r="F3135" s="10"/>
      <c r="G3135" s="21"/>
      <c r="H3135" s="21"/>
      <c r="I3135" s="21"/>
      <c r="J3135" s="21"/>
      <c r="K3135" s="21"/>
      <c r="L3135" s="21"/>
      <c r="M3135" s="21"/>
      <c r="N3135" s="22"/>
      <c r="O3135" s="21"/>
      <c r="P3135" s="22"/>
      <c r="Q3135" s="21"/>
      <c r="R3135" s="21"/>
      <c r="S3135" s="21"/>
      <c r="T3135" s="21"/>
      <c r="U3135" s="21"/>
      <c r="V3135" s="22"/>
      <c r="W3135" s="21"/>
      <c r="X3135" s="22"/>
      <c r="Y3135" s="21"/>
      <c r="Z3135" s="21"/>
      <c r="AA3135" s="21"/>
      <c r="AB3135" s="21"/>
      <c r="AC3135" s="26"/>
      <c r="AD3135" s="26"/>
      <c r="AE3135" s="62"/>
    </row>
    <row r="3136" spans="1:31" ht="15" x14ac:dyDescent="0.35">
      <c r="A3136" s="6"/>
      <c r="B3136" s="6"/>
      <c r="C3136" s="39"/>
      <c r="D3136" s="6"/>
      <c r="E3136" s="153"/>
      <c r="F3136" s="10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21"/>
      <c r="R3136" s="21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65"/>
    </row>
    <row r="3137" spans="1:31" ht="13.5" customHeight="1" x14ac:dyDescent="0.35">
      <c r="A3137" s="49"/>
      <c r="B3137" s="49"/>
      <c r="C3137" s="39"/>
      <c r="D3137" s="1"/>
      <c r="E3137" s="153"/>
      <c r="F3137" s="10"/>
      <c r="G3137" s="21"/>
      <c r="H3137" s="21"/>
      <c r="I3137" s="21"/>
      <c r="J3137" s="21"/>
      <c r="K3137" s="21"/>
      <c r="L3137" s="21"/>
      <c r="M3137" s="21"/>
      <c r="N3137" s="22"/>
      <c r="O3137" s="21"/>
      <c r="P3137" s="22"/>
      <c r="Q3137" s="21"/>
      <c r="R3137" s="21"/>
      <c r="S3137" s="21"/>
      <c r="T3137" s="21"/>
      <c r="U3137" s="21"/>
      <c r="V3137" s="22"/>
      <c r="W3137" s="21"/>
      <c r="X3137" s="22"/>
      <c r="Y3137" s="21"/>
      <c r="Z3137" s="21"/>
      <c r="AA3137" s="21"/>
      <c r="AB3137" s="21"/>
      <c r="AC3137" s="26"/>
      <c r="AD3137" s="26"/>
      <c r="AE3137" s="62"/>
    </row>
    <row r="3138" spans="1:31" x14ac:dyDescent="0.3">
      <c r="A3138" s="6"/>
      <c r="B3138" s="6"/>
      <c r="C3138" s="39"/>
      <c r="D3138" s="6"/>
      <c r="E3138" s="153"/>
      <c r="F3138" s="10"/>
      <c r="G3138" s="2"/>
      <c r="H3138" s="3"/>
      <c r="I3138" s="2"/>
      <c r="J3138" s="2"/>
      <c r="K3138" s="3"/>
      <c r="L3138" s="3"/>
      <c r="M3138" s="3"/>
      <c r="N3138" s="3"/>
      <c r="O3138" s="3"/>
      <c r="P3138" s="3"/>
      <c r="Q3138" s="21"/>
      <c r="R3138" s="21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</row>
    <row r="3139" spans="1:31" ht="13.5" customHeight="1" x14ac:dyDescent="0.35">
      <c r="A3139" s="49"/>
      <c r="B3139" s="49"/>
      <c r="C3139" s="14"/>
      <c r="D3139" s="1"/>
      <c r="E3139" s="153"/>
      <c r="F3139" s="10"/>
      <c r="G3139" s="21"/>
      <c r="H3139" s="21"/>
      <c r="I3139" s="21"/>
      <c r="J3139" s="21"/>
      <c r="K3139" s="21"/>
      <c r="L3139" s="21"/>
      <c r="M3139" s="21"/>
      <c r="N3139" s="22"/>
      <c r="O3139" s="21"/>
      <c r="P3139" s="22"/>
      <c r="Q3139" s="21"/>
      <c r="R3139" s="21"/>
      <c r="S3139" s="21"/>
      <c r="T3139" s="21"/>
      <c r="U3139" s="21"/>
      <c r="V3139" s="22"/>
      <c r="W3139" s="21"/>
      <c r="X3139" s="22"/>
      <c r="Y3139" s="21"/>
      <c r="Z3139" s="21"/>
      <c r="AA3139" s="21"/>
      <c r="AB3139" s="21"/>
      <c r="AC3139" s="26"/>
      <c r="AD3139" s="26"/>
      <c r="AE3139" s="62"/>
    </row>
    <row r="3140" spans="1:31" ht="13.5" customHeight="1" x14ac:dyDescent="0.35">
      <c r="A3140" s="49"/>
      <c r="B3140" s="49"/>
      <c r="C3140" s="14"/>
      <c r="D3140" s="1"/>
      <c r="E3140" s="153"/>
      <c r="F3140" s="10"/>
      <c r="G3140" s="21"/>
      <c r="H3140" s="21"/>
      <c r="I3140" s="21"/>
      <c r="J3140" s="21"/>
      <c r="K3140" s="21"/>
      <c r="L3140" s="21"/>
      <c r="M3140" s="21"/>
      <c r="N3140" s="22"/>
      <c r="O3140" s="21"/>
      <c r="P3140" s="22"/>
      <c r="Q3140" s="21"/>
      <c r="R3140" s="21"/>
      <c r="S3140" s="21"/>
      <c r="T3140" s="21"/>
      <c r="U3140" s="21"/>
      <c r="V3140" s="22"/>
      <c r="W3140" s="21"/>
      <c r="X3140" s="22"/>
      <c r="Y3140" s="21"/>
      <c r="Z3140" s="21"/>
      <c r="AA3140" s="21"/>
      <c r="AB3140" s="21"/>
      <c r="AC3140" s="26"/>
      <c r="AD3140" s="26"/>
      <c r="AE3140" s="62"/>
    </row>
    <row r="3141" spans="1:31" x14ac:dyDescent="0.3">
      <c r="A3141" s="63"/>
      <c r="B3141" s="63"/>
      <c r="C3141" s="39"/>
      <c r="D3141" s="6"/>
      <c r="E3141" s="153"/>
      <c r="F3141" s="10"/>
      <c r="G3141" s="64"/>
      <c r="H3141" s="3"/>
      <c r="I3141" s="2"/>
      <c r="J3141" s="2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</row>
    <row r="3142" spans="1:31" ht="13.5" customHeight="1" x14ac:dyDescent="0.35">
      <c r="A3142" s="49"/>
      <c r="B3142" s="49"/>
      <c r="C3142" s="39"/>
      <c r="D3142" s="1"/>
      <c r="E3142" s="153"/>
      <c r="F3142" s="10"/>
      <c r="G3142" s="21"/>
      <c r="H3142" s="21"/>
      <c r="I3142" s="21"/>
      <c r="J3142" s="21"/>
      <c r="K3142" s="21"/>
      <c r="L3142" s="21"/>
      <c r="M3142" s="21"/>
      <c r="N3142" s="22"/>
      <c r="O3142" s="21"/>
      <c r="P3142" s="22"/>
      <c r="Q3142" s="21"/>
      <c r="R3142" s="21"/>
      <c r="S3142" s="21"/>
      <c r="T3142" s="21"/>
      <c r="U3142" s="21"/>
      <c r="V3142" s="22"/>
      <c r="W3142" s="21"/>
      <c r="X3142" s="22"/>
      <c r="Y3142" s="21"/>
      <c r="Z3142" s="21"/>
      <c r="AA3142" s="21"/>
      <c r="AB3142" s="21"/>
      <c r="AC3142" s="26"/>
      <c r="AD3142" s="26"/>
      <c r="AE3142" s="62"/>
    </row>
    <row r="3143" spans="1:31" ht="13.5" customHeight="1" x14ac:dyDescent="0.35">
      <c r="A3143" s="49"/>
      <c r="B3143" s="49"/>
      <c r="C3143" s="39"/>
      <c r="D3143" s="1"/>
      <c r="E3143" s="153"/>
      <c r="F3143" s="10"/>
      <c r="G3143" s="21"/>
      <c r="H3143" s="21"/>
      <c r="I3143" s="21"/>
      <c r="J3143" s="21"/>
      <c r="K3143" s="21"/>
      <c r="L3143" s="21"/>
      <c r="M3143" s="21"/>
      <c r="N3143" s="22"/>
      <c r="O3143" s="21"/>
      <c r="P3143" s="22"/>
      <c r="Q3143" s="21"/>
      <c r="R3143" s="21"/>
      <c r="S3143" s="21"/>
      <c r="T3143" s="21"/>
      <c r="U3143" s="21"/>
      <c r="V3143" s="22"/>
      <c r="W3143" s="21"/>
      <c r="X3143" s="22"/>
      <c r="Y3143" s="21"/>
      <c r="Z3143" s="21"/>
      <c r="AA3143" s="21"/>
      <c r="AB3143" s="21"/>
      <c r="AC3143" s="26"/>
      <c r="AD3143" s="26"/>
      <c r="AE3143" s="62"/>
    </row>
    <row r="3144" spans="1:31" ht="13.5" customHeight="1" x14ac:dyDescent="0.35">
      <c r="A3144" s="63"/>
      <c r="B3144" s="63"/>
      <c r="C3144" s="39"/>
      <c r="D3144" s="6"/>
      <c r="E3144" s="153"/>
      <c r="F3144" s="10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21"/>
      <c r="R3144" s="21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65"/>
    </row>
    <row r="3145" spans="1:31" x14ac:dyDescent="0.3">
      <c r="A3145" s="6"/>
      <c r="B3145" s="6"/>
      <c r="C3145" s="39"/>
      <c r="D3145" s="6"/>
      <c r="E3145" s="153"/>
      <c r="F3145" s="10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21"/>
      <c r="R3145" s="21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</row>
    <row r="3146" spans="1:31" x14ac:dyDescent="0.3">
      <c r="A3146" s="63"/>
      <c r="B3146" s="63"/>
      <c r="C3146" s="39"/>
      <c r="D3146" s="6"/>
      <c r="E3146" s="153"/>
      <c r="F3146" s="10"/>
      <c r="G3146" s="64"/>
      <c r="H3146" s="3"/>
      <c r="I3146" s="2"/>
      <c r="J3146" s="2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</row>
    <row r="3147" spans="1:31" ht="13.5" customHeight="1" x14ac:dyDescent="0.35">
      <c r="A3147" s="49"/>
      <c r="B3147" s="49"/>
      <c r="C3147" s="14"/>
      <c r="D3147" s="1"/>
      <c r="E3147" s="153"/>
      <c r="F3147" s="10"/>
      <c r="G3147" s="21"/>
      <c r="H3147" s="21"/>
      <c r="I3147" s="21"/>
      <c r="J3147" s="21"/>
      <c r="K3147" s="21"/>
      <c r="L3147" s="21"/>
      <c r="M3147" s="21"/>
      <c r="N3147" s="22"/>
      <c r="O3147" s="21"/>
      <c r="P3147" s="22"/>
      <c r="Q3147" s="21"/>
      <c r="R3147" s="21"/>
      <c r="S3147" s="21"/>
      <c r="T3147" s="21"/>
      <c r="U3147" s="21"/>
      <c r="V3147" s="22"/>
      <c r="W3147" s="21"/>
      <c r="X3147" s="22"/>
      <c r="Y3147" s="21"/>
      <c r="Z3147" s="21"/>
      <c r="AA3147" s="21"/>
      <c r="AB3147" s="21"/>
      <c r="AC3147" s="26"/>
      <c r="AD3147" s="26"/>
      <c r="AE3147" s="62"/>
    </row>
    <row r="3148" spans="1:31" ht="13.5" customHeight="1" x14ac:dyDescent="0.35">
      <c r="A3148" s="49"/>
      <c r="B3148" s="49"/>
      <c r="C3148" s="14"/>
      <c r="D3148" s="1"/>
      <c r="E3148" s="153"/>
      <c r="F3148" s="10"/>
      <c r="G3148" s="21"/>
      <c r="H3148" s="21"/>
      <c r="I3148" s="21"/>
      <c r="J3148" s="21"/>
      <c r="K3148" s="21"/>
      <c r="L3148" s="21"/>
      <c r="M3148" s="21"/>
      <c r="N3148" s="22"/>
      <c r="O3148" s="21"/>
      <c r="P3148" s="22"/>
      <c r="Q3148" s="21"/>
      <c r="R3148" s="21"/>
      <c r="S3148" s="21"/>
      <c r="T3148" s="21"/>
      <c r="U3148" s="21"/>
      <c r="V3148" s="22"/>
      <c r="W3148" s="21"/>
      <c r="X3148" s="22"/>
      <c r="Y3148" s="21"/>
      <c r="Z3148" s="21"/>
      <c r="AA3148" s="21"/>
      <c r="AB3148" s="21"/>
      <c r="AC3148" s="26"/>
      <c r="AD3148" s="26"/>
      <c r="AE3148" s="62"/>
    </row>
    <row r="3149" spans="1:31" x14ac:dyDescent="0.3">
      <c r="A3149" s="6"/>
      <c r="B3149" s="6"/>
      <c r="C3149" s="39"/>
      <c r="D3149" s="6"/>
      <c r="E3149" s="153"/>
      <c r="F3149" s="10"/>
      <c r="G3149" s="2"/>
      <c r="H3149" s="3"/>
      <c r="I3149" s="2"/>
      <c r="J3149" s="2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</row>
    <row r="3150" spans="1:31" ht="13.5" customHeight="1" x14ac:dyDescent="0.35">
      <c r="A3150" s="49"/>
      <c r="B3150" s="49"/>
      <c r="C3150" s="39"/>
      <c r="D3150" s="1"/>
      <c r="E3150" s="153"/>
      <c r="F3150" s="10"/>
      <c r="G3150" s="21"/>
      <c r="H3150" s="21"/>
      <c r="I3150" s="21"/>
      <c r="J3150" s="21"/>
      <c r="K3150" s="21"/>
      <c r="L3150" s="21"/>
      <c r="M3150" s="21"/>
      <c r="N3150" s="22"/>
      <c r="O3150" s="21"/>
      <c r="P3150" s="22"/>
      <c r="Q3150" s="21"/>
      <c r="R3150" s="21"/>
      <c r="S3150" s="21"/>
      <c r="T3150" s="21"/>
      <c r="U3150" s="21"/>
      <c r="V3150" s="22"/>
      <c r="W3150" s="21"/>
      <c r="X3150" s="22"/>
      <c r="Y3150" s="21"/>
      <c r="Z3150" s="21"/>
      <c r="AA3150" s="21"/>
      <c r="AB3150" s="21"/>
      <c r="AC3150" s="26"/>
      <c r="AD3150" s="26"/>
      <c r="AE3150" s="62"/>
    </row>
    <row r="3151" spans="1:31" ht="13.5" customHeight="1" x14ac:dyDescent="0.35">
      <c r="A3151" s="49"/>
      <c r="B3151" s="49"/>
      <c r="C3151" s="14"/>
      <c r="D3151" s="1"/>
      <c r="E3151" s="153"/>
      <c r="F3151" s="10"/>
      <c r="G3151" s="21"/>
      <c r="H3151" s="21"/>
      <c r="I3151" s="21"/>
      <c r="J3151" s="21"/>
      <c r="K3151" s="21"/>
      <c r="L3151" s="21"/>
      <c r="M3151" s="21"/>
      <c r="N3151" s="22"/>
      <c r="O3151" s="21"/>
      <c r="P3151" s="22"/>
      <c r="Q3151" s="21"/>
      <c r="R3151" s="21"/>
      <c r="S3151" s="21"/>
      <c r="T3151" s="21"/>
      <c r="U3151" s="21"/>
      <c r="V3151" s="22"/>
      <c r="W3151" s="21"/>
      <c r="X3151" s="22"/>
      <c r="Y3151" s="21"/>
      <c r="Z3151" s="21"/>
      <c r="AA3151" s="21"/>
      <c r="AB3151" s="21"/>
      <c r="AC3151" s="26"/>
      <c r="AD3151" s="26"/>
      <c r="AE3151" s="62"/>
    </row>
    <row r="3152" spans="1:31" x14ac:dyDescent="0.3">
      <c r="A3152" s="6"/>
      <c r="B3152" s="6"/>
      <c r="C3152" s="39"/>
      <c r="D3152" s="6"/>
      <c r="E3152" s="153"/>
      <c r="F3152" s="10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21"/>
      <c r="R3152" s="21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</row>
    <row r="3153" spans="1:31" x14ac:dyDescent="0.3">
      <c r="A3153" s="6"/>
      <c r="B3153" s="6"/>
      <c r="C3153" s="39"/>
      <c r="D3153" s="6"/>
      <c r="E3153" s="153"/>
      <c r="F3153" s="10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21"/>
      <c r="R3153" s="21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</row>
    <row r="3154" spans="1:31" ht="13.5" customHeight="1" x14ac:dyDescent="0.35">
      <c r="A3154" s="49"/>
      <c r="B3154" s="49"/>
      <c r="C3154" s="14"/>
      <c r="D3154" s="1"/>
      <c r="E3154" s="153"/>
      <c r="F3154" s="10"/>
      <c r="G3154" s="21"/>
      <c r="H3154" s="21"/>
      <c r="I3154" s="21"/>
      <c r="J3154" s="21"/>
      <c r="K3154" s="21"/>
      <c r="L3154" s="21"/>
      <c r="M3154" s="21"/>
      <c r="N3154" s="22"/>
      <c r="O3154" s="21"/>
      <c r="P3154" s="22"/>
      <c r="Q3154" s="21"/>
      <c r="R3154" s="21"/>
      <c r="S3154" s="21"/>
      <c r="T3154" s="21"/>
      <c r="U3154" s="21"/>
      <c r="V3154" s="22"/>
      <c r="W3154" s="21"/>
      <c r="X3154" s="22"/>
      <c r="Y3154" s="21"/>
      <c r="Z3154" s="21"/>
      <c r="AA3154" s="21"/>
      <c r="AB3154" s="21"/>
      <c r="AC3154" s="26"/>
      <c r="AD3154" s="26"/>
      <c r="AE3154" s="62"/>
    </row>
    <row r="3155" spans="1:31" x14ac:dyDescent="0.3">
      <c r="A3155" s="6"/>
      <c r="B3155" s="6"/>
      <c r="C3155" s="39"/>
      <c r="D3155" s="6"/>
      <c r="E3155" s="153"/>
      <c r="F3155" s="10"/>
      <c r="G3155" s="2"/>
      <c r="H3155" s="3"/>
      <c r="I3155" s="2"/>
      <c r="J3155" s="2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</row>
    <row r="3156" spans="1:31" ht="13.5" customHeight="1" x14ac:dyDescent="0.35">
      <c r="A3156" s="49"/>
      <c r="B3156" s="49"/>
      <c r="C3156" s="39"/>
      <c r="D3156" s="1"/>
      <c r="E3156" s="153"/>
      <c r="F3156" s="10"/>
      <c r="G3156" s="21"/>
      <c r="H3156" s="21"/>
      <c r="I3156" s="21"/>
      <c r="J3156" s="21"/>
      <c r="K3156" s="21"/>
      <c r="L3156" s="21"/>
      <c r="M3156" s="21"/>
      <c r="N3156" s="22"/>
      <c r="O3156" s="21"/>
      <c r="P3156" s="22"/>
      <c r="Q3156" s="21"/>
      <c r="R3156" s="21"/>
      <c r="S3156" s="21"/>
      <c r="T3156" s="21"/>
      <c r="U3156" s="21"/>
      <c r="V3156" s="22"/>
      <c r="W3156" s="21"/>
      <c r="X3156" s="22"/>
      <c r="Y3156" s="21"/>
      <c r="Z3156" s="21"/>
      <c r="AA3156" s="21"/>
      <c r="AB3156" s="21"/>
      <c r="AC3156" s="26"/>
      <c r="AD3156" s="26"/>
      <c r="AE3156" s="62"/>
    </row>
    <row r="3157" spans="1:31" ht="13.5" customHeight="1" x14ac:dyDescent="0.35">
      <c r="A3157" s="49"/>
      <c r="B3157" s="49"/>
      <c r="C3157" s="14"/>
      <c r="D3157" s="1"/>
      <c r="E3157" s="153"/>
      <c r="F3157" s="10"/>
      <c r="G3157" s="21"/>
      <c r="H3157" s="21"/>
      <c r="I3157" s="21"/>
      <c r="J3157" s="21"/>
      <c r="K3157" s="21"/>
      <c r="L3157" s="21"/>
      <c r="M3157" s="21"/>
      <c r="N3157" s="22"/>
      <c r="O3157" s="21"/>
      <c r="P3157" s="22"/>
      <c r="Q3157" s="21"/>
      <c r="R3157" s="21"/>
      <c r="S3157" s="21"/>
      <c r="T3157" s="21"/>
      <c r="U3157" s="21"/>
      <c r="V3157" s="22"/>
      <c r="W3157" s="21"/>
      <c r="X3157" s="22"/>
      <c r="Y3157" s="21"/>
      <c r="Z3157" s="21"/>
      <c r="AA3157" s="21"/>
      <c r="AB3157" s="21"/>
      <c r="AC3157" s="26"/>
      <c r="AD3157" s="26"/>
      <c r="AE3157" s="62"/>
    </row>
    <row r="3158" spans="1:31" x14ac:dyDescent="0.3">
      <c r="A3158" s="63"/>
      <c r="B3158" s="63"/>
      <c r="C3158" s="39"/>
      <c r="D3158" s="6"/>
      <c r="E3158" s="153"/>
      <c r="F3158" s="10"/>
      <c r="G3158" s="64"/>
      <c r="H3158" s="3"/>
      <c r="I3158" s="2"/>
      <c r="J3158" s="2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</row>
    <row r="3159" spans="1:31" ht="13.5" customHeight="1" x14ac:dyDescent="0.35">
      <c r="A3159" s="49"/>
      <c r="B3159" s="49"/>
      <c r="C3159" s="14"/>
      <c r="D3159" s="1"/>
      <c r="E3159" s="153"/>
      <c r="F3159" s="10"/>
      <c r="G3159" s="21"/>
      <c r="H3159" s="21"/>
      <c r="I3159" s="21"/>
      <c r="J3159" s="21"/>
      <c r="K3159" s="21"/>
      <c r="L3159" s="21"/>
      <c r="M3159" s="21"/>
      <c r="N3159" s="22"/>
      <c r="O3159" s="21"/>
      <c r="P3159" s="22"/>
      <c r="Q3159" s="21"/>
      <c r="R3159" s="21"/>
      <c r="S3159" s="21"/>
      <c r="T3159" s="21"/>
      <c r="U3159" s="21"/>
      <c r="V3159" s="22"/>
      <c r="W3159" s="21"/>
      <c r="X3159" s="22"/>
      <c r="Y3159" s="21"/>
      <c r="Z3159" s="21"/>
      <c r="AA3159" s="21"/>
      <c r="AB3159" s="21"/>
      <c r="AC3159" s="26"/>
      <c r="AD3159" s="26"/>
      <c r="AE3159" s="62"/>
    </row>
    <row r="3160" spans="1:31" ht="13.5" customHeight="1" x14ac:dyDescent="0.35">
      <c r="A3160" s="49"/>
      <c r="B3160" s="49"/>
      <c r="C3160" s="39"/>
      <c r="D3160" s="1"/>
      <c r="E3160" s="153"/>
      <c r="F3160" s="10"/>
      <c r="G3160" s="21"/>
      <c r="H3160" s="21"/>
      <c r="I3160" s="21"/>
      <c r="J3160" s="21"/>
      <c r="K3160" s="21"/>
      <c r="L3160" s="21"/>
      <c r="M3160" s="21"/>
      <c r="N3160" s="22"/>
      <c r="O3160" s="21"/>
      <c r="P3160" s="22"/>
      <c r="Q3160" s="21"/>
      <c r="R3160" s="21"/>
      <c r="S3160" s="21"/>
      <c r="T3160" s="21"/>
      <c r="U3160" s="21"/>
      <c r="V3160" s="22"/>
      <c r="W3160" s="21"/>
      <c r="X3160" s="22"/>
      <c r="Y3160" s="21"/>
      <c r="Z3160" s="21"/>
      <c r="AA3160" s="21"/>
      <c r="AB3160" s="21"/>
      <c r="AC3160" s="26"/>
      <c r="AD3160" s="26"/>
      <c r="AE3160" s="62"/>
    </row>
    <row r="3161" spans="1:31" x14ac:dyDescent="0.3">
      <c r="A3161" s="63"/>
      <c r="B3161" s="63"/>
      <c r="C3161" s="39"/>
      <c r="D3161" s="6"/>
      <c r="E3161" s="153"/>
      <c r="F3161" s="10"/>
      <c r="G3161" s="64"/>
      <c r="H3161" s="3"/>
      <c r="I3161" s="2"/>
      <c r="J3161" s="2"/>
      <c r="K3161" s="3"/>
      <c r="L3161" s="3"/>
      <c r="M3161" s="3"/>
      <c r="N3161" s="3"/>
      <c r="O3161" s="3"/>
      <c r="P3161" s="3"/>
      <c r="Q3161" s="21"/>
      <c r="R3161" s="21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</row>
    <row r="3162" spans="1:31" x14ac:dyDescent="0.3">
      <c r="A3162" s="6"/>
      <c r="B3162" s="6"/>
      <c r="C3162" s="39"/>
      <c r="D3162" s="6"/>
      <c r="E3162" s="153"/>
      <c r="F3162" s="10"/>
      <c r="G3162" s="2"/>
      <c r="H3162" s="3"/>
      <c r="I3162" s="2"/>
      <c r="J3162" s="2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</row>
    <row r="3163" spans="1:31" x14ac:dyDescent="0.3">
      <c r="A3163" s="6"/>
      <c r="B3163" s="6"/>
      <c r="C3163" s="39"/>
      <c r="D3163" s="6"/>
      <c r="E3163" s="153"/>
      <c r="F3163" s="10"/>
      <c r="G3163" s="2"/>
      <c r="H3163" s="3"/>
      <c r="I3163" s="2"/>
      <c r="J3163" s="2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</row>
    <row r="3164" spans="1:31" x14ac:dyDescent="0.3">
      <c r="A3164" s="63"/>
      <c r="B3164" s="63"/>
      <c r="C3164" s="39"/>
      <c r="D3164" s="6"/>
      <c r="E3164" s="153"/>
      <c r="F3164" s="10"/>
      <c r="G3164" s="64"/>
      <c r="H3164" s="3"/>
      <c r="I3164" s="2"/>
      <c r="J3164" s="2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</row>
    <row r="3165" spans="1:31" x14ac:dyDescent="0.3">
      <c r="A3165" s="63"/>
      <c r="B3165" s="63"/>
      <c r="C3165" s="39"/>
      <c r="D3165" s="6"/>
      <c r="E3165" s="153"/>
      <c r="F3165" s="10"/>
      <c r="G3165" s="64"/>
      <c r="H3165" s="3"/>
      <c r="I3165" s="2"/>
      <c r="J3165" s="2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</row>
    <row r="3166" spans="1:31" ht="15" x14ac:dyDescent="0.35">
      <c r="A3166" s="6"/>
      <c r="B3166" s="6"/>
      <c r="C3166" s="39"/>
      <c r="D3166" s="6"/>
      <c r="E3166" s="153"/>
      <c r="F3166" s="10"/>
      <c r="G3166" s="2"/>
      <c r="H3166" s="3"/>
      <c r="I3166" s="2"/>
      <c r="J3166" s="2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65"/>
    </row>
    <row r="3167" spans="1:31" ht="13.5" customHeight="1" x14ac:dyDescent="0.35">
      <c r="A3167" s="49"/>
      <c r="B3167" s="49"/>
      <c r="C3167" s="14"/>
      <c r="D3167" s="1"/>
      <c r="E3167" s="153"/>
      <c r="F3167" s="10"/>
      <c r="G3167" s="21"/>
      <c r="H3167" s="21"/>
      <c r="I3167" s="21"/>
      <c r="J3167" s="21"/>
      <c r="K3167" s="21"/>
      <c r="L3167" s="21"/>
      <c r="M3167" s="21"/>
      <c r="N3167" s="22"/>
      <c r="O3167" s="21"/>
      <c r="P3167" s="22"/>
      <c r="Q3167" s="21"/>
      <c r="R3167" s="21"/>
      <c r="S3167" s="21"/>
      <c r="T3167" s="21"/>
      <c r="U3167" s="21"/>
      <c r="V3167" s="22"/>
      <c r="W3167" s="21"/>
      <c r="X3167" s="22"/>
      <c r="Y3167" s="21"/>
      <c r="Z3167" s="21"/>
      <c r="AA3167" s="21"/>
      <c r="AB3167" s="21"/>
      <c r="AC3167" s="26"/>
      <c r="AD3167" s="26"/>
      <c r="AE3167" s="62"/>
    </row>
    <row r="3168" spans="1:31" x14ac:dyDescent="0.3">
      <c r="A3168" s="6"/>
      <c r="B3168" s="6"/>
      <c r="C3168" s="39"/>
      <c r="D3168" s="6"/>
      <c r="E3168" s="153"/>
      <c r="F3168" s="10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</row>
    <row r="3169" spans="1:31" ht="13.5" customHeight="1" x14ac:dyDescent="0.35">
      <c r="A3169" s="49"/>
      <c r="B3169" s="49"/>
      <c r="C3169" s="39"/>
      <c r="D3169" s="1"/>
      <c r="E3169" s="153"/>
      <c r="F3169" s="10"/>
      <c r="G3169" s="21"/>
      <c r="H3169" s="21"/>
      <c r="I3169" s="21"/>
      <c r="J3169" s="21"/>
      <c r="K3169" s="21"/>
      <c r="L3169" s="21"/>
      <c r="M3169" s="21"/>
      <c r="N3169" s="22"/>
      <c r="O3169" s="21"/>
      <c r="P3169" s="22"/>
      <c r="Q3169" s="21"/>
      <c r="R3169" s="21"/>
      <c r="S3169" s="21"/>
      <c r="T3169" s="21"/>
      <c r="U3169" s="21"/>
      <c r="V3169" s="22"/>
      <c r="W3169" s="21"/>
      <c r="X3169" s="22"/>
      <c r="Y3169" s="21"/>
      <c r="Z3169" s="21"/>
      <c r="AA3169" s="21"/>
      <c r="AB3169" s="21"/>
      <c r="AC3169" s="26"/>
      <c r="AD3169" s="26"/>
      <c r="AE3169" s="62"/>
    </row>
    <row r="3170" spans="1:31" x14ac:dyDescent="0.3">
      <c r="A3170" s="6"/>
      <c r="B3170" s="6"/>
      <c r="C3170" s="39"/>
      <c r="D3170" s="6"/>
      <c r="E3170" s="153"/>
      <c r="F3170" s="10"/>
      <c r="G3170" s="2"/>
      <c r="H3170" s="3"/>
      <c r="I3170" s="2"/>
      <c r="J3170" s="2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</row>
    <row r="3171" spans="1:31" x14ac:dyDescent="0.3">
      <c r="A3171" s="6"/>
      <c r="B3171" s="6"/>
      <c r="C3171" s="39"/>
      <c r="D3171" s="6"/>
      <c r="E3171" s="153"/>
      <c r="F3171" s="10"/>
      <c r="G3171" s="2"/>
      <c r="H3171" s="3"/>
      <c r="I3171" s="2"/>
      <c r="J3171" s="2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</row>
    <row r="3172" spans="1:31" x14ac:dyDescent="0.3">
      <c r="A3172" s="63"/>
      <c r="B3172" s="63"/>
      <c r="C3172" s="39"/>
      <c r="D3172" s="6"/>
      <c r="E3172" s="153"/>
      <c r="F3172" s="10"/>
      <c r="G3172" s="64"/>
      <c r="H3172" s="3"/>
      <c r="I3172" s="2"/>
      <c r="J3172" s="2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</row>
    <row r="3173" spans="1:31" ht="13.5" customHeight="1" x14ac:dyDescent="0.35">
      <c r="A3173" s="49"/>
      <c r="B3173" s="49"/>
      <c r="C3173" s="39"/>
      <c r="D3173" s="1"/>
      <c r="E3173" s="153"/>
      <c r="F3173" s="10"/>
      <c r="G3173" s="21"/>
      <c r="H3173" s="21"/>
      <c r="I3173" s="21"/>
      <c r="J3173" s="21"/>
      <c r="K3173" s="21"/>
      <c r="L3173" s="21"/>
      <c r="M3173" s="21"/>
      <c r="N3173" s="22"/>
      <c r="O3173" s="21"/>
      <c r="P3173" s="22"/>
      <c r="Q3173" s="21"/>
      <c r="R3173" s="21"/>
      <c r="S3173" s="21"/>
      <c r="T3173" s="21"/>
      <c r="U3173" s="21"/>
      <c r="V3173" s="22"/>
      <c r="W3173" s="21"/>
      <c r="X3173" s="22"/>
      <c r="Y3173" s="21"/>
      <c r="Z3173" s="21"/>
      <c r="AA3173" s="21"/>
      <c r="AB3173" s="21"/>
      <c r="AC3173" s="26"/>
      <c r="AD3173" s="26"/>
      <c r="AE3173" s="62"/>
    </row>
    <row r="3174" spans="1:31" ht="13.5" customHeight="1" x14ac:dyDescent="0.35">
      <c r="A3174" s="49"/>
      <c r="B3174" s="49"/>
      <c r="C3174" s="14"/>
      <c r="D3174" s="1"/>
      <c r="E3174" s="153"/>
      <c r="F3174" s="10"/>
      <c r="G3174" s="21"/>
      <c r="H3174" s="21"/>
      <c r="I3174" s="21"/>
      <c r="J3174" s="21"/>
      <c r="K3174" s="21"/>
      <c r="L3174" s="21"/>
      <c r="M3174" s="21"/>
      <c r="N3174" s="22"/>
      <c r="O3174" s="21"/>
      <c r="P3174" s="22"/>
      <c r="Q3174" s="21"/>
      <c r="R3174" s="21"/>
      <c r="S3174" s="21"/>
      <c r="T3174" s="21"/>
      <c r="U3174" s="21"/>
      <c r="V3174" s="22"/>
      <c r="W3174" s="21"/>
      <c r="X3174" s="22"/>
      <c r="Y3174" s="21"/>
      <c r="Z3174" s="21"/>
      <c r="AA3174" s="21"/>
      <c r="AB3174" s="21"/>
      <c r="AC3174" s="26"/>
      <c r="AD3174" s="26"/>
      <c r="AE3174" s="62"/>
    </row>
    <row r="3175" spans="1:31" x14ac:dyDescent="0.3">
      <c r="A3175" s="63"/>
      <c r="B3175" s="63"/>
      <c r="C3175" s="39"/>
      <c r="D3175" s="6"/>
      <c r="E3175" s="153"/>
      <c r="F3175" s="10"/>
      <c r="G3175" s="64"/>
      <c r="H3175" s="3"/>
      <c r="I3175" s="2"/>
      <c r="J3175" s="2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</row>
    <row r="3176" spans="1:31" ht="13.5" customHeight="1" x14ac:dyDescent="0.35">
      <c r="A3176" s="49"/>
      <c r="B3176" s="49"/>
      <c r="C3176" s="14"/>
      <c r="D3176" s="1"/>
      <c r="E3176" s="153"/>
      <c r="F3176" s="10"/>
      <c r="G3176" s="21"/>
      <c r="H3176" s="21"/>
      <c r="I3176" s="21"/>
      <c r="J3176" s="21"/>
      <c r="K3176" s="21"/>
      <c r="L3176" s="21"/>
      <c r="M3176" s="21"/>
      <c r="N3176" s="22"/>
      <c r="O3176" s="21"/>
      <c r="P3176" s="22"/>
      <c r="Q3176" s="21"/>
      <c r="R3176" s="21"/>
      <c r="S3176" s="21"/>
      <c r="T3176" s="21"/>
      <c r="U3176" s="21"/>
      <c r="V3176" s="22"/>
      <c r="W3176" s="21"/>
      <c r="X3176" s="22"/>
      <c r="Y3176" s="21"/>
      <c r="Z3176" s="21"/>
      <c r="AA3176" s="21"/>
      <c r="AB3176" s="21"/>
      <c r="AC3176" s="26"/>
      <c r="AD3176" s="26"/>
      <c r="AE3176" s="62"/>
    </row>
    <row r="3177" spans="1:31" x14ac:dyDescent="0.3">
      <c r="A3177" s="63"/>
      <c r="B3177" s="63"/>
      <c r="C3177" s="39"/>
      <c r="D3177" s="6"/>
      <c r="E3177" s="153"/>
      <c r="F3177" s="10"/>
      <c r="G3177" s="64"/>
      <c r="H3177" s="3"/>
      <c r="I3177" s="2"/>
      <c r="J3177" s="2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</row>
    <row r="3178" spans="1:31" ht="13.5" customHeight="1" x14ac:dyDescent="0.3">
      <c r="A3178" s="49"/>
      <c r="B3178" s="49"/>
      <c r="C3178" s="14"/>
      <c r="D3178" s="6"/>
      <c r="E3178" s="153"/>
      <c r="F3178" s="10"/>
      <c r="G3178" s="21"/>
      <c r="H3178" s="21"/>
      <c r="I3178" s="21"/>
      <c r="J3178" s="21"/>
      <c r="K3178" s="21"/>
      <c r="L3178" s="21"/>
      <c r="M3178" s="21"/>
      <c r="N3178" s="22"/>
      <c r="O3178" s="21"/>
      <c r="P3178" s="22"/>
      <c r="Q3178" s="21"/>
      <c r="R3178" s="21"/>
      <c r="S3178" s="21"/>
      <c r="T3178" s="21"/>
      <c r="U3178" s="21"/>
      <c r="V3178" s="22"/>
      <c r="W3178" s="21"/>
      <c r="X3178" s="22"/>
      <c r="Y3178" s="21"/>
      <c r="Z3178" s="21"/>
      <c r="AA3178" s="21"/>
      <c r="AB3178" s="21"/>
      <c r="AC3178" s="26"/>
      <c r="AD3178" s="26"/>
      <c r="AE3178" s="62"/>
    </row>
    <row r="3179" spans="1:31" ht="13.5" customHeight="1" x14ac:dyDescent="0.35">
      <c r="A3179" s="49"/>
      <c r="B3179" s="49"/>
      <c r="C3179" s="14"/>
      <c r="D3179" s="1"/>
      <c r="E3179" s="153"/>
      <c r="F3179" s="10"/>
      <c r="G3179" s="21"/>
      <c r="H3179" s="21"/>
      <c r="I3179" s="21"/>
      <c r="J3179" s="21"/>
      <c r="K3179" s="21"/>
      <c r="L3179" s="21"/>
      <c r="M3179" s="21"/>
      <c r="N3179" s="22"/>
      <c r="O3179" s="21"/>
      <c r="P3179" s="22"/>
      <c r="Q3179" s="21"/>
      <c r="R3179" s="21"/>
      <c r="S3179" s="21"/>
      <c r="T3179" s="21"/>
      <c r="U3179" s="21"/>
      <c r="V3179" s="22"/>
      <c r="W3179" s="21"/>
      <c r="X3179" s="22"/>
      <c r="Y3179" s="21"/>
      <c r="Z3179" s="21"/>
      <c r="AA3179" s="21"/>
      <c r="AB3179" s="21"/>
      <c r="AC3179" s="26"/>
      <c r="AD3179" s="26"/>
      <c r="AE3179" s="62"/>
    </row>
    <row r="3180" spans="1:31" ht="13.5" customHeight="1" x14ac:dyDescent="0.35">
      <c r="A3180" s="49"/>
      <c r="B3180" s="49"/>
      <c r="C3180" s="39"/>
      <c r="D3180" s="1"/>
      <c r="E3180" s="153"/>
      <c r="F3180" s="10"/>
      <c r="G3180" s="21"/>
      <c r="H3180" s="21"/>
      <c r="I3180" s="21"/>
      <c r="J3180" s="21"/>
      <c r="K3180" s="21"/>
      <c r="L3180" s="21"/>
      <c r="M3180" s="21"/>
      <c r="N3180" s="22"/>
      <c r="O3180" s="21"/>
      <c r="P3180" s="22"/>
      <c r="Q3180" s="21"/>
      <c r="R3180" s="21"/>
      <c r="S3180" s="21"/>
      <c r="T3180" s="21"/>
      <c r="U3180" s="21"/>
      <c r="V3180" s="22"/>
      <c r="W3180" s="21"/>
      <c r="X3180" s="22"/>
      <c r="Y3180" s="21"/>
      <c r="Z3180" s="21"/>
      <c r="AA3180" s="21"/>
      <c r="AB3180" s="21"/>
      <c r="AC3180" s="26"/>
      <c r="AD3180" s="26"/>
      <c r="AE3180" s="62"/>
    </row>
    <row r="3181" spans="1:31" x14ac:dyDescent="0.3">
      <c r="A3181" s="6"/>
      <c r="B3181" s="6"/>
      <c r="C3181" s="39"/>
      <c r="D3181" s="6"/>
      <c r="E3181" s="153"/>
      <c r="F3181" s="10"/>
      <c r="G3181" s="2"/>
      <c r="H3181" s="3"/>
      <c r="I3181" s="2"/>
      <c r="J3181" s="2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</row>
    <row r="3182" spans="1:31" ht="13.5" customHeight="1" x14ac:dyDescent="0.35">
      <c r="A3182" s="49"/>
      <c r="B3182" s="49"/>
      <c r="C3182" s="14"/>
      <c r="D3182" s="1"/>
      <c r="E3182" s="153"/>
      <c r="F3182" s="10"/>
      <c r="G3182" s="21"/>
      <c r="H3182" s="21"/>
      <c r="I3182" s="21"/>
      <c r="J3182" s="21"/>
      <c r="K3182" s="21"/>
      <c r="L3182" s="21"/>
      <c r="M3182" s="21"/>
      <c r="N3182" s="22"/>
      <c r="O3182" s="21"/>
      <c r="P3182" s="22"/>
      <c r="Q3182" s="21"/>
      <c r="R3182" s="21"/>
      <c r="S3182" s="21"/>
      <c r="T3182" s="21"/>
      <c r="U3182" s="21"/>
      <c r="V3182" s="22"/>
      <c r="W3182" s="21"/>
      <c r="X3182" s="22"/>
      <c r="Y3182" s="21"/>
      <c r="Z3182" s="21"/>
      <c r="AA3182" s="21"/>
      <c r="AB3182" s="21"/>
      <c r="AC3182" s="26"/>
      <c r="AD3182" s="26"/>
      <c r="AE3182" s="62"/>
    </row>
    <row r="3183" spans="1:31" ht="13.5" customHeight="1" x14ac:dyDescent="0.35">
      <c r="A3183" s="6"/>
      <c r="B3183" s="6"/>
      <c r="C3183" s="39"/>
      <c r="D3183" s="6"/>
      <c r="E3183" s="153"/>
      <c r="F3183" s="10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21"/>
      <c r="R3183" s="21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65"/>
    </row>
    <row r="3184" spans="1:31" x14ac:dyDescent="0.3">
      <c r="A3184" s="6"/>
      <c r="B3184" s="6"/>
      <c r="C3184" s="39"/>
      <c r="D3184" s="6"/>
      <c r="E3184" s="153"/>
      <c r="F3184" s="10"/>
      <c r="G3184" s="2"/>
      <c r="H3184" s="3"/>
      <c r="I3184" s="2"/>
      <c r="J3184" s="2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</row>
    <row r="3185" spans="1:31" x14ac:dyDescent="0.3">
      <c r="A3185" s="63"/>
      <c r="B3185" s="63"/>
      <c r="C3185" s="39"/>
      <c r="D3185" s="6"/>
      <c r="E3185" s="153"/>
      <c r="F3185" s="10"/>
      <c r="G3185" s="64"/>
      <c r="H3185" s="3"/>
      <c r="I3185" s="2"/>
      <c r="J3185" s="2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</row>
    <row r="3186" spans="1:31" ht="13.5" customHeight="1" x14ac:dyDescent="0.35">
      <c r="A3186" s="49"/>
      <c r="B3186" s="49"/>
      <c r="C3186" s="14"/>
      <c r="D3186" s="1"/>
      <c r="E3186" s="153"/>
      <c r="F3186" s="10"/>
      <c r="G3186" s="21"/>
      <c r="H3186" s="21"/>
      <c r="I3186" s="21"/>
      <c r="J3186" s="21"/>
      <c r="K3186" s="21"/>
      <c r="L3186" s="21"/>
      <c r="M3186" s="21"/>
      <c r="N3186" s="22"/>
      <c r="O3186" s="21"/>
      <c r="P3186" s="22"/>
      <c r="Q3186" s="21"/>
      <c r="R3186" s="21"/>
      <c r="S3186" s="21"/>
      <c r="T3186" s="21"/>
      <c r="U3186" s="21"/>
      <c r="V3186" s="22"/>
      <c r="W3186" s="21"/>
      <c r="X3186" s="22"/>
      <c r="Y3186" s="21"/>
      <c r="Z3186" s="21"/>
      <c r="AA3186" s="21"/>
      <c r="AB3186" s="21"/>
      <c r="AC3186" s="26"/>
      <c r="AD3186" s="26"/>
      <c r="AE3186" s="62"/>
    </row>
    <row r="3187" spans="1:31" ht="13.5" customHeight="1" x14ac:dyDescent="0.35">
      <c r="A3187" s="49"/>
      <c r="B3187" s="49"/>
      <c r="C3187" s="39"/>
      <c r="D3187" s="1"/>
      <c r="E3187" s="153"/>
      <c r="F3187" s="10"/>
      <c r="G3187" s="21"/>
      <c r="H3187" s="21"/>
      <c r="I3187" s="21"/>
      <c r="J3187" s="21"/>
      <c r="K3187" s="21"/>
      <c r="L3187" s="21"/>
      <c r="M3187" s="21"/>
      <c r="N3187" s="22"/>
      <c r="O3187" s="21"/>
      <c r="P3187" s="22"/>
      <c r="Q3187" s="21"/>
      <c r="R3187" s="21"/>
      <c r="S3187" s="21"/>
      <c r="T3187" s="21"/>
      <c r="U3187" s="21"/>
      <c r="V3187" s="22"/>
      <c r="W3187" s="21"/>
      <c r="X3187" s="22"/>
      <c r="Y3187" s="21"/>
      <c r="Z3187" s="21"/>
      <c r="AA3187" s="21"/>
      <c r="AB3187" s="21"/>
      <c r="AC3187" s="26"/>
      <c r="AD3187" s="26"/>
      <c r="AE3187" s="62"/>
    </row>
    <row r="3188" spans="1:31" ht="13.5" customHeight="1" x14ac:dyDescent="0.35">
      <c r="A3188" s="49"/>
      <c r="B3188" s="49"/>
      <c r="C3188" s="39"/>
      <c r="D3188" s="1"/>
      <c r="E3188" s="153"/>
      <c r="F3188" s="10"/>
      <c r="G3188" s="21"/>
      <c r="H3188" s="21"/>
      <c r="I3188" s="21"/>
      <c r="J3188" s="21"/>
      <c r="K3188" s="21"/>
      <c r="L3188" s="21"/>
      <c r="M3188" s="21"/>
      <c r="N3188" s="22"/>
      <c r="O3188" s="21"/>
      <c r="P3188" s="22"/>
      <c r="Q3188" s="21"/>
      <c r="R3188" s="21"/>
      <c r="S3188" s="21"/>
      <c r="T3188" s="21"/>
      <c r="U3188" s="21"/>
      <c r="V3188" s="22"/>
      <c r="W3188" s="21"/>
      <c r="X3188" s="22"/>
      <c r="Y3188" s="21"/>
      <c r="Z3188" s="21"/>
      <c r="AA3188" s="21"/>
      <c r="AB3188" s="21"/>
      <c r="AC3188" s="26"/>
      <c r="AD3188" s="26"/>
      <c r="AE3188" s="62"/>
    </row>
    <row r="3189" spans="1:31" ht="13.5" customHeight="1" x14ac:dyDescent="0.35">
      <c r="A3189" s="49"/>
      <c r="B3189" s="49"/>
      <c r="C3189" s="14"/>
      <c r="D3189" s="1"/>
      <c r="E3189" s="153"/>
      <c r="F3189" s="10"/>
      <c r="G3189" s="21"/>
      <c r="H3189" s="21"/>
      <c r="I3189" s="21"/>
      <c r="J3189" s="21"/>
      <c r="K3189" s="21"/>
      <c r="L3189" s="21"/>
      <c r="M3189" s="21"/>
      <c r="N3189" s="22"/>
      <c r="O3189" s="21"/>
      <c r="P3189" s="22"/>
      <c r="Q3189" s="21"/>
      <c r="R3189" s="21"/>
      <c r="S3189" s="21"/>
      <c r="T3189" s="21"/>
      <c r="U3189" s="21"/>
      <c r="V3189" s="22"/>
      <c r="W3189" s="21"/>
      <c r="X3189" s="22"/>
      <c r="Y3189" s="21"/>
      <c r="Z3189" s="21"/>
      <c r="AA3189" s="21"/>
      <c r="AB3189" s="21"/>
      <c r="AC3189" s="26"/>
      <c r="AD3189" s="26"/>
      <c r="AE3189" s="62"/>
    </row>
    <row r="3190" spans="1:31" x14ac:dyDescent="0.3">
      <c r="A3190" s="6"/>
      <c r="B3190" s="6"/>
      <c r="C3190" s="39"/>
      <c r="D3190" s="6"/>
      <c r="E3190" s="153"/>
      <c r="F3190" s="10"/>
      <c r="G3190" s="2"/>
      <c r="H3190" s="3"/>
      <c r="I3190" s="2"/>
      <c r="J3190" s="2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</row>
    <row r="3191" spans="1:31" ht="13.5" customHeight="1" x14ac:dyDescent="0.35">
      <c r="A3191" s="49"/>
      <c r="B3191" s="49"/>
      <c r="C3191" s="14"/>
      <c r="D3191" s="1"/>
      <c r="E3191" s="153"/>
      <c r="F3191" s="10"/>
      <c r="G3191" s="21"/>
      <c r="H3191" s="21"/>
      <c r="I3191" s="21"/>
      <c r="J3191" s="21"/>
      <c r="K3191" s="21"/>
      <c r="L3191" s="21"/>
      <c r="M3191" s="21"/>
      <c r="N3191" s="22"/>
      <c r="O3191" s="21"/>
      <c r="P3191" s="22"/>
      <c r="Q3191" s="21"/>
      <c r="R3191" s="21"/>
      <c r="S3191" s="21"/>
      <c r="T3191" s="21"/>
      <c r="U3191" s="21"/>
      <c r="V3191" s="22"/>
      <c r="W3191" s="21"/>
      <c r="X3191" s="22"/>
      <c r="Y3191" s="21"/>
      <c r="Z3191" s="21"/>
      <c r="AA3191" s="21"/>
      <c r="AB3191" s="21"/>
      <c r="AC3191" s="26"/>
      <c r="AD3191" s="26"/>
      <c r="AE3191" s="62"/>
    </row>
    <row r="3192" spans="1:31" ht="13.5" customHeight="1" x14ac:dyDescent="0.35">
      <c r="A3192" s="49"/>
      <c r="B3192" s="49"/>
      <c r="C3192" s="39"/>
      <c r="D3192" s="1"/>
      <c r="E3192" s="153"/>
      <c r="F3192" s="10"/>
      <c r="G3192" s="21"/>
      <c r="H3192" s="21"/>
      <c r="I3192" s="21"/>
      <c r="J3192" s="21"/>
      <c r="K3192" s="21"/>
      <c r="L3192" s="21"/>
      <c r="M3192" s="21"/>
      <c r="N3192" s="22"/>
      <c r="O3192" s="21"/>
      <c r="P3192" s="22"/>
      <c r="Q3192" s="21"/>
      <c r="R3192" s="21"/>
      <c r="S3192" s="21"/>
      <c r="T3192" s="21"/>
      <c r="U3192" s="21"/>
      <c r="V3192" s="22"/>
      <c r="W3192" s="21"/>
      <c r="X3192" s="22"/>
      <c r="Y3192" s="21"/>
      <c r="Z3192" s="21"/>
      <c r="AA3192" s="21"/>
      <c r="AB3192" s="21"/>
      <c r="AC3192" s="26"/>
      <c r="AD3192" s="26"/>
      <c r="AE3192" s="62"/>
    </row>
    <row r="3193" spans="1:31" x14ac:dyDescent="0.3">
      <c r="A3193" s="6"/>
      <c r="B3193" s="6"/>
      <c r="C3193" s="39"/>
      <c r="D3193" s="6"/>
      <c r="E3193" s="153"/>
      <c r="F3193" s="10"/>
      <c r="G3193" s="2"/>
      <c r="H3193" s="3"/>
      <c r="I3193" s="2"/>
      <c r="J3193" s="2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</row>
    <row r="3194" spans="1:31" x14ac:dyDescent="0.3">
      <c r="A3194" s="63"/>
      <c r="B3194" s="63"/>
      <c r="C3194" s="39"/>
      <c r="D3194" s="6"/>
      <c r="E3194" s="153"/>
      <c r="F3194" s="10"/>
      <c r="G3194" s="64"/>
      <c r="H3194" s="3"/>
      <c r="I3194" s="2"/>
      <c r="J3194" s="2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</row>
    <row r="3195" spans="1:31" ht="13.5" customHeight="1" x14ac:dyDescent="0.35">
      <c r="A3195" s="49"/>
      <c r="B3195" s="49"/>
      <c r="C3195" s="14"/>
      <c r="D3195" s="1"/>
      <c r="E3195" s="153"/>
      <c r="F3195" s="10"/>
      <c r="G3195" s="21"/>
      <c r="H3195" s="21"/>
      <c r="I3195" s="21"/>
      <c r="J3195" s="21"/>
      <c r="K3195" s="21"/>
      <c r="L3195" s="21"/>
      <c r="M3195" s="21"/>
      <c r="N3195" s="22"/>
      <c r="O3195" s="21"/>
      <c r="P3195" s="22"/>
      <c r="Q3195" s="21"/>
      <c r="R3195" s="21"/>
      <c r="S3195" s="21"/>
      <c r="T3195" s="21"/>
      <c r="U3195" s="21"/>
      <c r="V3195" s="22"/>
      <c r="W3195" s="21"/>
      <c r="X3195" s="22"/>
      <c r="Y3195" s="21"/>
      <c r="Z3195" s="21"/>
      <c r="AA3195" s="21"/>
      <c r="AB3195" s="21"/>
      <c r="AC3195" s="26"/>
      <c r="AD3195" s="26"/>
      <c r="AE3195" s="62"/>
    </row>
    <row r="3196" spans="1:31" ht="13.5" customHeight="1" x14ac:dyDescent="0.35">
      <c r="A3196" s="49"/>
      <c r="B3196" s="49"/>
      <c r="C3196" s="39"/>
      <c r="D3196" s="1"/>
      <c r="E3196" s="153"/>
      <c r="F3196" s="10"/>
      <c r="G3196" s="21"/>
      <c r="H3196" s="21"/>
      <c r="I3196" s="21"/>
      <c r="J3196" s="21"/>
      <c r="K3196" s="21"/>
      <c r="L3196" s="21"/>
      <c r="M3196" s="21"/>
      <c r="N3196" s="22"/>
      <c r="O3196" s="21"/>
      <c r="P3196" s="22"/>
      <c r="Q3196" s="21"/>
      <c r="R3196" s="21"/>
      <c r="S3196" s="21"/>
      <c r="T3196" s="21"/>
      <c r="U3196" s="21"/>
      <c r="V3196" s="22"/>
      <c r="W3196" s="21"/>
      <c r="X3196" s="22"/>
      <c r="Y3196" s="21"/>
      <c r="Z3196" s="21"/>
      <c r="AA3196" s="21"/>
      <c r="AB3196" s="21"/>
      <c r="AC3196" s="26"/>
      <c r="AD3196" s="26"/>
      <c r="AE3196" s="62"/>
    </row>
    <row r="3197" spans="1:31" ht="15" x14ac:dyDescent="0.35">
      <c r="A3197" s="63"/>
      <c r="B3197" s="63"/>
      <c r="C3197" s="39"/>
      <c r="D3197" s="6"/>
      <c r="E3197" s="153"/>
      <c r="F3197" s="10"/>
      <c r="G3197" s="64"/>
      <c r="H3197" s="3"/>
      <c r="I3197" s="2"/>
      <c r="J3197" s="2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65"/>
    </row>
    <row r="3198" spans="1:31" ht="13.5" customHeight="1" x14ac:dyDescent="0.35">
      <c r="A3198" s="49"/>
      <c r="B3198" s="49"/>
      <c r="C3198" s="14"/>
      <c r="D3198" s="1"/>
      <c r="E3198" s="153"/>
      <c r="F3198" s="10"/>
      <c r="G3198" s="21"/>
      <c r="H3198" s="21"/>
      <c r="I3198" s="21"/>
      <c r="J3198" s="21"/>
      <c r="K3198" s="21"/>
      <c r="L3198" s="21"/>
      <c r="M3198" s="21"/>
      <c r="N3198" s="22"/>
      <c r="O3198" s="21"/>
      <c r="P3198" s="22"/>
      <c r="Q3198" s="21"/>
      <c r="R3198" s="21"/>
      <c r="S3198" s="21"/>
      <c r="T3198" s="21"/>
      <c r="U3198" s="21"/>
      <c r="V3198" s="22"/>
      <c r="W3198" s="21"/>
      <c r="X3198" s="22"/>
      <c r="Y3198" s="21"/>
      <c r="Z3198" s="21"/>
      <c r="AA3198" s="21"/>
      <c r="AB3198" s="21"/>
      <c r="AC3198" s="26"/>
      <c r="AD3198" s="26"/>
      <c r="AE3198" s="62"/>
    </row>
    <row r="3199" spans="1:31" ht="13.5" customHeight="1" x14ac:dyDescent="0.35">
      <c r="A3199" s="49"/>
      <c r="B3199" s="49"/>
      <c r="C3199" s="39"/>
      <c r="D3199" s="1"/>
      <c r="E3199" s="153"/>
      <c r="F3199" s="10"/>
      <c r="G3199" s="21"/>
      <c r="H3199" s="21"/>
      <c r="I3199" s="21"/>
      <c r="J3199" s="21"/>
      <c r="K3199" s="21"/>
      <c r="L3199" s="21"/>
      <c r="M3199" s="21"/>
      <c r="N3199" s="22"/>
      <c r="O3199" s="21"/>
      <c r="P3199" s="22"/>
      <c r="Q3199" s="21"/>
      <c r="R3199" s="21"/>
      <c r="S3199" s="21"/>
      <c r="T3199" s="21"/>
      <c r="U3199" s="21"/>
      <c r="V3199" s="22"/>
      <c r="W3199" s="21"/>
      <c r="X3199" s="22"/>
      <c r="Y3199" s="21"/>
      <c r="Z3199" s="21"/>
      <c r="AA3199" s="21"/>
      <c r="AB3199" s="21"/>
      <c r="AC3199" s="26"/>
      <c r="AD3199" s="26"/>
      <c r="AE3199" s="62"/>
    </row>
    <row r="3200" spans="1:31" ht="15" x14ac:dyDescent="0.35">
      <c r="A3200" s="6"/>
      <c r="B3200" s="6"/>
      <c r="C3200" s="39"/>
      <c r="D3200" s="6"/>
      <c r="E3200" s="153"/>
      <c r="F3200" s="10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21"/>
      <c r="R3200" s="21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65"/>
    </row>
    <row r="3201" spans="1:31" x14ac:dyDescent="0.3">
      <c r="A3201" s="63"/>
      <c r="B3201" s="63"/>
      <c r="C3201" s="39"/>
      <c r="D3201" s="6"/>
      <c r="E3201" s="153"/>
      <c r="F3201" s="10"/>
      <c r="G3201" s="64"/>
      <c r="H3201" s="3"/>
      <c r="I3201" s="2"/>
      <c r="J3201" s="2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</row>
    <row r="3202" spans="1:31" ht="13.5" customHeight="1" x14ac:dyDescent="0.35">
      <c r="A3202" s="49"/>
      <c r="B3202" s="49"/>
      <c r="C3202" s="39"/>
      <c r="D3202" s="1"/>
      <c r="E3202" s="153"/>
      <c r="F3202" s="10"/>
      <c r="G3202" s="21"/>
      <c r="H3202" s="21"/>
      <c r="I3202" s="21"/>
      <c r="J3202" s="21"/>
      <c r="K3202" s="21"/>
      <c r="L3202" s="21"/>
      <c r="M3202" s="21"/>
      <c r="N3202" s="22"/>
      <c r="O3202" s="21"/>
      <c r="P3202" s="22"/>
      <c r="Q3202" s="21"/>
      <c r="R3202" s="21"/>
      <c r="S3202" s="21"/>
      <c r="T3202" s="21"/>
      <c r="U3202" s="21"/>
      <c r="V3202" s="22"/>
      <c r="W3202" s="21"/>
      <c r="X3202" s="22"/>
      <c r="Y3202" s="21"/>
      <c r="Z3202" s="21"/>
      <c r="AA3202" s="21"/>
      <c r="AB3202" s="21"/>
      <c r="AC3202" s="26"/>
      <c r="AD3202" s="26"/>
      <c r="AE3202" s="62"/>
    </row>
    <row r="3203" spans="1:31" ht="13.5" customHeight="1" x14ac:dyDescent="0.35">
      <c r="A3203" s="49"/>
      <c r="B3203" s="49"/>
      <c r="C3203" s="39"/>
      <c r="D3203" s="1"/>
      <c r="E3203" s="153"/>
      <c r="F3203" s="10"/>
      <c r="G3203" s="21"/>
      <c r="H3203" s="21"/>
      <c r="I3203" s="21"/>
      <c r="J3203" s="21"/>
      <c r="K3203" s="21"/>
      <c r="L3203" s="21"/>
      <c r="M3203" s="21"/>
      <c r="N3203" s="22"/>
      <c r="O3203" s="21"/>
      <c r="P3203" s="22"/>
      <c r="Q3203" s="21"/>
      <c r="R3203" s="21"/>
      <c r="S3203" s="21"/>
      <c r="T3203" s="21"/>
      <c r="U3203" s="21"/>
      <c r="V3203" s="22"/>
      <c r="W3203" s="21"/>
      <c r="X3203" s="22"/>
      <c r="Y3203" s="21"/>
      <c r="Z3203" s="21"/>
      <c r="AA3203" s="21"/>
      <c r="AB3203" s="21"/>
      <c r="AC3203" s="26"/>
      <c r="AD3203" s="26"/>
      <c r="AE3203" s="62"/>
    </row>
    <row r="3204" spans="1:31" x14ac:dyDescent="0.3">
      <c r="A3204" s="6"/>
      <c r="B3204" s="6"/>
      <c r="C3204" s="39"/>
      <c r="D3204" s="6"/>
      <c r="E3204" s="153"/>
      <c r="F3204" s="10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21"/>
      <c r="R3204" s="21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</row>
    <row r="3205" spans="1:31" x14ac:dyDescent="0.3">
      <c r="A3205" s="6"/>
      <c r="B3205" s="6"/>
      <c r="C3205" s="39"/>
      <c r="D3205" s="6"/>
      <c r="E3205" s="153"/>
      <c r="F3205" s="10"/>
      <c r="G3205" s="2"/>
      <c r="H3205" s="3"/>
      <c r="I3205" s="2"/>
      <c r="J3205" s="2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</row>
    <row r="3206" spans="1:31" x14ac:dyDescent="0.3">
      <c r="A3206" s="63"/>
      <c r="B3206" s="63"/>
      <c r="C3206" s="39"/>
      <c r="D3206" s="6"/>
      <c r="E3206" s="153"/>
      <c r="F3206" s="10"/>
      <c r="G3206" s="64"/>
      <c r="H3206" s="3"/>
      <c r="I3206" s="2"/>
      <c r="J3206" s="2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</row>
    <row r="3207" spans="1:31" ht="13.5" customHeight="1" x14ac:dyDescent="0.35">
      <c r="A3207" s="49"/>
      <c r="B3207" s="49"/>
      <c r="C3207" s="14"/>
      <c r="D3207" s="1"/>
      <c r="E3207" s="153"/>
      <c r="F3207" s="10"/>
      <c r="G3207" s="21"/>
      <c r="H3207" s="21"/>
      <c r="I3207" s="21"/>
      <c r="J3207" s="21"/>
      <c r="K3207" s="21"/>
      <c r="L3207" s="21"/>
      <c r="M3207" s="21"/>
      <c r="N3207" s="22"/>
      <c r="O3207" s="21"/>
      <c r="P3207" s="22"/>
      <c r="Q3207" s="21"/>
      <c r="R3207" s="21"/>
      <c r="S3207" s="21"/>
      <c r="T3207" s="21"/>
      <c r="U3207" s="21"/>
      <c r="V3207" s="22"/>
      <c r="W3207" s="21"/>
      <c r="X3207" s="22"/>
      <c r="Y3207" s="21"/>
      <c r="Z3207" s="21"/>
      <c r="AA3207" s="21"/>
      <c r="AB3207" s="21"/>
      <c r="AC3207" s="26"/>
      <c r="AD3207" s="26"/>
      <c r="AE3207" s="62"/>
    </row>
    <row r="3208" spans="1:31" ht="13.5" customHeight="1" x14ac:dyDescent="0.35">
      <c r="A3208" s="49"/>
      <c r="B3208" s="49"/>
      <c r="C3208" s="39"/>
      <c r="D3208" s="1"/>
      <c r="E3208" s="153"/>
      <c r="F3208" s="10"/>
      <c r="G3208" s="21"/>
      <c r="H3208" s="21"/>
      <c r="I3208" s="21"/>
      <c r="J3208" s="21"/>
      <c r="K3208" s="21"/>
      <c r="L3208" s="21"/>
      <c r="M3208" s="21"/>
      <c r="N3208" s="22"/>
      <c r="O3208" s="21"/>
      <c r="P3208" s="22"/>
      <c r="Q3208" s="21"/>
      <c r="R3208" s="21"/>
      <c r="S3208" s="21"/>
      <c r="T3208" s="21"/>
      <c r="U3208" s="21"/>
      <c r="V3208" s="22"/>
      <c r="W3208" s="21"/>
      <c r="X3208" s="22"/>
      <c r="Y3208" s="21"/>
      <c r="Z3208" s="21"/>
      <c r="AA3208" s="21"/>
      <c r="AB3208" s="21"/>
      <c r="AC3208" s="26"/>
      <c r="AD3208" s="26"/>
      <c r="AE3208" s="62"/>
    </row>
    <row r="3209" spans="1:31" ht="13.5" customHeight="1" x14ac:dyDescent="0.35">
      <c r="A3209" s="49"/>
      <c r="B3209" s="49"/>
      <c r="C3209" s="39"/>
      <c r="D3209" s="1"/>
      <c r="E3209" s="153"/>
      <c r="F3209" s="10"/>
      <c r="G3209" s="21"/>
      <c r="H3209" s="21"/>
      <c r="I3209" s="21"/>
      <c r="J3209" s="21"/>
      <c r="K3209" s="21"/>
      <c r="L3209" s="21"/>
      <c r="M3209" s="21"/>
      <c r="N3209" s="22"/>
      <c r="O3209" s="21"/>
      <c r="P3209" s="22"/>
      <c r="Q3209" s="21"/>
      <c r="R3209" s="21"/>
      <c r="S3209" s="21"/>
      <c r="T3209" s="21"/>
      <c r="U3209" s="21"/>
      <c r="V3209" s="22"/>
      <c r="W3209" s="21"/>
      <c r="X3209" s="22"/>
      <c r="Y3209" s="21"/>
      <c r="Z3209" s="21"/>
      <c r="AA3209" s="21"/>
      <c r="AB3209" s="21"/>
      <c r="AC3209" s="26"/>
      <c r="AD3209" s="26"/>
      <c r="AE3209" s="65"/>
    </row>
    <row r="3210" spans="1:31" ht="13.5" customHeight="1" x14ac:dyDescent="0.35">
      <c r="A3210" s="49"/>
      <c r="B3210" s="49"/>
      <c r="C3210" s="14"/>
      <c r="D3210" s="1"/>
      <c r="E3210" s="153"/>
      <c r="F3210" s="10"/>
      <c r="G3210" s="21"/>
      <c r="H3210" s="21"/>
      <c r="I3210" s="21"/>
      <c r="J3210" s="21"/>
      <c r="K3210" s="21"/>
      <c r="L3210" s="21"/>
      <c r="M3210" s="21"/>
      <c r="N3210" s="22"/>
      <c r="O3210" s="21"/>
      <c r="P3210" s="22"/>
      <c r="Q3210" s="21"/>
      <c r="R3210" s="21"/>
      <c r="S3210" s="21"/>
      <c r="T3210" s="21"/>
      <c r="U3210" s="21"/>
      <c r="V3210" s="22"/>
      <c r="W3210" s="21"/>
      <c r="X3210" s="22"/>
      <c r="Y3210" s="21"/>
      <c r="Z3210" s="21"/>
      <c r="AA3210" s="21"/>
      <c r="AB3210" s="21"/>
      <c r="AC3210" s="26"/>
      <c r="AD3210" s="26"/>
      <c r="AE3210" s="62"/>
    </row>
    <row r="3211" spans="1:31" ht="13.5" customHeight="1" x14ac:dyDescent="0.35">
      <c r="A3211" s="49"/>
      <c r="B3211" s="49"/>
      <c r="C3211" s="14"/>
      <c r="D3211" s="1"/>
      <c r="E3211" s="153"/>
      <c r="F3211" s="10"/>
      <c r="G3211" s="21"/>
      <c r="H3211" s="21"/>
      <c r="I3211" s="21"/>
      <c r="J3211" s="21"/>
      <c r="K3211" s="21"/>
      <c r="L3211" s="21"/>
      <c r="M3211" s="21"/>
      <c r="N3211" s="22"/>
      <c r="O3211" s="21"/>
      <c r="P3211" s="22"/>
      <c r="Q3211" s="21"/>
      <c r="R3211" s="21"/>
      <c r="S3211" s="21"/>
      <c r="T3211" s="21"/>
      <c r="U3211" s="21"/>
      <c r="V3211" s="22"/>
      <c r="W3211" s="21"/>
      <c r="X3211" s="22"/>
      <c r="Y3211" s="21"/>
      <c r="Z3211" s="21"/>
      <c r="AA3211" s="21"/>
      <c r="AB3211" s="21"/>
      <c r="AC3211" s="26"/>
      <c r="AD3211" s="26"/>
      <c r="AE3211" s="62"/>
    </row>
    <row r="3212" spans="1:31" ht="13.5" customHeight="1" x14ac:dyDescent="0.35">
      <c r="A3212" s="49"/>
      <c r="B3212" s="49"/>
      <c r="C3212" s="14"/>
      <c r="D3212" s="1"/>
      <c r="E3212" s="153"/>
      <c r="F3212" s="10"/>
      <c r="G3212" s="21"/>
      <c r="H3212" s="21"/>
      <c r="I3212" s="21"/>
      <c r="J3212" s="21"/>
      <c r="K3212" s="21"/>
      <c r="L3212" s="21"/>
      <c r="M3212" s="21"/>
      <c r="N3212" s="22"/>
      <c r="O3212" s="21"/>
      <c r="P3212" s="22"/>
      <c r="Q3212" s="21"/>
      <c r="R3212" s="21"/>
      <c r="S3212" s="21"/>
      <c r="T3212" s="21"/>
      <c r="U3212" s="21"/>
      <c r="V3212" s="22"/>
      <c r="W3212" s="21"/>
      <c r="X3212" s="22"/>
      <c r="Y3212" s="21"/>
      <c r="Z3212" s="21"/>
      <c r="AA3212" s="21"/>
      <c r="AB3212" s="21"/>
      <c r="AC3212" s="26"/>
      <c r="AD3212" s="26"/>
      <c r="AE3212" s="62"/>
    </row>
    <row r="3213" spans="1:31" ht="13.5" customHeight="1" x14ac:dyDescent="0.35">
      <c r="A3213" s="49"/>
      <c r="B3213" s="49"/>
      <c r="C3213" s="14"/>
      <c r="D3213" s="1"/>
      <c r="E3213" s="153"/>
      <c r="F3213" s="10"/>
      <c r="G3213" s="21"/>
      <c r="H3213" s="21"/>
      <c r="I3213" s="21"/>
      <c r="J3213" s="21"/>
      <c r="K3213" s="21"/>
      <c r="L3213" s="21"/>
      <c r="M3213" s="21"/>
      <c r="N3213" s="22"/>
      <c r="O3213" s="21"/>
      <c r="P3213" s="22"/>
      <c r="Q3213" s="21"/>
      <c r="R3213" s="21"/>
      <c r="S3213" s="21"/>
      <c r="T3213" s="21"/>
      <c r="U3213" s="21"/>
      <c r="V3213" s="22"/>
      <c r="W3213" s="21"/>
      <c r="X3213" s="22"/>
      <c r="Y3213" s="21"/>
      <c r="Z3213" s="21"/>
      <c r="AA3213" s="21"/>
      <c r="AB3213" s="21"/>
      <c r="AC3213" s="26"/>
      <c r="AD3213" s="26"/>
      <c r="AE3213" s="62"/>
    </row>
    <row r="3214" spans="1:31" x14ac:dyDescent="0.3">
      <c r="A3214" s="6"/>
      <c r="B3214" s="6"/>
      <c r="C3214" s="39"/>
      <c r="D3214" s="6"/>
      <c r="E3214" s="153"/>
      <c r="F3214" s="10"/>
      <c r="G3214" s="2"/>
      <c r="H3214" s="3"/>
      <c r="I3214" s="2"/>
      <c r="J3214" s="2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</row>
    <row r="3215" spans="1:31" x14ac:dyDescent="0.3">
      <c r="A3215" s="63"/>
      <c r="B3215" s="63"/>
      <c r="C3215" s="39"/>
      <c r="D3215" s="6"/>
      <c r="E3215" s="153"/>
      <c r="F3215" s="10"/>
      <c r="G3215" s="64"/>
      <c r="H3215" s="3"/>
      <c r="I3215" s="2"/>
      <c r="J3215" s="2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</row>
    <row r="3216" spans="1:31" ht="13.5" customHeight="1" x14ac:dyDescent="0.35">
      <c r="A3216" s="49"/>
      <c r="B3216" s="49"/>
      <c r="C3216" s="14"/>
      <c r="D3216" s="1"/>
      <c r="E3216" s="153"/>
      <c r="F3216" s="10"/>
      <c r="G3216" s="21"/>
      <c r="H3216" s="21"/>
      <c r="I3216" s="21"/>
      <c r="J3216" s="21"/>
      <c r="K3216" s="21"/>
      <c r="L3216" s="21"/>
      <c r="M3216" s="21"/>
      <c r="N3216" s="22"/>
      <c r="O3216" s="21"/>
      <c r="P3216" s="22"/>
      <c r="Q3216" s="21"/>
      <c r="R3216" s="21"/>
      <c r="S3216" s="21"/>
      <c r="T3216" s="21"/>
      <c r="U3216" s="21"/>
      <c r="V3216" s="22"/>
      <c r="W3216" s="21"/>
      <c r="X3216" s="22"/>
      <c r="Y3216" s="21"/>
      <c r="Z3216" s="21"/>
      <c r="AA3216" s="21"/>
      <c r="AB3216" s="21"/>
      <c r="AC3216" s="26"/>
      <c r="AD3216" s="26"/>
      <c r="AE3216" s="62"/>
    </row>
    <row r="3217" spans="1:31" ht="13.5" customHeight="1" x14ac:dyDescent="0.35">
      <c r="A3217" s="49"/>
      <c r="B3217" s="49"/>
      <c r="C3217" s="39"/>
      <c r="D3217" s="1"/>
      <c r="E3217" s="153"/>
      <c r="F3217" s="10"/>
      <c r="G3217" s="21"/>
      <c r="H3217" s="21"/>
      <c r="I3217" s="21"/>
      <c r="J3217" s="21"/>
      <c r="K3217" s="21"/>
      <c r="L3217" s="21"/>
      <c r="M3217" s="21"/>
      <c r="N3217" s="22"/>
      <c r="O3217" s="21"/>
      <c r="P3217" s="22"/>
      <c r="Q3217" s="21"/>
      <c r="R3217" s="21"/>
      <c r="S3217" s="21"/>
      <c r="T3217" s="21"/>
      <c r="U3217" s="21"/>
      <c r="V3217" s="22"/>
      <c r="W3217" s="21"/>
      <c r="X3217" s="22"/>
      <c r="Y3217" s="21"/>
      <c r="Z3217" s="21"/>
      <c r="AA3217" s="21"/>
      <c r="AB3217" s="21"/>
      <c r="AC3217" s="26"/>
      <c r="AD3217" s="26"/>
      <c r="AE3217" s="62"/>
    </row>
    <row r="3218" spans="1:31" ht="13.5" customHeight="1" x14ac:dyDescent="0.35">
      <c r="A3218" s="49"/>
      <c r="B3218" s="49"/>
      <c r="C3218" s="39"/>
      <c r="D3218" s="1"/>
      <c r="E3218" s="153"/>
      <c r="F3218" s="10"/>
      <c r="G3218" s="21"/>
      <c r="H3218" s="21"/>
      <c r="I3218" s="21"/>
      <c r="J3218" s="21"/>
      <c r="K3218" s="21"/>
      <c r="L3218" s="21"/>
      <c r="M3218" s="21"/>
      <c r="N3218" s="22"/>
      <c r="O3218" s="21"/>
      <c r="P3218" s="22"/>
      <c r="Q3218" s="21"/>
      <c r="R3218" s="21"/>
      <c r="S3218" s="21"/>
      <c r="T3218" s="21"/>
      <c r="U3218" s="21"/>
      <c r="V3218" s="22"/>
      <c r="W3218" s="21"/>
      <c r="X3218" s="22"/>
      <c r="Y3218" s="21"/>
      <c r="Z3218" s="21"/>
      <c r="AA3218" s="21"/>
      <c r="AB3218" s="21"/>
      <c r="AC3218" s="26"/>
      <c r="AD3218" s="26"/>
      <c r="AE3218" s="62"/>
    </row>
    <row r="3219" spans="1:31" ht="13.5" customHeight="1" x14ac:dyDescent="0.35">
      <c r="A3219" s="49"/>
      <c r="B3219" s="49"/>
      <c r="C3219" s="39"/>
      <c r="D3219" s="1"/>
      <c r="E3219" s="153"/>
      <c r="F3219" s="10"/>
      <c r="G3219" s="21"/>
      <c r="H3219" s="21"/>
      <c r="I3219" s="21"/>
      <c r="J3219" s="21"/>
      <c r="K3219" s="21"/>
      <c r="L3219" s="21"/>
      <c r="M3219" s="21"/>
      <c r="N3219" s="22"/>
      <c r="O3219" s="21"/>
      <c r="P3219" s="22"/>
      <c r="Q3219" s="21"/>
      <c r="R3219" s="21"/>
      <c r="S3219" s="21"/>
      <c r="T3219" s="21"/>
      <c r="U3219" s="21"/>
      <c r="V3219" s="22"/>
      <c r="W3219" s="21"/>
      <c r="X3219" s="22"/>
      <c r="Y3219" s="21"/>
      <c r="Z3219" s="21"/>
      <c r="AA3219" s="21"/>
      <c r="AB3219" s="21"/>
      <c r="AC3219" s="26"/>
      <c r="AD3219" s="26"/>
      <c r="AE3219" s="65"/>
    </row>
    <row r="3220" spans="1:31" ht="13.5" customHeight="1" x14ac:dyDescent="0.35">
      <c r="A3220" s="49"/>
      <c r="B3220" s="49"/>
      <c r="C3220" s="14"/>
      <c r="D3220" s="1"/>
      <c r="E3220" s="153"/>
      <c r="F3220" s="10"/>
      <c r="G3220" s="21"/>
      <c r="H3220" s="21"/>
      <c r="I3220" s="21"/>
      <c r="J3220" s="21"/>
      <c r="K3220" s="21"/>
      <c r="L3220" s="21"/>
      <c r="M3220" s="21"/>
      <c r="N3220" s="22"/>
      <c r="O3220" s="21"/>
      <c r="P3220" s="22"/>
      <c r="Q3220" s="21"/>
      <c r="R3220" s="21"/>
      <c r="S3220" s="21"/>
      <c r="T3220" s="21"/>
      <c r="U3220" s="21"/>
      <c r="V3220" s="22"/>
      <c r="W3220" s="21"/>
      <c r="X3220" s="22"/>
      <c r="Y3220" s="21"/>
      <c r="Z3220" s="21"/>
      <c r="AA3220" s="21"/>
      <c r="AB3220" s="21"/>
      <c r="AC3220" s="26"/>
      <c r="AD3220" s="26"/>
      <c r="AE3220" s="62"/>
    </row>
    <row r="3221" spans="1:31" ht="13.5" customHeight="1" x14ac:dyDescent="0.35">
      <c r="A3221" s="49"/>
      <c r="B3221" s="49"/>
      <c r="C3221" s="14"/>
      <c r="D3221" s="1"/>
      <c r="E3221" s="153"/>
      <c r="F3221" s="10"/>
      <c r="G3221" s="21"/>
      <c r="H3221" s="21"/>
      <c r="I3221" s="21"/>
      <c r="J3221" s="21"/>
      <c r="K3221" s="21"/>
      <c r="L3221" s="21"/>
      <c r="M3221" s="21"/>
      <c r="N3221" s="22"/>
      <c r="O3221" s="21"/>
      <c r="P3221" s="22"/>
      <c r="Q3221" s="21"/>
      <c r="R3221" s="21"/>
      <c r="S3221" s="21"/>
      <c r="T3221" s="21"/>
      <c r="U3221" s="21"/>
      <c r="V3221" s="22"/>
      <c r="W3221" s="21"/>
      <c r="X3221" s="22"/>
      <c r="Y3221" s="21"/>
      <c r="Z3221" s="21"/>
      <c r="AA3221" s="21"/>
      <c r="AB3221" s="21"/>
      <c r="AC3221" s="26"/>
      <c r="AD3221" s="26"/>
      <c r="AE3221" s="65"/>
    </row>
    <row r="3222" spans="1:31" ht="13.5" customHeight="1" x14ac:dyDescent="0.35">
      <c r="A3222" s="49"/>
      <c r="B3222" s="49"/>
      <c r="C3222" s="14"/>
      <c r="D3222" s="1"/>
      <c r="E3222" s="153"/>
      <c r="F3222" s="10"/>
      <c r="G3222" s="21"/>
      <c r="H3222" s="21"/>
      <c r="I3222" s="21"/>
      <c r="J3222" s="21"/>
      <c r="K3222" s="21"/>
      <c r="L3222" s="21"/>
      <c r="M3222" s="21"/>
      <c r="N3222" s="22"/>
      <c r="O3222" s="21"/>
      <c r="P3222" s="22"/>
      <c r="Q3222" s="21"/>
      <c r="R3222" s="21"/>
      <c r="S3222" s="21"/>
      <c r="T3222" s="21"/>
      <c r="U3222" s="21"/>
      <c r="V3222" s="22"/>
      <c r="W3222" s="21"/>
      <c r="X3222" s="22"/>
      <c r="Y3222" s="21"/>
      <c r="Z3222" s="21"/>
      <c r="AA3222" s="21"/>
      <c r="AB3222" s="21"/>
      <c r="AC3222" s="26"/>
      <c r="AD3222" s="26"/>
      <c r="AE3222" s="62"/>
    </row>
    <row r="3223" spans="1:31" ht="13.5" customHeight="1" x14ac:dyDescent="0.35">
      <c r="A3223" s="49"/>
      <c r="B3223" s="49"/>
      <c r="C3223" s="14"/>
      <c r="D3223" s="1"/>
      <c r="E3223" s="153"/>
      <c r="F3223" s="10"/>
      <c r="G3223" s="21"/>
      <c r="H3223" s="21"/>
      <c r="I3223" s="21"/>
      <c r="J3223" s="21"/>
      <c r="K3223" s="21"/>
      <c r="L3223" s="21"/>
      <c r="M3223" s="21"/>
      <c r="N3223" s="22"/>
      <c r="O3223" s="21"/>
      <c r="P3223" s="22"/>
      <c r="Q3223" s="21"/>
      <c r="R3223" s="21"/>
      <c r="S3223" s="21"/>
      <c r="T3223" s="21"/>
      <c r="U3223" s="21"/>
      <c r="V3223" s="22"/>
      <c r="W3223" s="21"/>
      <c r="X3223" s="22"/>
      <c r="Y3223" s="21"/>
      <c r="Z3223" s="21"/>
      <c r="AA3223" s="21"/>
      <c r="AB3223" s="21"/>
      <c r="AC3223" s="26"/>
      <c r="AD3223" s="26"/>
      <c r="AE3223" s="65"/>
    </row>
    <row r="3224" spans="1:31" ht="13.5" customHeight="1" x14ac:dyDescent="0.35">
      <c r="A3224" s="49"/>
      <c r="B3224" s="49"/>
      <c r="C3224" s="14"/>
      <c r="D3224" s="1"/>
      <c r="E3224" s="153"/>
      <c r="F3224" s="10"/>
      <c r="G3224" s="21"/>
      <c r="H3224" s="21"/>
      <c r="I3224" s="21"/>
      <c r="J3224" s="21"/>
      <c r="K3224" s="21"/>
      <c r="L3224" s="21"/>
      <c r="M3224" s="21"/>
      <c r="N3224" s="22"/>
      <c r="O3224" s="21"/>
      <c r="P3224" s="22"/>
      <c r="Q3224" s="21"/>
      <c r="R3224" s="21"/>
      <c r="S3224" s="21"/>
      <c r="T3224" s="21"/>
      <c r="U3224" s="21"/>
      <c r="V3224" s="22"/>
      <c r="W3224" s="21"/>
      <c r="X3224" s="22"/>
      <c r="Y3224" s="21"/>
      <c r="Z3224" s="21"/>
      <c r="AA3224" s="21"/>
      <c r="AB3224" s="21"/>
      <c r="AC3224" s="26"/>
      <c r="AD3224" s="26"/>
      <c r="AE3224" s="62"/>
    </row>
    <row r="3225" spans="1:31" x14ac:dyDescent="0.3">
      <c r="A3225" s="6"/>
      <c r="B3225" s="6"/>
      <c r="C3225" s="39"/>
      <c r="D3225" s="6"/>
      <c r="E3225" s="153"/>
      <c r="F3225" s="10"/>
      <c r="G3225" s="2"/>
      <c r="H3225" s="3"/>
      <c r="I3225" s="2"/>
      <c r="J3225" s="2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</row>
    <row r="3226" spans="1:31" ht="13.5" customHeight="1" x14ac:dyDescent="0.35">
      <c r="A3226" s="49"/>
      <c r="B3226" s="49"/>
      <c r="C3226" s="39"/>
      <c r="D3226" s="1"/>
      <c r="E3226" s="153"/>
      <c r="F3226" s="10"/>
      <c r="G3226" s="21"/>
      <c r="H3226" s="21"/>
      <c r="I3226" s="21"/>
      <c r="J3226" s="21"/>
      <c r="K3226" s="21"/>
      <c r="L3226" s="21"/>
      <c r="M3226" s="21"/>
      <c r="N3226" s="22"/>
      <c r="O3226" s="21"/>
      <c r="P3226" s="22"/>
      <c r="Q3226" s="21"/>
      <c r="R3226" s="21"/>
      <c r="S3226" s="21"/>
      <c r="T3226" s="21"/>
      <c r="U3226" s="21"/>
      <c r="V3226" s="22"/>
      <c r="W3226" s="21"/>
      <c r="X3226" s="22"/>
      <c r="Y3226" s="21"/>
      <c r="Z3226" s="21"/>
      <c r="AA3226" s="21"/>
      <c r="AB3226" s="21"/>
      <c r="AC3226" s="26"/>
      <c r="AD3226" s="26"/>
      <c r="AE3226" s="62"/>
    </row>
    <row r="3227" spans="1:31" ht="13.5" customHeight="1" x14ac:dyDescent="0.35">
      <c r="A3227" s="49"/>
      <c r="B3227" s="49"/>
      <c r="C3227" s="14"/>
      <c r="D3227" s="1"/>
      <c r="E3227" s="153"/>
      <c r="F3227" s="10"/>
      <c r="G3227" s="21"/>
      <c r="H3227" s="21"/>
      <c r="I3227" s="21"/>
      <c r="J3227" s="21"/>
      <c r="K3227" s="21"/>
      <c r="L3227" s="21"/>
      <c r="M3227" s="21"/>
      <c r="N3227" s="22"/>
      <c r="O3227" s="21"/>
      <c r="P3227" s="22"/>
      <c r="Q3227" s="21"/>
      <c r="R3227" s="21"/>
      <c r="S3227" s="21"/>
      <c r="T3227" s="21"/>
      <c r="U3227" s="21"/>
      <c r="V3227" s="22"/>
      <c r="W3227" s="21"/>
      <c r="X3227" s="22"/>
      <c r="Y3227" s="21"/>
      <c r="Z3227" s="21"/>
      <c r="AA3227" s="21"/>
      <c r="AB3227" s="21"/>
      <c r="AC3227" s="26"/>
      <c r="AD3227" s="26"/>
      <c r="AE3227" s="62"/>
    </row>
    <row r="3228" spans="1:31" ht="13.5" customHeight="1" x14ac:dyDescent="0.35">
      <c r="A3228" s="49"/>
      <c r="B3228" s="49"/>
      <c r="C3228" s="39"/>
      <c r="D3228" s="1"/>
      <c r="E3228" s="153"/>
      <c r="F3228" s="10"/>
      <c r="G3228" s="21"/>
      <c r="H3228" s="21"/>
      <c r="I3228" s="21"/>
      <c r="J3228" s="21"/>
      <c r="K3228" s="21"/>
      <c r="L3228" s="21"/>
      <c r="M3228" s="21"/>
      <c r="N3228" s="22"/>
      <c r="O3228" s="21"/>
      <c r="P3228" s="22"/>
      <c r="Q3228" s="21"/>
      <c r="R3228" s="21"/>
      <c r="S3228" s="21"/>
      <c r="T3228" s="21"/>
      <c r="U3228" s="21"/>
      <c r="V3228" s="22"/>
      <c r="W3228" s="21"/>
      <c r="X3228" s="22"/>
      <c r="Y3228" s="21"/>
      <c r="Z3228" s="21"/>
      <c r="AA3228" s="21"/>
      <c r="AB3228" s="21"/>
      <c r="AC3228" s="26"/>
      <c r="AD3228" s="26"/>
      <c r="AE3228" s="62"/>
    </row>
    <row r="3229" spans="1:31" ht="13.5" customHeight="1" x14ac:dyDescent="0.35">
      <c r="A3229" s="49"/>
      <c r="B3229" s="49"/>
      <c r="C3229" s="14"/>
      <c r="D3229" s="1"/>
      <c r="E3229" s="153"/>
      <c r="F3229" s="10"/>
      <c r="G3229" s="21"/>
      <c r="H3229" s="21"/>
      <c r="I3229" s="21"/>
      <c r="J3229" s="21"/>
      <c r="K3229" s="21"/>
      <c r="L3229" s="21"/>
      <c r="M3229" s="21"/>
      <c r="N3229" s="22"/>
      <c r="O3229" s="21"/>
      <c r="P3229" s="22"/>
      <c r="Q3229" s="21"/>
      <c r="R3229" s="21"/>
      <c r="S3229" s="21"/>
      <c r="T3229" s="21"/>
      <c r="U3229" s="21"/>
      <c r="V3229" s="22"/>
      <c r="W3229" s="21"/>
      <c r="X3229" s="22"/>
      <c r="Y3229" s="21"/>
      <c r="Z3229" s="21"/>
      <c r="AA3229" s="21"/>
      <c r="AB3229" s="21"/>
      <c r="AC3229" s="26"/>
      <c r="AD3229" s="26"/>
      <c r="AE3229" s="62"/>
    </row>
    <row r="3230" spans="1:31" x14ac:dyDescent="0.3">
      <c r="A3230" s="63"/>
      <c r="B3230" s="63"/>
      <c r="C3230" s="39"/>
      <c r="D3230" s="6"/>
      <c r="E3230" s="153"/>
      <c r="F3230" s="10"/>
      <c r="G3230" s="64"/>
      <c r="H3230" s="3"/>
      <c r="I3230" s="2"/>
      <c r="J3230" s="2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</row>
    <row r="3231" spans="1:31" x14ac:dyDescent="0.3">
      <c r="A3231" s="6"/>
      <c r="B3231" s="6"/>
      <c r="C3231" s="39"/>
      <c r="D3231" s="6"/>
      <c r="E3231" s="153"/>
      <c r="F3231" s="10"/>
      <c r="G3231" s="2"/>
      <c r="H3231" s="3"/>
      <c r="I3231" s="2"/>
      <c r="J3231" s="2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</row>
    <row r="3232" spans="1:31" x14ac:dyDescent="0.3">
      <c r="A3232" s="6"/>
      <c r="B3232" s="6"/>
      <c r="C3232" s="39"/>
      <c r="D3232" s="6"/>
      <c r="E3232" s="153"/>
      <c r="F3232" s="10"/>
      <c r="G3232" s="2"/>
      <c r="H3232" s="3"/>
      <c r="I3232" s="2"/>
      <c r="J3232" s="2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</row>
    <row r="3233" spans="1:31" x14ac:dyDescent="0.3">
      <c r="A3233" s="6"/>
      <c r="B3233" s="6"/>
      <c r="C3233" s="39"/>
      <c r="D3233" s="6"/>
      <c r="E3233" s="153"/>
      <c r="F3233" s="10"/>
      <c r="G3233" s="2"/>
      <c r="H3233" s="3"/>
      <c r="I3233" s="2"/>
      <c r="J3233" s="2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</row>
    <row r="3234" spans="1:31" ht="15" x14ac:dyDescent="0.35">
      <c r="A3234" s="6"/>
      <c r="B3234" s="6"/>
      <c r="C3234" s="39"/>
      <c r="D3234" s="6"/>
      <c r="E3234" s="153"/>
      <c r="F3234" s="10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21"/>
      <c r="R3234" s="21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65"/>
    </row>
    <row r="3235" spans="1:31" x14ac:dyDescent="0.3">
      <c r="A3235" s="6"/>
      <c r="B3235" s="6"/>
      <c r="C3235" s="39"/>
      <c r="D3235" s="6"/>
      <c r="E3235" s="153"/>
      <c r="F3235" s="10"/>
      <c r="G3235" s="2"/>
      <c r="H3235" s="3"/>
      <c r="I3235" s="2"/>
      <c r="J3235" s="2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</row>
    <row r="3236" spans="1:31" x14ac:dyDescent="0.3">
      <c r="A3236" s="6"/>
      <c r="B3236" s="6"/>
      <c r="C3236" s="39"/>
      <c r="D3236" s="6"/>
      <c r="E3236" s="153"/>
      <c r="F3236" s="10"/>
      <c r="G3236" s="2"/>
      <c r="H3236" s="3"/>
      <c r="I3236" s="2"/>
      <c r="J3236" s="2"/>
      <c r="K3236" s="3"/>
      <c r="L3236" s="3"/>
      <c r="M3236" s="3"/>
      <c r="N3236" s="3"/>
      <c r="O3236" s="3"/>
      <c r="P3236" s="3"/>
      <c r="Q3236" s="21"/>
      <c r="R3236" s="21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</row>
    <row r="3237" spans="1:31" x14ac:dyDescent="0.3">
      <c r="A3237" s="63"/>
      <c r="B3237" s="63"/>
      <c r="C3237" s="39"/>
      <c r="D3237" s="6"/>
      <c r="E3237" s="153"/>
      <c r="F3237" s="10"/>
      <c r="G3237" s="64"/>
      <c r="H3237" s="3"/>
      <c r="I3237" s="2"/>
      <c r="J3237" s="2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</row>
    <row r="3238" spans="1:31" x14ac:dyDescent="0.3">
      <c r="A3238" s="6"/>
      <c r="B3238" s="6"/>
      <c r="C3238" s="39"/>
      <c r="D3238" s="6"/>
      <c r="E3238" s="153"/>
      <c r="F3238" s="10"/>
      <c r="G3238" s="2"/>
      <c r="H3238" s="3"/>
      <c r="I3238" s="2"/>
      <c r="J3238" s="2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</row>
    <row r="3239" spans="1:31" ht="15" x14ac:dyDescent="0.35">
      <c r="A3239" s="63"/>
      <c r="B3239" s="63"/>
      <c r="C3239" s="39"/>
      <c r="D3239" s="6"/>
      <c r="E3239" s="153"/>
      <c r="F3239" s="10"/>
      <c r="G3239" s="64"/>
      <c r="H3239" s="3"/>
      <c r="I3239" s="2"/>
      <c r="J3239" s="2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65"/>
    </row>
    <row r="3240" spans="1:31" ht="15" x14ac:dyDescent="0.35">
      <c r="A3240" s="63"/>
      <c r="B3240" s="63"/>
      <c r="C3240" s="39"/>
      <c r="D3240" s="6"/>
      <c r="E3240" s="153"/>
      <c r="F3240" s="10"/>
      <c r="G3240" s="64"/>
      <c r="H3240" s="3"/>
      <c r="I3240" s="2"/>
      <c r="J3240" s="2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65"/>
    </row>
    <row r="3241" spans="1:31" ht="15" x14ac:dyDescent="0.35">
      <c r="A3241" s="6"/>
      <c r="B3241" s="6"/>
      <c r="C3241" s="39"/>
      <c r="D3241" s="6"/>
      <c r="E3241" s="153"/>
      <c r="F3241" s="10"/>
      <c r="G3241" s="2"/>
      <c r="H3241" s="3"/>
      <c r="I3241" s="2"/>
      <c r="J3241" s="2"/>
      <c r="K3241" s="3"/>
      <c r="L3241" s="3"/>
      <c r="M3241" s="3"/>
      <c r="N3241" s="3"/>
      <c r="O3241" s="3"/>
      <c r="P3241" s="3"/>
      <c r="Q3241" s="21"/>
      <c r="R3241" s="21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65"/>
    </row>
    <row r="3242" spans="1:31" x14ac:dyDescent="0.3">
      <c r="A3242" s="63"/>
      <c r="B3242" s="63"/>
      <c r="C3242" s="39"/>
      <c r="D3242" s="6"/>
      <c r="E3242" s="153"/>
      <c r="F3242" s="10"/>
      <c r="G3242" s="64"/>
      <c r="H3242" s="3"/>
      <c r="I3242" s="2"/>
      <c r="J3242" s="2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</row>
    <row r="3243" spans="1:31" ht="15" x14ac:dyDescent="0.35">
      <c r="A3243" s="63"/>
      <c r="B3243" s="63"/>
      <c r="C3243" s="39"/>
      <c r="D3243" s="6"/>
      <c r="E3243" s="153"/>
      <c r="F3243" s="10"/>
      <c r="G3243" s="64"/>
      <c r="H3243" s="3"/>
      <c r="I3243" s="2"/>
      <c r="J3243" s="2"/>
      <c r="K3243" s="3"/>
      <c r="L3243" s="3"/>
      <c r="M3243" s="3"/>
      <c r="N3243" s="3"/>
      <c r="O3243" s="3"/>
      <c r="P3243" s="3"/>
      <c r="Q3243" s="21"/>
      <c r="R3243" s="21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65"/>
    </row>
    <row r="3244" spans="1:31" x14ac:dyDescent="0.3">
      <c r="A3244" s="6"/>
      <c r="B3244" s="6"/>
      <c r="C3244" s="39"/>
      <c r="D3244" s="6"/>
      <c r="E3244" s="153"/>
      <c r="F3244" s="10"/>
      <c r="G3244" s="2"/>
      <c r="H3244" s="3"/>
      <c r="I3244" s="2"/>
      <c r="J3244" s="2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</row>
    <row r="3245" spans="1:31" ht="15" x14ac:dyDescent="0.35">
      <c r="A3245" s="6"/>
      <c r="B3245" s="6"/>
      <c r="C3245" s="39"/>
      <c r="D3245" s="6"/>
      <c r="E3245" s="153"/>
      <c r="F3245" s="10"/>
      <c r="G3245" s="2"/>
      <c r="H3245" s="3"/>
      <c r="I3245" s="2"/>
      <c r="J3245" s="2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65"/>
    </row>
    <row r="3246" spans="1:31" ht="13.5" customHeight="1" x14ac:dyDescent="0.35">
      <c r="A3246" s="49"/>
      <c r="B3246" s="49"/>
      <c r="C3246" s="14"/>
      <c r="D3246" s="1"/>
      <c r="E3246" s="153"/>
      <c r="F3246" s="10"/>
      <c r="G3246" s="21"/>
      <c r="H3246" s="21"/>
      <c r="I3246" s="21"/>
      <c r="J3246" s="21"/>
      <c r="K3246" s="21"/>
      <c r="L3246" s="21"/>
      <c r="M3246" s="21"/>
      <c r="N3246" s="22"/>
      <c r="O3246" s="21"/>
      <c r="P3246" s="22"/>
      <c r="Q3246" s="21"/>
      <c r="R3246" s="21"/>
      <c r="S3246" s="21"/>
      <c r="T3246" s="21"/>
      <c r="U3246" s="21"/>
      <c r="V3246" s="22"/>
      <c r="W3246" s="21"/>
      <c r="X3246" s="22"/>
      <c r="Y3246" s="21"/>
      <c r="Z3246" s="21"/>
      <c r="AA3246" s="21"/>
      <c r="AB3246" s="21"/>
      <c r="AC3246" s="26"/>
      <c r="AD3246" s="26"/>
      <c r="AE3246" s="62"/>
    </row>
    <row r="3247" spans="1:31" ht="13.5" customHeight="1" x14ac:dyDescent="0.35">
      <c r="A3247" s="49"/>
      <c r="B3247" s="49"/>
      <c r="C3247" s="14"/>
      <c r="D3247" s="1"/>
      <c r="E3247" s="153"/>
      <c r="F3247" s="10"/>
      <c r="G3247" s="21"/>
      <c r="H3247" s="21"/>
      <c r="I3247" s="21"/>
      <c r="J3247" s="21"/>
      <c r="K3247" s="21"/>
      <c r="L3247" s="21"/>
      <c r="M3247" s="21"/>
      <c r="N3247" s="22"/>
      <c r="O3247" s="21"/>
      <c r="P3247" s="22"/>
      <c r="Q3247" s="21"/>
      <c r="R3247" s="21"/>
      <c r="S3247" s="21"/>
      <c r="T3247" s="21"/>
      <c r="U3247" s="21"/>
      <c r="V3247" s="22"/>
      <c r="W3247" s="21"/>
      <c r="X3247" s="22"/>
      <c r="Y3247" s="21"/>
      <c r="Z3247" s="21"/>
      <c r="AA3247" s="21"/>
      <c r="AB3247" s="21"/>
      <c r="AC3247" s="26"/>
      <c r="AD3247" s="26"/>
      <c r="AE3247" s="62"/>
    </row>
    <row r="3248" spans="1:31" ht="13.5" customHeight="1" x14ac:dyDescent="0.35">
      <c r="A3248" s="49"/>
      <c r="B3248" s="49"/>
      <c r="C3248" s="14"/>
      <c r="D3248" s="1"/>
      <c r="E3248" s="153"/>
      <c r="F3248" s="10"/>
      <c r="G3248" s="21"/>
      <c r="H3248" s="21"/>
      <c r="I3248" s="21"/>
      <c r="J3248" s="21"/>
      <c r="K3248" s="21"/>
      <c r="L3248" s="21"/>
      <c r="M3248" s="21"/>
      <c r="N3248" s="22"/>
      <c r="O3248" s="21"/>
      <c r="P3248" s="22"/>
      <c r="Q3248" s="21"/>
      <c r="R3248" s="21"/>
      <c r="S3248" s="21"/>
      <c r="T3248" s="21"/>
      <c r="U3248" s="21"/>
      <c r="V3248" s="22"/>
      <c r="W3248" s="21"/>
      <c r="X3248" s="22"/>
      <c r="Y3248" s="21"/>
      <c r="Z3248" s="21"/>
      <c r="AA3248" s="21"/>
      <c r="AB3248" s="21"/>
      <c r="AC3248" s="26"/>
      <c r="AD3248" s="26"/>
      <c r="AE3248" s="65"/>
    </row>
    <row r="3249" spans="1:31" ht="13.5" customHeight="1" x14ac:dyDescent="0.35">
      <c r="A3249" s="6"/>
      <c r="B3249" s="6"/>
      <c r="C3249" s="39"/>
      <c r="D3249" s="6"/>
      <c r="E3249" s="153"/>
      <c r="F3249" s="10"/>
      <c r="G3249" s="2"/>
      <c r="H3249" s="3"/>
      <c r="I3249" s="2"/>
      <c r="J3249" s="2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65"/>
    </row>
    <row r="3250" spans="1:31" ht="13.5" customHeight="1" x14ac:dyDescent="0.35">
      <c r="A3250" s="49"/>
      <c r="B3250" s="49"/>
      <c r="C3250" s="14"/>
      <c r="D3250" s="1"/>
      <c r="E3250" s="153"/>
      <c r="F3250" s="10"/>
      <c r="G3250" s="21"/>
      <c r="H3250" s="21"/>
      <c r="I3250" s="21"/>
      <c r="J3250" s="21"/>
      <c r="K3250" s="21"/>
      <c r="L3250" s="21"/>
      <c r="M3250" s="21"/>
      <c r="N3250" s="22"/>
      <c r="O3250" s="21"/>
      <c r="P3250" s="22"/>
      <c r="Q3250" s="21"/>
      <c r="R3250" s="21"/>
      <c r="S3250" s="21"/>
      <c r="T3250" s="21"/>
      <c r="U3250" s="21"/>
      <c r="V3250" s="22"/>
      <c r="W3250" s="21"/>
      <c r="X3250" s="22"/>
      <c r="Y3250" s="21"/>
      <c r="Z3250" s="21"/>
      <c r="AA3250" s="21"/>
      <c r="AB3250" s="21"/>
      <c r="AC3250" s="26"/>
      <c r="AD3250" s="26"/>
      <c r="AE3250" s="65"/>
    </row>
    <row r="3251" spans="1:31" ht="13.5" customHeight="1" x14ac:dyDescent="0.35">
      <c r="A3251" s="49"/>
      <c r="B3251" s="49"/>
      <c r="C3251" s="14"/>
      <c r="D3251" s="1"/>
      <c r="E3251" s="153"/>
      <c r="F3251" s="10"/>
      <c r="G3251" s="21"/>
      <c r="H3251" s="21"/>
      <c r="I3251" s="21"/>
      <c r="J3251" s="21"/>
      <c r="K3251" s="21"/>
      <c r="L3251" s="21"/>
      <c r="M3251" s="21"/>
      <c r="N3251" s="22"/>
      <c r="O3251" s="21"/>
      <c r="P3251" s="22"/>
      <c r="Q3251" s="21"/>
      <c r="R3251" s="21"/>
      <c r="S3251" s="21"/>
      <c r="T3251" s="21"/>
      <c r="U3251" s="21"/>
      <c r="V3251" s="22"/>
      <c r="W3251" s="21"/>
      <c r="X3251" s="22"/>
      <c r="Y3251" s="21"/>
      <c r="Z3251" s="21"/>
      <c r="AA3251" s="21"/>
      <c r="AB3251" s="21"/>
      <c r="AC3251" s="26"/>
      <c r="AD3251" s="26"/>
      <c r="AE3251" s="62"/>
    </row>
    <row r="3252" spans="1:31" ht="13.5" customHeight="1" x14ac:dyDescent="0.35">
      <c r="A3252" s="49"/>
      <c r="B3252" s="49"/>
      <c r="C3252" s="14"/>
      <c r="D3252" s="1"/>
      <c r="E3252" s="153"/>
      <c r="F3252" s="10"/>
      <c r="G3252" s="21"/>
      <c r="H3252" s="21"/>
      <c r="I3252" s="21"/>
      <c r="J3252" s="21"/>
      <c r="K3252" s="21"/>
      <c r="L3252" s="21"/>
      <c r="M3252" s="21"/>
      <c r="N3252" s="22"/>
      <c r="O3252" s="21"/>
      <c r="P3252" s="22"/>
      <c r="Q3252" s="21"/>
      <c r="R3252" s="21"/>
      <c r="S3252" s="21"/>
      <c r="T3252" s="21"/>
      <c r="U3252" s="21"/>
      <c r="V3252" s="22"/>
      <c r="W3252" s="21"/>
      <c r="X3252" s="22"/>
      <c r="Y3252" s="21"/>
      <c r="Z3252" s="21"/>
      <c r="AA3252" s="21"/>
      <c r="AB3252" s="21"/>
      <c r="AC3252" s="26"/>
      <c r="AD3252" s="26"/>
      <c r="AE3252" s="65"/>
    </row>
    <row r="3253" spans="1:31" ht="13.5" customHeight="1" x14ac:dyDescent="0.35">
      <c r="A3253" s="49"/>
      <c r="B3253" s="49"/>
      <c r="C3253" s="14"/>
      <c r="D3253" s="1"/>
      <c r="E3253" s="153"/>
      <c r="F3253" s="10"/>
      <c r="G3253" s="21"/>
      <c r="H3253" s="21"/>
      <c r="I3253" s="21"/>
      <c r="J3253" s="21"/>
      <c r="K3253" s="21"/>
      <c r="L3253" s="21"/>
      <c r="M3253" s="21"/>
      <c r="N3253" s="22"/>
      <c r="O3253" s="21"/>
      <c r="P3253" s="22"/>
      <c r="Q3253" s="21"/>
      <c r="R3253" s="21"/>
      <c r="S3253" s="21"/>
      <c r="T3253" s="21"/>
      <c r="U3253" s="21"/>
      <c r="V3253" s="22"/>
      <c r="W3253" s="21"/>
      <c r="X3253" s="22"/>
      <c r="Y3253" s="21"/>
      <c r="Z3253" s="21"/>
      <c r="AA3253" s="21"/>
      <c r="AB3253" s="21"/>
      <c r="AC3253" s="26"/>
      <c r="AD3253" s="26"/>
      <c r="AE3253" s="62"/>
    </row>
    <row r="3254" spans="1:31" ht="13.5" customHeight="1" x14ac:dyDescent="0.35">
      <c r="A3254" s="49"/>
      <c r="B3254" s="49"/>
      <c r="C3254" s="14"/>
      <c r="D3254" s="1"/>
      <c r="E3254" s="153"/>
      <c r="F3254" s="10"/>
      <c r="G3254" s="21"/>
      <c r="H3254" s="21"/>
      <c r="I3254" s="21"/>
      <c r="J3254" s="21"/>
      <c r="K3254" s="21"/>
      <c r="L3254" s="21"/>
      <c r="M3254" s="21"/>
      <c r="N3254" s="22"/>
      <c r="O3254" s="21"/>
      <c r="P3254" s="22"/>
      <c r="Q3254" s="21"/>
      <c r="R3254" s="21"/>
      <c r="S3254" s="21"/>
      <c r="T3254" s="21"/>
      <c r="U3254" s="21"/>
      <c r="V3254" s="22"/>
      <c r="W3254" s="21"/>
      <c r="X3254" s="22"/>
      <c r="Y3254" s="21"/>
      <c r="Z3254" s="21"/>
      <c r="AA3254" s="21"/>
      <c r="AB3254" s="21"/>
      <c r="AC3254" s="26"/>
      <c r="AD3254" s="26"/>
      <c r="AE3254" s="65"/>
    </row>
    <row r="3255" spans="1:31" ht="13.5" customHeight="1" x14ac:dyDescent="0.35">
      <c r="A3255" s="49"/>
      <c r="B3255" s="49"/>
      <c r="C3255" s="14"/>
      <c r="D3255" s="1"/>
      <c r="E3255" s="153"/>
      <c r="F3255" s="10"/>
      <c r="G3255" s="21"/>
      <c r="H3255" s="21"/>
      <c r="I3255" s="21"/>
      <c r="J3255" s="21"/>
      <c r="K3255" s="21"/>
      <c r="L3255" s="21"/>
      <c r="M3255" s="21"/>
      <c r="N3255" s="22"/>
      <c r="O3255" s="21"/>
      <c r="P3255" s="22"/>
      <c r="Q3255" s="21"/>
      <c r="R3255" s="21"/>
      <c r="S3255" s="21"/>
      <c r="T3255" s="21"/>
      <c r="U3255" s="21"/>
      <c r="V3255" s="22"/>
      <c r="W3255" s="21"/>
      <c r="X3255" s="22"/>
      <c r="Y3255" s="21"/>
      <c r="Z3255" s="21"/>
      <c r="AA3255" s="21"/>
      <c r="AB3255" s="21"/>
      <c r="AC3255" s="26"/>
      <c r="AD3255" s="26"/>
      <c r="AE3255" s="62"/>
    </row>
    <row r="3256" spans="1:31" ht="13.5" customHeight="1" x14ac:dyDescent="0.35">
      <c r="A3256" s="49"/>
      <c r="B3256" s="49"/>
      <c r="C3256" s="14"/>
      <c r="D3256" s="1"/>
      <c r="E3256" s="153"/>
      <c r="F3256" s="10"/>
      <c r="G3256" s="21"/>
      <c r="H3256" s="21"/>
      <c r="I3256" s="21"/>
      <c r="J3256" s="21"/>
      <c r="K3256" s="21"/>
      <c r="L3256" s="21"/>
      <c r="M3256" s="21"/>
      <c r="N3256" s="22"/>
      <c r="O3256" s="21"/>
      <c r="P3256" s="22"/>
      <c r="Q3256" s="21"/>
      <c r="R3256" s="21"/>
      <c r="S3256" s="21"/>
      <c r="T3256" s="21"/>
      <c r="U3256" s="21"/>
      <c r="V3256" s="22"/>
      <c r="W3256" s="21"/>
      <c r="X3256" s="22"/>
      <c r="Y3256" s="21"/>
      <c r="Z3256" s="21"/>
      <c r="AA3256" s="21"/>
      <c r="AB3256" s="21"/>
      <c r="AC3256" s="26"/>
      <c r="AD3256" s="26"/>
      <c r="AE3256" s="62"/>
    </row>
    <row r="3257" spans="1:31" ht="13.5" customHeight="1" x14ac:dyDescent="0.35">
      <c r="A3257" s="49"/>
      <c r="B3257" s="49"/>
      <c r="C3257" s="14"/>
      <c r="D3257" s="1"/>
      <c r="E3257" s="153"/>
      <c r="F3257" s="10"/>
      <c r="G3257" s="21"/>
      <c r="H3257" s="21"/>
      <c r="I3257" s="21"/>
      <c r="J3257" s="21"/>
      <c r="K3257" s="21"/>
      <c r="L3257" s="21"/>
      <c r="M3257" s="21"/>
      <c r="N3257" s="22"/>
      <c r="O3257" s="21"/>
      <c r="P3257" s="22"/>
      <c r="Q3257" s="21"/>
      <c r="R3257" s="21"/>
      <c r="S3257" s="21"/>
      <c r="T3257" s="21"/>
      <c r="U3257" s="21"/>
      <c r="V3257" s="22"/>
      <c r="W3257" s="21"/>
      <c r="X3257" s="22"/>
      <c r="Y3257" s="21"/>
      <c r="Z3257" s="21"/>
      <c r="AA3257" s="21"/>
      <c r="AB3257" s="21"/>
      <c r="AC3257" s="26"/>
      <c r="AD3257" s="26"/>
      <c r="AE3257" s="62"/>
    </row>
    <row r="3258" spans="1:31" ht="13.5" customHeight="1" x14ac:dyDescent="0.35">
      <c r="A3258" s="49"/>
      <c r="B3258" s="49"/>
      <c r="C3258" s="14"/>
      <c r="D3258" s="1"/>
      <c r="E3258" s="153"/>
      <c r="F3258" s="10"/>
      <c r="G3258" s="21"/>
      <c r="H3258" s="21"/>
      <c r="I3258" s="21"/>
      <c r="J3258" s="21"/>
      <c r="K3258" s="21"/>
      <c r="L3258" s="21"/>
      <c r="M3258" s="21"/>
      <c r="N3258" s="22"/>
      <c r="O3258" s="21"/>
      <c r="P3258" s="22"/>
      <c r="Q3258" s="21"/>
      <c r="R3258" s="21"/>
      <c r="S3258" s="21"/>
      <c r="T3258" s="21"/>
      <c r="U3258" s="21"/>
      <c r="V3258" s="22"/>
      <c r="W3258" s="21"/>
      <c r="X3258" s="22"/>
      <c r="Y3258" s="21"/>
      <c r="Z3258" s="21"/>
      <c r="AA3258" s="21"/>
      <c r="AB3258" s="21"/>
      <c r="AC3258" s="26"/>
      <c r="AD3258" s="26"/>
      <c r="AE3258" s="62"/>
    </row>
    <row r="3259" spans="1:31" ht="13.5" customHeight="1" x14ac:dyDescent="0.35">
      <c r="A3259" s="49"/>
      <c r="B3259" s="49"/>
      <c r="C3259" s="14"/>
      <c r="D3259" s="1"/>
      <c r="E3259" s="153"/>
      <c r="F3259" s="10"/>
      <c r="G3259" s="21"/>
      <c r="H3259" s="21"/>
      <c r="I3259" s="21"/>
      <c r="J3259" s="21"/>
      <c r="K3259" s="21"/>
      <c r="L3259" s="21"/>
      <c r="M3259" s="21"/>
      <c r="N3259" s="22"/>
      <c r="O3259" s="21"/>
      <c r="P3259" s="22"/>
      <c r="Q3259" s="21"/>
      <c r="R3259" s="21"/>
      <c r="S3259" s="21"/>
      <c r="T3259" s="21"/>
      <c r="U3259" s="21"/>
      <c r="V3259" s="22"/>
      <c r="W3259" s="21"/>
      <c r="X3259" s="22"/>
      <c r="Y3259" s="21"/>
      <c r="Z3259" s="21"/>
      <c r="AA3259" s="21"/>
      <c r="AB3259" s="21"/>
      <c r="AC3259" s="26"/>
      <c r="AD3259" s="26"/>
      <c r="AE3259" s="62"/>
    </row>
    <row r="3260" spans="1:31" ht="13.5" customHeight="1" x14ac:dyDescent="0.35">
      <c r="A3260" s="49"/>
      <c r="B3260" s="49"/>
      <c r="C3260" s="14"/>
      <c r="D3260" s="1"/>
      <c r="E3260" s="153"/>
      <c r="F3260" s="10"/>
      <c r="G3260" s="21"/>
      <c r="H3260" s="21"/>
      <c r="I3260" s="21"/>
      <c r="J3260" s="21"/>
      <c r="K3260" s="21"/>
      <c r="L3260" s="21"/>
      <c r="M3260" s="21"/>
      <c r="N3260" s="22"/>
      <c r="O3260" s="21"/>
      <c r="P3260" s="22"/>
      <c r="Q3260" s="21"/>
      <c r="R3260" s="21"/>
      <c r="S3260" s="21"/>
      <c r="T3260" s="21"/>
      <c r="U3260" s="21"/>
      <c r="V3260" s="22"/>
      <c r="W3260" s="21"/>
      <c r="X3260" s="22"/>
      <c r="Y3260" s="21"/>
      <c r="Z3260" s="21"/>
      <c r="AA3260" s="21"/>
      <c r="AB3260" s="21"/>
      <c r="AC3260" s="26"/>
      <c r="AD3260" s="26"/>
      <c r="AE3260" s="62"/>
    </row>
    <row r="3261" spans="1:31" ht="13.5" customHeight="1" x14ac:dyDescent="0.35">
      <c r="A3261" s="49"/>
      <c r="B3261" s="49"/>
      <c r="C3261" s="14"/>
      <c r="D3261" s="1"/>
      <c r="E3261" s="153"/>
      <c r="F3261" s="10"/>
      <c r="G3261" s="21"/>
      <c r="H3261" s="21"/>
      <c r="I3261" s="21"/>
      <c r="J3261" s="21"/>
      <c r="K3261" s="21"/>
      <c r="L3261" s="21"/>
      <c r="M3261" s="21"/>
      <c r="N3261" s="22"/>
      <c r="O3261" s="21"/>
      <c r="P3261" s="22"/>
      <c r="Q3261" s="21"/>
      <c r="R3261" s="21"/>
      <c r="S3261" s="21"/>
      <c r="T3261" s="21"/>
      <c r="U3261" s="21"/>
      <c r="V3261" s="22"/>
      <c r="W3261" s="21"/>
      <c r="X3261" s="22"/>
      <c r="Y3261" s="21"/>
      <c r="Z3261" s="21"/>
      <c r="AA3261" s="21"/>
      <c r="AB3261" s="21"/>
      <c r="AC3261" s="26"/>
      <c r="AD3261" s="26"/>
      <c r="AE3261" s="62"/>
    </row>
    <row r="3262" spans="1:31" ht="13.5" customHeight="1" x14ac:dyDescent="0.35">
      <c r="A3262" s="49"/>
      <c r="B3262" s="49"/>
      <c r="C3262" s="14"/>
      <c r="D3262" s="1"/>
      <c r="E3262" s="153"/>
      <c r="F3262" s="10"/>
      <c r="G3262" s="21"/>
      <c r="H3262" s="21"/>
      <c r="I3262" s="21"/>
      <c r="J3262" s="21"/>
      <c r="K3262" s="21"/>
      <c r="L3262" s="21"/>
      <c r="M3262" s="21"/>
      <c r="N3262" s="22"/>
      <c r="O3262" s="21"/>
      <c r="P3262" s="22"/>
      <c r="Q3262" s="21"/>
      <c r="R3262" s="21"/>
      <c r="S3262" s="21"/>
      <c r="T3262" s="21"/>
      <c r="U3262" s="21"/>
      <c r="V3262" s="22"/>
      <c r="W3262" s="21"/>
      <c r="X3262" s="22"/>
      <c r="Y3262" s="21"/>
      <c r="Z3262" s="21"/>
      <c r="AA3262" s="21"/>
      <c r="AB3262" s="21"/>
      <c r="AC3262" s="26"/>
      <c r="AD3262" s="26"/>
      <c r="AE3262" s="62"/>
    </row>
    <row r="3263" spans="1:31" ht="13.5" customHeight="1" x14ac:dyDescent="0.35">
      <c r="A3263" s="49"/>
      <c r="B3263" s="49"/>
      <c r="C3263" s="14"/>
      <c r="D3263" s="1"/>
      <c r="E3263" s="153"/>
      <c r="F3263" s="10"/>
      <c r="G3263" s="21"/>
      <c r="H3263" s="21"/>
      <c r="I3263" s="21"/>
      <c r="J3263" s="21"/>
      <c r="K3263" s="21"/>
      <c r="L3263" s="21"/>
      <c r="M3263" s="21"/>
      <c r="N3263" s="22"/>
      <c r="O3263" s="21"/>
      <c r="P3263" s="22"/>
      <c r="Q3263" s="21"/>
      <c r="R3263" s="21"/>
      <c r="S3263" s="21"/>
      <c r="T3263" s="21"/>
      <c r="U3263" s="21"/>
      <c r="V3263" s="22"/>
      <c r="W3263" s="21"/>
      <c r="X3263" s="22"/>
      <c r="Y3263" s="21"/>
      <c r="Z3263" s="21"/>
      <c r="AA3263" s="21"/>
      <c r="AB3263" s="21"/>
      <c r="AC3263" s="26"/>
      <c r="AD3263" s="26"/>
      <c r="AE3263" s="62"/>
    </row>
    <row r="3264" spans="1:31" ht="13.5" customHeight="1" x14ac:dyDescent="0.35">
      <c r="A3264" s="49"/>
      <c r="B3264" s="49"/>
      <c r="C3264" s="14"/>
      <c r="D3264" s="1"/>
      <c r="E3264" s="153"/>
      <c r="F3264" s="10"/>
      <c r="G3264" s="21"/>
      <c r="H3264" s="21"/>
      <c r="I3264" s="21"/>
      <c r="J3264" s="21"/>
      <c r="K3264" s="21"/>
      <c r="L3264" s="21"/>
      <c r="M3264" s="21"/>
      <c r="N3264" s="22"/>
      <c r="O3264" s="21"/>
      <c r="P3264" s="22"/>
      <c r="Q3264" s="21"/>
      <c r="R3264" s="21"/>
      <c r="S3264" s="21"/>
      <c r="T3264" s="21"/>
      <c r="U3264" s="21"/>
      <c r="V3264" s="22"/>
      <c r="W3264" s="21"/>
      <c r="X3264" s="22"/>
      <c r="Y3264" s="21"/>
      <c r="Z3264" s="21"/>
      <c r="AA3264" s="21"/>
      <c r="AB3264" s="21"/>
      <c r="AC3264" s="26"/>
      <c r="AD3264" s="26"/>
      <c r="AE3264" s="62"/>
    </row>
    <row r="3265" spans="1:31" ht="13.5" customHeight="1" x14ac:dyDescent="0.35">
      <c r="A3265" s="49"/>
      <c r="B3265" s="49"/>
      <c r="C3265" s="14"/>
      <c r="D3265" s="1"/>
      <c r="E3265" s="153"/>
      <c r="F3265" s="10"/>
      <c r="G3265" s="21"/>
      <c r="H3265" s="21"/>
      <c r="I3265" s="21"/>
      <c r="J3265" s="21"/>
      <c r="K3265" s="21"/>
      <c r="L3265" s="21"/>
      <c r="M3265" s="21"/>
      <c r="N3265" s="22"/>
      <c r="O3265" s="21"/>
      <c r="P3265" s="22"/>
      <c r="Q3265" s="21"/>
      <c r="R3265" s="21"/>
      <c r="S3265" s="21"/>
      <c r="T3265" s="21"/>
      <c r="U3265" s="21"/>
      <c r="V3265" s="22"/>
      <c r="W3265" s="21"/>
      <c r="X3265" s="22"/>
      <c r="Y3265" s="21"/>
      <c r="Z3265" s="21"/>
      <c r="AA3265" s="21"/>
      <c r="AB3265" s="21"/>
      <c r="AC3265" s="26"/>
      <c r="AD3265" s="26"/>
      <c r="AE3265" s="62"/>
    </row>
    <row r="3266" spans="1:31" ht="13.5" customHeight="1" x14ac:dyDescent="0.35">
      <c r="A3266" s="49"/>
      <c r="B3266" s="49"/>
      <c r="C3266" s="39"/>
      <c r="D3266" s="1"/>
      <c r="E3266" s="153"/>
      <c r="F3266" s="10"/>
      <c r="G3266" s="21"/>
      <c r="H3266" s="21"/>
      <c r="I3266" s="21"/>
      <c r="J3266" s="21"/>
      <c r="K3266" s="21"/>
      <c r="L3266" s="21"/>
      <c r="M3266" s="21"/>
      <c r="N3266" s="22"/>
      <c r="O3266" s="21"/>
      <c r="P3266" s="22"/>
      <c r="Q3266" s="21"/>
      <c r="R3266" s="21"/>
      <c r="S3266" s="21"/>
      <c r="T3266" s="21"/>
      <c r="U3266" s="21"/>
      <c r="V3266" s="22"/>
      <c r="W3266" s="21"/>
      <c r="X3266" s="22"/>
      <c r="Y3266" s="21"/>
      <c r="Z3266" s="21"/>
      <c r="AA3266" s="21"/>
      <c r="AB3266" s="21"/>
      <c r="AC3266" s="26"/>
      <c r="AD3266" s="26"/>
      <c r="AE3266" s="62"/>
    </row>
    <row r="3267" spans="1:31" ht="13.5" customHeight="1" x14ac:dyDescent="0.35">
      <c r="A3267" s="49"/>
      <c r="B3267" s="49"/>
      <c r="C3267" s="39"/>
      <c r="D3267" s="1"/>
      <c r="E3267" s="153"/>
      <c r="F3267" s="10"/>
      <c r="G3267" s="21"/>
      <c r="H3267" s="21"/>
      <c r="I3267" s="21"/>
      <c r="J3267" s="21"/>
      <c r="K3267" s="21"/>
      <c r="L3267" s="21"/>
      <c r="M3267" s="21"/>
      <c r="N3267" s="22"/>
      <c r="O3267" s="21"/>
      <c r="P3267" s="22"/>
      <c r="Q3267" s="21"/>
      <c r="R3267" s="21"/>
      <c r="S3267" s="21"/>
      <c r="T3267" s="21"/>
      <c r="U3267" s="21"/>
      <c r="V3267" s="22"/>
      <c r="W3267" s="21"/>
      <c r="X3267" s="22"/>
      <c r="Y3267" s="21"/>
      <c r="Z3267" s="21"/>
      <c r="AA3267" s="21"/>
      <c r="AB3267" s="21"/>
      <c r="AC3267" s="26"/>
      <c r="AD3267" s="26"/>
      <c r="AE3267" s="62"/>
    </row>
    <row r="3268" spans="1:31" ht="13.5" customHeight="1" x14ac:dyDescent="0.35">
      <c r="A3268" s="49"/>
      <c r="B3268" s="49"/>
      <c r="C3268" s="39"/>
      <c r="D3268" s="1"/>
      <c r="E3268" s="153"/>
      <c r="F3268" s="10"/>
      <c r="G3268" s="21"/>
      <c r="H3268" s="21"/>
      <c r="I3268" s="21"/>
      <c r="J3268" s="21"/>
      <c r="K3268" s="21"/>
      <c r="L3268" s="21"/>
      <c r="M3268" s="21"/>
      <c r="N3268" s="22"/>
      <c r="O3268" s="21"/>
      <c r="P3268" s="22"/>
      <c r="Q3268" s="21"/>
      <c r="R3268" s="21"/>
      <c r="S3268" s="21"/>
      <c r="T3268" s="21"/>
      <c r="U3268" s="21"/>
      <c r="V3268" s="22"/>
      <c r="W3268" s="21"/>
      <c r="X3268" s="22"/>
      <c r="Y3268" s="21"/>
      <c r="Z3268" s="21"/>
      <c r="AA3268" s="21"/>
      <c r="AB3268" s="21"/>
      <c r="AC3268" s="26"/>
      <c r="AD3268" s="26"/>
      <c r="AE3268" s="62"/>
    </row>
    <row r="3269" spans="1:31" ht="13.5" customHeight="1" x14ac:dyDescent="0.35">
      <c r="A3269" s="49"/>
      <c r="B3269" s="49"/>
      <c r="C3269" s="39"/>
      <c r="D3269" s="1"/>
      <c r="E3269" s="153"/>
      <c r="F3269" s="10"/>
      <c r="G3269" s="21"/>
      <c r="H3269" s="21"/>
      <c r="I3269" s="21"/>
      <c r="J3269" s="21"/>
      <c r="K3269" s="21"/>
      <c r="L3269" s="21"/>
      <c r="M3269" s="21"/>
      <c r="N3269" s="22"/>
      <c r="O3269" s="21"/>
      <c r="P3269" s="22"/>
      <c r="Q3269" s="21"/>
      <c r="R3269" s="21"/>
      <c r="S3269" s="21"/>
      <c r="T3269" s="21"/>
      <c r="U3269" s="21"/>
      <c r="V3269" s="22"/>
      <c r="W3269" s="21"/>
      <c r="X3269" s="22"/>
      <c r="Y3269" s="21"/>
      <c r="Z3269" s="21"/>
      <c r="AA3269" s="21"/>
      <c r="AB3269" s="21"/>
      <c r="AC3269" s="26"/>
      <c r="AD3269" s="26"/>
      <c r="AE3269" s="62"/>
    </row>
    <row r="3270" spans="1:31" ht="13.5" customHeight="1" x14ac:dyDescent="0.35">
      <c r="A3270" s="49"/>
      <c r="B3270" s="49"/>
      <c r="C3270" s="39"/>
      <c r="D3270" s="1"/>
      <c r="E3270" s="153"/>
      <c r="F3270" s="10"/>
      <c r="G3270" s="21"/>
      <c r="H3270" s="21"/>
      <c r="I3270" s="21"/>
      <c r="J3270" s="21"/>
      <c r="K3270" s="21"/>
      <c r="L3270" s="21"/>
      <c r="M3270" s="21"/>
      <c r="N3270" s="22"/>
      <c r="O3270" s="21"/>
      <c r="P3270" s="22"/>
      <c r="Q3270" s="21"/>
      <c r="R3270" s="21"/>
      <c r="S3270" s="21"/>
      <c r="T3270" s="21"/>
      <c r="U3270" s="21"/>
      <c r="V3270" s="22"/>
      <c r="W3270" s="21"/>
      <c r="X3270" s="22"/>
      <c r="Y3270" s="21"/>
      <c r="Z3270" s="21"/>
      <c r="AA3270" s="21"/>
      <c r="AB3270" s="21"/>
      <c r="AC3270" s="26"/>
      <c r="AD3270" s="26"/>
      <c r="AE3270" s="62"/>
    </row>
    <row r="3271" spans="1:31" ht="13.5" customHeight="1" x14ac:dyDescent="0.35">
      <c r="A3271" s="49"/>
      <c r="B3271" s="49"/>
      <c r="C3271" s="39"/>
      <c r="D3271" s="1"/>
      <c r="E3271" s="153"/>
      <c r="F3271" s="10"/>
      <c r="G3271" s="21"/>
      <c r="H3271" s="21"/>
      <c r="I3271" s="21"/>
      <c r="J3271" s="21"/>
      <c r="K3271" s="21"/>
      <c r="L3271" s="21"/>
      <c r="M3271" s="21"/>
      <c r="N3271" s="22"/>
      <c r="O3271" s="21"/>
      <c r="P3271" s="22"/>
      <c r="Q3271" s="21"/>
      <c r="R3271" s="21"/>
      <c r="S3271" s="21"/>
      <c r="T3271" s="21"/>
      <c r="U3271" s="21"/>
      <c r="V3271" s="22"/>
      <c r="W3271" s="21"/>
      <c r="X3271" s="22"/>
      <c r="Y3271" s="21"/>
      <c r="Z3271" s="21"/>
      <c r="AA3271" s="21"/>
      <c r="AB3271" s="21"/>
      <c r="AC3271" s="26"/>
      <c r="AD3271" s="26"/>
      <c r="AE3271" s="62"/>
    </row>
    <row r="3272" spans="1:31" ht="13.5" customHeight="1" x14ac:dyDescent="0.35">
      <c r="A3272" s="49"/>
      <c r="B3272" s="49"/>
      <c r="C3272" s="39"/>
      <c r="D3272" s="1"/>
      <c r="E3272" s="153"/>
      <c r="F3272" s="10"/>
      <c r="G3272" s="21"/>
      <c r="H3272" s="21"/>
      <c r="I3272" s="21"/>
      <c r="J3272" s="21"/>
      <c r="K3272" s="21"/>
      <c r="L3272" s="21"/>
      <c r="M3272" s="21"/>
      <c r="N3272" s="22"/>
      <c r="O3272" s="21"/>
      <c r="P3272" s="22"/>
      <c r="Q3272" s="21"/>
      <c r="R3272" s="21"/>
      <c r="S3272" s="21"/>
      <c r="T3272" s="21"/>
      <c r="U3272" s="21"/>
      <c r="V3272" s="22"/>
      <c r="W3272" s="21"/>
      <c r="X3272" s="22"/>
      <c r="Y3272" s="21"/>
      <c r="Z3272" s="21"/>
      <c r="AA3272" s="21"/>
      <c r="AB3272" s="21"/>
      <c r="AC3272" s="26"/>
      <c r="AD3272" s="26"/>
      <c r="AE3272" s="62"/>
    </row>
    <row r="3273" spans="1:31" ht="13.5" customHeight="1" x14ac:dyDescent="0.35">
      <c r="A3273" s="49"/>
      <c r="B3273" s="49"/>
      <c r="C3273" s="39"/>
      <c r="D3273" s="1"/>
      <c r="E3273" s="153"/>
      <c r="F3273" s="10"/>
      <c r="G3273" s="21"/>
      <c r="H3273" s="21"/>
      <c r="I3273" s="21"/>
      <c r="J3273" s="21"/>
      <c r="K3273" s="21"/>
      <c r="L3273" s="21"/>
      <c r="M3273" s="21"/>
      <c r="N3273" s="22"/>
      <c r="O3273" s="21"/>
      <c r="P3273" s="22"/>
      <c r="Q3273" s="21"/>
      <c r="R3273" s="21"/>
      <c r="S3273" s="21"/>
      <c r="T3273" s="21"/>
      <c r="U3273" s="21"/>
      <c r="V3273" s="22"/>
      <c r="W3273" s="21"/>
      <c r="X3273" s="22"/>
      <c r="Y3273" s="21"/>
      <c r="Z3273" s="21"/>
      <c r="AA3273" s="21"/>
      <c r="AB3273" s="21"/>
      <c r="AC3273" s="26"/>
      <c r="AD3273" s="26"/>
      <c r="AE3273" s="62"/>
    </row>
    <row r="3274" spans="1:31" ht="13.5" customHeight="1" x14ac:dyDescent="0.35">
      <c r="A3274" s="49"/>
      <c r="B3274" s="49"/>
      <c r="C3274" s="39"/>
      <c r="D3274" s="1"/>
      <c r="E3274" s="153"/>
      <c r="F3274" s="10"/>
      <c r="G3274" s="21"/>
      <c r="H3274" s="21"/>
      <c r="I3274" s="21"/>
      <c r="J3274" s="21"/>
      <c r="K3274" s="21"/>
      <c r="L3274" s="21"/>
      <c r="M3274" s="21"/>
      <c r="N3274" s="22"/>
      <c r="O3274" s="21"/>
      <c r="P3274" s="22"/>
      <c r="Q3274" s="21"/>
      <c r="R3274" s="21"/>
      <c r="S3274" s="21"/>
      <c r="T3274" s="21"/>
      <c r="U3274" s="21"/>
      <c r="V3274" s="22"/>
      <c r="W3274" s="21"/>
      <c r="X3274" s="22"/>
      <c r="Y3274" s="21"/>
      <c r="Z3274" s="21"/>
      <c r="AA3274" s="21"/>
      <c r="AB3274" s="21"/>
      <c r="AC3274" s="26"/>
      <c r="AD3274" s="26"/>
      <c r="AE3274" s="65"/>
    </row>
    <row r="3275" spans="1:31" x14ac:dyDescent="0.3">
      <c r="A3275" s="6"/>
      <c r="B3275" s="6"/>
      <c r="C3275" s="39"/>
      <c r="D3275" s="6"/>
      <c r="E3275" s="153"/>
      <c r="F3275" s="10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</row>
    <row r="3276" spans="1:31" s="14" customFormat="1" x14ac:dyDescent="0.3">
      <c r="D3276" s="6"/>
      <c r="E3276" s="155"/>
    </row>
    <row r="3277" spans="1:31" x14ac:dyDescent="0.3">
      <c r="V3277" s="3"/>
      <c r="W3277" s="3"/>
    </row>
    <row r="3284" spans="7:12" ht="43.2" x14ac:dyDescent="0.3">
      <c r="G3284" s="36" t="s">
        <v>0</v>
      </c>
      <c r="H3284" s="32" t="s">
        <v>72</v>
      </c>
      <c r="I3284" s="34" t="s">
        <v>73</v>
      </c>
    </row>
    <row r="3285" spans="7:12" x14ac:dyDescent="0.3">
      <c r="G3285" s="6" t="s">
        <v>17</v>
      </c>
      <c r="H3285" s="21">
        <v>33.829451549825087</v>
      </c>
      <c r="I3285" s="67">
        <v>100</v>
      </c>
    </row>
    <row r="3286" spans="7:12" x14ac:dyDescent="0.3">
      <c r="G3286" s="6" t="s">
        <v>3</v>
      </c>
      <c r="H3286" s="2">
        <v>31.977234319821118</v>
      </c>
      <c r="I3286" s="2">
        <v>94.524838136154926</v>
      </c>
    </row>
    <row r="3287" spans="7:12" x14ac:dyDescent="0.3">
      <c r="G3287" s="6" t="s">
        <v>4</v>
      </c>
      <c r="H3287" s="2">
        <v>25.870640208686641</v>
      </c>
      <c r="I3287" s="2">
        <v>76.473720452084606</v>
      </c>
    </row>
    <row r="3288" spans="7:12" x14ac:dyDescent="0.3">
      <c r="G3288" s="6" t="s">
        <v>13</v>
      </c>
      <c r="H3288" s="21">
        <v>22.982988318630046</v>
      </c>
      <c r="I3288" s="21">
        <v>67.937809410773255</v>
      </c>
    </row>
    <row r="3289" spans="7:12" x14ac:dyDescent="0.3">
      <c r="G3289" s="6" t="s">
        <v>14</v>
      </c>
      <c r="H3289" s="2">
        <v>18.210545079756926</v>
      </c>
      <c r="I3289" s="2">
        <v>53.830447274428494</v>
      </c>
    </row>
    <row r="3290" spans="7:12" x14ac:dyDescent="0.3">
      <c r="G3290" s="6" t="s">
        <v>5</v>
      </c>
      <c r="H3290" s="3">
        <v>14.157158924125232</v>
      </c>
      <c r="I3290" s="3">
        <v>41.848620877799689</v>
      </c>
    </row>
    <row r="3293" spans="7:12" x14ac:dyDescent="0.3">
      <c r="J3293" s="33">
        <v>2022</v>
      </c>
    </row>
    <row r="3294" spans="7:12" ht="43.2" x14ac:dyDescent="0.3">
      <c r="G3294" s="36" t="s">
        <v>0</v>
      </c>
      <c r="H3294" s="32" t="s">
        <v>72</v>
      </c>
      <c r="I3294" s="34" t="s">
        <v>73</v>
      </c>
      <c r="J3294" s="36" t="s">
        <v>0</v>
      </c>
      <c r="K3294" s="32" t="s">
        <v>72</v>
      </c>
      <c r="L3294" s="34" t="s">
        <v>73</v>
      </c>
    </row>
    <row r="3295" spans="7:12" x14ac:dyDescent="0.3">
      <c r="G3295" s="6" t="s">
        <v>17</v>
      </c>
      <c r="H3295" s="21">
        <v>33.829451549825087</v>
      </c>
      <c r="I3295" s="67">
        <v>100</v>
      </c>
      <c r="J3295" s="6" t="s">
        <v>13</v>
      </c>
      <c r="K3295" s="21">
        <v>20.637702566567782</v>
      </c>
      <c r="L3295" s="67">
        <v>100</v>
      </c>
    </row>
    <row r="3296" spans="7:12" x14ac:dyDescent="0.3">
      <c r="G3296" s="6" t="s">
        <v>3</v>
      </c>
      <c r="H3296" s="2">
        <v>31.977234319821118</v>
      </c>
      <c r="I3296" s="2">
        <v>94.524838136154926</v>
      </c>
      <c r="J3296" s="6" t="s">
        <v>3</v>
      </c>
      <c r="K3296" s="21">
        <v>11.009136957676603</v>
      </c>
      <c r="L3296" s="21">
        <v>53.344779643791099</v>
      </c>
    </row>
    <row r="3297" spans="7:12" x14ac:dyDescent="0.3">
      <c r="G3297" s="6" t="s">
        <v>4</v>
      </c>
      <c r="H3297" s="2">
        <v>25.870640208686641</v>
      </c>
      <c r="I3297" s="2">
        <v>76.473720452084606</v>
      </c>
      <c r="J3297" s="6" t="s">
        <v>17</v>
      </c>
      <c r="K3297" s="21">
        <v>9.3401132915118694</v>
      </c>
      <c r="L3297" s="21">
        <v>45.257524481637134</v>
      </c>
    </row>
    <row r="3298" spans="7:12" x14ac:dyDescent="0.3">
      <c r="G3298" s="6" t="s">
        <v>13</v>
      </c>
      <c r="H3298" s="21">
        <v>22.982988318630046</v>
      </c>
      <c r="I3298" s="21">
        <v>67.937809410773255</v>
      </c>
      <c r="J3298" s="6" t="s">
        <v>5</v>
      </c>
      <c r="K3298" s="21">
        <v>0.25949314566434512</v>
      </c>
      <c r="L3298" s="21">
        <v>1.2573741908884433</v>
      </c>
    </row>
    <row r="3299" spans="7:12" x14ac:dyDescent="0.3">
      <c r="G3299" s="6" t="s">
        <v>14</v>
      </c>
      <c r="H3299" s="2">
        <v>18.210545079756926</v>
      </c>
      <c r="I3299" s="2">
        <v>53.830447274428494</v>
      </c>
      <c r="J3299" s="6" t="s">
        <v>4</v>
      </c>
      <c r="K3299" s="21">
        <v>0</v>
      </c>
      <c r="L3299" s="21">
        <v>0</v>
      </c>
    </row>
    <row r="3300" spans="7:12" x14ac:dyDescent="0.3">
      <c r="G3300" s="6" t="s">
        <v>5</v>
      </c>
      <c r="H3300" s="3">
        <v>14.157158924125232</v>
      </c>
      <c r="I3300" s="3">
        <v>41.848620877799689</v>
      </c>
    </row>
  </sheetData>
  <mergeCells count="2">
    <mergeCell ref="A1:D1"/>
    <mergeCell ref="A2:D2"/>
  </mergeCells>
  <conditionalFormatting sqref="E134:E136">
    <cfRule type="cellIs" dxfId="8" priority="1" operator="equal">
      <formula>"N.D."</formula>
    </cfRule>
  </conditionalFormatting>
  <conditionalFormatting sqref="E5:F12 F13:F14 E15:F27 F28 E29:F29 F30 E31:F31 F32 E33:F42 F43 E44:F53 F54 E55:F56 F57 E58:F60 F61 E62:F62 F63 E64:F70 F71 E72:F72 F73 E74:F78 F79 E80:F82 F83 E84:F91 F92:F93 E94:F99 F100 E101:F108 F109:F110 E111:F111 F112 E113:F123 F124 E125:F125 F126 E127:F127 F128 E129:F132 E138:E140 F139:F140 E141:F146 F147:F148 E149:F150 F151 E152:F163 F164 E165:F3275 H3285:H3290">
    <cfRule type="cellIs" dxfId="7" priority="8" operator="equal">
      <formula>"N.D."</formula>
    </cfRule>
  </conditionalFormatting>
  <conditionalFormatting sqref="G1072:P2173">
    <cfRule type="cellIs" dxfId="6" priority="9" operator="equal">
      <formula>"N.D."</formula>
    </cfRule>
  </conditionalFormatting>
  <conditionalFormatting sqref="H3295:H3300">
    <cfRule type="cellIs" dxfId="5" priority="4" operator="equal">
      <formula>"N.D."</formula>
    </cfRule>
  </conditionalFormatting>
  <conditionalFormatting sqref="I5:I132 K5:AE132 I139:I1071 K139:AE1071">
    <cfRule type="cellIs" dxfId="4" priority="5" operator="equal">
      <formula>"N.D."</formula>
    </cfRule>
  </conditionalFormatting>
  <conditionalFormatting sqref="K3295:K3299">
    <cfRule type="cellIs" dxfId="3" priority="3" operator="equal">
      <formula>"N.D."</formula>
    </cfRule>
  </conditionalFormatting>
  <conditionalFormatting sqref="AE5:AE132 AE139:AE107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114 AE1258 AE1343 AE1414 AE1425 AE1446 AE1539 AE1559 AE1667 AE1690 AE1692 AE1709 AE1752 AE1887 AE1893 AE1946 AE1968 AE2036 AE2069:AE2070 AE2076:AE2077 AE2103 AE2106 AE2118 AE2129:AE2130 AE2145 AE2177 AE2280 AE2334 AE2501 AE2512 AE2537 AE2565 AE2590 AE2630 AE2635 AE2668 AE2680 AE2686 AE2689 AE2693 AE2723 AE2768 AE2801 AE2843 AE2846 AE2849 AE2852 AE2866 AE2875:AE2876 AE2891 AE2897 AE2899 AE2908 AE2911 AE2913 AE2934 AE2944 AE2954 AE2958 AE2962 AE2996 AE3006 AE3013 AE3020 AE3023 AE3027 AE3029 AE3039 AE3053 AE3056:AE3058 AE3061 AE3065:AE3066 AE3068 AE3076 AE3083 AE3087:AE3088 AE3091 AE3112 AE3116 AE3121 AE3126:AE3127 AE3136 AE3144 AE3166 AE3183 AE3197 AE3200 AE3209 AE3219 AE3221 AE3223 AE3234 AE3239:AE3241 AE3243 AE3245 AE3248:AE3250 AE3252 AE3254 AE3274">
    <cfRule type="cellIs" dxfId="2" priority="6" operator="equal">
      <formula>"N.D."</formula>
    </cfRule>
  </conditionalFormatting>
  <conditionalFormatting sqref="AE3248:AE3250 AE3274 AE3254 AE3252 AE3239:AE3241 AE3245 AE3243 AE3126:AE3127 AE3234 AE3223 AE3221 AE3219 AE3209 AE3200 AE3197 AE3183 AE3166 AE3144 AE3136 AE3087:AE3088 AE3121 AE3116 AE3112 AE3091 AE3065:AE3066 AE3083 AE3076 AE3068 AE3056:AE3058 AE3061 AE2875:AE2876 AE3053 AE3039 AE3029 AE3027 AE3023 AE3020 AE3013 AE3006 AE2996 AE2962 AE2958 AE2954 AE2944 AE2934 AE2913 AE2911 AE2908 AE2899 AE2897 AE2891 AE2129:AE2130 AE2866 AE2852 AE2849 AE2846 AE2843 AE2801 AE2768 AE2723 AE2693 AE2689 AE2686 AE2680 AE2668 AE2635 AE2630 AE2590 AE2565 AE2537 AE2512 AE2501 AE2334 AE2280 AE2177 AE2145 AE2076:AE2077 AE2118 AE2106 AE2103 AE2069:AE2070 AE1114 AE2036 AE1968 AE1946 AE1893 AE1887 AE1752 AE1709 AE1692 AE1690 AE1667 AE1559 AE1539 AE1446 AE1425 AE1414 AE1343 AE125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9126-6CCD-4B36-965D-2D6B3640C65C}">
  <dimension ref="A3:L179"/>
  <sheetViews>
    <sheetView zoomScale="85" zoomScaleNormal="85" workbookViewId="0">
      <selection activeCell="K169" sqref="K169"/>
    </sheetView>
  </sheetViews>
  <sheetFormatPr baseColWidth="10" defaultColWidth="11.54296875" defaultRowHeight="15" x14ac:dyDescent="0.35"/>
  <cols>
    <col min="1" max="1" width="19.1796875" customWidth="1"/>
    <col min="2" max="2" width="10.81640625" customWidth="1"/>
    <col min="3" max="3" width="20.1796875" bestFit="1" customWidth="1"/>
    <col min="4" max="4" width="14.36328125" customWidth="1"/>
    <col min="5" max="5" width="20" customWidth="1"/>
    <col min="6" max="7" width="12.54296875" customWidth="1"/>
    <col min="8" max="8" width="21.54296875" customWidth="1"/>
    <col min="9" max="9" width="11.1796875" customWidth="1"/>
    <col min="10" max="10" width="13.08984375" customWidth="1"/>
    <col min="18" max="18" width="16.08984375" bestFit="1" customWidth="1"/>
  </cols>
  <sheetData>
    <row r="3" spans="1:7" x14ac:dyDescent="0.35">
      <c r="A3" s="69" t="s">
        <v>1</v>
      </c>
      <c r="B3" s="69" t="s">
        <v>45</v>
      </c>
      <c r="C3" t="s">
        <v>46</v>
      </c>
      <c r="G3" t="s">
        <v>28</v>
      </c>
    </row>
    <row r="4" spans="1:7" x14ac:dyDescent="0.35">
      <c r="A4">
        <v>1</v>
      </c>
      <c r="B4">
        <v>2021</v>
      </c>
      <c r="C4" s="7">
        <v>60.502896550373151</v>
      </c>
      <c r="E4" s="379" t="s">
        <v>47</v>
      </c>
      <c r="F4" s="70">
        <v>2021</v>
      </c>
      <c r="G4" s="97">
        <v>57.480756550988424</v>
      </c>
    </row>
    <row r="5" spans="1:7" x14ac:dyDescent="0.35">
      <c r="B5">
        <v>2022</v>
      </c>
      <c r="C5" s="7">
        <v>56.187625279118187</v>
      </c>
      <c r="E5" s="379"/>
      <c r="F5" s="70">
        <v>2022</v>
      </c>
      <c r="G5" s="97">
        <v>54.725203963414906</v>
      </c>
    </row>
    <row r="6" spans="1:7" x14ac:dyDescent="0.35">
      <c r="B6">
        <v>2023</v>
      </c>
      <c r="C6" s="7">
        <v>55.591249847398309</v>
      </c>
      <c r="E6" s="379"/>
      <c r="F6" s="70">
        <v>2023</v>
      </c>
      <c r="G6" s="97">
        <v>56.601958556711246</v>
      </c>
    </row>
    <row r="7" spans="1:7" x14ac:dyDescent="0.35">
      <c r="B7">
        <v>2024</v>
      </c>
      <c r="C7" s="7">
        <v>49.395599834721622</v>
      </c>
      <c r="E7" s="379"/>
      <c r="F7" s="70">
        <v>2024</v>
      </c>
      <c r="G7" s="97">
        <v>53.5</v>
      </c>
    </row>
    <row r="8" spans="1:7" x14ac:dyDescent="0.35">
      <c r="A8">
        <v>2</v>
      </c>
      <c r="B8">
        <v>2021</v>
      </c>
      <c r="C8" s="7">
        <v>59.239696982531143</v>
      </c>
      <c r="E8" s="380" t="s">
        <v>51</v>
      </c>
      <c r="F8">
        <v>2021</v>
      </c>
      <c r="G8" s="97">
        <v>69.452142730439235</v>
      </c>
    </row>
    <row r="9" spans="1:7" x14ac:dyDescent="0.35">
      <c r="B9">
        <v>2022</v>
      </c>
      <c r="C9" s="7">
        <v>53.828340965954787</v>
      </c>
      <c r="E9" s="380"/>
      <c r="F9">
        <v>2022</v>
      </c>
      <c r="G9" s="97">
        <v>66.373714859627995</v>
      </c>
    </row>
    <row r="10" spans="1:7" x14ac:dyDescent="0.35">
      <c r="B10">
        <v>2023</v>
      </c>
      <c r="C10" s="7">
        <v>57.027559155595718</v>
      </c>
      <c r="E10" s="380"/>
      <c r="F10">
        <v>2023</v>
      </c>
      <c r="G10" s="97">
        <v>70.774508912858479</v>
      </c>
    </row>
    <row r="11" spans="1:7" x14ac:dyDescent="0.35">
      <c r="B11">
        <v>2024</v>
      </c>
      <c r="C11" s="7">
        <v>56.192389149712525</v>
      </c>
      <c r="E11" s="380"/>
      <c r="F11">
        <v>2024</v>
      </c>
      <c r="G11" s="97">
        <v>51.089033363084006</v>
      </c>
    </row>
    <row r="12" spans="1:7" x14ac:dyDescent="0.35">
      <c r="A12">
        <v>3</v>
      </c>
      <c r="B12">
        <v>2021</v>
      </c>
      <c r="C12" s="7">
        <v>55.183689412034653</v>
      </c>
      <c r="E12" s="379" t="s">
        <v>48</v>
      </c>
      <c r="F12">
        <v>2021</v>
      </c>
      <c r="G12" s="97">
        <v>60.502896550373151</v>
      </c>
    </row>
    <row r="13" spans="1:7" x14ac:dyDescent="0.35">
      <c r="B13">
        <v>2022</v>
      </c>
      <c r="C13" s="7">
        <v>55.023406619052103</v>
      </c>
      <c r="E13" s="379"/>
      <c r="F13">
        <v>2022</v>
      </c>
      <c r="G13" s="97">
        <v>56.187625279118187</v>
      </c>
    </row>
    <row r="14" spans="1:7" x14ac:dyDescent="0.35">
      <c r="B14">
        <v>2023</v>
      </c>
      <c r="C14" s="7">
        <v>55.463170775056973</v>
      </c>
      <c r="E14" s="379"/>
      <c r="F14">
        <v>2023</v>
      </c>
      <c r="G14" s="97">
        <v>55.591249847398309</v>
      </c>
    </row>
    <row r="15" spans="1:7" x14ac:dyDescent="0.35">
      <c r="B15">
        <v>2024</v>
      </c>
      <c r="C15" s="7">
        <v>54.25254221283776</v>
      </c>
      <c r="E15" s="379"/>
      <c r="F15">
        <v>2024</v>
      </c>
      <c r="G15" s="97">
        <v>49.395599834721622</v>
      </c>
    </row>
    <row r="16" spans="1:7" x14ac:dyDescent="0.35">
      <c r="A16">
        <v>4</v>
      </c>
      <c r="B16">
        <v>2021</v>
      </c>
      <c r="C16" s="7">
        <v>51.817437921765062</v>
      </c>
      <c r="E16" s="379" t="s">
        <v>49</v>
      </c>
      <c r="F16">
        <v>2021</v>
      </c>
      <c r="G16" s="97">
        <v>59.239696982531143</v>
      </c>
    </row>
    <row r="17" spans="1:12" x14ac:dyDescent="0.35">
      <c r="B17">
        <v>2022</v>
      </c>
      <c r="C17" s="7">
        <v>50.918502275975342</v>
      </c>
      <c r="E17" s="379"/>
      <c r="F17">
        <v>2022</v>
      </c>
      <c r="G17" s="97">
        <v>53.828340965954787</v>
      </c>
      <c r="H17" s="117"/>
      <c r="I17" s="118"/>
      <c r="J17" s="118"/>
      <c r="K17" s="118"/>
      <c r="L17" s="119"/>
    </row>
    <row r="18" spans="1:12" x14ac:dyDescent="0.35">
      <c r="B18">
        <v>2023</v>
      </c>
      <c r="C18" s="7">
        <v>53.092051044987208</v>
      </c>
      <c r="E18" s="379"/>
      <c r="F18">
        <v>2023</v>
      </c>
      <c r="G18" s="97">
        <v>57.027559155595718</v>
      </c>
      <c r="H18" s="120"/>
      <c r="I18" s="121"/>
      <c r="J18" s="121"/>
      <c r="K18" s="121"/>
      <c r="L18" s="121"/>
    </row>
    <row r="19" spans="1:12" x14ac:dyDescent="0.35">
      <c r="B19">
        <v>2024</v>
      </c>
      <c r="C19" s="7">
        <v>54.765945107497771</v>
      </c>
      <c r="E19" s="379"/>
      <c r="F19">
        <v>2024</v>
      </c>
      <c r="G19" s="97">
        <v>56.192389149712525</v>
      </c>
      <c r="H19" s="122"/>
      <c r="I19" s="123"/>
      <c r="J19" s="123"/>
      <c r="K19" s="123"/>
      <c r="L19" s="123"/>
    </row>
    <row r="20" spans="1:12" x14ac:dyDescent="0.35">
      <c r="A20" t="s">
        <v>51</v>
      </c>
      <c r="B20">
        <v>2021</v>
      </c>
      <c r="C20" s="7">
        <v>69.452142730439235</v>
      </c>
      <c r="E20" s="379" t="s">
        <v>50</v>
      </c>
      <c r="F20">
        <v>2021</v>
      </c>
      <c r="G20" s="97">
        <v>55.183689412034653</v>
      </c>
      <c r="H20" s="124"/>
      <c r="I20" s="125"/>
      <c r="J20" s="125"/>
      <c r="K20" s="125"/>
      <c r="L20" s="125"/>
    </row>
    <row r="21" spans="1:12" x14ac:dyDescent="0.35">
      <c r="B21">
        <v>2022</v>
      </c>
      <c r="C21" s="7">
        <v>66.373714859627995</v>
      </c>
      <c r="E21" s="379"/>
      <c r="F21">
        <v>2022</v>
      </c>
      <c r="G21" s="97">
        <v>55.023406619052103</v>
      </c>
    </row>
    <row r="22" spans="1:12" x14ac:dyDescent="0.35">
      <c r="B22">
        <v>2023</v>
      </c>
      <c r="C22" s="7">
        <v>70.774508912858479</v>
      </c>
      <c r="E22" s="379"/>
      <c r="F22">
        <v>2023</v>
      </c>
      <c r="G22" s="97">
        <v>55.463170775056973</v>
      </c>
    </row>
    <row r="23" spans="1:12" x14ac:dyDescent="0.35">
      <c r="B23">
        <v>2024</v>
      </c>
      <c r="C23" s="7">
        <v>51.089033363084006</v>
      </c>
      <c r="E23" s="379"/>
      <c r="F23">
        <v>2024</v>
      </c>
      <c r="G23" s="97">
        <v>54.25254221283776</v>
      </c>
    </row>
    <row r="24" spans="1:12" x14ac:dyDescent="0.35">
      <c r="A24" t="s">
        <v>53</v>
      </c>
      <c r="C24" s="7">
        <v>55.567540566409868</v>
      </c>
      <c r="E24" s="379" t="s">
        <v>52</v>
      </c>
      <c r="F24">
        <v>2021</v>
      </c>
      <c r="G24" s="97">
        <v>51.817437921765062</v>
      </c>
    </row>
    <row r="25" spans="1:12" x14ac:dyDescent="0.35">
      <c r="E25" s="379"/>
      <c r="F25">
        <v>2022</v>
      </c>
      <c r="G25" s="97">
        <v>50.918502275975342</v>
      </c>
    </row>
    <row r="26" spans="1:12" x14ac:dyDescent="0.35">
      <c r="E26" s="379"/>
      <c r="F26">
        <v>2023</v>
      </c>
      <c r="G26" s="97">
        <v>53.092051044987208</v>
      </c>
    </row>
    <row r="27" spans="1:12" x14ac:dyDescent="0.35">
      <c r="E27" s="379"/>
      <c r="F27">
        <v>2024</v>
      </c>
      <c r="G27" s="97">
        <v>54.765945107497771</v>
      </c>
    </row>
    <row r="28" spans="1:12" x14ac:dyDescent="0.35">
      <c r="D28" s="102"/>
    </row>
    <row r="30" spans="1:12" x14ac:dyDescent="0.35">
      <c r="A30" s="69" t="s">
        <v>45</v>
      </c>
      <c r="B30" t="s">
        <v>46</v>
      </c>
    </row>
    <row r="31" spans="1:12" x14ac:dyDescent="0.35">
      <c r="A31">
        <v>2021</v>
      </c>
      <c r="B31" s="7">
        <v>57.480756550988424</v>
      </c>
    </row>
    <row r="32" spans="1:12" x14ac:dyDescent="0.35">
      <c r="A32">
        <v>2022</v>
      </c>
      <c r="B32" s="7">
        <v>54.725203963414906</v>
      </c>
    </row>
    <row r="33" spans="1:7" x14ac:dyDescent="0.35">
      <c r="A33">
        <v>2023</v>
      </c>
      <c r="B33" s="7">
        <v>56.601958556711253</v>
      </c>
    </row>
    <row r="34" spans="1:7" x14ac:dyDescent="0.35">
      <c r="A34">
        <v>2024</v>
      </c>
      <c r="B34" s="7">
        <v>53.462243194524916</v>
      </c>
    </row>
    <row r="35" spans="1:7" x14ac:dyDescent="0.35">
      <c r="A35" t="s">
        <v>53</v>
      </c>
      <c r="B35" s="7">
        <v>55.567540566409861</v>
      </c>
    </row>
    <row r="37" spans="1:7" x14ac:dyDescent="0.35">
      <c r="G37" t="s">
        <v>28</v>
      </c>
    </row>
    <row r="38" spans="1:7" x14ac:dyDescent="0.35">
      <c r="E38" s="380" t="s">
        <v>47</v>
      </c>
      <c r="F38" s="70">
        <v>2021</v>
      </c>
      <c r="G38" s="97">
        <v>57.480756550988424</v>
      </c>
    </row>
    <row r="39" spans="1:7" x14ac:dyDescent="0.35">
      <c r="E39" s="380"/>
      <c r="F39" s="70">
        <v>2022</v>
      </c>
      <c r="G39" s="97">
        <v>54.725203963414906</v>
      </c>
    </row>
    <row r="40" spans="1:7" x14ac:dyDescent="0.35">
      <c r="E40" s="380"/>
      <c r="F40" s="70">
        <v>2023</v>
      </c>
      <c r="G40" s="97">
        <v>56.601958556711246</v>
      </c>
    </row>
    <row r="41" spans="1:7" x14ac:dyDescent="0.35">
      <c r="E41" s="380"/>
      <c r="F41" s="70">
        <v>2024</v>
      </c>
      <c r="G41" s="97">
        <v>53.5</v>
      </c>
    </row>
    <row r="42" spans="1:7" x14ac:dyDescent="0.35">
      <c r="E42" s="380" t="s">
        <v>207</v>
      </c>
      <c r="F42">
        <v>2021</v>
      </c>
      <c r="G42" s="97">
        <v>58.832502515304441</v>
      </c>
    </row>
    <row r="43" spans="1:7" x14ac:dyDescent="0.35">
      <c r="E43" s="380"/>
      <c r="F43">
        <v>2022</v>
      </c>
      <c r="G43" s="97">
        <v>56.738179295738696</v>
      </c>
    </row>
    <row r="44" spans="1:7" x14ac:dyDescent="0.35">
      <c r="A44" s="69" t="s">
        <v>213</v>
      </c>
      <c r="B44" s="69" t="s">
        <v>45</v>
      </c>
      <c r="C44" t="s">
        <v>234</v>
      </c>
      <c r="E44" s="380"/>
      <c r="F44">
        <v>2023</v>
      </c>
      <c r="G44" s="97">
        <v>58.106021053805918</v>
      </c>
    </row>
    <row r="45" spans="1:7" x14ac:dyDescent="0.35">
      <c r="A45" t="s">
        <v>207</v>
      </c>
      <c r="B45">
        <v>2021</v>
      </c>
      <c r="C45" s="7">
        <v>58.832502515304441</v>
      </c>
      <c r="E45" s="380"/>
      <c r="F45">
        <v>2024</v>
      </c>
      <c r="G45" s="97">
        <v>53.10427723333116</v>
      </c>
    </row>
    <row r="46" spans="1:7" x14ac:dyDescent="0.35">
      <c r="B46">
        <v>2022</v>
      </c>
      <c r="C46" s="7">
        <v>56.738179295738696</v>
      </c>
      <c r="E46" s="380" t="s">
        <v>208</v>
      </c>
      <c r="F46">
        <v>2021</v>
      </c>
      <c r="G46" s="97">
        <v>60.931714072777524</v>
      </c>
    </row>
    <row r="47" spans="1:7" x14ac:dyDescent="0.35">
      <c r="B47">
        <v>2023</v>
      </c>
      <c r="C47" s="7">
        <v>58.106021053805918</v>
      </c>
      <c r="E47" s="380"/>
      <c r="F47">
        <v>2022</v>
      </c>
      <c r="G47" s="97">
        <v>55.64132699109593</v>
      </c>
    </row>
    <row r="48" spans="1:7" x14ac:dyDescent="0.35">
      <c r="B48">
        <v>2024</v>
      </c>
      <c r="C48" s="7">
        <v>53.10427723333116</v>
      </c>
      <c r="E48" s="380"/>
      <c r="F48">
        <v>2023</v>
      </c>
      <c r="G48" s="97">
        <v>60.170681568368821</v>
      </c>
    </row>
    <row r="49" spans="1:7" x14ac:dyDescent="0.35">
      <c r="A49" t="s">
        <v>208</v>
      </c>
      <c r="B49">
        <v>2021</v>
      </c>
      <c r="C49" s="7">
        <v>60.931714072777524</v>
      </c>
      <c r="E49" s="380"/>
      <c r="F49">
        <v>2024</v>
      </c>
      <c r="G49" s="97">
        <v>49.330761998271228</v>
      </c>
    </row>
    <row r="50" spans="1:7" x14ac:dyDescent="0.35">
      <c r="B50">
        <v>2022</v>
      </c>
      <c r="C50" s="7">
        <v>55.64132699109593</v>
      </c>
      <c r="E50" s="380" t="s">
        <v>209</v>
      </c>
      <c r="F50">
        <v>2021</v>
      </c>
      <c r="G50" s="97">
        <v>53.307317165126889</v>
      </c>
    </row>
    <row r="51" spans="1:7" x14ac:dyDescent="0.35">
      <c r="B51">
        <v>2023</v>
      </c>
      <c r="C51" s="7">
        <v>60.170681568368821</v>
      </c>
      <c r="E51" s="380"/>
      <c r="F51">
        <v>2022</v>
      </c>
      <c r="G51" s="97">
        <v>53.560732384202083</v>
      </c>
    </row>
    <row r="52" spans="1:7" x14ac:dyDescent="0.35">
      <c r="B52">
        <v>2024</v>
      </c>
      <c r="C52" s="7">
        <v>49.330761998271228</v>
      </c>
      <c r="E52" s="380"/>
      <c r="F52">
        <v>2023</v>
      </c>
      <c r="G52" s="97">
        <v>54.875741593235297</v>
      </c>
    </row>
    <row r="53" spans="1:7" x14ac:dyDescent="0.35">
      <c r="A53" t="s">
        <v>214</v>
      </c>
      <c r="B53">
        <v>2021</v>
      </c>
      <c r="C53" s="7">
        <v>53.307317165126889</v>
      </c>
      <c r="E53" s="380"/>
      <c r="F53">
        <v>2024</v>
      </c>
      <c r="G53" s="97">
        <v>52.602614323115361</v>
      </c>
    </row>
    <row r="54" spans="1:7" x14ac:dyDescent="0.35">
      <c r="B54">
        <v>2022</v>
      </c>
      <c r="C54" s="7">
        <v>53.560732384202083</v>
      </c>
      <c r="E54" s="380" t="s">
        <v>210</v>
      </c>
      <c r="F54">
        <v>2021</v>
      </c>
      <c r="G54" s="97">
        <v>54.735153596814996</v>
      </c>
    </row>
    <row r="55" spans="1:7" x14ac:dyDescent="0.35">
      <c r="B55">
        <v>2023</v>
      </c>
      <c r="C55" s="7">
        <v>54.875741593235297</v>
      </c>
      <c r="E55" s="380"/>
      <c r="F55">
        <v>2022</v>
      </c>
      <c r="G55" s="97">
        <v>54.422676261717811</v>
      </c>
    </row>
    <row r="56" spans="1:7" x14ac:dyDescent="0.35">
      <c r="B56">
        <v>2024</v>
      </c>
      <c r="C56" s="7">
        <v>52.602614323115361</v>
      </c>
      <c r="E56" s="380"/>
      <c r="F56">
        <v>2023</v>
      </c>
      <c r="G56" s="97">
        <v>53.996170916396593</v>
      </c>
    </row>
    <row r="57" spans="1:7" x14ac:dyDescent="0.35">
      <c r="A57" t="s">
        <v>210</v>
      </c>
      <c r="B57">
        <v>2021</v>
      </c>
      <c r="C57" s="7">
        <v>54.735153596814996</v>
      </c>
      <c r="E57" s="380"/>
      <c r="F57">
        <v>2024</v>
      </c>
      <c r="G57" s="97">
        <v>57.848423526951102</v>
      </c>
    </row>
    <row r="58" spans="1:7" x14ac:dyDescent="0.35">
      <c r="B58">
        <v>2022</v>
      </c>
      <c r="C58" s="7">
        <v>54.422676261717811</v>
      </c>
      <c r="E58" s="380" t="s">
        <v>211</v>
      </c>
      <c r="F58">
        <v>2021</v>
      </c>
      <c r="G58" s="97">
        <v>62.33467410545709</v>
      </c>
    </row>
    <row r="59" spans="1:7" x14ac:dyDescent="0.35">
      <c r="B59">
        <v>2023</v>
      </c>
      <c r="C59" s="7">
        <v>53.996170916396593</v>
      </c>
      <c r="E59" s="380"/>
      <c r="F59">
        <v>2022</v>
      </c>
      <c r="G59" s="97">
        <v>53.972632003304327</v>
      </c>
    </row>
    <row r="60" spans="1:7" x14ac:dyDescent="0.35">
      <c r="B60">
        <v>2024</v>
      </c>
      <c r="C60" s="7">
        <v>57.848423526951102</v>
      </c>
      <c r="E60" s="380"/>
      <c r="F60">
        <v>2023</v>
      </c>
      <c r="G60" s="97">
        <v>56.776297964283323</v>
      </c>
    </row>
    <row r="61" spans="1:7" x14ac:dyDescent="0.35">
      <c r="A61" t="s">
        <v>211</v>
      </c>
      <c r="B61">
        <v>2021</v>
      </c>
      <c r="C61" s="7">
        <v>62.33467410545709</v>
      </c>
      <c r="E61" s="380"/>
      <c r="F61">
        <v>2024</v>
      </c>
      <c r="G61" s="97">
        <v>53.900293702115377</v>
      </c>
    </row>
    <row r="62" spans="1:7" x14ac:dyDescent="0.35">
      <c r="B62">
        <v>2022</v>
      </c>
      <c r="C62" s="7">
        <v>53.972632003304327</v>
      </c>
      <c r="E62" s="380" t="s">
        <v>212</v>
      </c>
      <c r="F62">
        <v>2021</v>
      </c>
      <c r="G62" s="97">
        <v>56.493993948229075</v>
      </c>
    </row>
    <row r="63" spans="1:7" x14ac:dyDescent="0.35">
      <c r="B63">
        <v>2023</v>
      </c>
      <c r="C63" s="7">
        <v>56.776297964283323</v>
      </c>
      <c r="E63" s="380"/>
      <c r="F63">
        <v>2022</v>
      </c>
      <c r="G63" s="97">
        <v>52.207127312794299</v>
      </c>
    </row>
    <row r="64" spans="1:7" x14ac:dyDescent="0.35">
      <c r="B64">
        <v>2024</v>
      </c>
      <c r="C64" s="7">
        <v>53.900293702115377</v>
      </c>
      <c r="E64" s="380"/>
      <c r="F64">
        <v>2023</v>
      </c>
      <c r="G64" s="97">
        <v>56.478623156835766</v>
      </c>
    </row>
    <row r="65" spans="1:11" x14ac:dyDescent="0.35">
      <c r="A65" t="s">
        <v>215</v>
      </c>
      <c r="B65">
        <v>2021</v>
      </c>
      <c r="C65" s="7">
        <v>56.493993948229075</v>
      </c>
      <c r="E65" s="380"/>
      <c r="F65">
        <v>2024</v>
      </c>
      <c r="G65" s="97">
        <v>51.248189640200977</v>
      </c>
    </row>
    <row r="66" spans="1:11" x14ac:dyDescent="0.35">
      <c r="B66">
        <v>2022</v>
      </c>
      <c r="C66" s="7">
        <v>52.207127312794299</v>
      </c>
    </row>
    <row r="67" spans="1:11" x14ac:dyDescent="0.35">
      <c r="B67">
        <v>2023</v>
      </c>
      <c r="C67" s="7">
        <v>56.478623156835766</v>
      </c>
    </row>
    <row r="68" spans="1:11" x14ac:dyDescent="0.35">
      <c r="B68">
        <v>2024</v>
      </c>
      <c r="C68" s="7">
        <v>51.248189640200977</v>
      </c>
    </row>
    <row r="69" spans="1:11" x14ac:dyDescent="0.35">
      <c r="A69" t="s">
        <v>53</v>
      </c>
      <c r="C69" s="7">
        <v>55.554235188140126</v>
      </c>
    </row>
    <row r="72" spans="1:11" x14ac:dyDescent="0.35">
      <c r="A72" s="144" t="s">
        <v>261</v>
      </c>
    </row>
    <row r="73" spans="1:11" x14ac:dyDescent="0.35">
      <c r="A73" s="69" t="s">
        <v>45</v>
      </c>
      <c r="B73" s="94">
        <v>2024</v>
      </c>
    </row>
    <row r="75" spans="1:11" ht="45" x14ac:dyDescent="0.35">
      <c r="A75" s="69" t="s">
        <v>213</v>
      </c>
      <c r="B75" s="96" t="s">
        <v>222</v>
      </c>
      <c r="C75" s="96" t="s">
        <v>223</v>
      </c>
      <c r="D75" s="96" t="s">
        <v>224</v>
      </c>
      <c r="E75" s="96" t="s">
        <v>225</v>
      </c>
      <c r="F75" s="96" t="s">
        <v>226</v>
      </c>
      <c r="G75" s="96" t="s">
        <v>227</v>
      </c>
      <c r="H75" s="96" t="s">
        <v>228</v>
      </c>
      <c r="I75" s="96" t="s">
        <v>229</v>
      </c>
      <c r="J75" t="s">
        <v>260</v>
      </c>
      <c r="K75" t="s">
        <v>259</v>
      </c>
    </row>
    <row r="76" spans="1:11" x14ac:dyDescent="0.35">
      <c r="A76" t="s">
        <v>207</v>
      </c>
      <c r="B76" s="7">
        <v>43.991961562740741</v>
      </c>
      <c r="C76" s="7">
        <v>29.669272357549485</v>
      </c>
      <c r="D76" s="7">
        <v>52.458557324901406</v>
      </c>
      <c r="E76" s="7">
        <v>63.75</v>
      </c>
      <c r="F76" s="7">
        <v>52.5</v>
      </c>
      <c r="G76" s="7">
        <v>43.626659511507519</v>
      </c>
      <c r="H76" s="7">
        <v>87.5</v>
      </c>
      <c r="I76" s="7">
        <v>83.75</v>
      </c>
      <c r="J76" s="7">
        <v>38.779166599230663</v>
      </c>
      <c r="K76" s="7">
        <v>14.325110634100502</v>
      </c>
    </row>
    <row r="77" spans="1:11" x14ac:dyDescent="0.35">
      <c r="A77" t="s">
        <v>208</v>
      </c>
      <c r="B77" s="7">
        <v>52.028088590493368</v>
      </c>
      <c r="C77" s="7">
        <v>9.3678740507213192</v>
      </c>
      <c r="D77" s="7">
        <v>30.868575972274542</v>
      </c>
      <c r="E77" s="7">
        <v>62.5</v>
      </c>
      <c r="F77" s="7">
        <v>45</v>
      </c>
      <c r="G77" s="7">
        <v>85.526537301694319</v>
      </c>
      <c r="H77" s="7">
        <v>95</v>
      </c>
      <c r="I77" s="7">
        <v>80</v>
      </c>
      <c r="J77" s="7">
        <v>31.962326178158278</v>
      </c>
      <c r="K77" s="7">
        <v>17.373354116022046</v>
      </c>
    </row>
    <row r="78" spans="1:11" x14ac:dyDescent="0.35">
      <c r="A78" t="s">
        <v>214</v>
      </c>
      <c r="B78" s="7">
        <v>35.770237532136818</v>
      </c>
      <c r="C78" s="7">
        <v>19.736050482043019</v>
      </c>
      <c r="D78" s="7">
        <v>46.924180469625853</v>
      </c>
      <c r="E78" s="7">
        <v>56</v>
      </c>
      <c r="F78" s="7">
        <v>64</v>
      </c>
      <c r="G78" s="7">
        <v>63.206090485596654</v>
      </c>
      <c r="H78" s="7">
        <v>100</v>
      </c>
      <c r="I78" s="7">
        <v>92</v>
      </c>
      <c r="J78" s="7">
        <v>35.588874957408912</v>
      </c>
      <c r="K78" s="7">
        <v>17.013739365706442</v>
      </c>
    </row>
    <row r="79" spans="1:11" x14ac:dyDescent="0.35">
      <c r="A79" t="s">
        <v>210</v>
      </c>
      <c r="B79" s="7">
        <v>36.13181285517102</v>
      </c>
      <c r="C79" s="7">
        <v>57.683749577274526</v>
      </c>
      <c r="D79" s="7">
        <v>75.657807923267868</v>
      </c>
      <c r="E79" s="7">
        <v>71.428571428571431</v>
      </c>
      <c r="F79" s="7">
        <v>28.571428571428573</v>
      </c>
      <c r="G79" s="7">
        <v>70.990264050554387</v>
      </c>
      <c r="H79" s="7">
        <v>62.857142857142854</v>
      </c>
      <c r="I79" s="7">
        <v>87.142857142857139</v>
      </c>
      <c r="J79" s="7">
        <v>43.115739256914139</v>
      </c>
      <c r="K79" s="7">
        <v>14.740977527287722</v>
      </c>
    </row>
    <row r="80" spans="1:11" x14ac:dyDescent="0.35">
      <c r="A80" t="s">
        <v>211</v>
      </c>
      <c r="B80" s="7">
        <v>59.051916322632273</v>
      </c>
      <c r="C80" s="7">
        <v>15.230668123283568</v>
      </c>
      <c r="D80" s="7">
        <v>33.085679436131315</v>
      </c>
      <c r="E80" s="7">
        <v>80</v>
      </c>
      <c r="F80" s="7">
        <v>35</v>
      </c>
      <c r="G80" s="7">
        <v>87.320572214817446</v>
      </c>
      <c r="H80" s="7">
        <v>100</v>
      </c>
      <c r="I80" s="7">
        <v>87.5</v>
      </c>
      <c r="J80" s="7">
        <v>35.578922221127542</v>
      </c>
      <c r="K80" s="7">
        <v>18.324076657780743</v>
      </c>
    </row>
    <row r="81" spans="1:11" x14ac:dyDescent="0.35">
      <c r="A81" t="s">
        <v>215</v>
      </c>
      <c r="B81" s="7">
        <v>38.814133002483238</v>
      </c>
      <c r="C81" s="7">
        <v>6.9927727123019388</v>
      </c>
      <c r="D81" s="7">
        <v>49.890165651995446</v>
      </c>
      <c r="E81" s="7">
        <v>67.5</v>
      </c>
      <c r="F81" s="7">
        <v>45</v>
      </c>
      <c r="G81" s="7">
        <v>81.549873322741007</v>
      </c>
      <c r="H81" s="7">
        <v>100</v>
      </c>
      <c r="I81" s="7">
        <v>87.5</v>
      </c>
      <c r="J81" s="7">
        <v>33.311531418684901</v>
      </c>
      <c r="K81" s="7">
        <v>17.936658221516069</v>
      </c>
    </row>
    <row r="82" spans="1:11" x14ac:dyDescent="0.35">
      <c r="A82" t="s">
        <v>53</v>
      </c>
      <c r="B82" s="7">
        <v>43.227691306601344</v>
      </c>
      <c r="C82" s="7">
        <v>27.068310558023747</v>
      </c>
      <c r="D82" s="7">
        <v>51.227240645369399</v>
      </c>
      <c r="E82" s="7">
        <v>66.5625</v>
      </c>
      <c r="F82" s="7">
        <v>45</v>
      </c>
      <c r="G82" s="7">
        <v>68.111359632216733</v>
      </c>
      <c r="H82" s="7">
        <v>88.125</v>
      </c>
      <c r="I82" s="7">
        <v>86.25</v>
      </c>
      <c r="J82" s="7">
        <v>37.293718801599113</v>
      </c>
      <c r="K82" s="7">
        <v>16.168524392925804</v>
      </c>
    </row>
    <row r="84" spans="1:11" x14ac:dyDescent="0.35">
      <c r="A84" s="144" t="s">
        <v>235</v>
      </c>
    </row>
    <row r="85" spans="1:11" ht="60" x14ac:dyDescent="0.35">
      <c r="A85" s="101" t="s">
        <v>213</v>
      </c>
      <c r="B85" s="103" t="s">
        <v>222</v>
      </c>
      <c r="C85" s="103" t="s">
        <v>223</v>
      </c>
      <c r="D85" s="103" t="s">
        <v>224</v>
      </c>
      <c r="E85" s="103" t="s">
        <v>225</v>
      </c>
      <c r="F85" s="103" t="s">
        <v>226</v>
      </c>
      <c r="G85" s="103" t="s">
        <v>227</v>
      </c>
      <c r="H85" s="103" t="s">
        <v>228</v>
      </c>
      <c r="I85" s="103" t="s">
        <v>229</v>
      </c>
      <c r="J85" s="380">
        <v>2023</v>
      </c>
    </row>
    <row r="86" spans="1:11" x14ac:dyDescent="0.35">
      <c r="A86" t="s">
        <v>207</v>
      </c>
      <c r="B86" s="7">
        <v>47.053703413304191</v>
      </c>
      <c r="C86" s="7">
        <v>52.510034107085495</v>
      </c>
      <c r="D86" s="7">
        <v>51.381540652642599</v>
      </c>
      <c r="E86" s="7">
        <v>60</v>
      </c>
      <c r="F86" s="7">
        <v>62.5</v>
      </c>
      <c r="G86" s="7">
        <v>44.071648191811192</v>
      </c>
      <c r="H86" s="7">
        <v>86.25</v>
      </c>
      <c r="I86" s="7">
        <v>85</v>
      </c>
      <c r="J86" s="380"/>
    </row>
    <row r="87" spans="1:11" x14ac:dyDescent="0.35">
      <c r="A87" t="s">
        <v>208</v>
      </c>
      <c r="B87" s="7">
        <v>56.314682945775878</v>
      </c>
      <c r="C87" s="7">
        <v>35.124900225407671</v>
      </c>
      <c r="D87" s="7">
        <v>37.801067907377323</v>
      </c>
      <c r="E87" s="7">
        <v>77.5</v>
      </c>
      <c r="F87" s="7">
        <v>65</v>
      </c>
      <c r="G87" s="7">
        <v>70.382660936986142</v>
      </c>
      <c r="H87" s="7">
        <v>95</v>
      </c>
      <c r="I87" s="7">
        <v>85</v>
      </c>
      <c r="J87" s="380"/>
    </row>
    <row r="88" spans="1:11" x14ac:dyDescent="0.35">
      <c r="A88" t="s">
        <v>214</v>
      </c>
      <c r="B88" s="7">
        <v>34.409337399665503</v>
      </c>
      <c r="C88" s="7">
        <v>20.174454179135694</v>
      </c>
      <c r="D88" s="7">
        <v>47.101092494062442</v>
      </c>
      <c r="E88" s="7">
        <v>50</v>
      </c>
      <c r="F88" s="7">
        <v>88</v>
      </c>
      <c r="G88" s="7">
        <v>75.892402123656638</v>
      </c>
      <c r="H88" s="7">
        <v>88</v>
      </c>
      <c r="I88" s="7">
        <v>84</v>
      </c>
      <c r="J88" s="380"/>
    </row>
    <row r="89" spans="1:11" x14ac:dyDescent="0.35">
      <c r="A89" t="s">
        <v>210</v>
      </c>
      <c r="B89" s="7">
        <v>38.059679275553812</v>
      </c>
      <c r="C89" s="7">
        <v>34.552684914162285</v>
      </c>
      <c r="D89" s="7">
        <v>77.412789800083146</v>
      </c>
      <c r="E89" s="7">
        <v>70</v>
      </c>
      <c r="F89" s="7">
        <v>40</v>
      </c>
      <c r="G89" s="7">
        <v>71.596479884716459</v>
      </c>
      <c r="H89" s="7">
        <v>28.571428571428573</v>
      </c>
      <c r="I89" s="7">
        <v>85.714285714285708</v>
      </c>
      <c r="J89" s="380"/>
    </row>
    <row r="90" spans="1:11" x14ac:dyDescent="0.35">
      <c r="A90" t="s">
        <v>211</v>
      </c>
      <c r="B90" s="7">
        <v>63.439979474149155</v>
      </c>
      <c r="C90" s="7">
        <v>36.800501695484947</v>
      </c>
      <c r="D90" s="7">
        <v>38.845919605916542</v>
      </c>
      <c r="E90" s="7">
        <v>75</v>
      </c>
      <c r="F90" s="7">
        <v>40</v>
      </c>
      <c r="G90" s="7">
        <v>51.837107602928228</v>
      </c>
      <c r="H90" s="7">
        <v>90</v>
      </c>
      <c r="I90" s="7">
        <v>100</v>
      </c>
      <c r="J90" s="380"/>
    </row>
    <row r="91" spans="1:11" x14ac:dyDescent="0.35">
      <c r="A91" t="s">
        <v>215</v>
      </c>
      <c r="B91" s="7">
        <v>41.678600043234582</v>
      </c>
      <c r="C91" s="7">
        <v>33.569400517909862</v>
      </c>
      <c r="D91" s="7">
        <v>53.188494581741956</v>
      </c>
      <c r="E91" s="7">
        <v>65</v>
      </c>
      <c r="F91" s="7">
        <v>55</v>
      </c>
      <c r="G91" s="7">
        <v>70.931759009609095</v>
      </c>
      <c r="H91" s="7">
        <v>90</v>
      </c>
      <c r="I91" s="7">
        <v>90</v>
      </c>
      <c r="J91" s="380"/>
    </row>
    <row r="92" spans="1:11" x14ac:dyDescent="0.35">
      <c r="A92" s="98" t="s">
        <v>53</v>
      </c>
      <c r="B92" s="132">
        <v>45.644597471446133</v>
      </c>
      <c r="C92" s="132">
        <v>37.025017122084634</v>
      </c>
      <c r="D92" s="132">
        <v>53.368413896005571</v>
      </c>
      <c r="E92" s="132">
        <v>65.3125</v>
      </c>
      <c r="F92" s="132">
        <v>58.125</v>
      </c>
      <c r="G92" s="132">
        <v>62.681770798246298</v>
      </c>
      <c r="H92" s="132">
        <v>75.9375</v>
      </c>
      <c r="I92" s="132">
        <v>87.5</v>
      </c>
      <c r="J92" s="380"/>
    </row>
    <row r="94" spans="1:11" x14ac:dyDescent="0.35">
      <c r="A94" s="144" t="s">
        <v>236</v>
      </c>
    </row>
    <row r="95" spans="1:11" ht="60" x14ac:dyDescent="0.35">
      <c r="A95" s="101" t="s">
        <v>213</v>
      </c>
      <c r="B95" s="103" t="s">
        <v>222</v>
      </c>
      <c r="C95" s="103" t="s">
        <v>223</v>
      </c>
      <c r="D95" s="103" t="s">
        <v>224</v>
      </c>
      <c r="E95" s="103" t="s">
        <v>225</v>
      </c>
      <c r="F95" s="103" t="s">
        <v>226</v>
      </c>
      <c r="G95" s="103" t="s">
        <v>227</v>
      </c>
      <c r="H95" s="103" t="s">
        <v>228</v>
      </c>
      <c r="I95" s="103" t="s">
        <v>229</v>
      </c>
      <c r="J95" s="380">
        <v>2024</v>
      </c>
    </row>
    <row r="96" spans="1:11" x14ac:dyDescent="0.35">
      <c r="A96" t="s">
        <v>207</v>
      </c>
      <c r="B96" s="7">
        <v>43.991961562740741</v>
      </c>
      <c r="C96" s="7">
        <v>29.669272357549485</v>
      </c>
      <c r="D96" s="7">
        <v>52.458557324901406</v>
      </c>
      <c r="E96" s="7">
        <v>63.75</v>
      </c>
      <c r="F96" s="7">
        <v>52.5</v>
      </c>
      <c r="G96" s="7">
        <v>43.626659511507519</v>
      </c>
      <c r="H96" s="7">
        <v>87.5</v>
      </c>
      <c r="I96" s="7">
        <v>83.75</v>
      </c>
      <c r="J96" s="380"/>
    </row>
    <row r="97" spans="1:11" x14ac:dyDescent="0.35">
      <c r="A97" t="s">
        <v>208</v>
      </c>
      <c r="B97" s="7">
        <v>52.028088590493368</v>
      </c>
      <c r="C97" s="7">
        <v>9.3678740507213192</v>
      </c>
      <c r="D97" s="7">
        <v>30.868575972274542</v>
      </c>
      <c r="E97" s="7">
        <v>62.5</v>
      </c>
      <c r="F97" s="7">
        <v>45</v>
      </c>
      <c r="G97" s="7">
        <v>85.526537301694319</v>
      </c>
      <c r="H97" s="7">
        <v>95</v>
      </c>
      <c r="I97" s="7">
        <v>80</v>
      </c>
      <c r="J97" s="380"/>
    </row>
    <row r="98" spans="1:11" x14ac:dyDescent="0.35">
      <c r="A98" t="s">
        <v>214</v>
      </c>
      <c r="B98" s="7">
        <v>35.770237532136818</v>
      </c>
      <c r="C98" s="7">
        <v>19.736050482043019</v>
      </c>
      <c r="D98" s="7">
        <v>46.924180469625853</v>
      </c>
      <c r="E98" s="7">
        <v>56</v>
      </c>
      <c r="F98" s="7">
        <v>64</v>
      </c>
      <c r="G98" s="7">
        <v>63.206090485596654</v>
      </c>
      <c r="H98" s="7">
        <v>100</v>
      </c>
      <c r="I98" s="7">
        <v>92</v>
      </c>
      <c r="J98" s="380"/>
    </row>
    <row r="99" spans="1:11" x14ac:dyDescent="0.35">
      <c r="A99" t="s">
        <v>210</v>
      </c>
      <c r="B99" s="7">
        <v>36.13181285517102</v>
      </c>
      <c r="C99" s="7">
        <v>57.683749577274526</v>
      </c>
      <c r="D99" s="7">
        <v>75.657807923267868</v>
      </c>
      <c r="E99" s="7">
        <v>71.428571428571431</v>
      </c>
      <c r="F99" s="7">
        <v>28.571428571428573</v>
      </c>
      <c r="G99" s="7">
        <v>70.990264050554387</v>
      </c>
      <c r="H99" s="7">
        <v>62.857142857142854</v>
      </c>
      <c r="I99" s="7">
        <v>87.142857142857139</v>
      </c>
      <c r="J99" s="380"/>
    </row>
    <row r="100" spans="1:11" x14ac:dyDescent="0.35">
      <c r="A100" t="s">
        <v>211</v>
      </c>
      <c r="B100" s="7">
        <v>59.051916322632273</v>
      </c>
      <c r="C100" s="7">
        <v>15.230668123283568</v>
      </c>
      <c r="D100" s="7">
        <v>33.085679436131315</v>
      </c>
      <c r="E100" s="7">
        <v>80</v>
      </c>
      <c r="F100" s="7">
        <v>35</v>
      </c>
      <c r="G100" s="7">
        <v>87.320572214817446</v>
      </c>
      <c r="H100" s="7">
        <v>100</v>
      </c>
      <c r="I100" s="7">
        <v>87.5</v>
      </c>
      <c r="J100" s="380"/>
    </row>
    <row r="101" spans="1:11" x14ac:dyDescent="0.35">
      <c r="A101" t="s">
        <v>215</v>
      </c>
      <c r="B101" s="7">
        <v>38.814133002483238</v>
      </c>
      <c r="C101" s="7">
        <v>6.9927727123019388</v>
      </c>
      <c r="D101" s="7">
        <v>49.890165651995446</v>
      </c>
      <c r="E101" s="7">
        <v>67.5</v>
      </c>
      <c r="F101" s="7">
        <v>45</v>
      </c>
      <c r="G101" s="7">
        <v>81.549873322741007</v>
      </c>
      <c r="H101" s="7">
        <v>100</v>
      </c>
      <c r="I101" s="7">
        <v>87.5</v>
      </c>
      <c r="J101" s="380"/>
    </row>
    <row r="102" spans="1:11" x14ac:dyDescent="0.35">
      <c r="A102" s="98" t="s">
        <v>53</v>
      </c>
      <c r="B102" s="132">
        <v>43.227691306601344</v>
      </c>
      <c r="C102" s="132">
        <v>27.068310558023747</v>
      </c>
      <c r="D102" s="132">
        <v>51.227240645369399</v>
      </c>
      <c r="E102" s="132">
        <v>66.5625</v>
      </c>
      <c r="F102" s="132">
        <v>45</v>
      </c>
      <c r="G102" s="132">
        <v>68.111359632216733</v>
      </c>
      <c r="H102" s="132">
        <v>88.125</v>
      </c>
      <c r="I102" s="132">
        <v>86.25</v>
      </c>
      <c r="J102" s="380"/>
    </row>
    <row r="105" spans="1:11" ht="60" x14ac:dyDescent="0.35">
      <c r="A105" s="101" t="s">
        <v>213</v>
      </c>
      <c r="B105" s="103" t="s">
        <v>222</v>
      </c>
      <c r="C105" s="103" t="s">
        <v>223</v>
      </c>
      <c r="D105" s="103" t="s">
        <v>224</v>
      </c>
      <c r="E105" s="103" t="s">
        <v>225</v>
      </c>
      <c r="F105" s="103" t="s">
        <v>226</v>
      </c>
      <c r="G105" s="103" t="s">
        <v>227</v>
      </c>
      <c r="H105" s="103" t="s">
        <v>228</v>
      </c>
      <c r="I105" s="103" t="s">
        <v>229</v>
      </c>
      <c r="J105" s="380" t="s">
        <v>230</v>
      </c>
    </row>
    <row r="106" spans="1:11" x14ac:dyDescent="0.35">
      <c r="A106" t="s">
        <v>207</v>
      </c>
      <c r="B106" s="7">
        <f>B96-B86</f>
        <v>-3.0617418505634504</v>
      </c>
      <c r="C106" s="7">
        <f t="shared" ref="C106:I106" si="0">C96-C86</f>
        <v>-22.840761749536011</v>
      </c>
      <c r="D106" s="7">
        <f t="shared" si="0"/>
        <v>1.0770166722588073</v>
      </c>
      <c r="E106" s="7">
        <f t="shared" si="0"/>
        <v>3.75</v>
      </c>
      <c r="F106" s="7">
        <f t="shared" si="0"/>
        <v>-10</v>
      </c>
      <c r="G106" s="7">
        <f t="shared" si="0"/>
        <v>-0.44498868030367333</v>
      </c>
      <c r="H106" s="7">
        <f t="shared" si="0"/>
        <v>1.25</v>
      </c>
      <c r="I106" s="7">
        <f t="shared" si="0"/>
        <v>-1.25</v>
      </c>
      <c r="J106" s="380"/>
      <c r="K106" s="7">
        <f>SUM(B106:I106)</f>
        <v>-31.520475608144327</v>
      </c>
    </row>
    <row r="107" spans="1:11" x14ac:dyDescent="0.35">
      <c r="A107" t="s">
        <v>208</v>
      </c>
      <c r="B107" s="7">
        <f t="shared" ref="B107:I107" si="1">B97-B87</f>
        <v>-4.2865943552825101</v>
      </c>
      <c r="C107" s="7">
        <f t="shared" si="1"/>
        <v>-25.757026174686352</v>
      </c>
      <c r="D107" s="7">
        <f t="shared" si="1"/>
        <v>-6.9324919351027816</v>
      </c>
      <c r="E107" s="7">
        <f t="shared" si="1"/>
        <v>-15</v>
      </c>
      <c r="F107" s="7">
        <f t="shared" si="1"/>
        <v>-20</v>
      </c>
      <c r="G107" s="7">
        <f t="shared" si="1"/>
        <v>15.143876364708177</v>
      </c>
      <c r="H107" s="7">
        <f t="shared" si="1"/>
        <v>0</v>
      </c>
      <c r="I107" s="7">
        <f t="shared" si="1"/>
        <v>-5</v>
      </c>
      <c r="J107" s="380"/>
      <c r="K107" s="7">
        <f t="shared" ref="K107:K111" si="2">SUM(B107:I107)</f>
        <v>-61.832236100363474</v>
      </c>
    </row>
    <row r="108" spans="1:11" x14ac:dyDescent="0.35">
      <c r="A108" t="s">
        <v>214</v>
      </c>
      <c r="B108" s="7">
        <f t="shared" ref="B108:I108" si="3">B98-B88</f>
        <v>1.3609001324713148</v>
      </c>
      <c r="C108" s="7">
        <f t="shared" si="3"/>
        <v>-0.43840369709267435</v>
      </c>
      <c r="D108" s="7">
        <f t="shared" si="3"/>
        <v>-0.17691202443658938</v>
      </c>
      <c r="E108" s="7">
        <f t="shared" si="3"/>
        <v>6</v>
      </c>
      <c r="F108" s="7">
        <f t="shared" si="3"/>
        <v>-24</v>
      </c>
      <c r="G108" s="7">
        <f t="shared" si="3"/>
        <v>-12.686311638059983</v>
      </c>
      <c r="H108" s="7">
        <f t="shared" si="3"/>
        <v>12</v>
      </c>
      <c r="I108" s="7">
        <f t="shared" si="3"/>
        <v>8</v>
      </c>
      <c r="J108" s="380"/>
      <c r="K108" s="7">
        <f t="shared" si="2"/>
        <v>-9.9407272271179323</v>
      </c>
    </row>
    <row r="109" spans="1:11" x14ac:dyDescent="0.35">
      <c r="A109" t="s">
        <v>210</v>
      </c>
      <c r="B109" s="7">
        <f t="shared" ref="B109:I109" si="4">B99-B89</f>
        <v>-1.9278664203827915</v>
      </c>
      <c r="C109" s="7">
        <f t="shared" si="4"/>
        <v>23.131064663112241</v>
      </c>
      <c r="D109" s="7">
        <f t="shared" si="4"/>
        <v>-1.754981876815279</v>
      </c>
      <c r="E109" s="7">
        <f t="shared" si="4"/>
        <v>1.4285714285714306</v>
      </c>
      <c r="F109" s="7">
        <f t="shared" si="4"/>
        <v>-11.428571428571427</v>
      </c>
      <c r="G109" s="7">
        <f t="shared" si="4"/>
        <v>-0.60621583416207159</v>
      </c>
      <c r="H109" s="7">
        <f t="shared" si="4"/>
        <v>34.285714285714278</v>
      </c>
      <c r="I109" s="7">
        <f t="shared" si="4"/>
        <v>1.4285714285714306</v>
      </c>
      <c r="J109" s="380"/>
      <c r="K109" s="7">
        <f t="shared" si="2"/>
        <v>44.556286246037814</v>
      </c>
    </row>
    <row r="110" spans="1:11" x14ac:dyDescent="0.35">
      <c r="A110" t="s">
        <v>211</v>
      </c>
      <c r="B110" s="7">
        <f t="shared" ref="B110:I110" si="5">B100-B90</f>
        <v>-4.3880631515168815</v>
      </c>
      <c r="C110" s="7">
        <f t="shared" si="5"/>
        <v>-21.569833572201379</v>
      </c>
      <c r="D110" s="7">
        <f t="shared" si="5"/>
        <v>-5.7602401697852272</v>
      </c>
      <c r="E110" s="7">
        <f t="shared" si="5"/>
        <v>5</v>
      </c>
      <c r="F110" s="7">
        <f t="shared" si="5"/>
        <v>-5</v>
      </c>
      <c r="G110" s="7">
        <f t="shared" si="5"/>
        <v>35.483464611889218</v>
      </c>
      <c r="H110" s="7">
        <f t="shared" si="5"/>
        <v>10</v>
      </c>
      <c r="I110" s="7">
        <f t="shared" si="5"/>
        <v>-12.5</v>
      </c>
      <c r="J110" s="380"/>
      <c r="K110" s="7">
        <f t="shared" si="2"/>
        <v>1.2653277183857305</v>
      </c>
    </row>
    <row r="111" spans="1:11" x14ac:dyDescent="0.35">
      <c r="A111" t="s">
        <v>215</v>
      </c>
      <c r="B111" s="7">
        <f t="shared" ref="B111:I111" si="6">B101-B91</f>
        <v>-2.8644670407513431</v>
      </c>
      <c r="C111" s="7">
        <f t="shared" si="6"/>
        <v>-26.576627805607924</v>
      </c>
      <c r="D111" s="7">
        <f t="shared" si="6"/>
        <v>-3.2983289297465106</v>
      </c>
      <c r="E111" s="7">
        <f t="shared" si="6"/>
        <v>2.5</v>
      </c>
      <c r="F111" s="7">
        <f t="shared" si="6"/>
        <v>-10</v>
      </c>
      <c r="G111" s="7">
        <f t="shared" si="6"/>
        <v>10.618114313131912</v>
      </c>
      <c r="H111" s="7">
        <f t="shared" si="6"/>
        <v>10</v>
      </c>
      <c r="I111" s="7">
        <f t="shared" si="6"/>
        <v>-2.5</v>
      </c>
      <c r="J111" s="380"/>
      <c r="K111" s="7">
        <f t="shared" si="2"/>
        <v>-22.121309462973869</v>
      </c>
    </row>
    <row r="112" spans="1:11" x14ac:dyDescent="0.35">
      <c r="A112" s="98" t="s">
        <v>53</v>
      </c>
      <c r="B112" s="132">
        <f>AVERAGE(B106:B111)</f>
        <v>-2.5279721143376102</v>
      </c>
      <c r="C112" s="132">
        <f t="shared" ref="C112:I112" si="7">AVERAGE(C106:C111)</f>
        <v>-12.34193138933535</v>
      </c>
      <c r="D112" s="132">
        <f t="shared" si="7"/>
        <v>-2.8076563772712633</v>
      </c>
      <c r="E112" s="132">
        <f t="shared" si="7"/>
        <v>0.61309523809523847</v>
      </c>
      <c r="F112" s="132">
        <f t="shared" si="7"/>
        <v>-13.404761904761905</v>
      </c>
      <c r="G112" s="132">
        <f t="shared" si="7"/>
        <v>7.9179898562005961</v>
      </c>
      <c r="H112" s="132">
        <f t="shared" si="7"/>
        <v>11.25595238095238</v>
      </c>
      <c r="I112" s="132">
        <f t="shared" si="7"/>
        <v>-1.9702380952380949</v>
      </c>
      <c r="J112" s="380"/>
    </row>
    <row r="114" spans="1:9" ht="15.6" thickBot="1" x14ac:dyDescent="0.4"/>
    <row r="115" spans="1:9" ht="51" customHeight="1" thickBot="1" x14ac:dyDescent="0.4">
      <c r="A115" s="135" t="s">
        <v>213</v>
      </c>
      <c r="B115" s="143" t="s">
        <v>223</v>
      </c>
      <c r="C115" s="133" t="s">
        <v>226</v>
      </c>
      <c r="D115" s="133" t="s">
        <v>222</v>
      </c>
      <c r="E115" s="133" t="s">
        <v>224</v>
      </c>
      <c r="F115" s="133" t="s">
        <v>229</v>
      </c>
      <c r="G115" s="133" t="s">
        <v>225</v>
      </c>
      <c r="H115" s="133" t="s">
        <v>227</v>
      </c>
      <c r="I115" s="134" t="s">
        <v>228</v>
      </c>
    </row>
    <row r="116" spans="1:9" x14ac:dyDescent="0.35">
      <c r="A116" s="136" t="s">
        <v>207</v>
      </c>
      <c r="B116" s="138">
        <v>-22.840761749536011</v>
      </c>
      <c r="C116" s="138">
        <v>-10</v>
      </c>
      <c r="D116" s="138">
        <v>-3.0617418505634504</v>
      </c>
      <c r="E116" s="138">
        <v>1.0770166722588073</v>
      </c>
      <c r="F116" s="138">
        <v>-1.25</v>
      </c>
      <c r="G116" s="138">
        <v>3.75</v>
      </c>
      <c r="H116" s="138">
        <v>-0.44498868030367333</v>
      </c>
      <c r="I116" s="139">
        <v>1.25</v>
      </c>
    </row>
    <row r="117" spans="1:9" x14ac:dyDescent="0.35">
      <c r="A117" s="136" t="s">
        <v>208</v>
      </c>
      <c r="B117" s="138">
        <v>-25.757026174686352</v>
      </c>
      <c r="C117" s="138">
        <v>-20</v>
      </c>
      <c r="D117" s="138">
        <v>-4.2865943552825101</v>
      </c>
      <c r="E117" s="138">
        <v>-6.9324919351027816</v>
      </c>
      <c r="F117" s="138">
        <v>-5</v>
      </c>
      <c r="G117" s="138">
        <v>-15</v>
      </c>
      <c r="H117" s="138">
        <v>15.143876364708177</v>
      </c>
      <c r="I117" s="139">
        <v>0</v>
      </c>
    </row>
    <row r="118" spans="1:9" x14ac:dyDescent="0.35">
      <c r="A118" s="136" t="s">
        <v>214</v>
      </c>
      <c r="B118" s="138">
        <v>-0.43840369709267435</v>
      </c>
      <c r="C118" s="138">
        <v>-24</v>
      </c>
      <c r="D118" s="138">
        <v>1.3609001324713148</v>
      </c>
      <c r="E118" s="138">
        <v>-0.17691202443658938</v>
      </c>
      <c r="F118" s="138">
        <v>8</v>
      </c>
      <c r="G118" s="138">
        <v>6</v>
      </c>
      <c r="H118" s="138">
        <v>-12.686311638059983</v>
      </c>
      <c r="I118" s="139">
        <v>12</v>
      </c>
    </row>
    <row r="119" spans="1:9" x14ac:dyDescent="0.35">
      <c r="A119" s="136" t="s">
        <v>210</v>
      </c>
      <c r="B119" s="138">
        <v>23.131064663112241</v>
      </c>
      <c r="C119" s="138">
        <v>-11.428571428571427</v>
      </c>
      <c r="D119" s="138">
        <v>-1.9278664203827915</v>
      </c>
      <c r="E119" s="138">
        <v>-1.754981876815279</v>
      </c>
      <c r="F119" s="138">
        <v>1.4285714285714306</v>
      </c>
      <c r="G119" s="138">
        <v>1.4285714285714306</v>
      </c>
      <c r="H119" s="138">
        <v>-0.60621583416207159</v>
      </c>
      <c r="I119" s="139">
        <v>34.285714285714278</v>
      </c>
    </row>
    <row r="120" spans="1:9" x14ac:dyDescent="0.35">
      <c r="A120" s="136" t="s">
        <v>211</v>
      </c>
      <c r="B120" s="138">
        <v>-21.569833572201379</v>
      </c>
      <c r="C120" s="138">
        <v>-5</v>
      </c>
      <c r="D120" s="138">
        <v>-4.3880631515168815</v>
      </c>
      <c r="E120" s="138">
        <v>-5.7602401697852272</v>
      </c>
      <c r="F120" s="138">
        <v>-12.5</v>
      </c>
      <c r="G120" s="138">
        <v>5</v>
      </c>
      <c r="H120" s="138">
        <v>35.483464611889218</v>
      </c>
      <c r="I120" s="139">
        <v>10</v>
      </c>
    </row>
    <row r="121" spans="1:9" ht="15.6" thickBot="1" x14ac:dyDescent="0.4">
      <c r="A121" s="137" t="s">
        <v>215</v>
      </c>
      <c r="B121" s="140">
        <v>-26.576627805607924</v>
      </c>
      <c r="C121" s="140">
        <v>-10</v>
      </c>
      <c r="D121" s="140">
        <v>-2.8644670407513431</v>
      </c>
      <c r="E121" s="140">
        <v>-3.2983289297465106</v>
      </c>
      <c r="F121" s="140">
        <v>-2.5</v>
      </c>
      <c r="G121" s="140">
        <v>2.5</v>
      </c>
      <c r="H121" s="140">
        <v>10.618114313131912</v>
      </c>
      <c r="I121" s="141">
        <v>10</v>
      </c>
    </row>
    <row r="128" spans="1:9" x14ac:dyDescent="0.35">
      <c r="A128" s="69" t="s">
        <v>45</v>
      </c>
      <c r="B128" t="s">
        <v>231</v>
      </c>
      <c r="C128" t="s">
        <v>232</v>
      </c>
      <c r="D128" t="s">
        <v>233</v>
      </c>
    </row>
    <row r="129" spans="1:4" x14ac:dyDescent="0.35">
      <c r="A129">
        <v>2021</v>
      </c>
      <c r="B129" s="7">
        <v>17.762106933013555</v>
      </c>
      <c r="C129" s="7">
        <v>20.850343253307248</v>
      </c>
      <c r="D129" s="7">
        <v>63.096120010158813</v>
      </c>
    </row>
    <row r="130" spans="1:4" x14ac:dyDescent="0.35">
      <c r="A130">
        <v>2022</v>
      </c>
      <c r="B130" s="7">
        <v>16.57654046035341</v>
      </c>
      <c r="C130" s="7">
        <v>8.542713361019814</v>
      </c>
      <c r="D130" s="7">
        <v>53.204449026900896</v>
      </c>
    </row>
    <row r="131" spans="1:4" x14ac:dyDescent="0.35">
      <c r="A131">
        <v>2023</v>
      </c>
      <c r="B131" s="7">
        <v>13.917601955972305</v>
      </c>
      <c r="C131" s="7">
        <v>7.4913751257978767</v>
      </c>
      <c r="D131" s="7">
        <v>54.355402528553881</v>
      </c>
    </row>
    <row r="132" spans="1:4" x14ac:dyDescent="0.35">
      <c r="A132">
        <v>2024</v>
      </c>
      <c r="B132" s="7">
        <v>17.948128604878299</v>
      </c>
      <c r="C132" s="7">
        <v>10.740577722704522</v>
      </c>
      <c r="D132" s="7">
        <v>56.772308693398671</v>
      </c>
    </row>
    <row r="133" spans="1:4" x14ac:dyDescent="0.35">
      <c r="A133" t="s">
        <v>53</v>
      </c>
      <c r="B133" s="7">
        <v>16.551094488554391</v>
      </c>
      <c r="C133" s="7">
        <v>11.906252365707362</v>
      </c>
      <c r="D133" s="7">
        <v>56.857070064753067</v>
      </c>
    </row>
    <row r="169" spans="1:12" x14ac:dyDescent="0.35">
      <c r="A169" s="144" t="s">
        <v>59</v>
      </c>
    </row>
    <row r="170" spans="1:12" x14ac:dyDescent="0.35">
      <c r="A170" s="69" t="s">
        <v>45</v>
      </c>
      <c r="B170" s="94">
        <v>2024</v>
      </c>
    </row>
    <row r="172" spans="1:12" s="90" customFormat="1" ht="90" x14ac:dyDescent="0.35">
      <c r="A172" s="157" t="s">
        <v>213</v>
      </c>
      <c r="B172" s="90" t="s">
        <v>237</v>
      </c>
      <c r="C172" s="90" t="s">
        <v>182</v>
      </c>
      <c r="D172" s="90" t="s">
        <v>183</v>
      </c>
      <c r="E172" s="90" t="s">
        <v>184</v>
      </c>
      <c r="F172" s="90" t="s">
        <v>185</v>
      </c>
      <c r="G172" s="90" t="s">
        <v>186</v>
      </c>
      <c r="H172" s="90" t="s">
        <v>190</v>
      </c>
      <c r="I172" s="90" t="s">
        <v>189</v>
      </c>
      <c r="J172" s="90" t="s">
        <v>188</v>
      </c>
      <c r="K172" s="90" t="s">
        <v>238</v>
      </c>
      <c r="L172" t="s">
        <v>262</v>
      </c>
    </row>
    <row r="173" spans="1:12" x14ac:dyDescent="0.35">
      <c r="A173" t="s">
        <v>207</v>
      </c>
      <c r="B173" s="7">
        <v>56.008038437259259</v>
      </c>
      <c r="C173" s="7">
        <v>15.040708107931117</v>
      </c>
      <c r="D173" s="7">
        <v>47.541442675098594</v>
      </c>
      <c r="E173" s="7">
        <v>47.444186492950479</v>
      </c>
      <c r="F173" s="7">
        <v>16.319591466507589</v>
      </c>
      <c r="G173" s="7">
        <v>48.473958249038319</v>
      </c>
      <c r="H173" s="7">
        <v>5.8855533074372417</v>
      </c>
      <c r="I173" s="7">
        <v>246.20512230433908</v>
      </c>
      <c r="J173" s="7">
        <v>83.545807669063947</v>
      </c>
      <c r="K173" s="7">
        <v>71.625553170502513</v>
      </c>
      <c r="L173" s="7">
        <v>0</v>
      </c>
    </row>
    <row r="174" spans="1:12" x14ac:dyDescent="0.35">
      <c r="A174" t="s">
        <v>208</v>
      </c>
      <c r="B174" s="7">
        <v>47.971911409506632</v>
      </c>
      <c r="C174" s="7">
        <v>4.8789114640435773</v>
      </c>
      <c r="D174" s="7">
        <v>69.131424027725458</v>
      </c>
      <c r="E174" s="7">
        <v>50.285800122286396</v>
      </c>
      <c r="F174" s="7">
        <v>15.182203567504917</v>
      </c>
      <c r="G174" s="7">
        <v>39.952907722697844</v>
      </c>
      <c r="H174" s="7">
        <v>8.921592160262529</v>
      </c>
      <c r="I174" s="7">
        <v>106.72903169468681</v>
      </c>
      <c r="J174" s="7">
        <v>82.383863569646024</v>
      </c>
      <c r="K174" s="7">
        <v>86.842179100564778</v>
      </c>
      <c r="L174" s="7">
        <v>9.8365918181800738E-2</v>
      </c>
    </row>
    <row r="175" spans="1:12" x14ac:dyDescent="0.35">
      <c r="A175" t="s">
        <v>214</v>
      </c>
      <c r="B175" s="7">
        <v>64.229762467863182</v>
      </c>
      <c r="C175" s="7">
        <v>8.0907304386216001</v>
      </c>
      <c r="D175" s="7">
        <v>53.075819530374147</v>
      </c>
      <c r="E175" s="7">
        <v>43.084702649830682</v>
      </c>
      <c r="F175" s="7">
        <v>13.086384155656233</v>
      </c>
      <c r="G175" s="7">
        <v>44.486093696761138</v>
      </c>
      <c r="H175" s="7">
        <v>11.636148878823146</v>
      </c>
      <c r="I175" s="7">
        <v>111.39155643699424</v>
      </c>
      <c r="J175" s="7">
        <v>89.477650588076727</v>
      </c>
      <c r="K175" s="7">
        <v>85.068696828532211</v>
      </c>
      <c r="L175" s="7">
        <v>0</v>
      </c>
    </row>
    <row r="176" spans="1:12" x14ac:dyDescent="0.35">
      <c r="A176" t="s">
        <v>210</v>
      </c>
      <c r="B176" s="7">
        <v>63.868187144828987</v>
      </c>
      <c r="C176" s="7">
        <v>17.113373966882449</v>
      </c>
      <c r="D176" s="7">
        <v>24.342192076732147</v>
      </c>
      <c r="E176" s="7">
        <v>52.315374955764931</v>
      </c>
      <c r="F176" s="7">
        <v>25.085812991801937</v>
      </c>
      <c r="G176" s="7">
        <v>53.894674071142681</v>
      </c>
      <c r="H176" s="7">
        <v>15.751113512467034</v>
      </c>
      <c r="I176" s="7">
        <v>131.78403179248014</v>
      </c>
      <c r="J176" s="7">
        <v>87.500520243150234</v>
      </c>
      <c r="K176" s="7">
        <v>73.663421350184777</v>
      </c>
      <c r="L176" s="7">
        <v>0.29026400377660511</v>
      </c>
    </row>
    <row r="177" spans="1:12" x14ac:dyDescent="0.35">
      <c r="A177" t="s">
        <v>211</v>
      </c>
      <c r="B177" s="7">
        <v>40.948083677367727</v>
      </c>
      <c r="C177" s="7">
        <v>7.9323313816339729</v>
      </c>
      <c r="D177" s="7">
        <v>66.914320563868685</v>
      </c>
      <c r="E177" s="7">
        <v>56.408347672205345</v>
      </c>
      <c r="F177" s="7">
        <v>19.447214196426103</v>
      </c>
      <c r="G177" s="7">
        <v>44.47365277640943</v>
      </c>
      <c r="H177" s="7">
        <v>17.57000573701994</v>
      </c>
      <c r="I177" s="7">
        <v>109.63316408422845</v>
      </c>
      <c r="J177" s="7">
        <v>88.011734829088567</v>
      </c>
      <c r="K177" s="7">
        <v>91.606857404939149</v>
      </c>
      <c r="L177" s="7">
        <v>5.410353585830862E-2</v>
      </c>
    </row>
    <row r="178" spans="1:12" x14ac:dyDescent="0.35">
      <c r="A178" t="s">
        <v>215</v>
      </c>
      <c r="B178" s="7">
        <v>61.185866997516762</v>
      </c>
      <c r="C178" s="7">
        <v>2.9701452297751212</v>
      </c>
      <c r="D178" s="7">
        <v>50.109834348004554</v>
      </c>
      <c r="E178" s="7">
        <v>48.61791591839112</v>
      </c>
      <c r="F178" s="7">
        <v>16.058275211856511</v>
      </c>
      <c r="G178" s="7">
        <v>41.639414273356124</v>
      </c>
      <c r="H178" s="7">
        <v>13.37741328444752</v>
      </c>
      <c r="I178" s="7">
        <v>103.61295114231351</v>
      </c>
      <c r="J178" s="7">
        <v>87.915235307516269</v>
      </c>
      <c r="K178" s="7">
        <v>89.683291107580345</v>
      </c>
      <c r="L178" s="7">
        <v>0</v>
      </c>
    </row>
    <row r="179" spans="1:12" x14ac:dyDescent="0.35">
      <c r="A179" t="s">
        <v>53</v>
      </c>
      <c r="B179" s="7">
        <v>56.772308693398664</v>
      </c>
      <c r="C179" s="7">
        <v>10.740577722704524</v>
      </c>
      <c r="D179" s="7">
        <v>48.772759354630587</v>
      </c>
      <c r="E179" s="7">
        <v>49.451027647957602</v>
      </c>
      <c r="F179" s="7">
        <v>17.948128604878296</v>
      </c>
      <c r="G179" s="7">
        <v>46.617148501998891</v>
      </c>
      <c r="H179" s="7">
        <v>11.718719067743841</v>
      </c>
      <c r="I179" s="7">
        <v>147.78086158912373</v>
      </c>
      <c r="J179" s="7">
        <v>86.296927838123452</v>
      </c>
      <c r="K179" s="7">
        <v>80.828786544072258</v>
      </c>
      <c r="L179" s="7">
        <v>0.44273345781671447</v>
      </c>
    </row>
  </sheetData>
  <mergeCells count="16">
    <mergeCell ref="E62:E65"/>
    <mergeCell ref="E58:E61"/>
    <mergeCell ref="J85:J92"/>
    <mergeCell ref="J95:J102"/>
    <mergeCell ref="J105:J112"/>
    <mergeCell ref="E38:E41"/>
    <mergeCell ref="E42:E45"/>
    <mergeCell ref="E46:E49"/>
    <mergeCell ref="E50:E53"/>
    <mergeCell ref="E54:E57"/>
    <mergeCell ref="E4:E7"/>
    <mergeCell ref="E12:E15"/>
    <mergeCell ref="E16:E19"/>
    <mergeCell ref="E20:E23"/>
    <mergeCell ref="E24:E27"/>
    <mergeCell ref="E8:E11"/>
  </mergeCells>
  <conditionalFormatting sqref="B116:B1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6:I1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2:I11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6:I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6:C12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6:D1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16:E12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16:F1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6:G1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6:H1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6:I1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0769-F38A-401D-B54C-A46DCC7A2419}">
  <dimension ref="A1:AP3060"/>
  <sheetViews>
    <sheetView showGridLines="0" topLeftCell="A127" zoomScale="80" zoomScaleNormal="80" workbookViewId="0">
      <selection activeCell="E167" sqref="E167"/>
    </sheetView>
  </sheetViews>
  <sheetFormatPr baseColWidth="10" defaultColWidth="11.54296875" defaultRowHeight="12.6" x14ac:dyDescent="0.2"/>
  <cols>
    <col min="1" max="1" width="14.6328125" style="163" bestFit="1" customWidth="1"/>
    <col min="2" max="2" width="15.6328125" style="163" customWidth="1"/>
    <col min="3" max="3" width="11.54296875" style="163"/>
    <col min="4" max="4" width="26.08984375" style="163" customWidth="1"/>
    <col min="5" max="5" width="35.1796875" style="163" customWidth="1"/>
    <col min="6" max="7" width="19.1796875" style="163" customWidth="1"/>
    <col min="8" max="8" width="14.1796875" style="163" customWidth="1"/>
    <col min="9" max="10" width="11.54296875" style="163"/>
    <col min="11" max="11" width="14.6328125" style="163" bestFit="1" customWidth="1"/>
    <col min="12" max="12" width="21.36328125" style="163" customWidth="1"/>
    <col min="13" max="16384" width="11.54296875" style="163"/>
  </cols>
  <sheetData>
    <row r="1" spans="1:42" x14ac:dyDescent="0.2">
      <c r="A1" s="161" t="s">
        <v>45</v>
      </c>
      <c r="B1" s="162">
        <v>2024</v>
      </c>
      <c r="D1" s="158"/>
      <c r="E1" s="158"/>
      <c r="H1" s="158"/>
      <c r="J1" s="159"/>
      <c r="K1" s="161" t="s">
        <v>45</v>
      </c>
      <c r="L1" s="162">
        <v>2024</v>
      </c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</row>
    <row r="2" spans="1:42" x14ac:dyDescent="0.2">
      <c r="D2" s="159"/>
      <c r="E2" s="159"/>
      <c r="H2" s="159"/>
      <c r="J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</row>
    <row r="3" spans="1:42" ht="25.2" x14ac:dyDescent="0.2">
      <c r="A3" s="164" t="s">
        <v>180</v>
      </c>
      <c r="B3" s="165" t="s">
        <v>181</v>
      </c>
      <c r="D3" s="159"/>
      <c r="E3" s="159"/>
      <c r="H3" s="159"/>
      <c r="I3" s="159"/>
      <c r="J3" s="159"/>
      <c r="K3" s="164" t="s">
        <v>180</v>
      </c>
      <c r="L3" s="165" t="s">
        <v>46</v>
      </c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L3" s="159"/>
      <c r="AM3" s="159"/>
      <c r="AN3" s="159"/>
      <c r="AO3" s="159"/>
      <c r="AP3" s="159"/>
    </row>
    <row r="4" spans="1:42" x14ac:dyDescent="0.2">
      <c r="A4" s="162" t="s">
        <v>179</v>
      </c>
      <c r="B4" s="166">
        <v>56.772308693398671</v>
      </c>
      <c r="D4" s="159"/>
      <c r="E4" s="159"/>
      <c r="H4" s="159"/>
      <c r="I4" s="159"/>
      <c r="J4" s="159"/>
      <c r="K4" s="162" t="s">
        <v>179</v>
      </c>
      <c r="L4" s="166">
        <v>53.462243194524916</v>
      </c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M4" s="159"/>
      <c r="AN4" s="159"/>
      <c r="AO4" s="159"/>
      <c r="AP4" s="159"/>
    </row>
    <row r="5" spans="1:42" x14ac:dyDescent="0.2">
      <c r="A5" s="162">
        <v>1</v>
      </c>
      <c r="B5" s="166">
        <v>47.628196953543195</v>
      </c>
      <c r="D5" s="159"/>
      <c r="E5" s="159"/>
      <c r="H5" s="159"/>
      <c r="I5" s="159"/>
      <c r="J5" s="159"/>
      <c r="K5" s="162">
        <v>1</v>
      </c>
      <c r="L5" s="166">
        <v>54.798428069946183</v>
      </c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M5" s="159"/>
      <c r="AN5" s="159"/>
    </row>
    <row r="6" spans="1:42" x14ac:dyDescent="0.2">
      <c r="A6" s="162">
        <v>2</v>
      </c>
      <c r="B6" s="166">
        <v>57.104783978582276</v>
      </c>
      <c r="D6" s="159"/>
      <c r="E6" s="159"/>
      <c r="H6" s="159"/>
      <c r="I6" s="159"/>
      <c r="J6" s="159"/>
      <c r="K6" s="162">
        <v>2</v>
      </c>
      <c r="L6" s="166">
        <v>50.632250240853686</v>
      </c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</row>
    <row r="7" spans="1:42" x14ac:dyDescent="0.2">
      <c r="A7" s="162">
        <v>3</v>
      </c>
      <c r="B7" s="166">
        <v>70.664007225767989</v>
      </c>
      <c r="D7" s="159"/>
      <c r="E7" s="159"/>
      <c r="H7" s="159"/>
      <c r="I7" s="159"/>
      <c r="J7" s="159"/>
      <c r="K7" s="162">
        <v>3</v>
      </c>
      <c r="L7" s="166">
        <v>54.213726341985314</v>
      </c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</row>
    <row r="8" spans="1:42" x14ac:dyDescent="0.2">
      <c r="A8" s="162" t="s">
        <v>53</v>
      </c>
      <c r="B8" s="166">
        <v>56.772308693398678</v>
      </c>
      <c r="D8" s="159"/>
      <c r="E8" s="159"/>
      <c r="H8" s="159"/>
      <c r="I8" s="159"/>
      <c r="J8" s="159"/>
      <c r="K8" s="162" t="s">
        <v>53</v>
      </c>
      <c r="L8" s="166">
        <v>53.46224319452493</v>
      </c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</row>
    <row r="9" spans="1:42" x14ac:dyDescent="0.2">
      <c r="D9" s="159"/>
      <c r="E9" s="159"/>
      <c r="H9" s="159"/>
      <c r="I9" s="159"/>
      <c r="J9" s="159"/>
      <c r="K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I9" s="159"/>
      <c r="AJ9" s="159"/>
    </row>
    <row r="10" spans="1:42" x14ac:dyDescent="0.2">
      <c r="D10" s="159"/>
      <c r="E10" s="159"/>
      <c r="H10" s="159"/>
      <c r="I10" s="159"/>
      <c r="J10" s="159"/>
      <c r="K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I10" s="159"/>
      <c r="AJ10" s="159"/>
    </row>
    <row r="11" spans="1:42" x14ac:dyDescent="0.2">
      <c r="D11" s="159"/>
      <c r="E11" s="159"/>
      <c r="H11" s="159"/>
      <c r="I11" s="159"/>
      <c r="J11" s="159"/>
      <c r="K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I11" s="159"/>
      <c r="AJ11" s="159"/>
    </row>
    <row r="12" spans="1:42" x14ac:dyDescent="0.2">
      <c r="D12" s="159"/>
      <c r="E12" s="159"/>
      <c r="H12" s="159"/>
      <c r="I12" s="159"/>
      <c r="J12" s="159"/>
      <c r="K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I12" s="159"/>
      <c r="AJ12" s="159"/>
      <c r="AK12" s="159"/>
    </row>
    <row r="13" spans="1:42" x14ac:dyDescent="0.2">
      <c r="D13" s="159"/>
      <c r="E13" s="159"/>
      <c r="H13" s="159"/>
      <c r="I13" s="159"/>
      <c r="J13" s="159"/>
      <c r="K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I13" s="159"/>
      <c r="AJ13" s="159"/>
      <c r="AK13" s="159"/>
    </row>
    <row r="14" spans="1:42" x14ac:dyDescent="0.2">
      <c r="D14" s="159"/>
      <c r="E14" s="159"/>
      <c r="H14" s="159"/>
      <c r="I14" s="159"/>
      <c r="J14" s="159"/>
      <c r="K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C14" s="159"/>
      <c r="AD14" s="159"/>
      <c r="AE14" s="159"/>
      <c r="AF14" s="159"/>
      <c r="AG14" s="159"/>
      <c r="AI14" s="159"/>
      <c r="AJ14" s="159"/>
      <c r="AK14" s="159"/>
    </row>
    <row r="15" spans="1:42" x14ac:dyDescent="0.2">
      <c r="D15" s="159"/>
      <c r="E15" s="159"/>
      <c r="H15" s="159"/>
      <c r="I15" s="159"/>
      <c r="J15" s="159"/>
      <c r="K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C15" s="159"/>
      <c r="AD15" s="159"/>
      <c r="AE15" s="159"/>
      <c r="AF15" s="159"/>
      <c r="AG15" s="159"/>
      <c r="AI15" s="159"/>
      <c r="AJ15" s="159"/>
      <c r="AK15" s="159"/>
    </row>
    <row r="16" spans="1:42" x14ac:dyDescent="0.2">
      <c r="D16" s="159"/>
      <c r="E16" s="159"/>
      <c r="H16" s="159"/>
      <c r="I16" s="159"/>
      <c r="J16" s="159"/>
      <c r="K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D16" s="159"/>
      <c r="AE16" s="159"/>
      <c r="AF16" s="159"/>
      <c r="AG16" s="159"/>
      <c r="AI16" s="159"/>
      <c r="AJ16" s="159"/>
      <c r="AK16" s="159"/>
    </row>
    <row r="17" spans="1:37" x14ac:dyDescent="0.2">
      <c r="D17" s="159"/>
      <c r="E17" s="159"/>
      <c r="H17" s="159"/>
      <c r="I17" s="159"/>
      <c r="J17" s="159"/>
      <c r="K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D17" s="159"/>
      <c r="AE17" s="159"/>
      <c r="AF17" s="159"/>
      <c r="AG17" s="159"/>
      <c r="AI17" s="159"/>
      <c r="AJ17" s="159"/>
      <c r="AK17" s="159"/>
    </row>
    <row r="18" spans="1:37" x14ac:dyDescent="0.2">
      <c r="D18" s="159"/>
      <c r="E18" s="159"/>
      <c r="H18" s="159"/>
      <c r="I18" s="159"/>
      <c r="J18" s="159"/>
      <c r="K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D18" s="159"/>
      <c r="AE18" s="159"/>
      <c r="AF18" s="159"/>
      <c r="AG18" s="159"/>
      <c r="AI18" s="159"/>
      <c r="AJ18" s="159"/>
      <c r="AK18" s="159"/>
    </row>
    <row r="19" spans="1:37" x14ac:dyDescent="0.2">
      <c r="A19" s="161" t="s">
        <v>45</v>
      </c>
      <c r="B19" s="162">
        <v>2024</v>
      </c>
      <c r="D19" s="159"/>
      <c r="E19" s="159"/>
      <c r="H19" s="159"/>
      <c r="I19" s="159"/>
      <c r="J19" s="159"/>
      <c r="K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D19" s="159"/>
      <c r="AE19" s="159"/>
      <c r="AF19" s="159"/>
      <c r="AG19" s="159"/>
      <c r="AI19" s="159"/>
      <c r="AJ19" s="159"/>
      <c r="AK19" s="159"/>
    </row>
    <row r="20" spans="1:37" x14ac:dyDescent="0.2">
      <c r="C20" s="160"/>
      <c r="D20" s="159"/>
      <c r="E20" s="159"/>
      <c r="H20" s="159"/>
      <c r="I20" s="159"/>
      <c r="J20" s="159"/>
      <c r="K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D20" s="159"/>
      <c r="AE20" s="159"/>
      <c r="AF20" s="159"/>
      <c r="AG20" s="159"/>
      <c r="AI20" s="159"/>
      <c r="AJ20" s="159"/>
      <c r="AK20" s="159"/>
    </row>
    <row r="21" spans="1:37" ht="37.799999999999997" x14ac:dyDescent="0.2">
      <c r="A21" s="164" t="s">
        <v>180</v>
      </c>
      <c r="B21" s="165" t="s">
        <v>182</v>
      </c>
      <c r="C21" s="160"/>
      <c r="D21" s="159"/>
      <c r="E21" s="159"/>
      <c r="H21" s="159"/>
      <c r="I21" s="159"/>
      <c r="J21" s="159"/>
      <c r="K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D21" s="159"/>
      <c r="AE21" s="159"/>
      <c r="AF21" s="159"/>
      <c r="AG21" s="159"/>
      <c r="AJ21" s="159"/>
      <c r="AK21" s="159"/>
    </row>
    <row r="22" spans="1:37" x14ac:dyDescent="0.2">
      <c r="A22" s="162" t="s">
        <v>179</v>
      </c>
      <c r="B22" s="166">
        <v>10.740577722704522</v>
      </c>
      <c r="C22" s="160"/>
      <c r="D22" s="159"/>
      <c r="E22" s="159"/>
      <c r="H22" s="159"/>
      <c r="I22" s="159"/>
      <c r="J22" s="159"/>
      <c r="K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D22" s="159"/>
      <c r="AE22" s="159"/>
      <c r="AF22" s="159"/>
      <c r="AG22" s="159"/>
      <c r="AJ22" s="159"/>
      <c r="AK22" s="159"/>
    </row>
    <row r="23" spans="1:37" x14ac:dyDescent="0.2">
      <c r="A23" s="162">
        <v>1</v>
      </c>
      <c r="B23" s="166">
        <v>12.020405912515283</v>
      </c>
      <c r="C23" s="160"/>
      <c r="D23" s="159"/>
      <c r="E23" s="159"/>
      <c r="H23" s="159"/>
      <c r="I23" s="159"/>
      <c r="J23" s="159"/>
      <c r="K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D23" s="159"/>
      <c r="AE23" s="159"/>
      <c r="AF23" s="159"/>
      <c r="AG23" s="159"/>
      <c r="AJ23" s="159"/>
      <c r="AK23" s="159"/>
    </row>
    <row r="24" spans="1:37" x14ac:dyDescent="0.2">
      <c r="A24" s="162">
        <v>2</v>
      </c>
      <c r="B24" s="166">
        <v>10.975618217550839</v>
      </c>
      <c r="C24" s="160"/>
      <c r="D24" s="159"/>
      <c r="E24" s="159"/>
      <c r="H24" s="159"/>
      <c r="I24" s="159"/>
      <c r="J24" s="159"/>
      <c r="K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D24" s="159"/>
      <c r="AE24" s="159"/>
      <c r="AF24" s="159"/>
      <c r="AG24" s="159"/>
      <c r="AJ24" s="159"/>
      <c r="AK24" s="159"/>
    </row>
    <row r="25" spans="1:37" x14ac:dyDescent="0.2">
      <c r="A25" s="162">
        <v>3</v>
      </c>
      <c r="B25" s="166">
        <v>8.514693377041473</v>
      </c>
      <c r="C25" s="160"/>
      <c r="D25" s="159"/>
      <c r="E25" s="159"/>
      <c r="H25" s="159"/>
      <c r="I25" s="159"/>
      <c r="J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D25" s="159"/>
      <c r="AE25" s="159"/>
      <c r="AF25" s="159"/>
      <c r="AG25" s="159"/>
      <c r="AJ25" s="159"/>
      <c r="AK25" s="159"/>
    </row>
    <row r="26" spans="1:37" x14ac:dyDescent="0.2">
      <c r="A26" s="162" t="s">
        <v>53</v>
      </c>
      <c r="B26" s="166">
        <v>10.740577722704522</v>
      </c>
      <c r="C26" s="160"/>
      <c r="D26" s="159"/>
      <c r="E26" s="159"/>
      <c r="H26" s="159"/>
      <c r="I26" s="159"/>
      <c r="J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D26" s="159"/>
      <c r="AE26" s="159"/>
      <c r="AF26" s="159"/>
      <c r="AG26" s="159"/>
      <c r="AJ26" s="159"/>
    </row>
    <row r="27" spans="1:37" x14ac:dyDescent="0.2">
      <c r="B27" s="159"/>
      <c r="C27" s="160"/>
      <c r="D27" s="159"/>
      <c r="E27" s="159"/>
      <c r="H27" s="159"/>
      <c r="I27" s="159"/>
      <c r="J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D27" s="159"/>
      <c r="AE27" s="159"/>
      <c r="AF27" s="159"/>
      <c r="AG27" s="159"/>
      <c r="AJ27" s="159"/>
    </row>
    <row r="28" spans="1:37" x14ac:dyDescent="0.2">
      <c r="B28" s="159"/>
      <c r="C28" s="160"/>
      <c r="D28" s="159"/>
      <c r="E28" s="159"/>
      <c r="H28" s="159"/>
      <c r="I28" s="159"/>
      <c r="J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D28" s="159"/>
      <c r="AF28" s="159"/>
      <c r="AG28" s="159"/>
      <c r="AJ28" s="159"/>
    </row>
    <row r="29" spans="1:37" x14ac:dyDescent="0.2">
      <c r="B29" s="159"/>
      <c r="C29" s="160"/>
      <c r="D29" s="159"/>
      <c r="E29" s="159"/>
      <c r="H29" s="159"/>
      <c r="I29" s="159"/>
      <c r="J29" s="159"/>
      <c r="M29" s="159"/>
      <c r="N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D29" s="159"/>
      <c r="AF29" s="159"/>
      <c r="AG29" s="159"/>
      <c r="AJ29" s="159"/>
    </row>
    <row r="30" spans="1:37" x14ac:dyDescent="0.2">
      <c r="B30" s="159"/>
      <c r="C30" s="160"/>
      <c r="D30" s="159"/>
      <c r="E30" s="159"/>
      <c r="H30" s="159"/>
      <c r="I30" s="159"/>
      <c r="J30" s="159"/>
      <c r="M30" s="159"/>
      <c r="N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D30" s="159"/>
      <c r="AF30" s="159"/>
      <c r="AG30" s="159"/>
    </row>
    <row r="31" spans="1:37" x14ac:dyDescent="0.2">
      <c r="A31" s="161" t="s">
        <v>45</v>
      </c>
      <c r="B31" s="162">
        <v>2024</v>
      </c>
      <c r="C31" s="160"/>
      <c r="D31" s="159"/>
      <c r="E31" s="159"/>
      <c r="H31" s="159"/>
      <c r="I31" s="159"/>
      <c r="J31" s="159"/>
      <c r="K31" s="161" t="s">
        <v>45</v>
      </c>
      <c r="L31" s="162">
        <v>2024</v>
      </c>
      <c r="M31" s="159"/>
      <c r="N31" s="159"/>
      <c r="P31" s="159"/>
      <c r="Q31" s="159"/>
      <c r="R31" s="159"/>
      <c r="S31" s="159"/>
      <c r="T31" s="159"/>
      <c r="U31" s="161" t="s">
        <v>45</v>
      </c>
      <c r="V31" s="162">
        <v>2024</v>
      </c>
      <c r="W31" s="159"/>
      <c r="X31" s="159"/>
      <c r="Z31" s="159"/>
      <c r="AA31" s="159"/>
      <c r="AD31" s="159"/>
      <c r="AF31" s="159"/>
      <c r="AG31" s="159"/>
    </row>
    <row r="32" spans="1:37" x14ac:dyDescent="0.2">
      <c r="C32" s="160"/>
      <c r="D32" s="159"/>
      <c r="E32" s="159"/>
      <c r="H32" s="159"/>
      <c r="I32" s="159"/>
      <c r="J32" s="159"/>
      <c r="M32" s="159"/>
      <c r="N32" s="159"/>
      <c r="P32" s="159"/>
      <c r="Q32" s="159"/>
      <c r="R32" s="159"/>
      <c r="T32" s="159"/>
      <c r="W32" s="159"/>
      <c r="Z32" s="159"/>
      <c r="AA32" s="159"/>
      <c r="AD32" s="159"/>
      <c r="AF32" s="159"/>
      <c r="AG32" s="159"/>
    </row>
    <row r="33" spans="1:33" ht="63" x14ac:dyDescent="0.2">
      <c r="A33" s="164" t="s">
        <v>180</v>
      </c>
      <c r="B33" s="165" t="s">
        <v>183</v>
      </c>
      <c r="C33" s="160"/>
      <c r="D33" s="159"/>
      <c r="E33" s="159"/>
      <c r="H33" s="159"/>
      <c r="I33" s="159"/>
      <c r="J33" s="159"/>
      <c r="K33" s="164" t="s">
        <v>180</v>
      </c>
      <c r="L33" s="165" t="s">
        <v>190</v>
      </c>
      <c r="M33" s="159"/>
      <c r="N33" s="159"/>
      <c r="P33" s="159"/>
      <c r="Q33" s="159"/>
      <c r="R33" s="159"/>
      <c r="T33" s="159"/>
      <c r="U33" s="164" t="s">
        <v>180</v>
      </c>
      <c r="V33" s="165" t="s">
        <v>205</v>
      </c>
      <c r="W33" s="159"/>
      <c r="Z33" s="159"/>
      <c r="AA33" s="159"/>
      <c r="AD33" s="159"/>
      <c r="AF33" s="159"/>
      <c r="AG33" s="159"/>
    </row>
    <row r="34" spans="1:33" x14ac:dyDescent="0.2">
      <c r="A34" s="162" t="s">
        <v>179</v>
      </c>
      <c r="B34" s="166">
        <v>48.772759354630594</v>
      </c>
      <c r="C34" s="160"/>
      <c r="D34" s="159"/>
      <c r="E34" s="159"/>
      <c r="I34" s="159"/>
      <c r="J34" s="159"/>
      <c r="K34" s="162" t="s">
        <v>179</v>
      </c>
      <c r="L34" s="166">
        <v>11.718719067743843</v>
      </c>
      <c r="M34" s="159"/>
      <c r="N34" s="159"/>
      <c r="P34" s="159"/>
      <c r="Q34" s="159"/>
      <c r="R34" s="159"/>
      <c r="T34" s="159"/>
      <c r="U34" s="162" t="s">
        <v>179</v>
      </c>
      <c r="V34" s="167">
        <v>1.3835420556772327E-2</v>
      </c>
      <c r="W34" s="159"/>
      <c r="Z34" s="159"/>
      <c r="AA34" s="159"/>
      <c r="AD34" s="159"/>
      <c r="AF34" s="159"/>
      <c r="AG34" s="159"/>
    </row>
    <row r="35" spans="1:33" x14ac:dyDescent="0.2">
      <c r="A35" s="162">
        <v>1</v>
      </c>
      <c r="B35" s="166">
        <v>65.180704243326673</v>
      </c>
      <c r="C35" s="160"/>
      <c r="D35" s="159"/>
      <c r="E35" s="159"/>
      <c r="I35" s="159"/>
      <c r="J35" s="159"/>
      <c r="K35" s="162">
        <v>1</v>
      </c>
      <c r="L35" s="166">
        <v>11.713361597663001</v>
      </c>
      <c r="M35" s="159"/>
      <c r="N35" s="159"/>
      <c r="P35" s="159"/>
      <c r="Q35" s="159"/>
      <c r="R35" s="159"/>
      <c r="T35" s="159"/>
      <c r="U35" s="162">
        <v>1</v>
      </c>
      <c r="V35" s="167">
        <v>1.0890675288579241E-2</v>
      </c>
      <c r="W35" s="159"/>
      <c r="Z35" s="159"/>
      <c r="AA35" s="159"/>
      <c r="AD35" s="159"/>
      <c r="AF35" s="159"/>
      <c r="AG35" s="159"/>
    </row>
    <row r="36" spans="1:33" x14ac:dyDescent="0.2">
      <c r="A36" s="162">
        <v>2</v>
      </c>
      <c r="B36" s="166">
        <v>42.737395232589257</v>
      </c>
      <c r="C36" s="160"/>
      <c r="D36" s="159"/>
      <c r="E36" s="159"/>
      <c r="I36" s="159"/>
      <c r="J36" s="159"/>
      <c r="K36" s="162">
        <v>2</v>
      </c>
      <c r="L36" s="166">
        <v>8.2043622155409981</v>
      </c>
      <c r="M36" s="159"/>
      <c r="N36" s="159"/>
      <c r="P36" s="159"/>
      <c r="Q36" s="159"/>
      <c r="R36" s="159"/>
      <c r="T36" s="159"/>
      <c r="U36" s="162">
        <v>2</v>
      </c>
      <c r="V36" s="167">
        <v>4.9836006210005855E-3</v>
      </c>
      <c r="W36" s="159"/>
      <c r="Z36" s="159"/>
      <c r="AA36" s="159"/>
      <c r="AD36" s="159"/>
      <c r="AF36" s="159"/>
      <c r="AG36" s="159"/>
    </row>
    <row r="37" spans="1:33" x14ac:dyDescent="0.2">
      <c r="A37" s="162">
        <v>3</v>
      </c>
      <c r="B37" s="166">
        <v>29.284653649811375</v>
      </c>
      <c r="C37" s="160"/>
      <c r="D37" s="159"/>
      <c r="E37" s="159"/>
      <c r="I37" s="159"/>
      <c r="J37" s="159"/>
      <c r="K37" s="162">
        <v>3</v>
      </c>
      <c r="L37" s="166">
        <v>15.241409762294653</v>
      </c>
      <c r="M37" s="159"/>
      <c r="N37" s="159"/>
      <c r="P37" s="159"/>
      <c r="Q37" s="159"/>
      <c r="R37" s="159"/>
      <c r="T37" s="159"/>
      <c r="U37" s="162">
        <v>3</v>
      </c>
      <c r="V37" s="167">
        <v>2.726795535417776E-2</v>
      </c>
      <c r="W37" s="159"/>
      <c r="Z37" s="159"/>
      <c r="AA37" s="159"/>
      <c r="AD37" s="159"/>
      <c r="AF37" s="159"/>
      <c r="AG37" s="159"/>
    </row>
    <row r="38" spans="1:33" x14ac:dyDescent="0.2">
      <c r="A38" s="162" t="s">
        <v>53</v>
      </c>
      <c r="B38" s="166">
        <v>48.772759354630594</v>
      </c>
      <c r="C38" s="160"/>
      <c r="D38" s="159"/>
      <c r="E38" s="159"/>
      <c r="I38" s="159"/>
      <c r="J38" s="159"/>
      <c r="K38" s="162" t="s">
        <v>53</v>
      </c>
      <c r="L38" s="166">
        <v>11.718719067743841</v>
      </c>
      <c r="M38" s="159"/>
      <c r="N38" s="159"/>
      <c r="P38" s="159"/>
      <c r="Q38" s="159"/>
      <c r="R38" s="159"/>
      <c r="T38" s="159"/>
      <c r="U38" s="162" t="s">
        <v>53</v>
      </c>
      <c r="V38" s="167">
        <v>1.3835420556772327E-2</v>
      </c>
      <c r="W38" s="159"/>
      <c r="Z38" s="159"/>
      <c r="AA38" s="159"/>
      <c r="AD38" s="159"/>
      <c r="AF38" s="159"/>
      <c r="AG38" s="159"/>
    </row>
    <row r="39" spans="1:33" x14ac:dyDescent="0.2">
      <c r="B39" s="159"/>
      <c r="C39" s="160"/>
      <c r="D39" s="159"/>
      <c r="E39" s="159"/>
      <c r="I39" s="159"/>
      <c r="J39" s="159"/>
      <c r="M39" s="159"/>
      <c r="N39" s="159"/>
      <c r="P39" s="159"/>
      <c r="Q39" s="159"/>
      <c r="R39" s="159"/>
      <c r="T39" s="159"/>
      <c r="W39" s="159"/>
      <c r="Z39" s="159"/>
      <c r="AA39" s="159"/>
      <c r="AD39" s="159"/>
      <c r="AF39" s="159"/>
      <c r="AG39" s="159"/>
    </row>
    <row r="40" spans="1:33" x14ac:dyDescent="0.2">
      <c r="B40" s="159"/>
      <c r="C40" s="160"/>
      <c r="D40" s="159"/>
      <c r="E40" s="159"/>
      <c r="I40" s="159"/>
      <c r="J40" s="159"/>
      <c r="M40" s="159"/>
      <c r="N40" s="159"/>
      <c r="P40" s="159"/>
      <c r="Q40" s="159"/>
      <c r="R40" s="159"/>
      <c r="T40" s="159"/>
      <c r="W40" s="159"/>
      <c r="Z40" s="159"/>
      <c r="AA40" s="159"/>
      <c r="AD40" s="159"/>
      <c r="AF40" s="159"/>
      <c r="AG40" s="159"/>
    </row>
    <row r="41" spans="1:33" x14ac:dyDescent="0.2">
      <c r="B41" s="159"/>
      <c r="C41" s="160"/>
      <c r="D41" s="159"/>
      <c r="E41" s="159"/>
      <c r="I41" s="159"/>
      <c r="J41" s="159"/>
      <c r="M41" s="159"/>
      <c r="N41" s="159"/>
      <c r="P41" s="159"/>
      <c r="Q41" s="159"/>
      <c r="R41" s="159"/>
      <c r="T41" s="159"/>
      <c r="W41" s="159"/>
      <c r="Z41" s="159"/>
      <c r="AA41" s="159"/>
      <c r="AD41" s="159"/>
      <c r="AF41" s="159"/>
      <c r="AG41" s="159"/>
    </row>
    <row r="42" spans="1:33" x14ac:dyDescent="0.2">
      <c r="A42" s="161" t="s">
        <v>45</v>
      </c>
      <c r="B42" s="162">
        <v>2024</v>
      </c>
      <c r="C42" s="160"/>
      <c r="D42" s="159"/>
      <c r="E42" s="159"/>
      <c r="I42" s="159"/>
      <c r="J42" s="159"/>
      <c r="K42" s="161" t="s">
        <v>45</v>
      </c>
      <c r="L42" s="162">
        <v>2024</v>
      </c>
      <c r="M42" s="159"/>
      <c r="N42" s="159"/>
      <c r="P42" s="159"/>
      <c r="Q42" s="159"/>
      <c r="R42" s="159"/>
      <c r="T42" s="159"/>
      <c r="W42" s="159"/>
      <c r="Z42" s="159"/>
      <c r="AA42" s="159"/>
      <c r="AD42" s="159"/>
      <c r="AF42" s="159"/>
      <c r="AG42" s="159"/>
    </row>
    <row r="43" spans="1:33" x14ac:dyDescent="0.2">
      <c r="C43" s="160"/>
      <c r="D43" s="159"/>
      <c r="E43" s="159"/>
      <c r="I43" s="159"/>
      <c r="J43" s="159"/>
      <c r="M43" s="159"/>
      <c r="N43" s="159"/>
      <c r="P43" s="159"/>
      <c r="Q43" s="159"/>
      <c r="R43" s="159"/>
      <c r="T43" s="159"/>
      <c r="W43" s="159"/>
      <c r="Z43" s="159"/>
      <c r="AA43" s="159"/>
      <c r="AD43" s="159"/>
      <c r="AF43" s="159"/>
      <c r="AG43" s="159"/>
    </row>
    <row r="44" spans="1:33" ht="50.4" x14ac:dyDescent="0.2">
      <c r="A44" s="164" t="s">
        <v>180</v>
      </c>
      <c r="B44" s="165" t="s">
        <v>184</v>
      </c>
      <c r="C44" s="160"/>
      <c r="D44" s="159"/>
      <c r="E44" s="159"/>
      <c r="I44" s="159"/>
      <c r="J44" s="159"/>
      <c r="K44" s="164" t="s">
        <v>180</v>
      </c>
      <c r="L44" s="165" t="s">
        <v>189</v>
      </c>
      <c r="M44" s="159"/>
      <c r="N44" s="159"/>
      <c r="P44" s="159"/>
      <c r="R44" s="159"/>
      <c r="T44" s="159"/>
      <c r="W44" s="159"/>
      <c r="Z44" s="159"/>
      <c r="AA44" s="159"/>
      <c r="AD44" s="159"/>
      <c r="AF44" s="159"/>
    </row>
    <row r="45" spans="1:33" x14ac:dyDescent="0.2">
      <c r="A45" s="162" t="s">
        <v>179</v>
      </c>
      <c r="B45" s="166">
        <v>49.451027647957595</v>
      </c>
      <c r="C45" s="160"/>
      <c r="D45" s="159"/>
      <c r="E45" s="159"/>
      <c r="I45" s="159"/>
      <c r="J45" s="159"/>
      <c r="K45" s="162" t="s">
        <v>179</v>
      </c>
      <c r="L45" s="166">
        <v>147.78086158912376</v>
      </c>
      <c r="M45" s="159"/>
      <c r="N45" s="159"/>
      <c r="P45" s="159"/>
      <c r="R45" s="159"/>
      <c r="T45" s="159"/>
      <c r="W45" s="159"/>
      <c r="Z45" s="159"/>
      <c r="AA45" s="159"/>
      <c r="AD45" s="159"/>
      <c r="AF45" s="159"/>
    </row>
    <row r="46" spans="1:33" x14ac:dyDescent="0.2">
      <c r="A46" s="162">
        <v>1</v>
      </c>
      <c r="B46" s="166">
        <v>54.401522192203188</v>
      </c>
      <c r="C46" s="160"/>
      <c r="D46" s="159"/>
      <c r="E46" s="159"/>
      <c r="I46" s="159"/>
      <c r="J46" s="159"/>
      <c r="K46" s="162">
        <v>1</v>
      </c>
      <c r="L46" s="166">
        <v>104.78858907136524</v>
      </c>
      <c r="M46" s="159"/>
      <c r="N46" s="159"/>
      <c r="P46" s="159"/>
      <c r="R46" s="159"/>
      <c r="T46" s="159"/>
      <c r="W46" s="159"/>
      <c r="Z46" s="159"/>
      <c r="AA46" s="159"/>
      <c r="AD46" s="159"/>
      <c r="AF46" s="159"/>
    </row>
    <row r="47" spans="1:33" x14ac:dyDescent="0.2">
      <c r="A47" s="162">
        <v>2</v>
      </c>
      <c r="B47" s="166">
        <v>45.249175053240549</v>
      </c>
      <c r="C47" s="160"/>
      <c r="D47" s="159"/>
      <c r="E47" s="159"/>
      <c r="I47" s="159"/>
      <c r="J47" s="159"/>
      <c r="K47" s="162">
        <v>2</v>
      </c>
      <c r="L47" s="166">
        <v>236.19735518251525</v>
      </c>
      <c r="M47" s="159"/>
      <c r="N47" s="159"/>
      <c r="P47" s="159"/>
      <c r="R47" s="159"/>
      <c r="T47" s="159"/>
      <c r="W47" s="159"/>
      <c r="Z47" s="159"/>
      <c r="AA47" s="159"/>
      <c r="AD47" s="159"/>
      <c r="AF47" s="159"/>
    </row>
    <row r="48" spans="1:33" x14ac:dyDescent="0.2">
      <c r="A48" s="162">
        <v>3</v>
      </c>
      <c r="B48" s="166">
        <v>45.952110951625947</v>
      </c>
      <c r="C48" s="160"/>
      <c r="D48" s="159"/>
      <c r="E48" s="159"/>
      <c r="I48" s="159"/>
      <c r="J48" s="159"/>
      <c r="K48" s="162">
        <v>3</v>
      </c>
      <c r="L48" s="166">
        <v>126.24123635668992</v>
      </c>
      <c r="N48" s="159"/>
      <c r="P48" s="159"/>
      <c r="R48" s="159"/>
      <c r="T48" s="159"/>
      <c r="W48" s="159"/>
      <c r="Z48" s="159"/>
      <c r="AA48" s="159"/>
      <c r="AD48" s="159"/>
      <c r="AF48" s="159"/>
    </row>
    <row r="49" spans="1:30" x14ac:dyDescent="0.2">
      <c r="A49" s="162" t="s">
        <v>53</v>
      </c>
      <c r="B49" s="166">
        <v>49.451027647957588</v>
      </c>
      <c r="C49" s="160"/>
      <c r="D49" s="159"/>
      <c r="E49" s="159"/>
      <c r="I49" s="159"/>
      <c r="J49" s="159"/>
      <c r="K49" s="162" t="s">
        <v>53</v>
      </c>
      <c r="L49" s="166">
        <v>147.78086158912373</v>
      </c>
      <c r="N49" s="159"/>
      <c r="P49" s="159"/>
      <c r="R49" s="159"/>
      <c r="T49" s="159"/>
      <c r="W49" s="159"/>
      <c r="Z49" s="159"/>
      <c r="AA49" s="159"/>
      <c r="AD49" s="159"/>
    </row>
    <row r="50" spans="1:30" x14ac:dyDescent="0.2">
      <c r="B50" s="159"/>
      <c r="C50" s="160"/>
      <c r="D50" s="159"/>
      <c r="E50" s="159"/>
      <c r="I50" s="159"/>
      <c r="J50" s="159"/>
      <c r="N50" s="159"/>
      <c r="P50" s="159"/>
      <c r="R50" s="159"/>
      <c r="T50" s="159"/>
      <c r="W50" s="159"/>
      <c r="Z50" s="159"/>
      <c r="AA50" s="159"/>
      <c r="AD50" s="159"/>
    </row>
    <row r="51" spans="1:30" x14ac:dyDescent="0.2">
      <c r="B51" s="159"/>
      <c r="C51" s="160"/>
      <c r="D51" s="159"/>
      <c r="E51" s="159"/>
      <c r="I51" s="159"/>
      <c r="J51" s="159"/>
      <c r="N51" s="159"/>
      <c r="P51" s="159"/>
      <c r="R51" s="159"/>
      <c r="T51" s="159"/>
      <c r="W51" s="159"/>
      <c r="Z51" s="159"/>
      <c r="AA51" s="159"/>
      <c r="AD51" s="159"/>
    </row>
    <row r="52" spans="1:30" x14ac:dyDescent="0.2">
      <c r="B52" s="159"/>
      <c r="C52" s="160"/>
      <c r="D52" s="159"/>
      <c r="E52" s="159"/>
      <c r="I52" s="159"/>
      <c r="J52" s="159"/>
      <c r="N52" s="159"/>
      <c r="P52" s="159"/>
      <c r="R52" s="159"/>
      <c r="T52" s="159"/>
      <c r="W52" s="159"/>
      <c r="Z52" s="159"/>
      <c r="AA52" s="159"/>
      <c r="AD52" s="159"/>
    </row>
    <row r="53" spans="1:30" x14ac:dyDescent="0.2">
      <c r="A53" s="161" t="s">
        <v>45</v>
      </c>
      <c r="B53" s="162">
        <v>2024</v>
      </c>
      <c r="C53" s="160"/>
      <c r="D53" s="159"/>
      <c r="E53" s="159"/>
      <c r="I53" s="159"/>
      <c r="J53" s="159"/>
      <c r="K53" s="161" t="s">
        <v>45</v>
      </c>
      <c r="L53" s="162">
        <v>2024</v>
      </c>
      <c r="N53" s="159"/>
      <c r="P53" s="159"/>
      <c r="R53" s="159"/>
      <c r="T53" s="159"/>
      <c r="W53" s="159"/>
      <c r="Z53" s="159"/>
      <c r="AA53" s="159"/>
      <c r="AD53" s="159"/>
    </row>
    <row r="54" spans="1:30" x14ac:dyDescent="0.2">
      <c r="C54" s="160"/>
      <c r="D54" s="159"/>
      <c r="E54" s="159"/>
      <c r="I54" s="159"/>
      <c r="J54" s="159"/>
      <c r="N54" s="159"/>
      <c r="P54" s="159"/>
      <c r="R54" s="159"/>
      <c r="T54" s="159"/>
      <c r="W54" s="159"/>
      <c r="Z54" s="159"/>
      <c r="AA54" s="159"/>
      <c r="AD54" s="159"/>
    </row>
    <row r="55" spans="1:30" ht="50.4" x14ac:dyDescent="0.2">
      <c r="A55" s="164" t="s">
        <v>180</v>
      </c>
      <c r="B55" s="165" t="s">
        <v>185</v>
      </c>
      <c r="C55" s="160"/>
      <c r="D55" s="159"/>
      <c r="E55" s="159"/>
      <c r="I55" s="159"/>
      <c r="J55" s="159"/>
      <c r="K55" s="164" t="s">
        <v>180</v>
      </c>
      <c r="L55" s="165" t="s">
        <v>188</v>
      </c>
      <c r="N55" s="159"/>
      <c r="P55" s="159"/>
      <c r="R55" s="159"/>
      <c r="T55" s="159"/>
      <c r="W55" s="159"/>
      <c r="Z55" s="159"/>
      <c r="AA55" s="159"/>
      <c r="AD55" s="159"/>
    </row>
    <row r="56" spans="1:30" x14ac:dyDescent="0.2">
      <c r="A56" s="162" t="s">
        <v>179</v>
      </c>
      <c r="B56" s="166">
        <v>17.948128604878296</v>
      </c>
      <c r="C56" s="160"/>
      <c r="D56" s="159"/>
      <c r="E56" s="159"/>
      <c r="I56" s="159"/>
      <c r="J56" s="159"/>
      <c r="K56" s="162" t="s">
        <v>179</v>
      </c>
      <c r="L56" s="166">
        <v>86.296927838123466</v>
      </c>
      <c r="N56" s="159"/>
      <c r="P56" s="159"/>
      <c r="R56" s="159"/>
      <c r="T56" s="159"/>
      <c r="W56" s="159"/>
      <c r="Z56" s="159"/>
      <c r="AA56" s="159"/>
      <c r="AD56" s="159"/>
    </row>
    <row r="57" spans="1:30" x14ac:dyDescent="0.2">
      <c r="A57" s="162">
        <v>1</v>
      </c>
      <c r="B57" s="166">
        <v>13.512831888000774</v>
      </c>
      <c r="C57" s="160"/>
      <c r="D57" s="159"/>
      <c r="E57" s="159"/>
      <c r="I57" s="159"/>
      <c r="J57" s="159"/>
      <c r="K57" s="162">
        <v>1</v>
      </c>
      <c r="L57" s="166">
        <v>84.372771663536511</v>
      </c>
      <c r="N57" s="159"/>
      <c r="P57" s="159"/>
      <c r="R57" s="159"/>
      <c r="T57" s="159"/>
      <c r="W57" s="159"/>
      <c r="Z57" s="159"/>
      <c r="AA57" s="159"/>
      <c r="AD57" s="159"/>
    </row>
    <row r="58" spans="1:30" x14ac:dyDescent="0.2">
      <c r="A58" s="162">
        <v>2</v>
      </c>
      <c r="B58" s="166">
        <v>21.831370063975488</v>
      </c>
      <c r="C58" s="160"/>
      <c r="D58" s="159"/>
      <c r="E58" s="159"/>
      <c r="I58" s="159"/>
      <c r="J58" s="159"/>
      <c r="K58" s="162">
        <v>2</v>
      </c>
      <c r="L58" s="166">
        <v>89.389266494898422</v>
      </c>
      <c r="N58" s="159"/>
      <c r="P58" s="159"/>
      <c r="R58" s="159"/>
      <c r="T58" s="159"/>
      <c r="W58" s="159"/>
      <c r="Z58" s="159"/>
      <c r="AA58" s="159"/>
      <c r="AD58" s="159"/>
    </row>
    <row r="59" spans="1:30" x14ac:dyDescent="0.2">
      <c r="A59" s="162">
        <v>3</v>
      </c>
      <c r="B59" s="166">
        <v>20.964237594257256</v>
      </c>
      <c r="C59" s="160"/>
      <c r="D59" s="159"/>
      <c r="E59" s="159"/>
      <c r="I59" s="159"/>
      <c r="J59" s="159"/>
      <c r="K59" s="162">
        <v>3</v>
      </c>
      <c r="L59" s="166">
        <v>86.197721008483697</v>
      </c>
      <c r="N59" s="159"/>
      <c r="P59" s="159"/>
      <c r="R59" s="159"/>
      <c r="T59" s="159"/>
      <c r="W59" s="159"/>
      <c r="Z59" s="159"/>
      <c r="AA59" s="159"/>
      <c r="AD59" s="159"/>
    </row>
    <row r="60" spans="1:30" x14ac:dyDescent="0.2">
      <c r="A60" s="162" t="s">
        <v>53</v>
      </c>
      <c r="B60" s="166">
        <v>17.948128604878292</v>
      </c>
      <c r="C60" s="160"/>
      <c r="D60" s="159"/>
      <c r="E60" s="159"/>
      <c r="I60" s="159"/>
      <c r="J60" s="159"/>
      <c r="K60" s="162" t="s">
        <v>53</v>
      </c>
      <c r="L60" s="166">
        <v>86.296927838123437</v>
      </c>
      <c r="N60" s="159"/>
      <c r="P60" s="159"/>
      <c r="R60" s="159"/>
      <c r="T60" s="159"/>
      <c r="W60" s="159"/>
      <c r="Z60" s="159"/>
      <c r="AA60" s="159"/>
      <c r="AD60" s="159"/>
    </row>
    <row r="61" spans="1:30" x14ac:dyDescent="0.2">
      <c r="B61" s="159"/>
      <c r="C61" s="160"/>
      <c r="D61" s="159"/>
      <c r="E61" s="159"/>
      <c r="I61" s="159"/>
      <c r="J61" s="159"/>
      <c r="N61" s="159"/>
      <c r="P61" s="159"/>
      <c r="R61" s="159"/>
      <c r="T61" s="159"/>
      <c r="W61" s="159"/>
      <c r="Z61" s="159"/>
      <c r="AA61" s="159"/>
      <c r="AD61" s="159"/>
    </row>
    <row r="62" spans="1:30" x14ac:dyDescent="0.2">
      <c r="B62" s="159"/>
      <c r="C62" s="160"/>
      <c r="D62" s="159"/>
      <c r="E62" s="159"/>
      <c r="I62" s="159"/>
      <c r="J62" s="159"/>
      <c r="N62" s="159"/>
      <c r="P62" s="159"/>
      <c r="R62" s="159"/>
      <c r="T62" s="159"/>
      <c r="W62" s="159"/>
      <c r="Z62" s="159"/>
      <c r="AA62" s="159"/>
      <c r="AD62" s="159"/>
    </row>
    <row r="63" spans="1:30" x14ac:dyDescent="0.2">
      <c r="B63" s="159"/>
      <c r="C63" s="160"/>
      <c r="D63" s="159"/>
      <c r="E63" s="159"/>
      <c r="I63" s="159"/>
      <c r="J63" s="159"/>
      <c r="N63" s="159"/>
      <c r="P63" s="159"/>
      <c r="R63" s="159"/>
      <c r="T63" s="159"/>
      <c r="W63" s="159"/>
      <c r="Z63" s="159"/>
      <c r="AA63" s="159"/>
      <c r="AD63" s="159"/>
    </row>
    <row r="64" spans="1:30" x14ac:dyDescent="0.2">
      <c r="B64" s="159"/>
      <c r="C64" s="160"/>
      <c r="D64" s="159"/>
      <c r="E64" s="159"/>
      <c r="I64" s="159"/>
      <c r="J64" s="159"/>
      <c r="N64" s="159"/>
      <c r="P64" s="159"/>
      <c r="R64" s="159"/>
      <c r="T64" s="159"/>
      <c r="W64" s="159"/>
      <c r="Z64" s="159"/>
      <c r="AA64" s="159"/>
      <c r="AD64" s="159"/>
    </row>
    <row r="65" spans="1:30" x14ac:dyDescent="0.2">
      <c r="B65" s="159"/>
      <c r="C65" s="160"/>
      <c r="D65" s="159"/>
      <c r="E65" s="159"/>
      <c r="I65" s="159"/>
      <c r="J65" s="159"/>
      <c r="N65" s="159"/>
      <c r="P65" s="159"/>
      <c r="R65" s="159"/>
      <c r="T65" s="159"/>
      <c r="W65" s="159"/>
      <c r="Z65" s="159"/>
      <c r="AA65" s="159"/>
      <c r="AD65" s="159"/>
    </row>
    <row r="66" spans="1:30" x14ac:dyDescent="0.2">
      <c r="B66" s="159"/>
      <c r="C66" s="160"/>
      <c r="D66" s="159"/>
      <c r="E66" s="159"/>
      <c r="I66" s="159"/>
      <c r="J66" s="159"/>
      <c r="K66" s="161" t="s">
        <v>45</v>
      </c>
      <c r="L66" s="162">
        <v>2024</v>
      </c>
      <c r="N66" s="159"/>
      <c r="P66" s="159"/>
      <c r="R66" s="159"/>
      <c r="T66" s="159"/>
      <c r="W66" s="159"/>
      <c r="AA66" s="159"/>
      <c r="AD66" s="159"/>
    </row>
    <row r="67" spans="1:30" x14ac:dyDescent="0.2">
      <c r="A67" s="161" t="s">
        <v>45</v>
      </c>
      <c r="B67" s="162">
        <v>2024</v>
      </c>
      <c r="C67" s="160"/>
      <c r="D67" s="159"/>
      <c r="E67" s="159"/>
      <c r="I67" s="159"/>
      <c r="J67" s="159"/>
      <c r="N67" s="159"/>
      <c r="P67" s="159"/>
      <c r="R67" s="159"/>
      <c r="T67" s="159"/>
      <c r="W67" s="159"/>
      <c r="AA67" s="159"/>
      <c r="AD67" s="159"/>
    </row>
    <row r="68" spans="1:30" ht="25.2" x14ac:dyDescent="0.2">
      <c r="C68" s="160"/>
      <c r="D68" s="159"/>
      <c r="E68" s="159"/>
      <c r="I68" s="159"/>
      <c r="J68" s="159"/>
      <c r="K68" s="164" t="s">
        <v>180</v>
      </c>
      <c r="L68" s="165" t="s">
        <v>187</v>
      </c>
      <c r="N68" s="159"/>
      <c r="P68" s="159"/>
      <c r="R68" s="159"/>
      <c r="T68" s="159"/>
      <c r="W68" s="159"/>
      <c r="AA68" s="159"/>
      <c r="AD68" s="159"/>
    </row>
    <row r="69" spans="1:30" ht="25.2" x14ac:dyDescent="0.2">
      <c r="A69" s="164" t="s">
        <v>180</v>
      </c>
      <c r="B69" s="165" t="s">
        <v>186</v>
      </c>
      <c r="C69" s="160"/>
      <c r="D69" s="159"/>
      <c r="E69" s="159"/>
      <c r="I69" s="159"/>
      <c r="J69" s="159"/>
      <c r="K69" s="162" t="s">
        <v>179</v>
      </c>
      <c r="L69" s="166">
        <v>80.842621964629018</v>
      </c>
      <c r="N69" s="159"/>
      <c r="P69" s="159"/>
      <c r="R69" s="159"/>
      <c r="T69" s="159"/>
      <c r="W69" s="159"/>
      <c r="AA69" s="159"/>
      <c r="AD69" s="159"/>
    </row>
    <row r="70" spans="1:30" x14ac:dyDescent="0.2">
      <c r="A70" s="162" t="s">
        <v>179</v>
      </c>
      <c r="B70" s="166">
        <v>46.617148501998905</v>
      </c>
      <c r="C70" s="160"/>
      <c r="D70" s="159"/>
      <c r="E70" s="159"/>
      <c r="I70" s="159"/>
      <c r="J70" s="159"/>
      <c r="K70" s="162">
        <v>1</v>
      </c>
      <c r="L70" s="166">
        <v>85.203771732541085</v>
      </c>
      <c r="N70" s="159"/>
      <c r="P70" s="159"/>
      <c r="R70" s="159"/>
      <c r="T70" s="159"/>
      <c r="W70" s="159"/>
      <c r="AA70" s="159"/>
      <c r="AD70" s="159"/>
    </row>
    <row r="71" spans="1:30" x14ac:dyDescent="0.2">
      <c r="A71" s="162">
        <v>1</v>
      </c>
      <c r="B71" s="166">
        <v>47.197092154297458</v>
      </c>
      <c r="C71" s="160"/>
      <c r="D71" s="159"/>
      <c r="E71" s="159"/>
      <c r="I71" s="159"/>
      <c r="J71" s="159"/>
      <c r="K71" s="162">
        <v>2</v>
      </c>
      <c r="L71" s="166">
        <v>79.254826264607928</v>
      </c>
      <c r="N71" s="159"/>
      <c r="P71" s="159"/>
      <c r="R71" s="159"/>
      <c r="T71" s="159"/>
      <c r="W71" s="159"/>
      <c r="AA71" s="159"/>
      <c r="AD71" s="159"/>
    </row>
    <row r="72" spans="1:30" x14ac:dyDescent="0.2">
      <c r="A72" s="162">
        <v>2</v>
      </c>
      <c r="B72" s="166">
        <v>43.476606234915124</v>
      </c>
      <c r="C72" s="160"/>
      <c r="D72" s="159"/>
      <c r="E72" s="159"/>
      <c r="I72" s="159"/>
      <c r="J72" s="159"/>
      <c r="K72" s="162">
        <v>3</v>
      </c>
      <c r="L72" s="166">
        <v>75.64640691456465</v>
      </c>
      <c r="N72" s="159"/>
      <c r="P72" s="159"/>
      <c r="R72" s="159"/>
      <c r="T72" s="159"/>
      <c r="W72" s="159"/>
      <c r="AA72" s="159"/>
      <c r="AD72" s="159"/>
    </row>
    <row r="73" spans="1:30" x14ac:dyDescent="0.2">
      <c r="A73" s="162">
        <v>3</v>
      </c>
      <c r="B73" s="166">
        <v>48.855556198840475</v>
      </c>
      <c r="C73" s="160"/>
      <c r="D73" s="159"/>
      <c r="E73" s="159"/>
      <c r="I73" s="159"/>
      <c r="J73" s="159"/>
      <c r="K73" s="162" t="s">
        <v>53</v>
      </c>
      <c r="L73" s="166">
        <v>80.842621964629032</v>
      </c>
      <c r="N73" s="159"/>
      <c r="P73" s="159"/>
      <c r="R73" s="159"/>
      <c r="T73" s="159"/>
      <c r="W73" s="159"/>
      <c r="AA73" s="159"/>
      <c r="AD73" s="159"/>
    </row>
    <row r="74" spans="1:30" x14ac:dyDescent="0.2">
      <c r="A74" s="162" t="s">
        <v>53</v>
      </c>
      <c r="B74" s="166">
        <v>46.617148501998905</v>
      </c>
      <c r="C74" s="160"/>
      <c r="D74" s="159"/>
      <c r="E74" s="159"/>
      <c r="I74" s="159"/>
      <c r="J74" s="159"/>
      <c r="N74" s="159"/>
      <c r="P74" s="159"/>
      <c r="R74" s="159"/>
      <c r="T74" s="159"/>
      <c r="W74" s="159"/>
      <c r="AA74" s="159"/>
      <c r="AD74" s="159"/>
    </row>
    <row r="75" spans="1:30" x14ac:dyDescent="0.2">
      <c r="B75" s="159"/>
      <c r="C75" s="160"/>
      <c r="D75" s="159"/>
      <c r="E75" s="159"/>
      <c r="I75" s="159"/>
      <c r="J75" s="159"/>
      <c r="N75" s="159"/>
      <c r="P75" s="159"/>
      <c r="R75" s="159"/>
      <c r="T75" s="159"/>
      <c r="W75" s="159"/>
      <c r="AA75" s="159"/>
      <c r="AD75" s="159"/>
    </row>
    <row r="76" spans="1:30" x14ac:dyDescent="0.2">
      <c r="B76" s="159"/>
      <c r="C76" s="160"/>
      <c r="D76" s="159"/>
      <c r="E76" s="159"/>
      <c r="I76" s="159"/>
      <c r="J76" s="159"/>
      <c r="N76" s="159"/>
      <c r="P76" s="159"/>
      <c r="T76" s="159"/>
      <c r="W76" s="159"/>
      <c r="AA76" s="159"/>
      <c r="AD76" s="159"/>
    </row>
    <row r="77" spans="1:30" x14ac:dyDescent="0.2">
      <c r="B77" s="159"/>
      <c r="C77" s="160"/>
      <c r="D77" s="159"/>
      <c r="E77" s="159"/>
      <c r="I77" s="159"/>
      <c r="J77" s="159"/>
      <c r="N77" s="159"/>
      <c r="P77" s="159"/>
      <c r="T77" s="159"/>
      <c r="W77" s="159"/>
      <c r="AA77" s="159"/>
      <c r="AD77" s="159"/>
    </row>
    <row r="78" spans="1:30" x14ac:dyDescent="0.2">
      <c r="B78" s="159"/>
      <c r="C78" s="160"/>
      <c r="D78" s="159"/>
      <c r="E78" s="159"/>
      <c r="I78" s="159"/>
      <c r="J78" s="159"/>
      <c r="N78" s="159"/>
      <c r="P78" s="159"/>
      <c r="T78" s="159"/>
      <c r="W78" s="159"/>
      <c r="AA78" s="159"/>
      <c r="AD78" s="159"/>
    </row>
    <row r="79" spans="1:30" x14ac:dyDescent="0.2">
      <c r="B79" s="159"/>
      <c r="C79" s="160"/>
      <c r="D79" s="159"/>
      <c r="E79" s="159"/>
      <c r="I79" s="159"/>
      <c r="J79" s="159"/>
      <c r="N79" s="159"/>
      <c r="P79" s="159"/>
      <c r="T79" s="159"/>
      <c r="W79" s="159"/>
      <c r="AA79" s="159"/>
      <c r="AD79" s="159"/>
    </row>
    <row r="80" spans="1:30" x14ac:dyDescent="0.2">
      <c r="B80" s="159"/>
      <c r="C80" s="160"/>
      <c r="D80" s="159"/>
      <c r="E80" s="159"/>
      <c r="I80" s="159"/>
      <c r="J80" s="159"/>
      <c r="N80" s="159"/>
      <c r="P80" s="159"/>
      <c r="T80" s="159"/>
      <c r="W80" s="159"/>
      <c r="AA80" s="159"/>
      <c r="AD80" s="159"/>
    </row>
    <row r="81" spans="1:30" x14ac:dyDescent="0.2">
      <c r="B81" s="159"/>
      <c r="C81" s="160"/>
      <c r="D81" s="159"/>
      <c r="E81" s="159"/>
      <c r="I81" s="159"/>
      <c r="J81" s="159"/>
      <c r="N81" s="159"/>
      <c r="P81" s="159"/>
      <c r="T81" s="159"/>
      <c r="W81" s="159"/>
      <c r="AA81" s="159"/>
      <c r="AD81" s="159"/>
    </row>
    <row r="82" spans="1:30" x14ac:dyDescent="0.2">
      <c r="B82" s="159"/>
      <c r="C82" s="160"/>
      <c r="D82" s="159"/>
      <c r="E82" s="159"/>
      <c r="I82" s="159"/>
      <c r="J82" s="159"/>
      <c r="N82" s="159"/>
      <c r="P82" s="159"/>
      <c r="T82" s="159"/>
      <c r="W82" s="159"/>
      <c r="AA82" s="159"/>
      <c r="AD82" s="159"/>
    </row>
    <row r="83" spans="1:30" x14ac:dyDescent="0.2">
      <c r="A83" s="168" t="s">
        <v>239</v>
      </c>
      <c r="B83" s="159"/>
      <c r="C83" s="160"/>
      <c r="D83" s="159"/>
      <c r="E83" s="159"/>
      <c r="I83" s="159"/>
      <c r="J83" s="159"/>
      <c r="N83" s="159"/>
      <c r="P83" s="159"/>
      <c r="T83" s="159"/>
      <c r="W83" s="159"/>
      <c r="AA83" s="159"/>
      <c r="AD83" s="159"/>
    </row>
    <row r="84" spans="1:30" x14ac:dyDescent="0.2">
      <c r="B84" s="159"/>
      <c r="C84" s="160"/>
      <c r="D84" s="159"/>
      <c r="E84" s="159"/>
      <c r="I84" s="159"/>
      <c r="J84" s="159"/>
      <c r="N84" s="159"/>
      <c r="P84" s="159"/>
      <c r="T84" s="159"/>
      <c r="W84" s="159"/>
      <c r="AA84" s="159"/>
      <c r="AD84" s="159"/>
    </row>
    <row r="85" spans="1:30" x14ac:dyDescent="0.2">
      <c r="A85" s="161" t="s">
        <v>45</v>
      </c>
      <c r="B85" s="162">
        <v>2024</v>
      </c>
      <c r="C85" s="160"/>
      <c r="D85" s="159"/>
      <c r="E85" s="159"/>
      <c r="I85" s="159"/>
      <c r="J85" s="159"/>
      <c r="N85" s="159"/>
      <c r="P85" s="159"/>
      <c r="T85" s="159"/>
      <c r="W85" s="159"/>
      <c r="AA85" s="159"/>
      <c r="AD85" s="159"/>
    </row>
    <row r="86" spans="1:30" x14ac:dyDescent="0.2">
      <c r="C86" s="160"/>
      <c r="D86" s="159"/>
      <c r="E86" s="159"/>
      <c r="I86" s="159"/>
      <c r="J86" s="159"/>
      <c r="N86" s="159"/>
      <c r="P86" s="159"/>
      <c r="T86" s="159"/>
      <c r="W86" s="159"/>
      <c r="AA86" s="159"/>
      <c r="AD86" s="159"/>
    </row>
    <row r="87" spans="1:30" ht="75.599999999999994" x14ac:dyDescent="0.2">
      <c r="A87" s="164" t="s">
        <v>180</v>
      </c>
      <c r="B87" s="169" t="s">
        <v>237</v>
      </c>
      <c r="C87" s="169" t="s">
        <v>195</v>
      </c>
      <c r="D87" s="169" t="s">
        <v>182</v>
      </c>
      <c r="E87" s="169" t="s">
        <v>196</v>
      </c>
      <c r="F87" s="169" t="s">
        <v>183</v>
      </c>
      <c r="G87" s="169" t="s">
        <v>197</v>
      </c>
      <c r="H87" s="169" t="s">
        <v>184</v>
      </c>
      <c r="I87" s="169" t="s">
        <v>198</v>
      </c>
      <c r="J87" s="169" t="s">
        <v>185</v>
      </c>
      <c r="K87" s="169" t="s">
        <v>199</v>
      </c>
      <c r="L87" s="169" t="s">
        <v>186</v>
      </c>
      <c r="M87" s="169" t="s">
        <v>241</v>
      </c>
      <c r="N87" s="159"/>
      <c r="P87" s="159"/>
      <c r="T87" s="159"/>
      <c r="W87" s="159"/>
      <c r="AA87" s="159"/>
      <c r="AD87" s="159"/>
    </row>
    <row r="88" spans="1:30" x14ac:dyDescent="0.2">
      <c r="A88" s="162" t="s">
        <v>179</v>
      </c>
      <c r="B88" s="166">
        <v>56.772308693398671</v>
      </c>
      <c r="C88" s="166">
        <v>43.227691306601329</v>
      </c>
      <c r="D88" s="166">
        <v>10.740577722704522</v>
      </c>
      <c r="E88" s="166">
        <v>27.068310558023747</v>
      </c>
      <c r="F88" s="166">
        <v>48.772759354630594</v>
      </c>
      <c r="G88" s="166">
        <v>51.227240645369392</v>
      </c>
      <c r="H88" s="166">
        <v>49.451027647957595</v>
      </c>
      <c r="I88" s="166">
        <v>66.5625</v>
      </c>
      <c r="J88" s="166">
        <v>17.948128604878296</v>
      </c>
      <c r="K88" s="166">
        <v>45</v>
      </c>
      <c r="L88" s="166">
        <v>46.617148501998905</v>
      </c>
      <c r="M88" s="166">
        <v>37.293718801599113</v>
      </c>
      <c r="N88" s="159"/>
      <c r="P88" s="159"/>
      <c r="T88" s="159"/>
      <c r="W88" s="159"/>
      <c r="AA88" s="159"/>
      <c r="AD88" s="159"/>
    </row>
    <row r="89" spans="1:30" x14ac:dyDescent="0.2">
      <c r="A89" s="162">
        <v>1</v>
      </c>
      <c r="B89" s="166">
        <v>47.628196953543195</v>
      </c>
      <c r="C89" s="166">
        <v>52.371803046456805</v>
      </c>
      <c r="D89" s="166">
        <v>12.020405912515283</v>
      </c>
      <c r="E89" s="166">
        <v>23.080076254071425</v>
      </c>
      <c r="F89" s="166">
        <v>65.180704243326673</v>
      </c>
      <c r="G89" s="166">
        <v>34.81929575667332</v>
      </c>
      <c r="H89" s="166">
        <v>54.401522192203188</v>
      </c>
      <c r="I89" s="166">
        <v>72.857142857142861</v>
      </c>
      <c r="J89" s="166">
        <v>13.512831888000774</v>
      </c>
      <c r="K89" s="166">
        <v>52.857142857142854</v>
      </c>
      <c r="L89" s="166">
        <v>47.197092154297458</v>
      </c>
      <c r="M89" s="166">
        <v>37.757673723437961</v>
      </c>
      <c r="N89" s="159"/>
      <c r="P89" s="159"/>
      <c r="T89" s="159"/>
      <c r="W89" s="159"/>
      <c r="AA89" s="159"/>
    </row>
    <row r="90" spans="1:30" x14ac:dyDescent="0.2">
      <c r="A90" s="162">
        <v>2</v>
      </c>
      <c r="B90" s="166">
        <v>57.104783978582276</v>
      </c>
      <c r="C90" s="166">
        <v>42.895216021417724</v>
      </c>
      <c r="D90" s="166">
        <v>10.975618217550839</v>
      </c>
      <c r="E90" s="166">
        <v>22.780765941302704</v>
      </c>
      <c r="F90" s="166">
        <v>42.737395232589257</v>
      </c>
      <c r="G90" s="166">
        <v>57.26260476741075</v>
      </c>
      <c r="H90" s="166">
        <v>45.249175053240549</v>
      </c>
      <c r="I90" s="166">
        <v>61.111111111111114</v>
      </c>
      <c r="J90" s="166">
        <v>21.831370063975488</v>
      </c>
      <c r="K90" s="166">
        <v>33.333333333333336</v>
      </c>
      <c r="L90" s="166">
        <v>43.476606234915124</v>
      </c>
      <c r="M90" s="166">
        <v>34.781284987932104</v>
      </c>
      <c r="N90" s="159"/>
      <c r="P90" s="159"/>
      <c r="T90" s="159"/>
      <c r="W90" s="159"/>
      <c r="AA90" s="159"/>
    </row>
    <row r="91" spans="1:30" x14ac:dyDescent="0.2">
      <c r="A91" s="162">
        <v>3</v>
      </c>
      <c r="B91" s="166">
        <v>70.664007225767989</v>
      </c>
      <c r="C91" s="166">
        <v>29.335992774231997</v>
      </c>
      <c r="D91" s="166">
        <v>8.514693377041473</v>
      </c>
      <c r="E91" s="166">
        <v>37.559775203115073</v>
      </c>
      <c r="F91" s="166">
        <v>29.284653649811375</v>
      </c>
      <c r="G91" s="166">
        <v>70.715346350188625</v>
      </c>
      <c r="H91" s="166">
        <v>45.952110951625947</v>
      </c>
      <c r="I91" s="166">
        <v>62.222222222222221</v>
      </c>
      <c r="J91" s="166">
        <v>20.964237594257256</v>
      </c>
      <c r="K91" s="166">
        <v>44.444444444444443</v>
      </c>
      <c r="L91" s="166">
        <v>48.855556198840475</v>
      </c>
      <c r="M91" s="166">
        <v>39.084444959072385</v>
      </c>
      <c r="N91" s="159"/>
      <c r="P91" s="159"/>
      <c r="T91" s="159"/>
      <c r="W91" s="159"/>
      <c r="AA91" s="159"/>
    </row>
    <row r="92" spans="1:30" x14ac:dyDescent="0.2">
      <c r="A92" s="162" t="s">
        <v>53</v>
      </c>
      <c r="B92" s="166">
        <v>56.772308693398678</v>
      </c>
      <c r="C92" s="166">
        <v>43.227691306601322</v>
      </c>
      <c r="D92" s="166">
        <v>10.740577722704522</v>
      </c>
      <c r="E92" s="166">
        <v>27.06831055802375</v>
      </c>
      <c r="F92" s="166">
        <v>48.772759354630594</v>
      </c>
      <c r="G92" s="166">
        <v>51.227240645369399</v>
      </c>
      <c r="H92" s="166">
        <v>49.451027647957588</v>
      </c>
      <c r="I92" s="166">
        <v>66.5625</v>
      </c>
      <c r="J92" s="166">
        <v>17.948128604878292</v>
      </c>
      <c r="K92" s="166">
        <v>45</v>
      </c>
      <c r="L92" s="166">
        <v>46.617148501998905</v>
      </c>
      <c r="M92" s="166">
        <v>37.293718801599113</v>
      </c>
      <c r="N92" s="159"/>
      <c r="P92" s="159"/>
      <c r="T92" s="159"/>
      <c r="W92" s="159"/>
      <c r="AA92" s="159"/>
    </row>
    <row r="93" spans="1:30" x14ac:dyDescent="0.2">
      <c r="B93" s="159"/>
      <c r="C93" s="160"/>
      <c r="D93" s="159"/>
      <c r="E93" s="159"/>
      <c r="I93" s="159"/>
      <c r="J93" s="159"/>
      <c r="N93" s="159"/>
      <c r="P93" s="159"/>
      <c r="T93" s="159"/>
      <c r="W93" s="159"/>
      <c r="AA93" s="159"/>
    </row>
    <row r="94" spans="1:30" x14ac:dyDescent="0.2">
      <c r="A94" s="161" t="s">
        <v>45</v>
      </c>
      <c r="B94" s="162">
        <v>2024</v>
      </c>
      <c r="C94" s="160"/>
      <c r="D94" s="159"/>
      <c r="E94" s="159"/>
      <c r="I94" s="159"/>
      <c r="J94" s="159"/>
      <c r="N94" s="159"/>
      <c r="P94" s="159"/>
      <c r="T94" s="159"/>
      <c r="W94" s="159"/>
      <c r="AA94" s="159"/>
    </row>
    <row r="95" spans="1:30" x14ac:dyDescent="0.2">
      <c r="C95" s="160"/>
      <c r="D95" s="159"/>
      <c r="E95" s="159"/>
      <c r="I95" s="159"/>
      <c r="J95" s="159"/>
      <c r="N95" s="159"/>
      <c r="P95" s="159"/>
      <c r="T95" s="159"/>
      <c r="W95" s="159"/>
      <c r="AA95" s="159"/>
    </row>
    <row r="96" spans="1:30" ht="75.599999999999994" x14ac:dyDescent="0.2">
      <c r="A96" s="161" t="s">
        <v>180</v>
      </c>
      <c r="B96" s="169" t="s">
        <v>237</v>
      </c>
      <c r="C96" s="169" t="s">
        <v>195</v>
      </c>
      <c r="D96" s="169" t="s">
        <v>182</v>
      </c>
      <c r="E96" s="169" t="s">
        <v>196</v>
      </c>
      <c r="F96" s="169" t="s">
        <v>183</v>
      </c>
      <c r="G96" s="169" t="s">
        <v>197</v>
      </c>
      <c r="H96" s="169" t="s">
        <v>184</v>
      </c>
      <c r="I96" s="169" t="s">
        <v>198</v>
      </c>
      <c r="J96" s="169" t="s">
        <v>185</v>
      </c>
      <c r="K96" s="169" t="s">
        <v>199</v>
      </c>
      <c r="L96" s="169" t="s">
        <v>186</v>
      </c>
      <c r="M96" s="169" t="s">
        <v>241</v>
      </c>
      <c r="N96" s="159"/>
      <c r="P96" s="159"/>
      <c r="T96" s="159"/>
      <c r="W96" s="159"/>
      <c r="AA96" s="159"/>
    </row>
    <row r="97" spans="1:27" x14ac:dyDescent="0.2">
      <c r="A97" s="162">
        <v>1</v>
      </c>
      <c r="B97" s="166">
        <v>53.577910418793863</v>
      </c>
      <c r="C97" s="166">
        <v>46.422089581206137</v>
      </c>
      <c r="D97" s="166">
        <v>6.3707090964684898</v>
      </c>
      <c r="E97" s="166">
        <v>12.707336394065701</v>
      </c>
      <c r="F97" s="166">
        <v>60.279149773902716</v>
      </c>
      <c r="G97" s="166">
        <v>39.720850226097284</v>
      </c>
      <c r="H97" s="166">
        <v>46.557926303553351</v>
      </c>
      <c r="I97" s="166">
        <v>61.428571428571431</v>
      </c>
      <c r="J97" s="166">
        <v>17.582292349194766</v>
      </c>
      <c r="K97" s="166">
        <v>40</v>
      </c>
      <c r="L97" s="166">
        <v>40.055769525988111</v>
      </c>
      <c r="M97" s="166">
        <v>32.044615620790488</v>
      </c>
      <c r="N97" s="159"/>
      <c r="P97" s="159"/>
      <c r="T97" s="159"/>
      <c r="W97" s="159"/>
      <c r="AA97" s="159"/>
    </row>
    <row r="98" spans="1:27" x14ac:dyDescent="0.2">
      <c r="A98" s="162">
        <v>2</v>
      </c>
      <c r="B98" s="166">
        <v>53.812807115285231</v>
      </c>
      <c r="C98" s="166">
        <v>46.187192884714776</v>
      </c>
      <c r="D98" s="166">
        <v>16.155934375091533</v>
      </c>
      <c r="E98" s="166">
        <v>31.139859633777426</v>
      </c>
      <c r="F98" s="166">
        <v>57.783675492642473</v>
      </c>
      <c r="G98" s="166">
        <v>42.216324507357548</v>
      </c>
      <c r="H98" s="166">
        <v>53.95181317544381</v>
      </c>
      <c r="I98" s="166">
        <v>74.285714285714292</v>
      </c>
      <c r="J98" s="166">
        <v>16.531485590696196</v>
      </c>
      <c r="K98" s="166">
        <v>48.571428571428569</v>
      </c>
      <c r="L98" s="166">
        <v>48.480103976598521</v>
      </c>
      <c r="M98" s="166">
        <v>38.78408318127881</v>
      </c>
      <c r="N98" s="159"/>
      <c r="P98" s="159"/>
      <c r="T98" s="159"/>
      <c r="W98" s="159"/>
      <c r="AA98" s="159"/>
    </row>
    <row r="99" spans="1:27" x14ac:dyDescent="0.2">
      <c r="A99" s="162">
        <v>3</v>
      </c>
      <c r="B99" s="166">
        <v>58.008951709626217</v>
      </c>
      <c r="C99" s="166">
        <v>41.991048290373783</v>
      </c>
      <c r="D99" s="166">
        <v>15.390382222584117</v>
      </c>
      <c r="E99" s="166">
        <v>31.952728966568429</v>
      </c>
      <c r="F99" s="166">
        <v>33.54593967681982</v>
      </c>
      <c r="G99" s="166">
        <v>66.454060323180173</v>
      </c>
      <c r="H99" s="166">
        <v>41.205023024300907</v>
      </c>
      <c r="I99" s="166">
        <v>58.333333333333336</v>
      </c>
      <c r="J99" s="166">
        <v>15.570268862599596</v>
      </c>
      <c r="K99" s="166">
        <v>53.333333333333336</v>
      </c>
      <c r="L99" s="166">
        <v>50.412900849357804</v>
      </c>
      <c r="M99" s="166">
        <v>40.330320679486249</v>
      </c>
      <c r="N99" s="159"/>
      <c r="P99" s="159"/>
      <c r="T99" s="159"/>
      <c r="W99" s="159"/>
      <c r="AA99" s="159"/>
    </row>
    <row r="100" spans="1:27" x14ac:dyDescent="0.2">
      <c r="A100" s="162">
        <v>4</v>
      </c>
      <c r="B100" s="166">
        <v>69.369186749557983</v>
      </c>
      <c r="C100" s="166">
        <v>30.630813250442017</v>
      </c>
      <c r="D100" s="166">
        <v>9.1789869756035003</v>
      </c>
      <c r="E100" s="166">
        <v>38.478384203053842</v>
      </c>
      <c r="F100" s="166">
        <v>32.010186285180055</v>
      </c>
      <c r="G100" s="166">
        <v>67.989813714819945</v>
      </c>
      <c r="H100" s="166">
        <v>49.04796754175775</v>
      </c>
      <c r="I100" s="166">
        <v>65.555555555555557</v>
      </c>
      <c r="J100" s="166">
        <v>21.384787740078643</v>
      </c>
      <c r="K100" s="166">
        <v>42.222222222222221</v>
      </c>
      <c r="L100" s="166">
        <v>48.97535778921872</v>
      </c>
      <c r="M100" s="166">
        <v>39.180286231374986</v>
      </c>
      <c r="N100" s="159"/>
      <c r="P100" s="159"/>
      <c r="T100" s="159"/>
      <c r="W100" s="159"/>
      <c r="AA100" s="159"/>
    </row>
    <row r="101" spans="1:27" x14ac:dyDescent="0.2">
      <c r="A101" s="162" t="s">
        <v>51</v>
      </c>
      <c r="B101" s="166">
        <v>30.867488148808221</v>
      </c>
      <c r="C101" s="166">
        <v>69.132511851191779</v>
      </c>
      <c r="D101" s="166">
        <v>3.6862689032294669</v>
      </c>
      <c r="E101" s="166">
        <v>7.0779113449876334</v>
      </c>
      <c r="F101" s="166">
        <v>81.640402618274507</v>
      </c>
      <c r="G101" s="166">
        <v>18.359597381725496</v>
      </c>
      <c r="H101" s="166">
        <v>63.400954120012635</v>
      </c>
      <c r="I101" s="166">
        <v>80</v>
      </c>
      <c r="J101" s="166">
        <v>16.552988980187802</v>
      </c>
      <c r="K101" s="166">
        <v>40</v>
      </c>
      <c r="L101" s="166">
        <v>42.91400411558098</v>
      </c>
      <c r="M101" s="166">
        <v>34.331203292464785</v>
      </c>
      <c r="N101" s="159"/>
      <c r="P101" s="159"/>
      <c r="T101" s="159"/>
      <c r="W101" s="159"/>
      <c r="AA101" s="159"/>
    </row>
    <row r="102" spans="1:27" x14ac:dyDescent="0.2">
      <c r="A102" s="162" t="s">
        <v>258</v>
      </c>
      <c r="B102" s="166">
        <v>56.772308693398671</v>
      </c>
      <c r="C102" s="166">
        <v>43.227691306601329</v>
      </c>
      <c r="D102" s="166">
        <v>10.740577722704522</v>
      </c>
      <c r="E102" s="166">
        <v>27.068310558023747</v>
      </c>
      <c r="F102" s="166">
        <v>48.772759354630594</v>
      </c>
      <c r="G102" s="166">
        <v>51.227240645369392</v>
      </c>
      <c r="H102" s="166">
        <v>49.451027647957595</v>
      </c>
      <c r="I102" s="166">
        <v>66.5625</v>
      </c>
      <c r="J102" s="166">
        <v>17.948128604878296</v>
      </c>
      <c r="K102" s="166">
        <v>45</v>
      </c>
      <c r="L102" s="166">
        <v>46.617148501998905</v>
      </c>
      <c r="M102" s="166">
        <v>37.293718801599113</v>
      </c>
      <c r="N102" s="159"/>
      <c r="P102" s="159"/>
      <c r="T102" s="159"/>
      <c r="W102" s="159"/>
      <c r="AA102" s="159"/>
    </row>
    <row r="103" spans="1:27" x14ac:dyDescent="0.2">
      <c r="A103" s="162" t="s">
        <v>53</v>
      </c>
      <c r="B103" s="166">
        <v>56.772308693398671</v>
      </c>
      <c r="C103" s="166">
        <v>43.227691306601329</v>
      </c>
      <c r="D103" s="166">
        <v>10.740577722704522</v>
      </c>
      <c r="E103" s="166">
        <v>27.068310558023754</v>
      </c>
      <c r="F103" s="166">
        <v>48.772759354630601</v>
      </c>
      <c r="G103" s="166">
        <v>51.227240645369399</v>
      </c>
      <c r="H103" s="166">
        <v>49.451027647957588</v>
      </c>
      <c r="I103" s="166">
        <v>66.5625</v>
      </c>
      <c r="J103" s="166">
        <v>17.948128604878292</v>
      </c>
      <c r="K103" s="166">
        <v>45</v>
      </c>
      <c r="L103" s="166">
        <v>46.617148501998898</v>
      </c>
      <c r="M103" s="166">
        <v>37.29371880159912</v>
      </c>
      <c r="N103" s="159"/>
      <c r="P103" s="159"/>
      <c r="T103" s="159"/>
      <c r="W103" s="159"/>
      <c r="AA103" s="159"/>
    </row>
    <row r="104" spans="1:27" x14ac:dyDescent="0.2">
      <c r="N104" s="159"/>
      <c r="P104" s="159"/>
      <c r="T104" s="159"/>
      <c r="W104" s="159"/>
      <c r="AA104" s="159"/>
    </row>
    <row r="105" spans="1:27" x14ac:dyDescent="0.2">
      <c r="A105" s="170" t="s">
        <v>240</v>
      </c>
      <c r="N105" s="159"/>
      <c r="P105" s="159"/>
      <c r="T105" s="159"/>
      <c r="W105" s="159"/>
      <c r="AA105" s="159"/>
    </row>
    <row r="106" spans="1:27" x14ac:dyDescent="0.2">
      <c r="N106" s="159"/>
      <c r="P106" s="159"/>
      <c r="T106" s="159"/>
      <c r="W106" s="159"/>
      <c r="AA106" s="159"/>
    </row>
    <row r="107" spans="1:27" x14ac:dyDescent="0.2">
      <c r="A107" s="161" t="s">
        <v>45</v>
      </c>
      <c r="B107" s="162">
        <v>2024</v>
      </c>
      <c r="N107" s="159"/>
      <c r="P107" s="159"/>
      <c r="T107" s="159"/>
      <c r="W107" s="159"/>
      <c r="AA107" s="159"/>
    </row>
    <row r="108" spans="1:27" x14ac:dyDescent="0.2">
      <c r="N108" s="159"/>
      <c r="P108" s="159"/>
      <c r="T108" s="159"/>
      <c r="W108" s="159"/>
      <c r="AA108" s="159"/>
    </row>
    <row r="109" spans="1:27" ht="50.4" x14ac:dyDescent="0.2">
      <c r="A109" s="164" t="s">
        <v>180</v>
      </c>
      <c r="B109" s="169" t="s">
        <v>190</v>
      </c>
      <c r="C109" s="169" t="s">
        <v>200</v>
      </c>
      <c r="D109" s="169" t="s">
        <v>189</v>
      </c>
      <c r="E109" s="169" t="s">
        <v>202</v>
      </c>
      <c r="F109" s="169" t="s">
        <v>188</v>
      </c>
      <c r="G109" s="169" t="s">
        <v>201</v>
      </c>
      <c r="H109" s="169" t="s">
        <v>205</v>
      </c>
      <c r="I109" s="169" t="s">
        <v>238</v>
      </c>
      <c r="J109" s="169" t="s">
        <v>187</v>
      </c>
      <c r="K109" s="169" t="s">
        <v>242</v>
      </c>
      <c r="L109" s="169" t="s">
        <v>46</v>
      </c>
      <c r="N109" s="159"/>
      <c r="P109" s="159"/>
      <c r="T109" s="159"/>
      <c r="W109" s="159"/>
      <c r="AA109" s="159"/>
    </row>
    <row r="110" spans="1:27" x14ac:dyDescent="0.2">
      <c r="A110" s="162" t="s">
        <v>179</v>
      </c>
      <c r="B110" s="166">
        <v>11.718719067743843</v>
      </c>
      <c r="C110" s="166">
        <v>68.111359632216733</v>
      </c>
      <c r="D110" s="166">
        <v>147.78086158912376</v>
      </c>
      <c r="E110" s="166">
        <v>88.125</v>
      </c>
      <c r="F110" s="166">
        <v>86.296927838123466</v>
      </c>
      <c r="G110" s="166">
        <v>86.25</v>
      </c>
      <c r="H110" s="166">
        <v>1.3835420556772327E-2</v>
      </c>
      <c r="I110" s="166">
        <v>80.828786544072244</v>
      </c>
      <c r="J110" s="166">
        <v>80.842621964629018</v>
      </c>
      <c r="K110" s="166">
        <v>16.168524392925804</v>
      </c>
      <c r="L110" s="166">
        <v>53.462243194524916</v>
      </c>
      <c r="N110" s="159"/>
      <c r="P110" s="159"/>
      <c r="T110" s="159"/>
      <c r="W110" s="159"/>
      <c r="AA110" s="159"/>
    </row>
    <row r="111" spans="1:27" x14ac:dyDescent="0.2">
      <c r="A111" s="162">
        <v>1</v>
      </c>
      <c r="B111" s="166">
        <v>11.713361597663001</v>
      </c>
      <c r="C111" s="166">
        <v>74.864357457471783</v>
      </c>
      <c r="D111" s="166">
        <v>104.78858907136524</v>
      </c>
      <c r="E111" s="166">
        <v>98.571428571428569</v>
      </c>
      <c r="F111" s="166">
        <v>84.372771663536511</v>
      </c>
      <c r="G111" s="166">
        <v>82.142857142857139</v>
      </c>
      <c r="H111" s="166">
        <v>1.0890675288579241E-2</v>
      </c>
      <c r="I111" s="166">
        <v>85.192881057252507</v>
      </c>
      <c r="J111" s="166">
        <v>85.203771732541085</v>
      </c>
      <c r="K111" s="166">
        <v>17.040754346508216</v>
      </c>
      <c r="L111" s="166">
        <v>54.798428069946183</v>
      </c>
      <c r="N111" s="159"/>
      <c r="P111" s="159"/>
      <c r="T111" s="159"/>
      <c r="W111" s="159"/>
      <c r="AA111" s="159"/>
    </row>
    <row r="112" spans="1:27" x14ac:dyDescent="0.2">
      <c r="A112" s="162">
        <v>2</v>
      </c>
      <c r="B112" s="166">
        <v>8.2043622155409981</v>
      </c>
      <c r="C112" s="166">
        <v>58.860639103071904</v>
      </c>
      <c r="D112" s="166">
        <v>236.19735518251525</v>
      </c>
      <c r="E112" s="166">
        <v>84.444444444444443</v>
      </c>
      <c r="F112" s="166">
        <v>89.389266494898422</v>
      </c>
      <c r="G112" s="166">
        <v>94.444444444444443</v>
      </c>
      <c r="H112" s="166">
        <v>4.9836006210005855E-3</v>
      </c>
      <c r="I112" s="166">
        <v>79.249842663986925</v>
      </c>
      <c r="J112" s="166">
        <v>79.254826264607928</v>
      </c>
      <c r="K112" s="166">
        <v>15.85096525292159</v>
      </c>
      <c r="L112" s="166">
        <v>50.632250240853686</v>
      </c>
      <c r="N112" s="159"/>
      <c r="P112" s="159"/>
      <c r="T112" s="159"/>
      <c r="W112" s="159"/>
      <c r="AA112" s="159"/>
    </row>
    <row r="113" spans="1:27" x14ac:dyDescent="0.2">
      <c r="A113" s="162">
        <v>3</v>
      </c>
      <c r="B113" s="166">
        <v>15.241409762294653</v>
      </c>
      <c r="C113" s="166">
        <v>66.857416877631465</v>
      </c>
      <c r="D113" s="166">
        <v>126.24123635668992</v>
      </c>
      <c r="E113" s="166">
        <v>75.555555555555557</v>
      </c>
      <c r="F113" s="166">
        <v>86.197721008483697</v>
      </c>
      <c r="G113" s="166">
        <v>84.444444444444443</v>
      </c>
      <c r="H113" s="166">
        <v>2.726795535417776E-2</v>
      </c>
      <c r="I113" s="166">
        <v>75.619138959210488</v>
      </c>
      <c r="J113" s="166">
        <v>75.64640691456465</v>
      </c>
      <c r="K113" s="166">
        <v>15.129281382912934</v>
      </c>
      <c r="L113" s="166">
        <v>54.213726341985314</v>
      </c>
      <c r="N113" s="159"/>
      <c r="P113" s="159"/>
      <c r="T113" s="159"/>
      <c r="W113" s="159"/>
      <c r="AA113" s="159"/>
    </row>
    <row r="114" spans="1:27" x14ac:dyDescent="0.2">
      <c r="A114" s="162" t="s">
        <v>53</v>
      </c>
      <c r="B114" s="166">
        <v>11.718719067743841</v>
      </c>
      <c r="C114" s="166">
        <v>68.111359632216733</v>
      </c>
      <c r="D114" s="166">
        <v>147.78086158912373</v>
      </c>
      <c r="E114" s="166">
        <v>88.125</v>
      </c>
      <c r="F114" s="166">
        <v>86.296927838123437</v>
      </c>
      <c r="G114" s="166">
        <v>86.25</v>
      </c>
      <c r="H114" s="166">
        <v>1.3835420556772327E-2</v>
      </c>
      <c r="I114" s="166">
        <v>80.828786544072273</v>
      </c>
      <c r="J114" s="166">
        <v>80.842621964629032</v>
      </c>
      <c r="K114" s="166">
        <v>16.168524392925804</v>
      </c>
      <c r="L114" s="166">
        <v>53.46224319452493</v>
      </c>
      <c r="N114" s="159"/>
      <c r="P114" s="159"/>
      <c r="T114" s="159"/>
      <c r="W114" s="159"/>
      <c r="AA114" s="159"/>
    </row>
    <row r="115" spans="1:27" x14ac:dyDescent="0.2">
      <c r="B115" s="159"/>
      <c r="C115" s="160"/>
      <c r="D115" s="159"/>
      <c r="E115" s="159"/>
      <c r="I115" s="159"/>
      <c r="J115" s="159"/>
      <c r="N115" s="159"/>
      <c r="P115" s="159"/>
      <c r="T115" s="159"/>
      <c r="W115" s="159"/>
      <c r="AA115" s="159"/>
    </row>
    <row r="116" spans="1:27" x14ac:dyDescent="0.2">
      <c r="P116" s="159"/>
      <c r="AA116" s="159"/>
    </row>
    <row r="117" spans="1:27" x14ac:dyDescent="0.2">
      <c r="A117" s="161" t="s">
        <v>45</v>
      </c>
      <c r="B117" s="162">
        <v>2024</v>
      </c>
    </row>
    <row r="119" spans="1:27" ht="50.4" x14ac:dyDescent="0.2">
      <c r="A119" s="161" t="s">
        <v>180</v>
      </c>
      <c r="B119" s="169" t="s">
        <v>190</v>
      </c>
      <c r="C119" s="169" t="s">
        <v>200</v>
      </c>
      <c r="D119" s="169" t="s">
        <v>189</v>
      </c>
      <c r="E119" s="169" t="s">
        <v>202</v>
      </c>
      <c r="F119" s="169" t="s">
        <v>188</v>
      </c>
      <c r="G119" s="169" t="s">
        <v>201</v>
      </c>
      <c r="H119" s="169" t="s">
        <v>205</v>
      </c>
      <c r="I119" s="169" t="s">
        <v>238</v>
      </c>
      <c r="J119" s="169" t="s">
        <v>187</v>
      </c>
      <c r="K119" s="169" t="s">
        <v>242</v>
      </c>
      <c r="L119" s="169" t="s">
        <v>46</v>
      </c>
    </row>
    <row r="120" spans="1:27" x14ac:dyDescent="0.2">
      <c r="A120" s="162">
        <v>1</v>
      </c>
      <c r="B120" s="166">
        <v>6.7939175511987591</v>
      </c>
      <c r="C120" s="166">
        <v>70.24554074942877</v>
      </c>
      <c r="D120" s="166">
        <v>101.9397368143829</v>
      </c>
      <c r="E120" s="166">
        <v>100</v>
      </c>
      <c r="F120" s="166">
        <v>88.091162154222431</v>
      </c>
      <c r="G120" s="166">
        <v>90</v>
      </c>
      <c r="H120" s="166">
        <v>6.4074865127150384E-3</v>
      </c>
      <c r="I120" s="166">
        <v>86.748513583142923</v>
      </c>
      <c r="J120" s="166">
        <v>86.754921069655637</v>
      </c>
      <c r="K120" s="166">
        <v>17.350984213931131</v>
      </c>
      <c r="L120" s="166">
        <v>49.395599834721622</v>
      </c>
    </row>
    <row r="121" spans="1:27" x14ac:dyDescent="0.2">
      <c r="A121" s="162">
        <v>2</v>
      </c>
      <c r="B121" s="166">
        <v>11.646974677375535</v>
      </c>
      <c r="C121" s="166">
        <v>73.939575561570535</v>
      </c>
      <c r="D121" s="166">
        <v>111.47354072503205</v>
      </c>
      <c r="E121" s="166">
        <v>97.142857142857139</v>
      </c>
      <c r="F121" s="166">
        <v>87.678412292134681</v>
      </c>
      <c r="G121" s="166">
        <v>90</v>
      </c>
      <c r="H121" s="166">
        <v>1.4052274025971534E-2</v>
      </c>
      <c r="I121" s="166">
        <v>87.027477568142558</v>
      </c>
      <c r="J121" s="166">
        <v>87.041529842168529</v>
      </c>
      <c r="K121" s="166">
        <v>17.408305968433705</v>
      </c>
      <c r="L121" s="166">
        <v>56.192389149712525</v>
      </c>
    </row>
    <row r="122" spans="1:27" x14ac:dyDescent="0.2">
      <c r="A122" s="162">
        <v>3</v>
      </c>
      <c r="B122" s="166">
        <v>8.202399315351764</v>
      </c>
      <c r="C122" s="166">
        <v>50.472937899010184</v>
      </c>
      <c r="D122" s="166">
        <v>298.82205184607625</v>
      </c>
      <c r="E122" s="166">
        <v>76.666666666666671</v>
      </c>
      <c r="F122" s="166">
        <v>84.876851016569901</v>
      </c>
      <c r="G122" s="166">
        <v>81.666666666666671</v>
      </c>
      <c r="H122" s="166">
        <v>9.01725597638477E-3</v>
      </c>
      <c r="I122" s="166">
        <v>69.602090410781173</v>
      </c>
      <c r="J122" s="166">
        <v>69.611107666757562</v>
      </c>
      <c r="K122" s="166">
        <v>13.922221533351513</v>
      </c>
      <c r="L122" s="166">
        <v>54.25254221283776</v>
      </c>
    </row>
    <row r="123" spans="1:27" x14ac:dyDescent="0.2">
      <c r="A123" s="162">
        <v>4</v>
      </c>
      <c r="B123" s="166">
        <v>16.29533304263045</v>
      </c>
      <c r="C123" s="166">
        <v>70.369745942446059</v>
      </c>
      <c r="D123" s="166">
        <v>126.37793989017352</v>
      </c>
      <c r="E123" s="166">
        <v>75.555555555555557</v>
      </c>
      <c r="F123" s="166">
        <v>87.461864203573768</v>
      </c>
      <c r="G123" s="166">
        <v>87.777777777777771</v>
      </c>
      <c r="H123" s="166">
        <v>2.726795535417776E-2</v>
      </c>
      <c r="I123" s="166">
        <v>77.901026425259772</v>
      </c>
      <c r="J123" s="166">
        <v>77.928294380613963</v>
      </c>
      <c r="K123" s="166">
        <v>15.585658876122794</v>
      </c>
      <c r="L123" s="166">
        <v>54.765945107497771</v>
      </c>
    </row>
    <row r="124" spans="1:27" x14ac:dyDescent="0.2">
      <c r="A124" s="162" t="s">
        <v>51</v>
      </c>
      <c r="B124" s="166">
        <v>16.680123763999365</v>
      </c>
      <c r="C124" s="166">
        <v>78.034117725954872</v>
      </c>
      <c r="D124" s="166">
        <v>101.58695266267883</v>
      </c>
      <c r="E124" s="166">
        <v>100</v>
      </c>
      <c r="F124" s="166">
        <v>78.232261921289009</v>
      </c>
      <c r="G124" s="166">
        <v>73.333333333333329</v>
      </c>
      <c r="H124" s="166">
        <v>0</v>
      </c>
      <c r="I124" s="166">
        <v>83.789150353096076</v>
      </c>
      <c r="J124" s="166">
        <v>83.789150353096076</v>
      </c>
      <c r="K124" s="166">
        <v>16.757830070619214</v>
      </c>
      <c r="L124" s="166">
        <v>51.089033363084006</v>
      </c>
    </row>
    <row r="125" spans="1:27" x14ac:dyDescent="0.2">
      <c r="A125" s="162" t="s">
        <v>258</v>
      </c>
      <c r="B125" s="166">
        <v>11.718719067743843</v>
      </c>
      <c r="C125" s="166">
        <v>68.111359632216733</v>
      </c>
      <c r="D125" s="166">
        <v>147.78086158912376</v>
      </c>
      <c r="E125" s="166">
        <v>88.125</v>
      </c>
      <c r="F125" s="166">
        <v>86.296927838123466</v>
      </c>
      <c r="G125" s="166">
        <v>86.25</v>
      </c>
      <c r="H125" s="166">
        <v>1.3835420556772327E-2</v>
      </c>
      <c r="I125" s="166">
        <v>80.828786544072244</v>
      </c>
      <c r="J125" s="166">
        <v>80.842621964629018</v>
      </c>
      <c r="K125" s="166">
        <v>16.168524392925804</v>
      </c>
      <c r="L125" s="166">
        <v>53.462243194524916</v>
      </c>
    </row>
    <row r="126" spans="1:27" x14ac:dyDescent="0.2">
      <c r="A126" s="162" t="s">
        <v>53</v>
      </c>
      <c r="B126" s="166">
        <v>11.718719067743841</v>
      </c>
      <c r="C126" s="166">
        <v>68.111359632216733</v>
      </c>
      <c r="D126" s="166">
        <v>147.78086158912379</v>
      </c>
      <c r="E126" s="166">
        <v>88.125</v>
      </c>
      <c r="F126" s="166">
        <v>86.296927838123466</v>
      </c>
      <c r="G126" s="166">
        <v>86.25</v>
      </c>
      <c r="H126" s="166">
        <v>1.3835420556772327E-2</v>
      </c>
      <c r="I126" s="166">
        <v>80.828786544072244</v>
      </c>
      <c r="J126" s="166">
        <v>80.842621964629032</v>
      </c>
      <c r="K126" s="166">
        <v>16.168524392925804</v>
      </c>
      <c r="L126" s="166">
        <v>53.462243194524916</v>
      </c>
    </row>
    <row r="129" spans="1:9" ht="13.2" thickBot="1" x14ac:dyDescent="0.25"/>
    <row r="130" spans="1:9" ht="13.2" thickBot="1" x14ac:dyDescent="0.25">
      <c r="F130" s="381" t="s">
        <v>254</v>
      </c>
      <c r="G130" s="382"/>
    </row>
    <row r="131" spans="1:9" ht="13.2" thickBot="1" x14ac:dyDescent="0.25">
      <c r="D131" s="181" t="s">
        <v>243</v>
      </c>
      <c r="E131" s="181" t="s">
        <v>244</v>
      </c>
      <c r="F131" s="181">
        <v>2023</v>
      </c>
      <c r="G131" s="182">
        <v>2024</v>
      </c>
      <c r="H131" s="183" t="s">
        <v>245</v>
      </c>
    </row>
    <row r="132" spans="1:9" x14ac:dyDescent="0.2">
      <c r="A132" s="161" t="s">
        <v>0</v>
      </c>
      <c r="B132" s="163" t="s">
        <v>15</v>
      </c>
      <c r="D132" s="383" t="s">
        <v>246</v>
      </c>
      <c r="E132" s="171" t="s">
        <v>181</v>
      </c>
      <c r="F132" s="172">
        <f>+AVERAGEIFS(Tabla1[Dependencia de las transferencias "Calificación"],Tabla1[Año],$A$135,Tabla1[Departamento],$B$132)</f>
        <v>47.995655488693174</v>
      </c>
      <c r="G132" s="172">
        <f>+AVERAGEIFS(Tabla1[Dependencia de las transferencias "Calificación"],Tabla1[Año],$A$136,Tabla1[Departamento],$B$132)</f>
        <v>45.057641531491072</v>
      </c>
      <c r="H132" s="173">
        <f>+IFERROR(((G132-F132)/F132)," ")</f>
        <v>-6.1214164642344353E-2</v>
      </c>
    </row>
    <row r="133" spans="1:9" x14ac:dyDescent="0.2">
      <c r="D133" s="384"/>
      <c r="E133" s="174" t="s">
        <v>247</v>
      </c>
      <c r="F133" s="172">
        <f>+AVERAGEIFS(Tabla1[FBK fijo/ Inversión  (Con SGR)*],Tabla1[Año],$A$135,Tabla1[Departamento],$B$132)</f>
        <v>2.8103528433740625</v>
      </c>
      <c r="G133" s="172">
        <f>+AVERAGEIFS(Tabla1[FBK fijo/ Inversión  (Con SGR)*],Tabla1[Año],$A$136,Tabla1[Departamento],$B$132)</f>
        <v>0.35372551760817611</v>
      </c>
      <c r="H133" s="173">
        <f t="shared" ref="H133:H144" si="0">+IFERROR(((G133-F133)/F133)," ")</f>
        <v>-0.8741348373951866</v>
      </c>
    </row>
    <row r="134" spans="1:9" ht="37.799999999999997" x14ac:dyDescent="0.2">
      <c r="A134" s="161" t="s">
        <v>180</v>
      </c>
      <c r="B134" s="165" t="s">
        <v>184</v>
      </c>
      <c r="D134" s="384"/>
      <c r="E134" s="174" t="s">
        <v>248</v>
      </c>
      <c r="F134" s="172">
        <f>+AVERAGEIFS(Tabla1[Endeudamiento "Calificación"],Tabla1[Año],$A$135,Tabla1[Departamento],$B$132)</f>
        <v>44.076936175172435</v>
      </c>
      <c r="G134" s="172">
        <f>+AVERAGEIFS(Tabla1[Endeudamiento "Calificación"],Tabla1[Año],$A$136,Tabla1[Departamento],$B$132)</f>
        <v>36.9068703586778</v>
      </c>
      <c r="H134" s="173">
        <f t="shared" si="0"/>
        <v>-0.16267160194617553</v>
      </c>
    </row>
    <row r="135" spans="1:9" x14ac:dyDescent="0.2">
      <c r="A135" s="162">
        <v>2023</v>
      </c>
      <c r="B135" s="166">
        <v>56.278220352959188</v>
      </c>
      <c r="D135" s="384"/>
      <c r="E135" s="174" t="s">
        <v>36</v>
      </c>
      <c r="F135" s="172">
        <f>+AVERAGEIFS(Tabla1[Ahorro corriente "Calificación"],Tabla1[Año],$A$135,Tabla1[Departamento],$B$132)</f>
        <v>80</v>
      </c>
      <c r="G135" s="172">
        <f>+AVERAGEIFS(Tabla1[Ahorro corriente "Calificación"],Tabla1[Año],$A$136,Tabla1[Departamento],$B$132)</f>
        <v>70</v>
      </c>
      <c r="H135" s="173">
        <f t="shared" si="0"/>
        <v>-0.125</v>
      </c>
    </row>
    <row r="136" spans="1:9" ht="13.2" thickBot="1" x14ac:dyDescent="0.25">
      <c r="A136" s="162">
        <v>2024</v>
      </c>
      <c r="B136" s="166">
        <v>53.695345848799526</v>
      </c>
      <c r="C136" s="160"/>
      <c r="D136" s="384"/>
      <c r="E136" s="174" t="s">
        <v>249</v>
      </c>
      <c r="F136" s="172">
        <f>+AVERAGEIFS(Tabla1[Balance Fiscal Primario "Calificación"],Tabla1[Año],$A$135,Tabla1[Departamento],$B$132)</f>
        <v>80</v>
      </c>
      <c r="G136" s="172">
        <f>+AVERAGEIFS(Tabla1[Balance Fiscal Primario "Calificación"],Tabla1[Año],$A$136,Tabla1[Departamento],$B$132)</f>
        <v>60</v>
      </c>
      <c r="H136" s="173">
        <f t="shared" si="0"/>
        <v>-0.25</v>
      </c>
      <c r="I136" s="159"/>
    </row>
    <row r="137" spans="1:9" ht="13.2" thickBot="1" x14ac:dyDescent="0.25">
      <c r="A137" s="162" t="s">
        <v>53</v>
      </c>
      <c r="B137" s="166">
        <v>54.986783100879357</v>
      </c>
      <c r="C137" s="160"/>
      <c r="D137" s="385"/>
      <c r="E137" s="178" t="s">
        <v>250</v>
      </c>
      <c r="F137" s="179">
        <f>+AVERAGEIFS(Tabla1[[Calificación Resultados ]],Tabla1[Año],$A$135,Tabla1[Departamento],$B$132)</f>
        <v>40.781271121158348</v>
      </c>
      <c r="G137" s="179">
        <f>+AVERAGEIFS(Tabla1[[Calificación Resultados ]],Tabla1[Año],$A$136,Tabla1[Departamento],$B$132)</f>
        <v>33.970917985244334</v>
      </c>
      <c r="H137" s="180">
        <f t="shared" si="0"/>
        <v>-0.1669970785285462</v>
      </c>
      <c r="I137" s="159"/>
    </row>
    <row r="138" spans="1:9" x14ac:dyDescent="0.2">
      <c r="C138" s="160"/>
      <c r="D138" s="386" t="s">
        <v>251</v>
      </c>
      <c r="E138" s="174" t="s">
        <v>172</v>
      </c>
      <c r="F138" s="172">
        <f>+AVERAGEIFS(Tabla1[Holgura "Calificación"],Tabla1[Año],$A$135,Tabla1[Departamento],$B$132)</f>
        <v>100</v>
      </c>
      <c r="G138" s="172">
        <f>+AVERAGEIFS(Tabla1[Holgura "Calificación"],Tabla1[Año],$A$136,Tabla1[Departamento],$B$132)</f>
        <v>86.399183234377247</v>
      </c>
      <c r="H138" s="173">
        <f t="shared" si="0"/>
        <v>-0.13600816765622753</v>
      </c>
      <c r="I138" s="159"/>
    </row>
    <row r="139" spans="1:9" ht="25.2" x14ac:dyDescent="0.2">
      <c r="C139" s="160"/>
      <c r="D139" s="387"/>
      <c r="E139" s="174" t="s">
        <v>252</v>
      </c>
      <c r="F139" s="172">
        <f>+AVERAGEIFS(Tabla1[Capacidad de programación y recaudo de Ingresos "Calificación"],Tabla1[Año],$A$135,Tabla1[Departamento],$B$132)</f>
        <v>80</v>
      </c>
      <c r="G139" s="172">
        <f>+AVERAGEIFS(Tabla1[Capacidad de programación y recaudo de Ingresos "Calificación"],Tabla1[Año],$A$136,Tabla1[Departamento],$B$132)</f>
        <v>80</v>
      </c>
      <c r="H139" s="173">
        <f t="shared" si="0"/>
        <v>0</v>
      </c>
      <c r="I139" s="159"/>
    </row>
    <row r="140" spans="1:9" x14ac:dyDescent="0.2">
      <c r="C140" s="160"/>
      <c r="D140" s="387"/>
      <c r="E140" s="174" t="s">
        <v>174</v>
      </c>
      <c r="F140" s="172">
        <f>+AVERAGEIFS(Tabla1[Capacidad de Ejecución de Inversión "Calificación"],Tabla1[Año],$A$135,Tabla1[Departamento],$B$132)</f>
        <v>80</v>
      </c>
      <c r="G140" s="172">
        <f>+AVERAGEIFS(Tabla1[Capacidad de Ejecución de Inversión "Calificación"],Tabla1[Año],$A$136,Tabla1[Departamento],$B$132)</f>
        <v>70</v>
      </c>
      <c r="H140" s="173">
        <f t="shared" si="0"/>
        <v>-0.125</v>
      </c>
      <c r="I140" s="159"/>
    </row>
    <row r="141" spans="1:9" ht="13.2" thickBot="1" x14ac:dyDescent="0.25">
      <c r="C141" s="160"/>
      <c r="D141" s="387"/>
      <c r="E141" s="174" t="s">
        <v>253</v>
      </c>
      <c r="F141" s="172">
        <f>+AVERAGEIFS(Tabla1[Bonificación Esfuerzo Porpio "Calificación"],Tabla1[Año],$A$135,Tabla1[Departamento],$B$132)</f>
        <v>0.12032497469873672</v>
      </c>
      <c r="G141" s="172">
        <f>+AVERAGEIFS(Tabla1[Bonificación Esfuerzo Porpio "Calificación"],Tabla1[Año],$A$136,Tabla1[Departamento],$B$132)</f>
        <v>9.8365918181800738E-2</v>
      </c>
      <c r="H141" s="173">
        <f t="shared" si="0"/>
        <v>-0.18249791094422338</v>
      </c>
      <c r="I141" s="159"/>
    </row>
    <row r="142" spans="1:9" ht="13.2" thickBot="1" x14ac:dyDescent="0.25">
      <c r="C142" s="160"/>
      <c r="D142" s="388"/>
      <c r="E142" s="178" t="s">
        <v>90</v>
      </c>
      <c r="F142" s="179">
        <f>+AVERAGEIFS(Tabla1[Calificación Resultados Gestión],Tabla1[Año],$A$135,Tabla1[Departamento],$B$132)</f>
        <v>17.357398328273081</v>
      </c>
      <c r="G142" s="179">
        <f>+AVERAGEIFS(Tabla1[Calificación Resultados Gestión],Tabla1[Año],$A$136,Tabla1[Departamento],$B$132)</f>
        <v>15.779618732594841</v>
      </c>
      <c r="H142" s="180">
        <f t="shared" si="0"/>
        <v>-9.0899544150475034E-2</v>
      </c>
      <c r="I142" s="159"/>
    </row>
    <row r="143" spans="1:9" ht="13.2" thickBot="1" x14ac:dyDescent="0.25">
      <c r="C143" s="160"/>
      <c r="I143" s="159"/>
    </row>
    <row r="144" spans="1:9" ht="13.2" thickBot="1" x14ac:dyDescent="0.25">
      <c r="C144" s="160"/>
      <c r="D144" s="389" t="s">
        <v>264</v>
      </c>
      <c r="E144" s="390"/>
      <c r="F144" s="184">
        <f>+AVERAGEIFS(Tabla1[IDF],Tabla1[Año],$A$135,Tabla1[Departamento],$B$132)</f>
        <v>58.138669449431433</v>
      </c>
      <c r="G144" s="184">
        <f>+AVERAGEIFS(Tabla1[IDF],Tabla1[Año],$A$136,Tabla1[Departamento],$B$132)</f>
        <v>49.750536717839175</v>
      </c>
      <c r="H144" s="185">
        <f t="shared" si="0"/>
        <v>-0.14427803062965158</v>
      </c>
      <c r="I144" s="159"/>
    </row>
    <row r="145" spans="3:10" ht="25.8" thickBot="1" x14ac:dyDescent="0.25">
      <c r="C145" s="160"/>
      <c r="D145" s="391" t="s">
        <v>263</v>
      </c>
      <c r="E145" s="392"/>
      <c r="F145" s="187" t="str" cm="1">
        <f t="array" ref="F145">INDEX(Tabla1[[Rango ]],MATCH(1,(Tabla1[Año]=$A$135)*(Tabla1[Departamento]=$B$132),0))</f>
        <v>2. Riesgo (&gt;=40 y &lt;60)</v>
      </c>
      <c r="G145" s="186" t="str" cm="1">
        <f t="array" ref="G145">INDEX(Tabla1[[Rango ]],MATCH(1,(Tabla1[Año]=$A$136)*(Tabla1[Departamento]=$B$132),0))</f>
        <v>2. Riesgo (&gt;=40 y &lt;60)</v>
      </c>
      <c r="I145" s="159"/>
    </row>
    <row r="146" spans="3:10" x14ac:dyDescent="0.2">
      <c r="C146" s="160"/>
      <c r="D146" s="159"/>
      <c r="E146" s="159"/>
      <c r="I146" s="159"/>
    </row>
    <row r="147" spans="3:10" x14ac:dyDescent="0.2">
      <c r="C147" s="160"/>
      <c r="D147" s="159"/>
      <c r="E147" s="159"/>
      <c r="I147" s="159"/>
    </row>
    <row r="148" spans="3:10" x14ac:dyDescent="0.2">
      <c r="C148" s="160"/>
      <c r="D148" s="159"/>
      <c r="E148" s="159"/>
      <c r="I148" s="159"/>
    </row>
    <row r="149" spans="3:10" x14ac:dyDescent="0.2">
      <c r="C149" s="160"/>
      <c r="D149" s="159"/>
      <c r="E149" s="159"/>
      <c r="I149" s="159"/>
    </row>
    <row r="150" spans="3:10" x14ac:dyDescent="0.2">
      <c r="C150" s="160"/>
      <c r="D150" s="159"/>
      <c r="E150" s="159"/>
      <c r="I150" s="159"/>
    </row>
    <row r="151" spans="3:10" x14ac:dyDescent="0.2">
      <c r="C151" s="160"/>
      <c r="D151" s="159"/>
      <c r="E151" s="159"/>
      <c r="I151" s="159"/>
    </row>
    <row r="152" spans="3:10" x14ac:dyDescent="0.2">
      <c r="C152" s="160"/>
      <c r="D152" s="159"/>
      <c r="E152" s="159"/>
      <c r="I152" s="159"/>
    </row>
    <row r="153" spans="3:10" x14ac:dyDescent="0.2">
      <c r="C153" s="160"/>
      <c r="D153" s="159"/>
      <c r="E153" s="159"/>
      <c r="I153" s="159"/>
    </row>
    <row r="154" spans="3:10" x14ac:dyDescent="0.2">
      <c r="C154" s="160"/>
      <c r="D154" s="159"/>
      <c r="E154" s="159"/>
      <c r="I154" s="159"/>
    </row>
    <row r="155" spans="3:10" x14ac:dyDescent="0.2">
      <c r="C155" s="160"/>
      <c r="D155" s="159"/>
      <c r="E155" s="159"/>
      <c r="I155" s="159"/>
    </row>
    <row r="156" spans="3:10" x14ac:dyDescent="0.2">
      <c r="C156" s="160"/>
      <c r="D156" s="159"/>
      <c r="E156" s="159"/>
      <c r="I156" s="159"/>
    </row>
    <row r="157" spans="3:10" x14ac:dyDescent="0.2">
      <c r="C157" s="160"/>
      <c r="D157" s="159"/>
      <c r="E157" s="159"/>
      <c r="I157" s="159"/>
    </row>
    <row r="158" spans="3:10" x14ac:dyDescent="0.2">
      <c r="C158" s="160"/>
      <c r="D158" s="159"/>
      <c r="E158" s="159"/>
      <c r="I158" s="159"/>
    </row>
    <row r="159" spans="3:10" x14ac:dyDescent="0.2">
      <c r="C159" s="160"/>
      <c r="D159" s="159"/>
      <c r="E159" s="159"/>
      <c r="I159" s="159"/>
      <c r="J159" s="159"/>
    </row>
    <row r="160" spans="3:10" x14ac:dyDescent="0.2">
      <c r="C160" s="160"/>
      <c r="D160" s="159"/>
      <c r="E160" s="159"/>
      <c r="I160" s="159"/>
      <c r="J160" s="159"/>
    </row>
    <row r="161" spans="3:10" x14ac:dyDescent="0.2">
      <c r="C161" s="160"/>
      <c r="D161" s="159"/>
      <c r="E161" s="159"/>
      <c r="I161" s="159"/>
      <c r="J161" s="159"/>
    </row>
    <row r="162" spans="3:10" x14ac:dyDescent="0.2">
      <c r="C162" s="160"/>
      <c r="D162" s="159"/>
      <c r="E162" s="159"/>
      <c r="I162" s="159"/>
      <c r="J162" s="159"/>
    </row>
    <row r="163" spans="3:10" x14ac:dyDescent="0.2">
      <c r="C163" s="160"/>
      <c r="D163" s="159"/>
      <c r="E163" s="159"/>
      <c r="I163" s="159"/>
      <c r="J163" s="159"/>
    </row>
    <row r="164" spans="3:10" x14ac:dyDescent="0.2">
      <c r="C164" s="160"/>
      <c r="D164" s="159"/>
      <c r="E164" s="159"/>
      <c r="I164" s="159"/>
      <c r="J164" s="159"/>
    </row>
    <row r="165" spans="3:10" x14ac:dyDescent="0.2">
      <c r="C165" s="160"/>
      <c r="D165" s="159"/>
      <c r="E165" s="159"/>
      <c r="I165" s="159"/>
      <c r="J165" s="159"/>
    </row>
    <row r="166" spans="3:10" x14ac:dyDescent="0.2">
      <c r="C166" s="160"/>
      <c r="D166" s="159"/>
      <c r="E166" s="159"/>
      <c r="I166" s="159"/>
      <c r="J166" s="159"/>
    </row>
    <row r="167" spans="3:10" x14ac:dyDescent="0.2">
      <c r="C167" s="160"/>
      <c r="D167" s="159"/>
      <c r="E167" s="159"/>
      <c r="I167" s="159"/>
      <c r="J167" s="159"/>
    </row>
    <row r="168" spans="3:10" x14ac:dyDescent="0.2">
      <c r="C168" s="160"/>
      <c r="D168" s="159"/>
      <c r="E168" s="159"/>
      <c r="I168" s="159"/>
      <c r="J168" s="159"/>
    </row>
    <row r="169" spans="3:10" x14ac:dyDescent="0.2">
      <c r="C169" s="160"/>
      <c r="D169" s="159"/>
      <c r="E169" s="159"/>
      <c r="I169" s="159"/>
      <c r="J169" s="159"/>
    </row>
    <row r="170" spans="3:10" x14ac:dyDescent="0.2">
      <c r="C170" s="160"/>
      <c r="D170" s="159"/>
      <c r="E170" s="159"/>
      <c r="I170" s="159"/>
      <c r="J170" s="159"/>
    </row>
    <row r="171" spans="3:10" x14ac:dyDescent="0.2">
      <c r="C171" s="160"/>
      <c r="D171" s="159"/>
      <c r="E171" s="159"/>
      <c r="I171" s="159"/>
      <c r="J171" s="159"/>
    </row>
    <row r="172" spans="3:10" x14ac:dyDescent="0.2">
      <c r="C172" s="160"/>
      <c r="D172" s="159"/>
      <c r="E172" s="159"/>
      <c r="I172" s="159"/>
      <c r="J172" s="159"/>
    </row>
    <row r="173" spans="3:10" x14ac:dyDescent="0.2">
      <c r="C173" s="160"/>
      <c r="D173" s="159"/>
      <c r="E173" s="159"/>
      <c r="I173" s="159"/>
      <c r="J173" s="159"/>
    </row>
    <row r="174" spans="3:10" x14ac:dyDescent="0.2">
      <c r="C174" s="160"/>
      <c r="D174" s="159"/>
      <c r="E174" s="159"/>
      <c r="I174" s="159"/>
      <c r="J174" s="159"/>
    </row>
    <row r="175" spans="3:10" x14ac:dyDescent="0.2">
      <c r="C175" s="160"/>
      <c r="D175" s="159"/>
      <c r="E175" s="159"/>
      <c r="I175" s="159"/>
      <c r="J175" s="159"/>
    </row>
    <row r="176" spans="3:10" x14ac:dyDescent="0.2">
      <c r="C176" s="160"/>
      <c r="D176" s="159"/>
      <c r="E176" s="159"/>
      <c r="I176" s="159"/>
      <c r="J176" s="159"/>
    </row>
    <row r="177" spans="3:10" x14ac:dyDescent="0.2">
      <c r="C177" s="160"/>
      <c r="D177" s="159"/>
      <c r="E177" s="159"/>
      <c r="I177" s="159"/>
      <c r="J177" s="159"/>
    </row>
    <row r="178" spans="3:10" x14ac:dyDescent="0.2">
      <c r="C178" s="160"/>
      <c r="D178" s="159"/>
      <c r="E178" s="159"/>
      <c r="I178" s="159"/>
      <c r="J178" s="159"/>
    </row>
    <row r="179" spans="3:10" x14ac:dyDescent="0.2">
      <c r="C179" s="160"/>
      <c r="D179" s="159"/>
      <c r="E179" s="159"/>
      <c r="I179" s="159"/>
      <c r="J179" s="159"/>
    </row>
    <row r="180" spans="3:10" x14ac:dyDescent="0.2">
      <c r="C180" s="160"/>
      <c r="D180" s="159"/>
      <c r="E180" s="159"/>
      <c r="I180" s="159"/>
      <c r="J180" s="159"/>
    </row>
    <row r="181" spans="3:10" x14ac:dyDescent="0.2">
      <c r="C181" s="160"/>
      <c r="D181" s="159"/>
      <c r="E181" s="159"/>
      <c r="I181" s="159"/>
      <c r="J181" s="159"/>
    </row>
    <row r="182" spans="3:10" x14ac:dyDescent="0.2">
      <c r="C182" s="160"/>
      <c r="D182" s="159"/>
      <c r="E182" s="159"/>
      <c r="I182" s="159"/>
      <c r="J182" s="159"/>
    </row>
    <row r="183" spans="3:10" x14ac:dyDescent="0.2">
      <c r="C183" s="160"/>
      <c r="D183" s="159"/>
      <c r="E183" s="159"/>
      <c r="I183" s="159"/>
      <c r="J183" s="159"/>
    </row>
    <row r="184" spans="3:10" x14ac:dyDescent="0.2">
      <c r="C184" s="160"/>
      <c r="D184" s="159"/>
      <c r="E184" s="159"/>
      <c r="I184" s="159"/>
      <c r="J184" s="159"/>
    </row>
    <row r="185" spans="3:10" x14ac:dyDescent="0.2">
      <c r="C185" s="160"/>
      <c r="D185" s="159"/>
      <c r="E185" s="159"/>
      <c r="I185" s="159"/>
      <c r="J185" s="159"/>
    </row>
    <row r="186" spans="3:10" x14ac:dyDescent="0.2">
      <c r="C186" s="160"/>
      <c r="D186" s="159"/>
      <c r="E186" s="159"/>
      <c r="I186" s="159"/>
      <c r="J186" s="159"/>
    </row>
    <row r="187" spans="3:10" x14ac:dyDescent="0.2">
      <c r="C187" s="160"/>
      <c r="D187" s="159"/>
      <c r="E187" s="159"/>
      <c r="I187" s="159"/>
      <c r="J187" s="159"/>
    </row>
    <row r="188" spans="3:10" x14ac:dyDescent="0.2">
      <c r="C188" s="160"/>
      <c r="D188" s="159"/>
      <c r="E188" s="159"/>
      <c r="I188" s="159"/>
      <c r="J188" s="159"/>
    </row>
    <row r="189" spans="3:10" x14ac:dyDescent="0.2">
      <c r="C189" s="160"/>
      <c r="D189" s="159"/>
      <c r="E189" s="159"/>
      <c r="I189" s="159"/>
      <c r="J189" s="159"/>
    </row>
    <row r="190" spans="3:10" x14ac:dyDescent="0.2">
      <c r="C190" s="160"/>
      <c r="D190" s="159"/>
      <c r="E190" s="159"/>
      <c r="I190" s="159"/>
      <c r="J190" s="159"/>
    </row>
    <row r="191" spans="3:10" x14ac:dyDescent="0.2">
      <c r="C191" s="160"/>
      <c r="D191" s="159"/>
      <c r="E191" s="159"/>
      <c r="I191" s="159"/>
      <c r="J191" s="159"/>
    </row>
    <row r="192" spans="3:10" x14ac:dyDescent="0.2">
      <c r="C192" s="160"/>
      <c r="D192" s="159"/>
      <c r="E192" s="159"/>
      <c r="I192" s="159"/>
      <c r="J192" s="159"/>
    </row>
    <row r="193" spans="3:10" x14ac:dyDescent="0.2">
      <c r="C193" s="160"/>
      <c r="D193" s="159"/>
      <c r="E193" s="159"/>
      <c r="I193" s="159"/>
      <c r="J193" s="159"/>
    </row>
    <row r="194" spans="3:10" x14ac:dyDescent="0.2">
      <c r="C194" s="160"/>
      <c r="D194" s="159"/>
      <c r="E194" s="159"/>
      <c r="I194" s="159"/>
      <c r="J194" s="159"/>
    </row>
    <row r="195" spans="3:10" x14ac:dyDescent="0.2">
      <c r="C195" s="160"/>
      <c r="D195" s="159"/>
      <c r="E195" s="159"/>
      <c r="I195" s="159"/>
      <c r="J195" s="159"/>
    </row>
    <row r="196" spans="3:10" x14ac:dyDescent="0.2">
      <c r="C196" s="160"/>
      <c r="D196" s="159"/>
      <c r="E196" s="159"/>
      <c r="I196" s="159"/>
      <c r="J196" s="159"/>
    </row>
    <row r="197" spans="3:10" x14ac:dyDescent="0.2">
      <c r="C197" s="160"/>
      <c r="D197" s="159"/>
      <c r="E197" s="159"/>
      <c r="I197" s="159"/>
      <c r="J197" s="159"/>
    </row>
    <row r="198" spans="3:10" x14ac:dyDescent="0.2">
      <c r="C198" s="160"/>
      <c r="D198" s="159"/>
      <c r="E198" s="159"/>
      <c r="I198" s="159"/>
      <c r="J198" s="159"/>
    </row>
    <row r="199" spans="3:10" x14ac:dyDescent="0.2">
      <c r="C199" s="160"/>
      <c r="D199" s="159"/>
      <c r="E199" s="159"/>
      <c r="I199" s="159"/>
      <c r="J199" s="159"/>
    </row>
    <row r="200" spans="3:10" x14ac:dyDescent="0.2">
      <c r="C200" s="160"/>
      <c r="D200" s="159"/>
      <c r="E200" s="159"/>
      <c r="I200" s="159"/>
      <c r="J200" s="159"/>
    </row>
    <row r="201" spans="3:10" x14ac:dyDescent="0.2">
      <c r="C201" s="160"/>
      <c r="D201" s="159"/>
      <c r="E201" s="159"/>
      <c r="I201" s="159"/>
      <c r="J201" s="159"/>
    </row>
    <row r="202" spans="3:10" x14ac:dyDescent="0.2">
      <c r="C202" s="160"/>
      <c r="D202" s="159"/>
      <c r="E202" s="159"/>
      <c r="I202" s="159"/>
      <c r="J202" s="159"/>
    </row>
    <row r="203" spans="3:10" x14ac:dyDescent="0.2">
      <c r="C203" s="160"/>
      <c r="D203" s="159"/>
      <c r="E203" s="159"/>
      <c r="I203" s="159"/>
      <c r="J203" s="159"/>
    </row>
    <row r="204" spans="3:10" x14ac:dyDescent="0.2">
      <c r="C204" s="160"/>
      <c r="D204" s="159"/>
      <c r="E204" s="159"/>
      <c r="I204" s="159"/>
      <c r="J204" s="159"/>
    </row>
    <row r="205" spans="3:10" x14ac:dyDescent="0.2">
      <c r="C205" s="160"/>
      <c r="D205" s="159"/>
      <c r="E205" s="159"/>
      <c r="I205" s="159"/>
      <c r="J205" s="159"/>
    </row>
    <row r="206" spans="3:10" x14ac:dyDescent="0.2">
      <c r="C206" s="160"/>
      <c r="D206" s="159"/>
      <c r="E206" s="159"/>
      <c r="I206" s="159"/>
      <c r="J206" s="159"/>
    </row>
    <row r="207" spans="3:10" x14ac:dyDescent="0.2">
      <c r="C207" s="160"/>
      <c r="D207" s="159"/>
      <c r="E207" s="159"/>
      <c r="I207" s="159"/>
      <c r="J207" s="159"/>
    </row>
    <row r="208" spans="3:10" x14ac:dyDescent="0.2">
      <c r="C208" s="160"/>
      <c r="D208" s="159"/>
      <c r="E208" s="159"/>
      <c r="I208" s="159"/>
      <c r="J208" s="159"/>
    </row>
    <row r="209" spans="2:10" x14ac:dyDescent="0.2">
      <c r="C209" s="160"/>
      <c r="D209" s="159"/>
      <c r="E209" s="159"/>
      <c r="I209" s="159"/>
      <c r="J209" s="159"/>
    </row>
    <row r="210" spans="2:10" x14ac:dyDescent="0.2">
      <c r="B210" s="159"/>
      <c r="C210" s="160"/>
      <c r="D210" s="159"/>
      <c r="E210" s="159"/>
      <c r="I210" s="159"/>
      <c r="J210" s="159"/>
    </row>
    <row r="211" spans="2:10" x14ac:dyDescent="0.2">
      <c r="B211" s="159"/>
      <c r="C211" s="160"/>
      <c r="D211" s="159"/>
      <c r="E211" s="159"/>
      <c r="I211" s="159"/>
      <c r="J211" s="159"/>
    </row>
    <row r="212" spans="2:10" x14ac:dyDescent="0.2">
      <c r="B212" s="159"/>
      <c r="C212" s="160"/>
      <c r="D212" s="159"/>
      <c r="E212" s="159"/>
      <c r="I212" s="159"/>
      <c r="J212" s="159"/>
    </row>
    <row r="213" spans="2:10" x14ac:dyDescent="0.2">
      <c r="B213" s="159"/>
      <c r="C213" s="160"/>
      <c r="D213" s="159"/>
      <c r="E213" s="159"/>
      <c r="I213" s="159"/>
      <c r="J213" s="159"/>
    </row>
    <row r="214" spans="2:10" x14ac:dyDescent="0.2">
      <c r="B214" s="159"/>
      <c r="C214" s="160"/>
      <c r="D214" s="159"/>
      <c r="E214" s="159"/>
      <c r="I214" s="159"/>
      <c r="J214" s="159"/>
    </row>
    <row r="215" spans="2:10" x14ac:dyDescent="0.2">
      <c r="B215" s="159"/>
      <c r="C215" s="160"/>
      <c r="D215" s="159"/>
      <c r="E215" s="159"/>
      <c r="I215" s="159"/>
      <c r="J215" s="159"/>
    </row>
    <row r="216" spans="2:10" x14ac:dyDescent="0.2">
      <c r="B216" s="159"/>
      <c r="C216" s="160"/>
      <c r="D216" s="159"/>
      <c r="E216" s="159"/>
      <c r="I216" s="159"/>
      <c r="J216" s="159"/>
    </row>
    <row r="217" spans="2:10" x14ac:dyDescent="0.2">
      <c r="B217" s="159"/>
      <c r="C217" s="160"/>
      <c r="D217" s="159"/>
      <c r="E217" s="159"/>
      <c r="I217" s="159"/>
      <c r="J217" s="159"/>
    </row>
    <row r="218" spans="2:10" x14ac:dyDescent="0.2">
      <c r="B218" s="159"/>
      <c r="C218" s="160"/>
      <c r="D218" s="159"/>
      <c r="E218" s="159"/>
      <c r="I218" s="159"/>
      <c r="J218" s="159"/>
    </row>
    <row r="219" spans="2:10" x14ac:dyDescent="0.2">
      <c r="B219" s="159"/>
      <c r="C219" s="160"/>
      <c r="D219" s="159"/>
      <c r="E219" s="159"/>
      <c r="I219" s="159"/>
      <c r="J219" s="159"/>
    </row>
    <row r="220" spans="2:10" x14ac:dyDescent="0.2">
      <c r="B220" s="159"/>
      <c r="C220" s="160"/>
      <c r="D220" s="159"/>
      <c r="E220" s="159"/>
      <c r="I220" s="159"/>
      <c r="J220" s="159"/>
    </row>
    <row r="221" spans="2:10" x14ac:dyDescent="0.2">
      <c r="B221" s="159"/>
      <c r="C221" s="160"/>
      <c r="D221" s="159"/>
      <c r="E221" s="159"/>
      <c r="I221" s="159"/>
      <c r="J221" s="159"/>
    </row>
    <row r="222" spans="2:10" x14ac:dyDescent="0.2">
      <c r="B222" s="159"/>
      <c r="C222" s="160"/>
      <c r="D222" s="159"/>
      <c r="E222" s="159"/>
      <c r="I222" s="159"/>
      <c r="J222" s="159"/>
    </row>
    <row r="223" spans="2:10" x14ac:dyDescent="0.2">
      <c r="B223" s="159"/>
      <c r="C223" s="160"/>
      <c r="D223" s="159"/>
      <c r="E223" s="159"/>
      <c r="I223" s="159"/>
      <c r="J223" s="159"/>
    </row>
    <row r="224" spans="2:10" x14ac:dyDescent="0.2">
      <c r="B224" s="159"/>
      <c r="C224" s="160"/>
      <c r="D224" s="159"/>
      <c r="E224" s="159"/>
      <c r="I224" s="159"/>
      <c r="J224" s="159"/>
    </row>
    <row r="225" spans="2:10" x14ac:dyDescent="0.2">
      <c r="B225" s="159"/>
      <c r="C225" s="160"/>
      <c r="D225" s="159"/>
      <c r="E225" s="159"/>
      <c r="I225" s="159"/>
      <c r="J225" s="159"/>
    </row>
    <row r="226" spans="2:10" x14ac:dyDescent="0.2">
      <c r="B226" s="159"/>
      <c r="C226" s="160"/>
      <c r="D226" s="159"/>
      <c r="E226" s="159"/>
      <c r="I226" s="159"/>
      <c r="J226" s="159"/>
    </row>
    <row r="227" spans="2:10" x14ac:dyDescent="0.2">
      <c r="B227" s="159"/>
      <c r="C227" s="160"/>
      <c r="D227" s="159"/>
      <c r="E227" s="159"/>
      <c r="I227" s="159"/>
      <c r="J227" s="159"/>
    </row>
    <row r="228" spans="2:10" x14ac:dyDescent="0.2">
      <c r="B228" s="159"/>
      <c r="C228" s="160"/>
      <c r="D228" s="159"/>
      <c r="E228" s="159"/>
      <c r="I228" s="159"/>
      <c r="J228" s="159"/>
    </row>
    <row r="229" spans="2:10" x14ac:dyDescent="0.2">
      <c r="B229" s="159"/>
      <c r="C229" s="160"/>
      <c r="D229" s="159"/>
      <c r="E229" s="159"/>
      <c r="I229" s="159"/>
      <c r="J229" s="159"/>
    </row>
    <row r="230" spans="2:10" x14ac:dyDescent="0.2">
      <c r="B230" s="159"/>
      <c r="C230" s="160"/>
      <c r="D230" s="159"/>
      <c r="E230" s="159"/>
      <c r="I230" s="159"/>
      <c r="J230" s="159"/>
    </row>
    <row r="231" spans="2:10" x14ac:dyDescent="0.2">
      <c r="B231" s="159"/>
      <c r="C231" s="160"/>
      <c r="D231" s="159"/>
      <c r="E231" s="159"/>
      <c r="I231" s="159"/>
      <c r="J231" s="159"/>
    </row>
    <row r="232" spans="2:10" x14ac:dyDescent="0.2">
      <c r="B232" s="159"/>
      <c r="C232" s="160"/>
      <c r="D232" s="159"/>
      <c r="E232" s="159"/>
      <c r="I232" s="159"/>
      <c r="J232" s="159"/>
    </row>
    <row r="233" spans="2:10" x14ac:dyDescent="0.2">
      <c r="B233" s="159"/>
      <c r="C233" s="160"/>
      <c r="D233" s="159"/>
      <c r="E233" s="159"/>
      <c r="I233" s="159"/>
      <c r="J233" s="159"/>
    </row>
    <row r="234" spans="2:10" x14ac:dyDescent="0.2">
      <c r="B234" s="159"/>
      <c r="C234" s="160"/>
      <c r="D234" s="159"/>
      <c r="E234" s="159"/>
      <c r="I234" s="159"/>
      <c r="J234" s="159"/>
    </row>
    <row r="235" spans="2:10" x14ac:dyDescent="0.2">
      <c r="B235" s="159"/>
      <c r="C235" s="160"/>
      <c r="D235" s="159"/>
      <c r="E235" s="159"/>
      <c r="I235" s="159"/>
      <c r="J235" s="159"/>
    </row>
    <row r="236" spans="2:10" x14ac:dyDescent="0.2">
      <c r="B236" s="159"/>
      <c r="C236" s="160"/>
      <c r="D236" s="159"/>
      <c r="E236" s="159"/>
      <c r="I236" s="159"/>
      <c r="J236" s="159"/>
    </row>
    <row r="237" spans="2:10" x14ac:dyDescent="0.2">
      <c r="B237" s="159"/>
      <c r="C237" s="160"/>
      <c r="D237" s="159"/>
      <c r="E237" s="159"/>
      <c r="I237" s="159"/>
      <c r="J237" s="159"/>
    </row>
    <row r="238" spans="2:10" x14ac:dyDescent="0.2">
      <c r="B238" s="159"/>
      <c r="C238" s="160"/>
      <c r="D238" s="159"/>
      <c r="E238" s="159"/>
      <c r="I238" s="159"/>
      <c r="J238" s="159"/>
    </row>
    <row r="239" spans="2:10" x14ac:dyDescent="0.2">
      <c r="B239" s="159"/>
      <c r="C239" s="160"/>
      <c r="D239" s="159"/>
      <c r="E239" s="159"/>
      <c r="I239" s="159"/>
      <c r="J239" s="159"/>
    </row>
    <row r="240" spans="2:10" x14ac:dyDescent="0.2">
      <c r="B240" s="159"/>
      <c r="C240" s="160"/>
      <c r="D240" s="159"/>
      <c r="E240" s="159"/>
      <c r="I240" s="159"/>
      <c r="J240" s="159"/>
    </row>
    <row r="241" spans="2:10" x14ac:dyDescent="0.2">
      <c r="B241" s="159"/>
      <c r="C241" s="160"/>
      <c r="D241" s="159"/>
      <c r="E241" s="159"/>
      <c r="I241" s="159"/>
      <c r="J241" s="159"/>
    </row>
    <row r="242" spans="2:10" x14ac:dyDescent="0.2">
      <c r="B242" s="159"/>
      <c r="C242" s="160"/>
      <c r="D242" s="159"/>
      <c r="E242" s="159"/>
      <c r="I242" s="159"/>
      <c r="J242" s="159"/>
    </row>
    <row r="243" spans="2:10" x14ac:dyDescent="0.2">
      <c r="B243" s="159"/>
      <c r="C243" s="160"/>
      <c r="D243" s="159"/>
      <c r="E243" s="159"/>
      <c r="I243" s="159"/>
      <c r="J243" s="159"/>
    </row>
    <row r="244" spans="2:10" x14ac:dyDescent="0.2">
      <c r="B244" s="159"/>
      <c r="C244" s="160"/>
      <c r="D244" s="159"/>
      <c r="E244" s="159"/>
      <c r="I244" s="159"/>
      <c r="J244" s="159"/>
    </row>
    <row r="245" spans="2:10" x14ac:dyDescent="0.2">
      <c r="B245" s="159"/>
      <c r="C245" s="160"/>
      <c r="D245" s="159"/>
      <c r="E245" s="159"/>
      <c r="I245" s="159"/>
      <c r="J245" s="159"/>
    </row>
    <row r="246" spans="2:10" x14ac:dyDescent="0.2">
      <c r="B246" s="159"/>
      <c r="C246" s="160"/>
      <c r="D246" s="159"/>
      <c r="E246" s="159"/>
      <c r="I246" s="159"/>
      <c r="J246" s="159"/>
    </row>
    <row r="247" spans="2:10" x14ac:dyDescent="0.2">
      <c r="B247" s="159"/>
      <c r="C247" s="160"/>
      <c r="D247" s="159"/>
      <c r="E247" s="159"/>
      <c r="I247" s="159"/>
      <c r="J247" s="159"/>
    </row>
    <row r="248" spans="2:10" x14ac:dyDescent="0.2">
      <c r="B248" s="159"/>
      <c r="C248" s="160"/>
      <c r="D248" s="159"/>
      <c r="E248" s="159"/>
      <c r="I248" s="159"/>
      <c r="J248" s="159"/>
    </row>
    <row r="249" spans="2:10" x14ac:dyDescent="0.2">
      <c r="B249" s="159"/>
      <c r="C249" s="160"/>
      <c r="D249" s="159"/>
      <c r="E249" s="159"/>
      <c r="I249" s="159"/>
      <c r="J249" s="159"/>
    </row>
    <row r="250" spans="2:10" x14ac:dyDescent="0.2">
      <c r="B250" s="159"/>
      <c r="C250" s="160"/>
      <c r="D250" s="159"/>
      <c r="E250" s="159"/>
      <c r="I250" s="159"/>
      <c r="J250" s="159"/>
    </row>
    <row r="251" spans="2:10" x14ac:dyDescent="0.2">
      <c r="B251" s="159"/>
      <c r="C251" s="160"/>
      <c r="D251" s="159"/>
      <c r="E251" s="159"/>
      <c r="I251" s="159"/>
      <c r="J251" s="159"/>
    </row>
    <row r="252" spans="2:10" x14ac:dyDescent="0.2">
      <c r="B252" s="159"/>
      <c r="C252" s="160"/>
      <c r="D252" s="159"/>
      <c r="E252" s="159"/>
      <c r="I252" s="159"/>
      <c r="J252" s="159"/>
    </row>
    <row r="253" spans="2:10" x14ac:dyDescent="0.2">
      <c r="B253" s="159"/>
      <c r="C253" s="160"/>
      <c r="D253" s="159"/>
      <c r="E253" s="159"/>
      <c r="I253" s="159"/>
      <c r="J253" s="159"/>
    </row>
    <row r="254" spans="2:10" x14ac:dyDescent="0.2">
      <c r="B254" s="159"/>
      <c r="C254" s="160"/>
      <c r="D254" s="159"/>
      <c r="E254" s="159"/>
      <c r="I254" s="159"/>
      <c r="J254" s="159"/>
    </row>
    <row r="255" spans="2:10" x14ac:dyDescent="0.2">
      <c r="B255" s="159"/>
      <c r="C255" s="160"/>
      <c r="D255" s="159"/>
      <c r="E255" s="159"/>
      <c r="I255" s="159"/>
      <c r="J255" s="159"/>
    </row>
    <row r="256" spans="2:10" x14ac:dyDescent="0.2">
      <c r="B256" s="159"/>
      <c r="C256" s="160"/>
      <c r="D256" s="159"/>
      <c r="E256" s="159"/>
      <c r="I256" s="159"/>
      <c r="J256" s="159"/>
    </row>
    <row r="257" spans="2:10" x14ac:dyDescent="0.2">
      <c r="B257" s="159"/>
      <c r="C257" s="160"/>
      <c r="D257" s="159"/>
      <c r="E257" s="159"/>
      <c r="I257" s="159"/>
      <c r="J257" s="159"/>
    </row>
    <row r="258" spans="2:10" x14ac:dyDescent="0.2">
      <c r="B258" s="159"/>
      <c r="C258" s="160"/>
      <c r="D258" s="159"/>
      <c r="E258" s="159"/>
      <c r="I258" s="159"/>
      <c r="J258" s="159"/>
    </row>
    <row r="259" spans="2:10" x14ac:dyDescent="0.2">
      <c r="B259" s="159"/>
      <c r="C259" s="160"/>
      <c r="D259" s="159"/>
      <c r="E259" s="159"/>
      <c r="I259" s="159"/>
      <c r="J259" s="159"/>
    </row>
    <row r="260" spans="2:10" x14ac:dyDescent="0.2">
      <c r="B260" s="159"/>
      <c r="C260" s="160"/>
      <c r="D260" s="159"/>
      <c r="E260" s="159"/>
      <c r="I260" s="159"/>
      <c r="J260" s="159"/>
    </row>
    <row r="261" spans="2:10" x14ac:dyDescent="0.2">
      <c r="B261" s="159"/>
      <c r="C261" s="160"/>
      <c r="D261" s="159"/>
      <c r="E261" s="159"/>
      <c r="I261" s="159"/>
      <c r="J261" s="159"/>
    </row>
    <row r="262" spans="2:10" x14ac:dyDescent="0.2">
      <c r="B262" s="159"/>
      <c r="C262" s="160"/>
      <c r="D262" s="159"/>
      <c r="E262" s="159"/>
      <c r="I262" s="159"/>
      <c r="J262" s="159"/>
    </row>
    <row r="263" spans="2:10" x14ac:dyDescent="0.2">
      <c r="B263" s="159"/>
      <c r="C263" s="160"/>
      <c r="D263" s="159"/>
      <c r="E263" s="159"/>
      <c r="I263" s="159"/>
      <c r="J263" s="159"/>
    </row>
    <row r="264" spans="2:10" x14ac:dyDescent="0.2">
      <c r="B264" s="159"/>
      <c r="C264" s="160"/>
      <c r="D264" s="159"/>
      <c r="E264" s="159"/>
      <c r="I264" s="159"/>
      <c r="J264" s="159"/>
    </row>
    <row r="265" spans="2:10" x14ac:dyDescent="0.2">
      <c r="B265" s="159"/>
      <c r="C265" s="160"/>
      <c r="D265" s="159"/>
      <c r="E265" s="159"/>
      <c r="I265" s="159"/>
      <c r="J265" s="159"/>
    </row>
    <row r="266" spans="2:10" x14ac:dyDescent="0.2">
      <c r="B266" s="159"/>
      <c r="C266" s="160"/>
      <c r="D266" s="159"/>
      <c r="E266" s="159"/>
      <c r="I266" s="159"/>
      <c r="J266" s="159"/>
    </row>
    <row r="267" spans="2:10" x14ac:dyDescent="0.2">
      <c r="B267" s="159"/>
      <c r="C267" s="160"/>
      <c r="D267" s="159"/>
      <c r="E267" s="159"/>
      <c r="I267" s="159"/>
      <c r="J267" s="159"/>
    </row>
    <row r="268" spans="2:10" x14ac:dyDescent="0.2">
      <c r="B268" s="159"/>
      <c r="C268" s="160"/>
      <c r="D268" s="159"/>
      <c r="E268" s="159"/>
      <c r="I268" s="159"/>
      <c r="J268" s="159"/>
    </row>
    <row r="269" spans="2:10" x14ac:dyDescent="0.2">
      <c r="B269" s="159"/>
      <c r="C269" s="160"/>
      <c r="D269" s="159"/>
      <c r="E269" s="159"/>
      <c r="I269" s="159"/>
      <c r="J269" s="159"/>
    </row>
    <row r="270" spans="2:10" x14ac:dyDescent="0.2">
      <c r="B270" s="159"/>
      <c r="C270" s="160"/>
      <c r="D270" s="159"/>
      <c r="E270" s="159"/>
      <c r="I270" s="159"/>
      <c r="J270" s="159"/>
    </row>
    <row r="271" spans="2:10" x14ac:dyDescent="0.2">
      <c r="B271" s="159"/>
      <c r="C271" s="160"/>
      <c r="D271" s="159"/>
      <c r="E271" s="159"/>
      <c r="I271" s="159"/>
      <c r="J271" s="159"/>
    </row>
    <row r="272" spans="2:10" x14ac:dyDescent="0.2">
      <c r="B272" s="159"/>
      <c r="C272" s="160"/>
      <c r="D272" s="159"/>
      <c r="E272" s="159"/>
      <c r="I272" s="159"/>
      <c r="J272" s="159"/>
    </row>
    <row r="273" spans="2:10" x14ac:dyDescent="0.2">
      <c r="B273" s="159"/>
      <c r="C273" s="160"/>
      <c r="D273" s="159"/>
      <c r="E273" s="159"/>
      <c r="I273" s="159"/>
      <c r="J273" s="159"/>
    </row>
    <row r="274" spans="2:10" x14ac:dyDescent="0.2">
      <c r="B274" s="159"/>
      <c r="C274" s="160"/>
      <c r="D274" s="159"/>
      <c r="E274" s="159"/>
      <c r="I274" s="159"/>
      <c r="J274" s="159"/>
    </row>
    <row r="275" spans="2:10" x14ac:dyDescent="0.2">
      <c r="B275" s="159"/>
      <c r="C275" s="160"/>
      <c r="D275" s="159"/>
      <c r="E275" s="159"/>
      <c r="I275" s="159"/>
      <c r="J275" s="159"/>
    </row>
    <row r="276" spans="2:10" x14ac:dyDescent="0.2">
      <c r="B276" s="159"/>
      <c r="C276" s="160"/>
      <c r="D276" s="159"/>
      <c r="E276" s="159"/>
      <c r="I276" s="159"/>
      <c r="J276" s="159"/>
    </row>
    <row r="277" spans="2:10" x14ac:dyDescent="0.2">
      <c r="B277" s="159"/>
      <c r="C277" s="160"/>
      <c r="D277" s="159"/>
      <c r="E277" s="159"/>
      <c r="I277" s="159"/>
      <c r="J277" s="159"/>
    </row>
    <row r="278" spans="2:10" x14ac:dyDescent="0.2">
      <c r="B278" s="159"/>
      <c r="C278" s="160"/>
      <c r="D278" s="159"/>
      <c r="E278" s="159"/>
      <c r="I278" s="159"/>
      <c r="J278" s="159"/>
    </row>
    <row r="279" spans="2:10" x14ac:dyDescent="0.2">
      <c r="B279" s="159"/>
      <c r="C279" s="160"/>
      <c r="D279" s="159"/>
      <c r="E279" s="159"/>
      <c r="I279" s="159"/>
      <c r="J279" s="159"/>
    </row>
    <row r="280" spans="2:10" x14ac:dyDescent="0.2">
      <c r="B280" s="159"/>
      <c r="C280" s="160"/>
      <c r="D280" s="159"/>
      <c r="E280" s="159"/>
      <c r="I280" s="159"/>
      <c r="J280" s="159"/>
    </row>
    <row r="281" spans="2:10" x14ac:dyDescent="0.2">
      <c r="B281" s="159"/>
      <c r="C281" s="160"/>
      <c r="D281" s="159"/>
      <c r="E281" s="159"/>
      <c r="I281" s="159"/>
      <c r="J281" s="159"/>
    </row>
    <row r="282" spans="2:10" x14ac:dyDescent="0.2">
      <c r="B282" s="159"/>
      <c r="C282" s="160"/>
      <c r="D282" s="159"/>
      <c r="E282" s="159"/>
      <c r="I282" s="159"/>
      <c r="J282" s="159"/>
    </row>
    <row r="283" spans="2:10" x14ac:dyDescent="0.2">
      <c r="B283" s="159"/>
      <c r="C283" s="160"/>
      <c r="D283" s="159"/>
      <c r="E283" s="159"/>
      <c r="I283" s="159"/>
      <c r="J283" s="159"/>
    </row>
    <row r="284" spans="2:10" x14ac:dyDescent="0.2">
      <c r="B284" s="159"/>
      <c r="C284" s="160"/>
      <c r="D284" s="159"/>
      <c r="E284" s="159"/>
      <c r="I284" s="159"/>
      <c r="J284" s="159"/>
    </row>
    <row r="285" spans="2:10" x14ac:dyDescent="0.2">
      <c r="B285" s="159"/>
      <c r="C285" s="160"/>
      <c r="D285" s="159"/>
      <c r="E285" s="159"/>
      <c r="I285" s="159"/>
      <c r="J285" s="159"/>
    </row>
    <row r="286" spans="2:10" x14ac:dyDescent="0.2">
      <c r="B286" s="159"/>
      <c r="C286" s="160"/>
      <c r="D286" s="159"/>
      <c r="E286" s="159"/>
      <c r="I286" s="159"/>
      <c r="J286" s="159"/>
    </row>
    <row r="287" spans="2:10" x14ac:dyDescent="0.2">
      <c r="B287" s="159"/>
      <c r="C287" s="160"/>
      <c r="D287" s="159"/>
      <c r="E287" s="159"/>
      <c r="I287" s="159"/>
      <c r="J287" s="159"/>
    </row>
    <row r="288" spans="2:10" x14ac:dyDescent="0.2">
      <c r="B288" s="159"/>
      <c r="C288" s="160"/>
      <c r="D288" s="159"/>
      <c r="E288" s="159"/>
      <c r="I288" s="159"/>
      <c r="J288" s="159"/>
    </row>
    <row r="289" spans="2:10" x14ac:dyDescent="0.2">
      <c r="B289" s="159"/>
      <c r="C289" s="160"/>
      <c r="D289" s="159"/>
      <c r="E289" s="159"/>
      <c r="I289" s="159"/>
      <c r="J289" s="159"/>
    </row>
    <row r="290" spans="2:10" x14ac:dyDescent="0.2">
      <c r="B290" s="159"/>
      <c r="C290" s="160"/>
      <c r="D290" s="159"/>
      <c r="E290" s="159"/>
      <c r="I290" s="159"/>
      <c r="J290" s="159"/>
    </row>
    <row r="291" spans="2:10" x14ac:dyDescent="0.2">
      <c r="B291" s="159"/>
      <c r="C291" s="160"/>
      <c r="D291" s="159"/>
      <c r="E291" s="159"/>
      <c r="I291" s="159"/>
      <c r="J291" s="159"/>
    </row>
    <row r="292" spans="2:10" x14ac:dyDescent="0.2">
      <c r="B292" s="159"/>
      <c r="C292" s="160"/>
      <c r="D292" s="159"/>
      <c r="E292" s="159"/>
      <c r="I292" s="159"/>
      <c r="J292" s="159"/>
    </row>
    <row r="293" spans="2:10" x14ac:dyDescent="0.2">
      <c r="B293" s="159"/>
      <c r="C293" s="160"/>
      <c r="D293" s="159"/>
      <c r="E293" s="159"/>
      <c r="I293" s="159"/>
      <c r="J293" s="159"/>
    </row>
    <row r="294" spans="2:10" x14ac:dyDescent="0.2">
      <c r="B294" s="159"/>
      <c r="C294" s="160"/>
      <c r="D294" s="159"/>
      <c r="E294" s="159"/>
      <c r="I294" s="159"/>
      <c r="J294" s="159"/>
    </row>
    <row r="295" spans="2:10" x14ac:dyDescent="0.2">
      <c r="B295" s="159"/>
      <c r="C295" s="160"/>
      <c r="D295" s="159"/>
      <c r="E295" s="159"/>
      <c r="I295" s="159"/>
      <c r="J295" s="159"/>
    </row>
    <row r="296" spans="2:10" x14ac:dyDescent="0.2">
      <c r="B296" s="159"/>
      <c r="C296" s="160"/>
      <c r="D296" s="159"/>
      <c r="E296" s="159"/>
      <c r="I296" s="159"/>
      <c r="J296" s="159"/>
    </row>
    <row r="297" spans="2:10" x14ac:dyDescent="0.2">
      <c r="B297" s="159"/>
      <c r="C297" s="160"/>
      <c r="D297" s="159"/>
      <c r="E297" s="159"/>
      <c r="I297" s="159"/>
      <c r="J297" s="159"/>
    </row>
    <row r="298" spans="2:10" x14ac:dyDescent="0.2">
      <c r="B298" s="159"/>
      <c r="C298" s="160"/>
      <c r="D298" s="159"/>
      <c r="E298" s="159"/>
      <c r="I298" s="159"/>
      <c r="J298" s="159"/>
    </row>
    <row r="299" spans="2:10" x14ac:dyDescent="0.2">
      <c r="B299" s="159"/>
      <c r="C299" s="160"/>
      <c r="D299" s="159"/>
      <c r="E299" s="159"/>
      <c r="I299" s="159"/>
      <c r="J299" s="159"/>
    </row>
    <row r="300" spans="2:10" x14ac:dyDescent="0.2">
      <c r="B300" s="159"/>
      <c r="C300" s="160"/>
      <c r="D300" s="159"/>
      <c r="E300" s="159"/>
      <c r="I300" s="159"/>
      <c r="J300" s="159"/>
    </row>
    <row r="301" spans="2:10" x14ac:dyDescent="0.2">
      <c r="B301" s="159"/>
      <c r="C301" s="160"/>
      <c r="D301" s="159"/>
      <c r="E301" s="159"/>
      <c r="I301" s="159"/>
      <c r="J301" s="159"/>
    </row>
    <row r="302" spans="2:10" x14ac:dyDescent="0.2">
      <c r="B302" s="159"/>
      <c r="C302" s="160"/>
      <c r="D302" s="159"/>
      <c r="E302" s="159"/>
      <c r="I302" s="159"/>
      <c r="J302" s="159"/>
    </row>
    <row r="303" spans="2:10" x14ac:dyDescent="0.2">
      <c r="B303" s="159"/>
      <c r="C303" s="160"/>
      <c r="D303" s="159"/>
      <c r="E303" s="159"/>
      <c r="I303" s="159"/>
      <c r="J303" s="159"/>
    </row>
    <row r="304" spans="2:10" x14ac:dyDescent="0.2">
      <c r="B304" s="159"/>
      <c r="C304" s="160"/>
      <c r="D304" s="159"/>
      <c r="E304" s="159"/>
      <c r="I304" s="159"/>
      <c r="J304" s="159"/>
    </row>
    <row r="305" spans="2:10" x14ac:dyDescent="0.2">
      <c r="B305" s="159"/>
      <c r="C305" s="160"/>
      <c r="D305" s="159"/>
      <c r="E305" s="159"/>
      <c r="I305" s="159"/>
      <c r="J305" s="159"/>
    </row>
    <row r="306" spans="2:10" x14ac:dyDescent="0.2">
      <c r="B306" s="159"/>
      <c r="C306" s="160"/>
      <c r="D306" s="159"/>
      <c r="E306" s="159"/>
      <c r="I306" s="159"/>
      <c r="J306" s="159"/>
    </row>
    <row r="307" spans="2:10" x14ac:dyDescent="0.2">
      <c r="B307" s="159"/>
      <c r="C307" s="160"/>
      <c r="D307" s="159"/>
      <c r="E307" s="159"/>
      <c r="I307" s="159"/>
      <c r="J307" s="159"/>
    </row>
    <row r="308" spans="2:10" x14ac:dyDescent="0.2">
      <c r="B308" s="159"/>
      <c r="C308" s="160"/>
      <c r="D308" s="159"/>
      <c r="E308" s="159"/>
      <c r="I308" s="159"/>
      <c r="J308" s="159"/>
    </row>
    <row r="309" spans="2:10" x14ac:dyDescent="0.2">
      <c r="B309" s="159"/>
      <c r="C309" s="160"/>
      <c r="D309" s="159"/>
      <c r="E309" s="159"/>
      <c r="I309" s="159"/>
      <c r="J309" s="159"/>
    </row>
    <row r="310" spans="2:10" x14ac:dyDescent="0.2">
      <c r="B310" s="159"/>
      <c r="C310" s="160"/>
      <c r="D310" s="159"/>
      <c r="E310" s="159"/>
      <c r="I310" s="159"/>
      <c r="J310" s="159"/>
    </row>
    <row r="311" spans="2:10" x14ac:dyDescent="0.2">
      <c r="B311" s="159"/>
      <c r="C311" s="160"/>
      <c r="D311" s="159"/>
      <c r="E311" s="159"/>
      <c r="I311" s="159"/>
      <c r="J311" s="159"/>
    </row>
    <row r="312" spans="2:10" x14ac:dyDescent="0.2">
      <c r="B312" s="159"/>
      <c r="C312" s="160"/>
      <c r="D312" s="159"/>
      <c r="E312" s="159"/>
      <c r="I312" s="159"/>
      <c r="J312" s="159"/>
    </row>
    <row r="313" spans="2:10" x14ac:dyDescent="0.2">
      <c r="B313" s="159"/>
      <c r="C313" s="160"/>
      <c r="D313" s="159"/>
      <c r="E313" s="159"/>
      <c r="I313" s="159"/>
      <c r="J313" s="159"/>
    </row>
    <row r="314" spans="2:10" x14ac:dyDescent="0.2">
      <c r="B314" s="159"/>
      <c r="C314" s="160"/>
      <c r="D314" s="159"/>
      <c r="E314" s="159"/>
      <c r="I314" s="159"/>
      <c r="J314" s="159"/>
    </row>
    <row r="315" spans="2:10" x14ac:dyDescent="0.2">
      <c r="B315" s="159"/>
      <c r="C315" s="160"/>
      <c r="D315" s="159"/>
      <c r="E315" s="159"/>
      <c r="I315" s="159"/>
      <c r="J315" s="159"/>
    </row>
    <row r="316" spans="2:10" x14ac:dyDescent="0.2">
      <c r="B316" s="159"/>
      <c r="C316" s="160"/>
      <c r="D316" s="159"/>
      <c r="E316" s="159"/>
      <c r="I316" s="159"/>
      <c r="J316" s="159"/>
    </row>
    <row r="317" spans="2:10" x14ac:dyDescent="0.2">
      <c r="B317" s="159"/>
      <c r="C317" s="160"/>
      <c r="D317" s="159"/>
      <c r="E317" s="159"/>
      <c r="I317" s="159"/>
      <c r="J317" s="159"/>
    </row>
    <row r="318" spans="2:10" x14ac:dyDescent="0.2">
      <c r="B318" s="159"/>
      <c r="C318" s="160"/>
      <c r="D318" s="159"/>
      <c r="E318" s="159"/>
      <c r="I318" s="159"/>
      <c r="J318" s="159"/>
    </row>
    <row r="319" spans="2:10" x14ac:dyDescent="0.2">
      <c r="B319" s="159"/>
      <c r="C319" s="160"/>
      <c r="D319" s="159"/>
      <c r="E319" s="159"/>
      <c r="I319" s="159"/>
      <c r="J319" s="159"/>
    </row>
    <row r="320" spans="2:10" x14ac:dyDescent="0.2">
      <c r="B320" s="159"/>
      <c r="C320" s="160"/>
      <c r="D320" s="159"/>
      <c r="E320" s="159"/>
      <c r="I320" s="159"/>
      <c r="J320" s="159"/>
    </row>
    <row r="321" spans="2:10" x14ac:dyDescent="0.2">
      <c r="B321" s="159"/>
      <c r="C321" s="160"/>
      <c r="D321" s="159"/>
      <c r="E321" s="159"/>
      <c r="I321" s="159"/>
      <c r="J321" s="159"/>
    </row>
    <row r="322" spans="2:10" x14ac:dyDescent="0.2">
      <c r="B322" s="159"/>
      <c r="C322" s="160"/>
      <c r="D322" s="159"/>
      <c r="E322" s="159"/>
      <c r="I322" s="159"/>
      <c r="J322" s="159"/>
    </row>
    <row r="323" spans="2:10" x14ac:dyDescent="0.2">
      <c r="B323" s="159"/>
      <c r="C323" s="160"/>
      <c r="D323" s="159"/>
      <c r="E323" s="159"/>
      <c r="I323" s="159"/>
      <c r="J323" s="159"/>
    </row>
    <row r="324" spans="2:10" x14ac:dyDescent="0.2">
      <c r="B324" s="159"/>
      <c r="C324" s="160"/>
      <c r="D324" s="159"/>
      <c r="E324" s="159"/>
      <c r="I324" s="159"/>
      <c r="J324" s="159"/>
    </row>
    <row r="325" spans="2:10" x14ac:dyDescent="0.2">
      <c r="B325" s="159"/>
      <c r="C325" s="160"/>
      <c r="D325" s="159"/>
      <c r="E325" s="159"/>
      <c r="I325" s="159"/>
      <c r="J325" s="159"/>
    </row>
    <row r="326" spans="2:10" x14ac:dyDescent="0.2">
      <c r="B326" s="159"/>
      <c r="C326" s="160"/>
      <c r="D326" s="159"/>
      <c r="E326" s="159"/>
      <c r="I326" s="159"/>
      <c r="J326" s="159"/>
    </row>
    <row r="327" spans="2:10" x14ac:dyDescent="0.2">
      <c r="B327" s="159"/>
      <c r="C327" s="160"/>
      <c r="D327" s="159"/>
      <c r="E327" s="159"/>
      <c r="I327" s="159"/>
      <c r="J327" s="159"/>
    </row>
    <row r="328" spans="2:10" x14ac:dyDescent="0.2">
      <c r="B328" s="159"/>
      <c r="C328" s="160"/>
      <c r="D328" s="159"/>
      <c r="E328" s="159"/>
      <c r="I328" s="159"/>
      <c r="J328" s="159"/>
    </row>
    <row r="329" spans="2:10" x14ac:dyDescent="0.2">
      <c r="B329" s="159"/>
      <c r="C329" s="160"/>
      <c r="D329" s="159"/>
      <c r="E329" s="159"/>
      <c r="I329" s="159"/>
      <c r="J329" s="159"/>
    </row>
    <row r="330" spans="2:10" x14ac:dyDescent="0.2">
      <c r="B330" s="159"/>
      <c r="C330" s="160"/>
      <c r="D330" s="159"/>
      <c r="E330" s="159"/>
      <c r="I330" s="159"/>
      <c r="J330" s="159"/>
    </row>
    <row r="331" spans="2:10" x14ac:dyDescent="0.2">
      <c r="B331" s="159"/>
      <c r="C331" s="160"/>
      <c r="D331" s="159"/>
      <c r="E331" s="159"/>
      <c r="I331" s="159"/>
      <c r="J331" s="159"/>
    </row>
    <row r="332" spans="2:10" x14ac:dyDescent="0.2">
      <c r="B332" s="159"/>
      <c r="C332" s="160"/>
      <c r="D332" s="159"/>
      <c r="E332" s="159"/>
      <c r="I332" s="159"/>
      <c r="J332" s="159"/>
    </row>
    <row r="333" spans="2:10" x14ac:dyDescent="0.2">
      <c r="B333" s="159"/>
      <c r="C333" s="160"/>
      <c r="D333" s="159"/>
      <c r="E333" s="159"/>
      <c r="I333" s="159"/>
      <c r="J333" s="159"/>
    </row>
    <row r="334" spans="2:10" x14ac:dyDescent="0.2">
      <c r="B334" s="159"/>
      <c r="C334" s="160"/>
      <c r="D334" s="159"/>
      <c r="E334" s="159"/>
      <c r="I334" s="159"/>
      <c r="J334" s="159"/>
    </row>
    <row r="335" spans="2:10" x14ac:dyDescent="0.2">
      <c r="B335" s="159"/>
      <c r="C335" s="160"/>
      <c r="D335" s="159"/>
      <c r="E335" s="159"/>
      <c r="I335" s="159"/>
      <c r="J335" s="159"/>
    </row>
    <row r="336" spans="2:10" x14ac:dyDescent="0.2">
      <c r="B336" s="159"/>
      <c r="C336" s="160"/>
      <c r="D336" s="159"/>
      <c r="E336" s="159"/>
      <c r="I336" s="159"/>
      <c r="J336" s="159"/>
    </row>
    <row r="337" spans="2:10" x14ac:dyDescent="0.2">
      <c r="B337" s="159"/>
      <c r="C337" s="160"/>
      <c r="D337" s="159"/>
      <c r="E337" s="159"/>
      <c r="I337" s="159"/>
      <c r="J337" s="159"/>
    </row>
    <row r="338" spans="2:10" x14ac:dyDescent="0.2">
      <c r="B338" s="159"/>
      <c r="C338" s="160"/>
      <c r="D338" s="159"/>
      <c r="E338" s="159"/>
      <c r="I338" s="159"/>
      <c r="J338" s="159"/>
    </row>
    <row r="339" spans="2:10" x14ac:dyDescent="0.2">
      <c r="B339" s="159"/>
      <c r="C339" s="160"/>
      <c r="D339" s="159"/>
      <c r="E339" s="159"/>
      <c r="I339" s="159"/>
      <c r="J339" s="159"/>
    </row>
    <row r="340" spans="2:10" x14ac:dyDescent="0.2">
      <c r="B340" s="159"/>
      <c r="C340" s="160"/>
      <c r="D340" s="159"/>
      <c r="E340" s="159"/>
      <c r="I340" s="159"/>
      <c r="J340" s="159"/>
    </row>
    <row r="341" spans="2:10" x14ac:dyDescent="0.2">
      <c r="B341" s="159"/>
      <c r="C341" s="160"/>
      <c r="D341" s="159"/>
      <c r="E341" s="159"/>
      <c r="I341" s="159"/>
      <c r="J341" s="159"/>
    </row>
    <row r="342" spans="2:10" x14ac:dyDescent="0.2">
      <c r="B342" s="159"/>
      <c r="C342" s="160"/>
      <c r="D342" s="159"/>
      <c r="E342" s="159"/>
      <c r="I342" s="159"/>
      <c r="J342" s="159"/>
    </row>
    <row r="343" spans="2:10" x14ac:dyDescent="0.2">
      <c r="B343" s="159"/>
      <c r="C343" s="160"/>
      <c r="D343" s="159"/>
      <c r="E343" s="159"/>
      <c r="I343" s="159"/>
      <c r="J343" s="159"/>
    </row>
    <row r="344" spans="2:10" x14ac:dyDescent="0.2">
      <c r="B344" s="159"/>
      <c r="C344" s="160"/>
      <c r="D344" s="159"/>
      <c r="E344" s="159"/>
      <c r="I344" s="159"/>
      <c r="J344" s="159"/>
    </row>
    <row r="345" spans="2:10" x14ac:dyDescent="0.2">
      <c r="B345" s="159"/>
      <c r="C345" s="160"/>
      <c r="D345" s="159"/>
      <c r="E345" s="159"/>
      <c r="I345" s="159"/>
      <c r="J345" s="159"/>
    </row>
    <row r="346" spans="2:10" x14ac:dyDescent="0.2">
      <c r="B346" s="159"/>
      <c r="C346" s="160"/>
      <c r="D346" s="159"/>
      <c r="E346" s="159"/>
      <c r="I346" s="159"/>
      <c r="J346" s="159"/>
    </row>
    <row r="347" spans="2:10" x14ac:dyDescent="0.2">
      <c r="B347" s="159"/>
      <c r="C347" s="160"/>
      <c r="D347" s="159"/>
      <c r="E347" s="159"/>
      <c r="I347" s="159"/>
      <c r="J347" s="159"/>
    </row>
    <row r="348" spans="2:10" x14ac:dyDescent="0.2">
      <c r="B348" s="159"/>
      <c r="C348" s="160"/>
      <c r="D348" s="159"/>
      <c r="E348" s="159"/>
      <c r="I348" s="159"/>
      <c r="J348" s="159"/>
    </row>
    <row r="349" spans="2:10" x14ac:dyDescent="0.2">
      <c r="B349" s="159"/>
      <c r="C349" s="160"/>
      <c r="D349" s="159"/>
      <c r="E349" s="159"/>
      <c r="I349" s="159"/>
      <c r="J349" s="159"/>
    </row>
    <row r="350" spans="2:10" x14ac:dyDescent="0.2">
      <c r="B350" s="159"/>
      <c r="C350" s="160"/>
      <c r="D350" s="159"/>
      <c r="E350" s="159"/>
      <c r="I350" s="159"/>
      <c r="J350" s="159"/>
    </row>
    <row r="351" spans="2:10" x14ac:dyDescent="0.2">
      <c r="B351" s="159"/>
      <c r="C351" s="160"/>
      <c r="D351" s="159"/>
      <c r="E351" s="159"/>
      <c r="I351" s="159"/>
      <c r="J351" s="159"/>
    </row>
    <row r="352" spans="2:10" x14ac:dyDescent="0.2">
      <c r="B352" s="159"/>
      <c r="C352" s="160"/>
      <c r="D352" s="159"/>
      <c r="E352" s="159"/>
      <c r="I352" s="159"/>
      <c r="J352" s="159"/>
    </row>
    <row r="353" spans="2:10" x14ac:dyDescent="0.2">
      <c r="B353" s="159"/>
      <c r="C353" s="160"/>
      <c r="D353" s="159"/>
      <c r="E353" s="159"/>
      <c r="I353" s="159"/>
      <c r="J353" s="159"/>
    </row>
    <row r="354" spans="2:10" x14ac:dyDescent="0.2">
      <c r="B354" s="159"/>
      <c r="C354" s="160"/>
      <c r="D354" s="159"/>
      <c r="E354" s="159"/>
      <c r="I354" s="159"/>
      <c r="J354" s="159"/>
    </row>
    <row r="355" spans="2:10" x14ac:dyDescent="0.2">
      <c r="B355" s="159"/>
      <c r="C355" s="160"/>
      <c r="D355" s="159"/>
      <c r="E355" s="159"/>
      <c r="I355" s="159"/>
      <c r="J355" s="159"/>
    </row>
    <row r="356" spans="2:10" x14ac:dyDescent="0.2">
      <c r="B356" s="159"/>
      <c r="C356" s="160"/>
      <c r="D356" s="159"/>
      <c r="E356" s="159"/>
      <c r="I356" s="159"/>
      <c r="J356" s="159"/>
    </row>
    <row r="357" spans="2:10" x14ac:dyDescent="0.2">
      <c r="B357" s="159"/>
      <c r="C357" s="160"/>
      <c r="D357" s="159"/>
      <c r="E357" s="159"/>
      <c r="I357" s="159"/>
      <c r="J357" s="159"/>
    </row>
    <row r="358" spans="2:10" x14ac:dyDescent="0.2">
      <c r="B358" s="159"/>
      <c r="C358" s="160"/>
      <c r="D358" s="159"/>
      <c r="E358" s="159"/>
      <c r="I358" s="159"/>
      <c r="J358" s="159"/>
    </row>
    <row r="359" spans="2:10" x14ac:dyDescent="0.2">
      <c r="B359" s="159"/>
      <c r="C359" s="160"/>
      <c r="D359" s="159"/>
      <c r="E359" s="159"/>
      <c r="I359" s="159"/>
      <c r="J359" s="159"/>
    </row>
    <row r="360" spans="2:10" x14ac:dyDescent="0.2">
      <c r="B360" s="159"/>
      <c r="C360" s="160"/>
      <c r="D360" s="159"/>
      <c r="E360" s="159"/>
      <c r="I360" s="159"/>
      <c r="J360" s="159"/>
    </row>
    <row r="361" spans="2:10" x14ac:dyDescent="0.2">
      <c r="B361" s="159"/>
      <c r="C361" s="160"/>
      <c r="D361" s="159"/>
      <c r="E361" s="159"/>
      <c r="I361" s="159"/>
      <c r="J361" s="159"/>
    </row>
    <row r="362" spans="2:10" x14ac:dyDescent="0.2">
      <c r="B362" s="159"/>
      <c r="C362" s="160"/>
      <c r="D362" s="159"/>
      <c r="E362" s="159"/>
      <c r="I362" s="159"/>
      <c r="J362" s="159"/>
    </row>
    <row r="363" spans="2:10" x14ac:dyDescent="0.2">
      <c r="B363" s="159"/>
      <c r="C363" s="160"/>
      <c r="D363" s="159"/>
      <c r="E363" s="159"/>
      <c r="I363" s="159"/>
      <c r="J363" s="159"/>
    </row>
    <row r="364" spans="2:10" x14ac:dyDescent="0.2">
      <c r="B364" s="159"/>
      <c r="C364" s="160"/>
      <c r="D364" s="159"/>
      <c r="E364" s="159"/>
      <c r="I364" s="159"/>
      <c r="J364" s="159"/>
    </row>
    <row r="365" spans="2:10" x14ac:dyDescent="0.2">
      <c r="B365" s="159"/>
      <c r="C365" s="160"/>
      <c r="D365" s="159"/>
      <c r="E365" s="159"/>
      <c r="I365" s="159"/>
      <c r="J365" s="159"/>
    </row>
    <row r="366" spans="2:10" x14ac:dyDescent="0.2">
      <c r="B366" s="159"/>
      <c r="C366" s="160"/>
      <c r="D366" s="159"/>
      <c r="E366" s="159"/>
      <c r="I366" s="159"/>
      <c r="J366" s="159"/>
    </row>
    <row r="367" spans="2:10" x14ac:dyDescent="0.2">
      <c r="B367" s="159"/>
      <c r="C367" s="160"/>
      <c r="D367" s="159"/>
      <c r="E367" s="159"/>
      <c r="I367" s="159"/>
      <c r="J367" s="159"/>
    </row>
    <row r="368" spans="2:10" x14ac:dyDescent="0.2">
      <c r="B368" s="159"/>
      <c r="C368" s="160"/>
      <c r="D368" s="159"/>
      <c r="E368" s="159"/>
      <c r="I368" s="159"/>
      <c r="J368" s="159"/>
    </row>
    <row r="369" spans="2:10" x14ac:dyDescent="0.2">
      <c r="B369" s="159"/>
      <c r="C369" s="160"/>
      <c r="D369" s="159"/>
      <c r="E369" s="159"/>
      <c r="I369" s="159"/>
      <c r="J369" s="159"/>
    </row>
    <row r="370" spans="2:10" x14ac:dyDescent="0.2">
      <c r="B370" s="159"/>
      <c r="C370" s="160"/>
      <c r="D370" s="159"/>
      <c r="E370" s="159"/>
      <c r="I370" s="159"/>
      <c r="J370" s="159"/>
    </row>
    <row r="371" spans="2:10" x14ac:dyDescent="0.2">
      <c r="B371" s="159"/>
      <c r="C371" s="160"/>
      <c r="D371" s="159"/>
      <c r="E371" s="159"/>
      <c r="I371" s="159"/>
      <c r="J371" s="159"/>
    </row>
    <row r="372" spans="2:10" x14ac:dyDescent="0.2">
      <c r="B372" s="159"/>
      <c r="C372" s="160"/>
      <c r="D372" s="159"/>
      <c r="E372" s="159"/>
      <c r="I372" s="159"/>
      <c r="J372" s="159"/>
    </row>
    <row r="373" spans="2:10" x14ac:dyDescent="0.2">
      <c r="B373" s="159"/>
      <c r="C373" s="160"/>
      <c r="D373" s="159"/>
      <c r="E373" s="159"/>
      <c r="I373" s="159"/>
      <c r="J373" s="159"/>
    </row>
    <row r="374" spans="2:10" x14ac:dyDescent="0.2">
      <c r="B374" s="159"/>
      <c r="C374" s="160"/>
      <c r="D374" s="159"/>
      <c r="E374" s="159"/>
      <c r="I374" s="159"/>
      <c r="J374" s="159"/>
    </row>
    <row r="375" spans="2:10" x14ac:dyDescent="0.2">
      <c r="B375" s="159"/>
      <c r="C375" s="160"/>
      <c r="D375" s="159"/>
      <c r="E375" s="159"/>
      <c r="I375" s="159"/>
      <c r="J375" s="159"/>
    </row>
    <row r="376" spans="2:10" x14ac:dyDescent="0.2">
      <c r="B376" s="159"/>
      <c r="C376" s="160"/>
      <c r="D376" s="159"/>
      <c r="E376" s="159"/>
      <c r="I376" s="159"/>
      <c r="J376" s="159"/>
    </row>
    <row r="377" spans="2:10" x14ac:dyDescent="0.2">
      <c r="B377" s="159"/>
      <c r="C377" s="160"/>
      <c r="D377" s="159"/>
      <c r="E377" s="159"/>
      <c r="I377" s="159"/>
      <c r="J377" s="159"/>
    </row>
    <row r="378" spans="2:10" x14ac:dyDescent="0.2">
      <c r="B378" s="159"/>
      <c r="C378" s="160"/>
      <c r="D378" s="159"/>
      <c r="E378" s="159"/>
      <c r="I378" s="159"/>
      <c r="J378" s="159"/>
    </row>
    <row r="379" spans="2:10" x14ac:dyDescent="0.2">
      <c r="B379" s="159"/>
      <c r="C379" s="160"/>
      <c r="D379" s="159"/>
      <c r="E379" s="159"/>
      <c r="I379" s="159"/>
      <c r="J379" s="159"/>
    </row>
    <row r="380" spans="2:10" x14ac:dyDescent="0.2">
      <c r="B380" s="159"/>
      <c r="C380" s="160"/>
      <c r="D380" s="159"/>
      <c r="E380" s="159"/>
      <c r="I380" s="159"/>
      <c r="J380" s="159"/>
    </row>
    <row r="381" spans="2:10" x14ac:dyDescent="0.2">
      <c r="B381" s="159"/>
      <c r="C381" s="160"/>
      <c r="D381" s="159"/>
      <c r="E381" s="159"/>
      <c r="I381" s="159"/>
      <c r="J381" s="159"/>
    </row>
    <row r="382" spans="2:10" x14ac:dyDescent="0.2">
      <c r="B382" s="159"/>
      <c r="C382" s="160"/>
      <c r="D382" s="159"/>
      <c r="E382" s="159"/>
      <c r="I382" s="159"/>
      <c r="J382" s="159"/>
    </row>
    <row r="383" spans="2:10" x14ac:dyDescent="0.2">
      <c r="B383" s="159"/>
      <c r="C383" s="160"/>
      <c r="D383" s="159"/>
      <c r="E383" s="159"/>
      <c r="I383" s="159"/>
      <c r="J383" s="159"/>
    </row>
    <row r="384" spans="2:10" x14ac:dyDescent="0.2">
      <c r="B384" s="159"/>
      <c r="C384" s="160"/>
      <c r="D384" s="159"/>
      <c r="E384" s="159"/>
      <c r="I384" s="159"/>
      <c r="J384" s="159"/>
    </row>
    <row r="385" spans="2:10" x14ac:dyDescent="0.2">
      <c r="B385" s="159"/>
      <c r="C385" s="160"/>
      <c r="D385" s="159"/>
      <c r="E385" s="159"/>
      <c r="I385" s="159"/>
      <c r="J385" s="159"/>
    </row>
    <row r="386" spans="2:10" x14ac:dyDescent="0.2">
      <c r="B386" s="159"/>
      <c r="C386" s="160"/>
      <c r="D386" s="159"/>
      <c r="E386" s="159"/>
      <c r="I386" s="159"/>
      <c r="J386" s="159"/>
    </row>
    <row r="387" spans="2:10" x14ac:dyDescent="0.2">
      <c r="B387" s="159"/>
      <c r="C387" s="160"/>
      <c r="D387" s="159"/>
      <c r="E387" s="159"/>
      <c r="I387" s="159"/>
      <c r="J387" s="159"/>
    </row>
    <row r="388" spans="2:10" x14ac:dyDescent="0.2">
      <c r="B388" s="159"/>
      <c r="C388" s="160"/>
      <c r="D388" s="159"/>
      <c r="E388" s="159"/>
      <c r="I388" s="159"/>
      <c r="J388" s="159"/>
    </row>
    <row r="389" spans="2:10" x14ac:dyDescent="0.2">
      <c r="B389" s="159"/>
      <c r="C389" s="160"/>
      <c r="D389" s="159"/>
      <c r="E389" s="159"/>
      <c r="I389" s="159"/>
      <c r="J389" s="159"/>
    </row>
    <row r="390" spans="2:10" x14ac:dyDescent="0.2">
      <c r="B390" s="159"/>
      <c r="C390" s="160"/>
      <c r="D390" s="159"/>
      <c r="E390" s="159"/>
      <c r="I390" s="159"/>
      <c r="J390" s="159"/>
    </row>
    <row r="391" spans="2:10" x14ac:dyDescent="0.2">
      <c r="B391" s="159"/>
      <c r="C391" s="160"/>
      <c r="D391" s="159"/>
      <c r="E391" s="159"/>
      <c r="I391" s="159"/>
      <c r="J391" s="159"/>
    </row>
    <row r="392" spans="2:10" x14ac:dyDescent="0.2">
      <c r="B392" s="159"/>
      <c r="C392" s="160"/>
      <c r="D392" s="159"/>
      <c r="E392" s="159"/>
      <c r="I392" s="159"/>
      <c r="J392" s="159"/>
    </row>
    <row r="393" spans="2:10" x14ac:dyDescent="0.2">
      <c r="B393" s="159"/>
      <c r="C393" s="160"/>
      <c r="D393" s="159"/>
      <c r="E393" s="159"/>
      <c r="I393" s="159"/>
      <c r="J393" s="159"/>
    </row>
    <row r="394" spans="2:10" x14ac:dyDescent="0.2">
      <c r="B394" s="159"/>
      <c r="C394" s="160"/>
      <c r="D394" s="159"/>
      <c r="E394" s="159"/>
      <c r="I394" s="159"/>
      <c r="J394" s="159"/>
    </row>
    <row r="395" spans="2:10" x14ac:dyDescent="0.2">
      <c r="B395" s="159"/>
      <c r="C395" s="160"/>
      <c r="D395" s="159"/>
      <c r="E395" s="159"/>
      <c r="I395" s="159"/>
      <c r="J395" s="159"/>
    </row>
    <row r="396" spans="2:10" x14ac:dyDescent="0.2">
      <c r="B396" s="159"/>
      <c r="C396" s="160"/>
      <c r="D396" s="159"/>
      <c r="E396" s="159"/>
      <c r="I396" s="159"/>
      <c r="J396" s="159"/>
    </row>
    <row r="397" spans="2:10" x14ac:dyDescent="0.2">
      <c r="B397" s="159"/>
      <c r="C397" s="160"/>
      <c r="D397" s="159"/>
      <c r="E397" s="159"/>
    </row>
    <row r="398" spans="2:10" x14ac:dyDescent="0.2">
      <c r="B398" s="159"/>
      <c r="C398" s="160"/>
      <c r="D398" s="159"/>
      <c r="E398" s="159"/>
    </row>
    <row r="399" spans="2:10" x14ac:dyDescent="0.2">
      <c r="B399" s="159"/>
      <c r="C399" s="160"/>
      <c r="D399" s="159"/>
      <c r="E399" s="159"/>
    </row>
    <row r="400" spans="2:10" x14ac:dyDescent="0.2">
      <c r="B400" s="159"/>
      <c r="C400" s="160"/>
      <c r="D400" s="159"/>
      <c r="E400" s="159"/>
    </row>
    <row r="401" spans="2:5" x14ac:dyDescent="0.2">
      <c r="B401" s="159"/>
      <c r="C401" s="160"/>
      <c r="D401" s="159"/>
      <c r="E401" s="159"/>
    </row>
    <row r="402" spans="2:5" x14ac:dyDescent="0.2">
      <c r="B402" s="159"/>
      <c r="C402" s="160"/>
      <c r="D402" s="159"/>
      <c r="E402" s="159"/>
    </row>
    <row r="403" spans="2:5" x14ac:dyDescent="0.2">
      <c r="B403" s="159"/>
      <c r="C403" s="160"/>
      <c r="D403" s="159"/>
      <c r="E403" s="159"/>
    </row>
    <row r="404" spans="2:5" x14ac:dyDescent="0.2">
      <c r="B404" s="159"/>
      <c r="C404" s="160"/>
      <c r="D404" s="159"/>
      <c r="E404" s="159"/>
    </row>
    <row r="405" spans="2:5" x14ac:dyDescent="0.2">
      <c r="B405" s="159"/>
      <c r="C405" s="160"/>
      <c r="D405" s="159"/>
      <c r="E405" s="159"/>
    </row>
    <row r="406" spans="2:5" x14ac:dyDescent="0.2">
      <c r="B406" s="159"/>
      <c r="C406" s="160"/>
      <c r="D406" s="159"/>
      <c r="E406" s="159"/>
    </row>
    <row r="407" spans="2:5" x14ac:dyDescent="0.2">
      <c r="B407" s="159"/>
      <c r="C407" s="160"/>
      <c r="D407" s="159"/>
      <c r="E407" s="159"/>
    </row>
    <row r="408" spans="2:5" x14ac:dyDescent="0.2">
      <c r="B408" s="159"/>
      <c r="C408" s="160"/>
      <c r="D408" s="159"/>
      <c r="E408" s="159"/>
    </row>
    <row r="409" spans="2:5" x14ac:dyDescent="0.2">
      <c r="B409" s="159"/>
      <c r="C409" s="160"/>
      <c r="D409" s="159"/>
      <c r="E409" s="159"/>
    </row>
    <row r="410" spans="2:5" x14ac:dyDescent="0.2">
      <c r="B410" s="159"/>
      <c r="C410" s="160"/>
      <c r="D410" s="159"/>
      <c r="E410" s="159"/>
    </row>
    <row r="411" spans="2:5" x14ac:dyDescent="0.2">
      <c r="B411" s="159"/>
      <c r="C411" s="160"/>
      <c r="D411" s="159"/>
      <c r="E411" s="159"/>
    </row>
    <row r="412" spans="2:5" x14ac:dyDescent="0.2">
      <c r="B412" s="159"/>
      <c r="C412" s="160"/>
      <c r="D412" s="159"/>
      <c r="E412" s="159"/>
    </row>
    <row r="413" spans="2:5" x14ac:dyDescent="0.2">
      <c r="B413" s="159"/>
      <c r="C413" s="160"/>
      <c r="D413" s="159"/>
      <c r="E413" s="159"/>
    </row>
    <row r="414" spans="2:5" x14ac:dyDescent="0.2">
      <c r="B414" s="159"/>
      <c r="C414" s="160"/>
      <c r="D414" s="159"/>
      <c r="E414" s="159"/>
    </row>
    <row r="415" spans="2:5" x14ac:dyDescent="0.2">
      <c r="B415" s="159"/>
      <c r="C415" s="160"/>
      <c r="D415" s="159"/>
      <c r="E415" s="159"/>
    </row>
    <row r="416" spans="2:5" x14ac:dyDescent="0.2">
      <c r="B416" s="159"/>
      <c r="C416" s="160"/>
      <c r="D416" s="159"/>
      <c r="E416" s="159"/>
    </row>
    <row r="417" spans="2:5" x14ac:dyDescent="0.2">
      <c r="B417" s="159"/>
      <c r="C417" s="160"/>
      <c r="D417" s="159"/>
      <c r="E417" s="159"/>
    </row>
    <row r="418" spans="2:5" x14ac:dyDescent="0.2">
      <c r="B418" s="159"/>
      <c r="C418" s="160"/>
      <c r="D418" s="159"/>
      <c r="E418" s="159"/>
    </row>
    <row r="419" spans="2:5" x14ac:dyDescent="0.2">
      <c r="B419" s="159"/>
      <c r="C419" s="160"/>
      <c r="D419" s="159"/>
      <c r="E419" s="159"/>
    </row>
    <row r="420" spans="2:5" x14ac:dyDescent="0.2">
      <c r="B420" s="159"/>
      <c r="C420" s="160"/>
      <c r="D420" s="159"/>
      <c r="E420" s="159"/>
    </row>
    <row r="421" spans="2:5" x14ac:dyDescent="0.2">
      <c r="B421" s="159"/>
      <c r="C421" s="160"/>
      <c r="D421" s="159"/>
      <c r="E421" s="159"/>
    </row>
    <row r="422" spans="2:5" x14ac:dyDescent="0.2">
      <c r="B422" s="159"/>
      <c r="C422" s="160"/>
      <c r="D422" s="159"/>
      <c r="E422" s="159"/>
    </row>
    <row r="423" spans="2:5" x14ac:dyDescent="0.2">
      <c r="B423" s="159"/>
      <c r="C423" s="160"/>
      <c r="D423" s="159"/>
      <c r="E423" s="159"/>
    </row>
    <row r="424" spans="2:5" x14ac:dyDescent="0.2">
      <c r="B424" s="159"/>
      <c r="C424" s="160"/>
      <c r="D424" s="159"/>
      <c r="E424" s="159"/>
    </row>
    <row r="425" spans="2:5" x14ac:dyDescent="0.2">
      <c r="B425" s="159"/>
      <c r="C425" s="160"/>
      <c r="D425" s="159"/>
      <c r="E425" s="159"/>
    </row>
    <row r="426" spans="2:5" x14ac:dyDescent="0.2">
      <c r="B426" s="159"/>
      <c r="C426" s="160"/>
      <c r="D426" s="159"/>
      <c r="E426" s="159"/>
    </row>
    <row r="427" spans="2:5" x14ac:dyDescent="0.2">
      <c r="B427" s="159"/>
      <c r="C427" s="160"/>
      <c r="D427" s="159"/>
      <c r="E427" s="159"/>
    </row>
    <row r="428" spans="2:5" x14ac:dyDescent="0.2">
      <c r="B428" s="159"/>
      <c r="C428" s="160"/>
      <c r="D428" s="159"/>
      <c r="E428" s="159"/>
    </row>
    <row r="429" spans="2:5" x14ac:dyDescent="0.2">
      <c r="B429" s="159"/>
      <c r="C429" s="160"/>
      <c r="D429" s="159"/>
      <c r="E429" s="159"/>
    </row>
    <row r="430" spans="2:5" x14ac:dyDescent="0.2">
      <c r="B430" s="159"/>
      <c r="C430" s="160"/>
      <c r="D430" s="159"/>
      <c r="E430" s="159"/>
    </row>
    <row r="431" spans="2:5" x14ac:dyDescent="0.2">
      <c r="B431" s="159"/>
      <c r="C431" s="160"/>
      <c r="D431" s="159"/>
      <c r="E431" s="159"/>
    </row>
    <row r="432" spans="2:5" x14ac:dyDescent="0.2">
      <c r="B432" s="159"/>
      <c r="C432" s="160"/>
      <c r="D432" s="159"/>
      <c r="E432" s="159"/>
    </row>
    <row r="433" spans="2:5" x14ac:dyDescent="0.2">
      <c r="B433" s="159"/>
      <c r="C433" s="160"/>
      <c r="D433" s="159"/>
      <c r="E433" s="159"/>
    </row>
    <row r="434" spans="2:5" x14ac:dyDescent="0.2">
      <c r="B434" s="159"/>
      <c r="C434" s="160"/>
      <c r="D434" s="159"/>
      <c r="E434" s="159"/>
    </row>
    <row r="435" spans="2:5" x14ac:dyDescent="0.2">
      <c r="B435" s="159"/>
      <c r="C435" s="160"/>
      <c r="D435" s="159"/>
      <c r="E435" s="159"/>
    </row>
    <row r="436" spans="2:5" x14ac:dyDescent="0.2">
      <c r="B436" s="159"/>
      <c r="C436" s="160"/>
      <c r="D436" s="159"/>
      <c r="E436" s="159"/>
    </row>
    <row r="437" spans="2:5" x14ac:dyDescent="0.2">
      <c r="B437" s="159"/>
      <c r="C437" s="160"/>
      <c r="D437" s="159"/>
      <c r="E437" s="159"/>
    </row>
    <row r="438" spans="2:5" x14ac:dyDescent="0.2">
      <c r="B438" s="159"/>
      <c r="C438" s="160"/>
      <c r="D438" s="159"/>
      <c r="E438" s="159"/>
    </row>
    <row r="439" spans="2:5" x14ac:dyDescent="0.2">
      <c r="B439" s="159"/>
      <c r="C439" s="160"/>
      <c r="D439" s="159"/>
      <c r="E439" s="159"/>
    </row>
    <row r="440" spans="2:5" x14ac:dyDescent="0.2">
      <c r="B440" s="159"/>
      <c r="C440" s="160"/>
      <c r="D440" s="159"/>
      <c r="E440" s="159"/>
    </row>
    <row r="441" spans="2:5" x14ac:dyDescent="0.2">
      <c r="B441" s="159"/>
      <c r="C441" s="160"/>
      <c r="D441" s="159"/>
      <c r="E441" s="159"/>
    </row>
    <row r="442" spans="2:5" x14ac:dyDescent="0.2">
      <c r="B442" s="159"/>
      <c r="C442" s="160"/>
      <c r="D442" s="159"/>
      <c r="E442" s="159"/>
    </row>
    <row r="443" spans="2:5" x14ac:dyDescent="0.2">
      <c r="B443" s="159"/>
      <c r="C443" s="160"/>
      <c r="D443" s="159"/>
      <c r="E443" s="159"/>
    </row>
    <row r="444" spans="2:5" x14ac:dyDescent="0.2">
      <c r="B444" s="159"/>
      <c r="C444" s="160"/>
      <c r="D444" s="159"/>
      <c r="E444" s="159"/>
    </row>
    <row r="445" spans="2:5" x14ac:dyDescent="0.2">
      <c r="B445" s="159"/>
      <c r="C445" s="160"/>
      <c r="D445" s="159"/>
      <c r="E445" s="159"/>
    </row>
    <row r="446" spans="2:5" x14ac:dyDescent="0.2">
      <c r="B446" s="159"/>
      <c r="C446" s="160"/>
      <c r="D446" s="159"/>
      <c r="E446" s="159"/>
    </row>
    <row r="447" spans="2:5" x14ac:dyDescent="0.2">
      <c r="B447" s="159"/>
      <c r="C447" s="160"/>
      <c r="D447" s="159"/>
      <c r="E447" s="159"/>
    </row>
    <row r="448" spans="2:5" x14ac:dyDescent="0.2">
      <c r="B448" s="159"/>
      <c r="C448" s="160"/>
      <c r="D448" s="159"/>
      <c r="E448" s="159"/>
    </row>
    <row r="449" spans="2:5" x14ac:dyDescent="0.2">
      <c r="B449" s="159"/>
      <c r="C449" s="160"/>
      <c r="D449" s="159"/>
      <c r="E449" s="159"/>
    </row>
    <row r="450" spans="2:5" x14ac:dyDescent="0.2">
      <c r="B450" s="159"/>
      <c r="C450" s="160"/>
      <c r="D450" s="159"/>
      <c r="E450" s="159"/>
    </row>
    <row r="451" spans="2:5" x14ac:dyDescent="0.2">
      <c r="B451" s="159"/>
      <c r="C451" s="160"/>
      <c r="D451" s="159"/>
      <c r="E451" s="159"/>
    </row>
    <row r="452" spans="2:5" x14ac:dyDescent="0.2">
      <c r="B452" s="159"/>
      <c r="C452" s="160"/>
      <c r="D452" s="159"/>
      <c r="E452" s="159"/>
    </row>
    <row r="453" spans="2:5" x14ac:dyDescent="0.2">
      <c r="B453" s="159"/>
      <c r="C453" s="160"/>
      <c r="D453" s="159"/>
      <c r="E453" s="159"/>
    </row>
    <row r="454" spans="2:5" x14ac:dyDescent="0.2">
      <c r="B454" s="159"/>
      <c r="C454" s="160"/>
      <c r="D454" s="159"/>
      <c r="E454" s="159"/>
    </row>
    <row r="455" spans="2:5" x14ac:dyDescent="0.2">
      <c r="B455" s="159"/>
      <c r="C455" s="160"/>
      <c r="D455" s="159"/>
      <c r="E455" s="159"/>
    </row>
    <row r="456" spans="2:5" x14ac:dyDescent="0.2">
      <c r="B456" s="159"/>
      <c r="C456" s="160"/>
      <c r="D456" s="159"/>
      <c r="E456" s="159"/>
    </row>
    <row r="457" spans="2:5" x14ac:dyDescent="0.2">
      <c r="B457" s="159"/>
      <c r="C457" s="160"/>
      <c r="D457" s="159"/>
      <c r="E457" s="159"/>
    </row>
    <row r="458" spans="2:5" x14ac:dyDescent="0.2">
      <c r="B458" s="159"/>
      <c r="C458" s="160"/>
      <c r="D458" s="159"/>
      <c r="E458" s="159"/>
    </row>
    <row r="459" spans="2:5" x14ac:dyDescent="0.2">
      <c r="B459" s="159"/>
      <c r="C459" s="160"/>
      <c r="D459" s="159"/>
      <c r="E459" s="159"/>
    </row>
    <row r="460" spans="2:5" x14ac:dyDescent="0.2">
      <c r="B460" s="159"/>
      <c r="C460" s="160"/>
      <c r="D460" s="159"/>
      <c r="E460" s="159"/>
    </row>
    <row r="461" spans="2:5" x14ac:dyDescent="0.2">
      <c r="B461" s="159"/>
      <c r="C461" s="160"/>
      <c r="D461" s="159"/>
      <c r="E461" s="159"/>
    </row>
    <row r="462" spans="2:5" x14ac:dyDescent="0.2">
      <c r="B462" s="159"/>
      <c r="C462" s="160"/>
      <c r="D462" s="159"/>
      <c r="E462" s="159"/>
    </row>
    <row r="463" spans="2:5" x14ac:dyDescent="0.2">
      <c r="B463" s="159"/>
      <c r="C463" s="160"/>
      <c r="D463" s="159"/>
      <c r="E463" s="159"/>
    </row>
    <row r="464" spans="2:5" x14ac:dyDescent="0.2">
      <c r="B464" s="159"/>
      <c r="C464" s="160"/>
      <c r="D464" s="159"/>
      <c r="E464" s="159"/>
    </row>
    <row r="465" spans="2:5" x14ac:dyDescent="0.2">
      <c r="B465" s="159"/>
      <c r="C465" s="160"/>
      <c r="D465" s="159"/>
      <c r="E465" s="159"/>
    </row>
    <row r="466" spans="2:5" x14ac:dyDescent="0.2">
      <c r="B466" s="159"/>
      <c r="C466" s="160"/>
      <c r="D466" s="159"/>
      <c r="E466" s="159"/>
    </row>
    <row r="467" spans="2:5" x14ac:dyDescent="0.2">
      <c r="B467" s="159"/>
      <c r="C467" s="160"/>
      <c r="D467" s="159"/>
      <c r="E467" s="159"/>
    </row>
    <row r="468" spans="2:5" x14ac:dyDescent="0.2">
      <c r="B468" s="159"/>
      <c r="C468" s="160"/>
      <c r="D468" s="159"/>
      <c r="E468" s="159"/>
    </row>
    <row r="469" spans="2:5" x14ac:dyDescent="0.2">
      <c r="B469" s="159"/>
      <c r="C469" s="160"/>
      <c r="D469" s="159"/>
      <c r="E469" s="159"/>
    </row>
    <row r="470" spans="2:5" x14ac:dyDescent="0.2">
      <c r="B470" s="159"/>
      <c r="C470" s="160"/>
      <c r="D470" s="159"/>
      <c r="E470" s="159"/>
    </row>
    <row r="471" spans="2:5" x14ac:dyDescent="0.2">
      <c r="B471" s="159"/>
      <c r="C471" s="160"/>
      <c r="D471" s="159"/>
      <c r="E471" s="159"/>
    </row>
    <row r="472" spans="2:5" x14ac:dyDescent="0.2">
      <c r="B472" s="159"/>
      <c r="C472" s="160"/>
      <c r="D472" s="159"/>
      <c r="E472" s="159"/>
    </row>
    <row r="473" spans="2:5" x14ac:dyDescent="0.2">
      <c r="B473" s="159"/>
      <c r="C473" s="160"/>
      <c r="D473" s="159"/>
      <c r="E473" s="159"/>
    </row>
    <row r="474" spans="2:5" x14ac:dyDescent="0.2">
      <c r="B474" s="159"/>
      <c r="C474" s="160"/>
      <c r="D474" s="159"/>
      <c r="E474" s="159"/>
    </row>
    <row r="475" spans="2:5" x14ac:dyDescent="0.2">
      <c r="B475" s="159"/>
      <c r="C475" s="160"/>
      <c r="D475" s="159"/>
      <c r="E475" s="159"/>
    </row>
    <row r="476" spans="2:5" x14ac:dyDescent="0.2">
      <c r="B476" s="159"/>
      <c r="C476" s="160"/>
      <c r="D476" s="159"/>
      <c r="E476" s="159"/>
    </row>
    <row r="477" spans="2:5" x14ac:dyDescent="0.2">
      <c r="B477" s="159"/>
      <c r="C477" s="160"/>
      <c r="D477" s="159"/>
      <c r="E477" s="159"/>
    </row>
    <row r="478" spans="2:5" x14ac:dyDescent="0.2">
      <c r="B478" s="159"/>
      <c r="C478" s="160"/>
      <c r="D478" s="159"/>
      <c r="E478" s="159"/>
    </row>
    <row r="479" spans="2:5" x14ac:dyDescent="0.2">
      <c r="B479" s="159"/>
      <c r="C479" s="160"/>
      <c r="D479" s="159"/>
      <c r="E479" s="159"/>
    </row>
    <row r="480" spans="2:5" x14ac:dyDescent="0.2">
      <c r="B480" s="159"/>
      <c r="C480" s="160"/>
      <c r="D480" s="159"/>
      <c r="E480" s="159"/>
    </row>
    <row r="481" spans="2:5" x14ac:dyDescent="0.2">
      <c r="B481" s="159"/>
      <c r="C481" s="160"/>
      <c r="D481" s="159"/>
      <c r="E481" s="159"/>
    </row>
    <row r="482" spans="2:5" x14ac:dyDescent="0.2">
      <c r="B482" s="159"/>
      <c r="C482" s="160"/>
      <c r="D482" s="159"/>
      <c r="E482" s="159"/>
    </row>
    <row r="483" spans="2:5" x14ac:dyDescent="0.2">
      <c r="B483" s="159"/>
      <c r="C483" s="160"/>
      <c r="D483" s="159"/>
      <c r="E483" s="159"/>
    </row>
    <row r="484" spans="2:5" x14ac:dyDescent="0.2">
      <c r="B484" s="159"/>
      <c r="C484" s="160"/>
      <c r="D484" s="159"/>
      <c r="E484" s="159"/>
    </row>
    <row r="485" spans="2:5" x14ac:dyDescent="0.2">
      <c r="B485" s="159"/>
      <c r="C485" s="160"/>
      <c r="D485" s="159"/>
      <c r="E485" s="159"/>
    </row>
    <row r="486" spans="2:5" x14ac:dyDescent="0.2">
      <c r="B486" s="159"/>
      <c r="C486" s="160"/>
      <c r="D486" s="159"/>
      <c r="E486" s="159"/>
    </row>
    <row r="487" spans="2:5" x14ac:dyDescent="0.2">
      <c r="B487" s="159"/>
      <c r="C487" s="160"/>
      <c r="D487" s="159"/>
      <c r="E487" s="159"/>
    </row>
    <row r="488" spans="2:5" x14ac:dyDescent="0.2">
      <c r="B488" s="159"/>
      <c r="C488" s="160"/>
      <c r="D488" s="159"/>
      <c r="E488" s="159"/>
    </row>
    <row r="489" spans="2:5" x14ac:dyDescent="0.2">
      <c r="B489" s="159"/>
      <c r="C489" s="160"/>
      <c r="D489" s="159"/>
      <c r="E489" s="159"/>
    </row>
    <row r="490" spans="2:5" x14ac:dyDescent="0.2">
      <c r="B490" s="159"/>
      <c r="C490" s="160"/>
      <c r="D490" s="159"/>
      <c r="E490" s="159"/>
    </row>
    <row r="491" spans="2:5" x14ac:dyDescent="0.2">
      <c r="B491" s="159"/>
      <c r="C491" s="160"/>
      <c r="D491" s="159"/>
      <c r="E491" s="159"/>
    </row>
    <row r="492" spans="2:5" x14ac:dyDescent="0.2">
      <c r="B492" s="159"/>
      <c r="C492" s="160"/>
      <c r="D492" s="159"/>
      <c r="E492" s="159"/>
    </row>
    <row r="493" spans="2:5" x14ac:dyDescent="0.2">
      <c r="B493" s="159"/>
      <c r="C493" s="160"/>
      <c r="D493" s="159"/>
      <c r="E493" s="159"/>
    </row>
    <row r="494" spans="2:5" x14ac:dyDescent="0.2">
      <c r="B494" s="159"/>
      <c r="C494" s="160"/>
      <c r="D494" s="159"/>
      <c r="E494" s="159"/>
    </row>
    <row r="495" spans="2:5" x14ac:dyDescent="0.2">
      <c r="B495" s="159"/>
      <c r="C495" s="160"/>
      <c r="D495" s="159"/>
      <c r="E495" s="159"/>
    </row>
    <row r="496" spans="2:5" x14ac:dyDescent="0.2">
      <c r="B496" s="159"/>
      <c r="C496" s="160"/>
      <c r="D496" s="159"/>
      <c r="E496" s="159"/>
    </row>
    <row r="497" spans="2:5" x14ac:dyDescent="0.2">
      <c r="B497" s="159"/>
      <c r="C497" s="160"/>
      <c r="D497" s="159"/>
      <c r="E497" s="159"/>
    </row>
    <row r="498" spans="2:5" x14ac:dyDescent="0.2">
      <c r="B498" s="159"/>
      <c r="C498" s="160"/>
      <c r="D498" s="159"/>
      <c r="E498" s="159"/>
    </row>
    <row r="499" spans="2:5" x14ac:dyDescent="0.2">
      <c r="B499" s="159"/>
      <c r="C499" s="160"/>
      <c r="D499" s="159"/>
      <c r="E499" s="159"/>
    </row>
    <row r="500" spans="2:5" x14ac:dyDescent="0.2">
      <c r="B500" s="159"/>
      <c r="C500" s="160"/>
      <c r="D500" s="159"/>
      <c r="E500" s="159"/>
    </row>
    <row r="501" spans="2:5" x14ac:dyDescent="0.2">
      <c r="B501" s="159"/>
      <c r="C501" s="160"/>
      <c r="D501" s="159"/>
      <c r="E501" s="159"/>
    </row>
    <row r="502" spans="2:5" x14ac:dyDescent="0.2">
      <c r="B502" s="159"/>
      <c r="C502" s="160"/>
      <c r="D502" s="159"/>
      <c r="E502" s="159"/>
    </row>
    <row r="503" spans="2:5" x14ac:dyDescent="0.2">
      <c r="B503" s="159"/>
      <c r="C503" s="160"/>
      <c r="D503" s="159"/>
      <c r="E503" s="159"/>
    </row>
    <row r="504" spans="2:5" x14ac:dyDescent="0.2">
      <c r="B504" s="159"/>
      <c r="C504" s="160"/>
      <c r="D504" s="159"/>
      <c r="E504" s="159"/>
    </row>
    <row r="505" spans="2:5" x14ac:dyDescent="0.2">
      <c r="B505" s="159"/>
      <c r="C505" s="160"/>
      <c r="D505" s="159"/>
      <c r="E505" s="159"/>
    </row>
    <row r="506" spans="2:5" x14ac:dyDescent="0.2">
      <c r="B506" s="159"/>
      <c r="C506" s="160"/>
      <c r="D506" s="159"/>
      <c r="E506" s="159"/>
    </row>
    <row r="507" spans="2:5" x14ac:dyDescent="0.2">
      <c r="B507" s="159"/>
      <c r="C507" s="160"/>
      <c r="D507" s="159"/>
      <c r="E507" s="159"/>
    </row>
    <row r="508" spans="2:5" x14ac:dyDescent="0.2">
      <c r="B508" s="159"/>
      <c r="C508" s="160"/>
      <c r="D508" s="159"/>
      <c r="E508" s="159"/>
    </row>
    <row r="509" spans="2:5" x14ac:dyDescent="0.2">
      <c r="B509" s="159"/>
      <c r="C509" s="160"/>
      <c r="D509" s="159"/>
      <c r="E509" s="159"/>
    </row>
    <row r="510" spans="2:5" x14ac:dyDescent="0.2">
      <c r="B510" s="159"/>
      <c r="C510" s="160"/>
      <c r="D510" s="159"/>
      <c r="E510" s="159"/>
    </row>
    <row r="511" spans="2:5" x14ac:dyDescent="0.2">
      <c r="B511" s="159"/>
      <c r="C511" s="160"/>
      <c r="D511" s="159"/>
      <c r="E511" s="159"/>
    </row>
    <row r="512" spans="2:5" x14ac:dyDescent="0.2">
      <c r="B512" s="159"/>
      <c r="C512" s="160"/>
      <c r="D512" s="159"/>
      <c r="E512" s="159"/>
    </row>
    <row r="513" spans="2:5" x14ac:dyDescent="0.2">
      <c r="B513" s="159"/>
      <c r="C513" s="160"/>
      <c r="D513" s="159"/>
      <c r="E513" s="159"/>
    </row>
    <row r="514" spans="2:5" x14ac:dyDescent="0.2">
      <c r="B514" s="159"/>
      <c r="C514" s="160"/>
      <c r="D514" s="159"/>
      <c r="E514" s="159"/>
    </row>
    <row r="515" spans="2:5" x14ac:dyDescent="0.2">
      <c r="B515" s="159"/>
      <c r="C515" s="160"/>
      <c r="D515" s="159"/>
      <c r="E515" s="159"/>
    </row>
    <row r="516" spans="2:5" x14ac:dyDescent="0.2">
      <c r="B516" s="159"/>
      <c r="C516" s="160"/>
      <c r="D516" s="159"/>
      <c r="E516" s="159"/>
    </row>
    <row r="517" spans="2:5" x14ac:dyDescent="0.2">
      <c r="B517" s="159"/>
      <c r="C517" s="160"/>
      <c r="D517" s="159"/>
      <c r="E517" s="159"/>
    </row>
    <row r="518" spans="2:5" x14ac:dyDescent="0.2">
      <c r="B518" s="159"/>
      <c r="C518" s="160"/>
      <c r="D518" s="159"/>
      <c r="E518" s="159"/>
    </row>
    <row r="519" spans="2:5" x14ac:dyDescent="0.2">
      <c r="B519" s="159"/>
      <c r="C519" s="160"/>
      <c r="D519" s="159"/>
      <c r="E519" s="159"/>
    </row>
    <row r="520" spans="2:5" x14ac:dyDescent="0.2">
      <c r="B520" s="159"/>
      <c r="C520" s="160"/>
      <c r="D520" s="159"/>
      <c r="E520" s="159"/>
    </row>
    <row r="521" spans="2:5" x14ac:dyDescent="0.2">
      <c r="B521" s="159"/>
      <c r="C521" s="160"/>
      <c r="D521" s="159"/>
      <c r="E521" s="159"/>
    </row>
    <row r="522" spans="2:5" x14ac:dyDescent="0.2">
      <c r="B522" s="159"/>
      <c r="C522" s="160"/>
      <c r="D522" s="159"/>
      <c r="E522" s="159"/>
    </row>
    <row r="523" spans="2:5" x14ac:dyDescent="0.2">
      <c r="B523" s="159"/>
      <c r="C523" s="160"/>
      <c r="D523" s="159"/>
      <c r="E523" s="159"/>
    </row>
    <row r="524" spans="2:5" x14ac:dyDescent="0.2">
      <c r="B524" s="159"/>
      <c r="C524" s="160"/>
      <c r="D524" s="159"/>
      <c r="E524" s="159"/>
    </row>
    <row r="525" spans="2:5" x14ac:dyDescent="0.2">
      <c r="B525" s="159"/>
      <c r="C525" s="160"/>
      <c r="D525" s="159"/>
      <c r="E525" s="159"/>
    </row>
    <row r="526" spans="2:5" x14ac:dyDescent="0.2">
      <c r="B526" s="159"/>
      <c r="C526" s="160"/>
      <c r="D526" s="159"/>
      <c r="E526" s="159"/>
    </row>
    <row r="527" spans="2:5" x14ac:dyDescent="0.2">
      <c r="B527" s="159"/>
      <c r="C527" s="160"/>
      <c r="D527" s="159"/>
      <c r="E527" s="159"/>
    </row>
    <row r="528" spans="2:5" x14ac:dyDescent="0.2">
      <c r="B528" s="159"/>
      <c r="C528" s="160"/>
      <c r="D528" s="159"/>
      <c r="E528" s="159"/>
    </row>
    <row r="529" spans="2:5" x14ac:dyDescent="0.2">
      <c r="B529" s="159"/>
      <c r="C529" s="160"/>
      <c r="D529" s="159"/>
      <c r="E529" s="159"/>
    </row>
    <row r="530" spans="2:5" x14ac:dyDescent="0.2">
      <c r="B530" s="159"/>
      <c r="C530" s="160"/>
      <c r="D530" s="159"/>
      <c r="E530" s="159"/>
    </row>
    <row r="531" spans="2:5" x14ac:dyDescent="0.2">
      <c r="B531" s="159"/>
      <c r="C531" s="160"/>
      <c r="D531" s="159"/>
      <c r="E531" s="159"/>
    </row>
    <row r="532" spans="2:5" x14ac:dyDescent="0.2">
      <c r="B532" s="159"/>
      <c r="C532" s="160"/>
      <c r="D532" s="159"/>
      <c r="E532" s="159"/>
    </row>
    <row r="533" spans="2:5" x14ac:dyDescent="0.2">
      <c r="B533" s="159"/>
      <c r="C533" s="160"/>
      <c r="D533" s="159"/>
      <c r="E533" s="159"/>
    </row>
    <row r="534" spans="2:5" x14ac:dyDescent="0.2">
      <c r="B534" s="159"/>
      <c r="C534" s="160"/>
      <c r="D534" s="159"/>
      <c r="E534" s="159"/>
    </row>
    <row r="535" spans="2:5" x14ac:dyDescent="0.2">
      <c r="B535" s="159"/>
      <c r="C535" s="160"/>
      <c r="D535" s="159"/>
      <c r="E535" s="159"/>
    </row>
    <row r="536" spans="2:5" x14ac:dyDescent="0.2">
      <c r="B536" s="159"/>
      <c r="C536" s="160"/>
      <c r="D536" s="159"/>
      <c r="E536" s="159"/>
    </row>
    <row r="537" spans="2:5" x14ac:dyDescent="0.2">
      <c r="B537" s="159"/>
      <c r="C537" s="160"/>
      <c r="D537" s="159"/>
      <c r="E537" s="159"/>
    </row>
    <row r="538" spans="2:5" x14ac:dyDescent="0.2">
      <c r="B538" s="159"/>
      <c r="C538" s="160"/>
      <c r="D538" s="159"/>
      <c r="E538" s="159"/>
    </row>
    <row r="539" spans="2:5" x14ac:dyDescent="0.2">
      <c r="B539" s="159"/>
      <c r="C539" s="160"/>
      <c r="D539" s="159"/>
      <c r="E539" s="159"/>
    </row>
    <row r="540" spans="2:5" x14ac:dyDescent="0.2">
      <c r="B540" s="159"/>
      <c r="C540" s="160"/>
      <c r="D540" s="159"/>
      <c r="E540" s="159"/>
    </row>
    <row r="541" spans="2:5" x14ac:dyDescent="0.2">
      <c r="B541" s="159"/>
      <c r="C541" s="160"/>
      <c r="D541" s="159"/>
      <c r="E541" s="159"/>
    </row>
    <row r="542" spans="2:5" x14ac:dyDescent="0.2">
      <c r="B542" s="159"/>
      <c r="C542" s="160"/>
      <c r="D542" s="159"/>
      <c r="E542" s="159"/>
    </row>
    <row r="543" spans="2:5" x14ac:dyDescent="0.2">
      <c r="B543" s="159"/>
      <c r="C543" s="160"/>
      <c r="D543" s="159"/>
      <c r="E543" s="159"/>
    </row>
    <row r="544" spans="2:5" x14ac:dyDescent="0.2">
      <c r="B544" s="159"/>
      <c r="C544" s="160"/>
      <c r="D544" s="159"/>
      <c r="E544" s="159"/>
    </row>
    <row r="545" spans="2:5" x14ac:dyDescent="0.2">
      <c r="B545" s="159"/>
      <c r="C545" s="160"/>
      <c r="D545" s="159"/>
      <c r="E545" s="159"/>
    </row>
    <row r="546" spans="2:5" x14ac:dyDescent="0.2">
      <c r="B546" s="159"/>
      <c r="C546" s="160"/>
      <c r="D546" s="159"/>
      <c r="E546" s="159"/>
    </row>
    <row r="547" spans="2:5" x14ac:dyDescent="0.2">
      <c r="B547" s="159"/>
      <c r="C547" s="160"/>
      <c r="D547" s="159"/>
      <c r="E547" s="159"/>
    </row>
    <row r="548" spans="2:5" x14ac:dyDescent="0.2">
      <c r="B548" s="159"/>
      <c r="C548" s="160"/>
      <c r="D548" s="159"/>
      <c r="E548" s="159"/>
    </row>
    <row r="549" spans="2:5" x14ac:dyDescent="0.2">
      <c r="B549" s="159"/>
      <c r="C549" s="160"/>
      <c r="D549" s="159"/>
      <c r="E549" s="159"/>
    </row>
    <row r="550" spans="2:5" x14ac:dyDescent="0.2">
      <c r="B550" s="159"/>
      <c r="C550" s="160"/>
      <c r="D550" s="159"/>
      <c r="E550" s="159"/>
    </row>
    <row r="551" spans="2:5" x14ac:dyDescent="0.2">
      <c r="B551" s="159"/>
      <c r="C551" s="160"/>
      <c r="D551" s="159"/>
      <c r="E551" s="159"/>
    </row>
    <row r="552" spans="2:5" x14ac:dyDescent="0.2">
      <c r="B552" s="159"/>
      <c r="C552" s="160"/>
      <c r="D552" s="159"/>
      <c r="E552" s="159"/>
    </row>
    <row r="553" spans="2:5" x14ac:dyDescent="0.2">
      <c r="B553" s="159"/>
      <c r="C553" s="160"/>
      <c r="D553" s="159"/>
      <c r="E553" s="159"/>
    </row>
    <row r="554" spans="2:5" x14ac:dyDescent="0.2">
      <c r="B554" s="159"/>
      <c r="C554" s="160"/>
      <c r="D554" s="159"/>
      <c r="E554" s="159"/>
    </row>
    <row r="555" spans="2:5" x14ac:dyDescent="0.2">
      <c r="B555" s="159"/>
      <c r="C555" s="160"/>
      <c r="D555" s="159"/>
      <c r="E555" s="159"/>
    </row>
    <row r="556" spans="2:5" x14ac:dyDescent="0.2">
      <c r="B556" s="159"/>
      <c r="C556" s="160"/>
      <c r="D556" s="159"/>
      <c r="E556" s="159"/>
    </row>
    <row r="557" spans="2:5" x14ac:dyDescent="0.2">
      <c r="B557" s="159"/>
      <c r="C557" s="160"/>
      <c r="D557" s="159"/>
      <c r="E557" s="159"/>
    </row>
    <row r="558" spans="2:5" x14ac:dyDescent="0.2">
      <c r="B558" s="159"/>
      <c r="C558" s="160"/>
      <c r="D558" s="159"/>
      <c r="E558" s="159"/>
    </row>
    <row r="559" spans="2:5" x14ac:dyDescent="0.2">
      <c r="B559" s="159"/>
      <c r="C559" s="160"/>
      <c r="D559" s="159"/>
      <c r="E559" s="159"/>
    </row>
    <row r="560" spans="2:5" x14ac:dyDescent="0.2">
      <c r="B560" s="159"/>
      <c r="C560" s="160"/>
      <c r="D560" s="159"/>
      <c r="E560" s="159"/>
    </row>
    <row r="561" spans="2:5" x14ac:dyDescent="0.2">
      <c r="B561" s="159"/>
      <c r="C561" s="160"/>
      <c r="D561" s="159"/>
      <c r="E561" s="159"/>
    </row>
    <row r="562" spans="2:5" x14ac:dyDescent="0.2">
      <c r="B562" s="159"/>
      <c r="C562" s="160"/>
      <c r="D562" s="159"/>
      <c r="E562" s="159"/>
    </row>
    <row r="563" spans="2:5" x14ac:dyDescent="0.2">
      <c r="B563" s="159"/>
      <c r="C563" s="160"/>
      <c r="D563" s="159"/>
      <c r="E563" s="159"/>
    </row>
    <row r="564" spans="2:5" x14ac:dyDescent="0.2">
      <c r="B564" s="159"/>
      <c r="C564" s="160"/>
      <c r="D564" s="159"/>
      <c r="E564" s="159"/>
    </row>
    <row r="565" spans="2:5" x14ac:dyDescent="0.2">
      <c r="B565" s="159"/>
      <c r="C565" s="160"/>
      <c r="D565" s="159"/>
      <c r="E565" s="159"/>
    </row>
    <row r="566" spans="2:5" x14ac:dyDescent="0.2">
      <c r="B566" s="159"/>
      <c r="C566" s="160"/>
      <c r="D566" s="159"/>
      <c r="E566" s="159"/>
    </row>
    <row r="567" spans="2:5" x14ac:dyDescent="0.2">
      <c r="B567" s="159"/>
      <c r="C567" s="160"/>
      <c r="D567" s="159"/>
      <c r="E567" s="159"/>
    </row>
    <row r="568" spans="2:5" x14ac:dyDescent="0.2">
      <c r="B568" s="159"/>
      <c r="C568" s="160"/>
      <c r="D568" s="159"/>
      <c r="E568" s="159"/>
    </row>
    <row r="569" spans="2:5" x14ac:dyDescent="0.2">
      <c r="B569" s="159"/>
      <c r="C569" s="160"/>
      <c r="D569" s="159"/>
      <c r="E569" s="159"/>
    </row>
    <row r="570" spans="2:5" x14ac:dyDescent="0.2">
      <c r="B570" s="159"/>
      <c r="C570" s="160"/>
      <c r="D570" s="159"/>
      <c r="E570" s="159"/>
    </row>
    <row r="571" spans="2:5" x14ac:dyDescent="0.2">
      <c r="B571" s="159"/>
      <c r="C571" s="160"/>
      <c r="D571" s="159"/>
      <c r="E571" s="159"/>
    </row>
    <row r="572" spans="2:5" x14ac:dyDescent="0.2">
      <c r="B572" s="159"/>
      <c r="C572" s="160"/>
      <c r="D572" s="159"/>
      <c r="E572" s="159"/>
    </row>
    <row r="573" spans="2:5" x14ac:dyDescent="0.2">
      <c r="B573" s="159"/>
      <c r="C573" s="160"/>
      <c r="D573" s="159"/>
      <c r="E573" s="159"/>
    </row>
    <row r="574" spans="2:5" x14ac:dyDescent="0.2">
      <c r="B574" s="159"/>
      <c r="C574" s="160"/>
      <c r="D574" s="159"/>
      <c r="E574" s="159"/>
    </row>
    <row r="575" spans="2:5" x14ac:dyDescent="0.2">
      <c r="B575" s="159"/>
      <c r="C575" s="160"/>
      <c r="D575" s="159"/>
      <c r="E575" s="159"/>
    </row>
    <row r="576" spans="2:5" x14ac:dyDescent="0.2">
      <c r="B576" s="159"/>
      <c r="C576" s="160"/>
      <c r="D576" s="159"/>
      <c r="E576" s="159"/>
    </row>
    <row r="577" spans="2:9" x14ac:dyDescent="0.2">
      <c r="B577" s="159"/>
      <c r="C577" s="160"/>
      <c r="D577" s="159"/>
      <c r="E577" s="159"/>
    </row>
    <row r="578" spans="2:9" x14ac:dyDescent="0.2">
      <c r="B578" s="159"/>
      <c r="C578" s="160"/>
      <c r="D578" s="159"/>
      <c r="E578" s="159"/>
    </row>
    <row r="579" spans="2:9" x14ac:dyDescent="0.2">
      <c r="B579" s="159"/>
      <c r="C579" s="160"/>
      <c r="D579" s="159"/>
      <c r="E579" s="159"/>
    </row>
    <row r="580" spans="2:9" x14ac:dyDescent="0.2">
      <c r="B580" s="159"/>
      <c r="C580" s="160"/>
      <c r="D580" s="159"/>
      <c r="E580" s="159"/>
    </row>
    <row r="581" spans="2:9" x14ac:dyDescent="0.2">
      <c r="B581" s="159"/>
      <c r="C581" s="160"/>
      <c r="D581" s="159"/>
      <c r="E581" s="159"/>
    </row>
    <row r="582" spans="2:9" x14ac:dyDescent="0.2">
      <c r="B582" s="159"/>
      <c r="C582" s="160"/>
      <c r="D582" s="159"/>
      <c r="E582" s="159"/>
    </row>
    <row r="583" spans="2:9" x14ac:dyDescent="0.2">
      <c r="B583" s="159"/>
      <c r="C583" s="160"/>
      <c r="D583" s="159"/>
      <c r="E583" s="159"/>
    </row>
    <row r="584" spans="2:9" x14ac:dyDescent="0.2">
      <c r="B584" s="159"/>
      <c r="C584" s="160"/>
      <c r="D584" s="159"/>
      <c r="E584" s="159"/>
    </row>
    <row r="585" spans="2:9" x14ac:dyDescent="0.2">
      <c r="B585" s="159"/>
      <c r="C585" s="160"/>
      <c r="D585" s="159"/>
      <c r="E585" s="159"/>
    </row>
    <row r="586" spans="2:9" x14ac:dyDescent="0.2">
      <c r="B586" s="159"/>
      <c r="C586" s="160"/>
      <c r="D586" s="159"/>
      <c r="E586" s="159"/>
    </row>
    <row r="587" spans="2:9" x14ac:dyDescent="0.2">
      <c r="B587" s="159"/>
      <c r="C587" s="160"/>
      <c r="D587" s="159"/>
      <c r="E587" s="159"/>
      <c r="I587" s="159" t="s">
        <v>7</v>
      </c>
    </row>
    <row r="588" spans="2:9" x14ac:dyDescent="0.2">
      <c r="B588" s="159"/>
      <c r="C588" s="160"/>
      <c r="D588" s="159"/>
      <c r="E588" s="159"/>
      <c r="I588" s="159" t="s">
        <v>7</v>
      </c>
    </row>
    <row r="589" spans="2:9" x14ac:dyDescent="0.2">
      <c r="B589" s="159"/>
      <c r="C589" s="160"/>
      <c r="D589" s="159"/>
      <c r="E589" s="159"/>
      <c r="I589" s="159" t="s">
        <v>7</v>
      </c>
    </row>
    <row r="590" spans="2:9" x14ac:dyDescent="0.2">
      <c r="B590" s="159"/>
      <c r="C590" s="160"/>
      <c r="D590" s="159"/>
      <c r="E590" s="159"/>
      <c r="I590" s="159" t="s">
        <v>7</v>
      </c>
    </row>
    <row r="591" spans="2:9" x14ac:dyDescent="0.2">
      <c r="B591" s="159"/>
      <c r="C591" s="160"/>
      <c r="D591" s="159"/>
      <c r="E591" s="159"/>
      <c r="I591" s="159" t="s">
        <v>7</v>
      </c>
    </row>
    <row r="592" spans="2:9" x14ac:dyDescent="0.2">
      <c r="B592" s="159"/>
      <c r="C592" s="160"/>
      <c r="D592" s="159"/>
      <c r="E592" s="159"/>
      <c r="I592" s="159" t="s">
        <v>7</v>
      </c>
    </row>
    <row r="593" spans="2:9" x14ac:dyDescent="0.2">
      <c r="B593" s="159"/>
      <c r="C593" s="160"/>
      <c r="D593" s="159"/>
      <c r="E593" s="159"/>
      <c r="I593" s="159" t="s">
        <v>7</v>
      </c>
    </row>
    <row r="594" spans="2:9" x14ac:dyDescent="0.2">
      <c r="B594" s="159"/>
      <c r="C594" s="160"/>
      <c r="D594" s="159"/>
      <c r="E594" s="159"/>
      <c r="I594" s="159" t="s">
        <v>7</v>
      </c>
    </row>
    <row r="595" spans="2:9" x14ac:dyDescent="0.2">
      <c r="B595" s="159"/>
      <c r="C595" s="160"/>
      <c r="D595" s="159"/>
      <c r="E595" s="159"/>
      <c r="I595" s="159" t="s">
        <v>7</v>
      </c>
    </row>
    <row r="596" spans="2:9" x14ac:dyDescent="0.2">
      <c r="B596" s="159"/>
      <c r="C596" s="160"/>
      <c r="D596" s="159"/>
      <c r="E596" s="159"/>
      <c r="I596" s="159" t="s">
        <v>7</v>
      </c>
    </row>
    <row r="597" spans="2:9" x14ac:dyDescent="0.2">
      <c r="B597" s="159"/>
      <c r="C597" s="160"/>
      <c r="D597" s="159"/>
      <c r="E597" s="159"/>
      <c r="I597" s="159" t="s">
        <v>7</v>
      </c>
    </row>
    <row r="598" spans="2:9" x14ac:dyDescent="0.2">
      <c r="B598" s="159"/>
      <c r="C598" s="160"/>
      <c r="D598" s="159"/>
      <c r="E598" s="159"/>
      <c r="I598" s="159" t="s">
        <v>7</v>
      </c>
    </row>
    <row r="599" spans="2:9" x14ac:dyDescent="0.2">
      <c r="B599" s="159"/>
      <c r="C599" s="160"/>
      <c r="D599" s="159"/>
      <c r="E599" s="159"/>
      <c r="I599" s="159" t="s">
        <v>7</v>
      </c>
    </row>
    <row r="600" spans="2:9" x14ac:dyDescent="0.2">
      <c r="B600" s="159"/>
      <c r="C600" s="160"/>
      <c r="D600" s="159"/>
      <c r="E600" s="159"/>
      <c r="I600" s="159" t="s">
        <v>7</v>
      </c>
    </row>
    <row r="601" spans="2:9" x14ac:dyDescent="0.2">
      <c r="B601" s="159"/>
      <c r="C601" s="160"/>
      <c r="D601" s="159"/>
      <c r="E601" s="159"/>
    </row>
    <row r="602" spans="2:9" x14ac:dyDescent="0.2">
      <c r="B602" s="159"/>
      <c r="C602" s="160"/>
      <c r="D602" s="159"/>
      <c r="E602" s="159"/>
    </row>
    <row r="603" spans="2:9" x14ac:dyDescent="0.2">
      <c r="B603" s="159"/>
      <c r="C603" s="160"/>
      <c r="D603" s="159"/>
      <c r="E603" s="159"/>
    </row>
    <row r="604" spans="2:9" x14ac:dyDescent="0.2">
      <c r="B604" s="159"/>
      <c r="C604" s="160"/>
      <c r="D604" s="159"/>
      <c r="E604" s="159"/>
    </row>
    <row r="605" spans="2:9" x14ac:dyDescent="0.2">
      <c r="B605" s="159"/>
      <c r="C605" s="160"/>
      <c r="D605" s="159"/>
      <c r="E605" s="159"/>
    </row>
    <row r="606" spans="2:9" x14ac:dyDescent="0.2">
      <c r="B606" s="159"/>
      <c r="C606" s="160"/>
      <c r="D606" s="159"/>
      <c r="E606" s="159"/>
    </row>
    <row r="607" spans="2:9" x14ac:dyDescent="0.2">
      <c r="B607" s="159"/>
      <c r="C607" s="160"/>
      <c r="D607" s="159"/>
      <c r="E607" s="159"/>
    </row>
    <row r="608" spans="2:9" x14ac:dyDescent="0.2">
      <c r="B608" s="159"/>
      <c r="C608" s="160"/>
      <c r="D608" s="159"/>
      <c r="E608" s="159"/>
    </row>
    <row r="609" spans="2:5" x14ac:dyDescent="0.2">
      <c r="B609" s="159"/>
      <c r="C609" s="160"/>
      <c r="D609" s="159"/>
      <c r="E609" s="159"/>
    </row>
    <row r="610" spans="2:5" x14ac:dyDescent="0.2">
      <c r="B610" s="159"/>
      <c r="C610" s="160"/>
      <c r="D610" s="159"/>
      <c r="E610" s="159"/>
    </row>
    <row r="611" spans="2:5" x14ac:dyDescent="0.2">
      <c r="B611" s="159"/>
      <c r="C611" s="160"/>
      <c r="D611" s="159"/>
      <c r="E611" s="159"/>
    </row>
    <row r="612" spans="2:5" x14ac:dyDescent="0.2">
      <c r="B612" s="159"/>
      <c r="C612" s="160"/>
      <c r="D612" s="159"/>
      <c r="E612" s="159"/>
    </row>
    <row r="613" spans="2:5" x14ac:dyDescent="0.2">
      <c r="B613" s="159"/>
      <c r="C613" s="160"/>
      <c r="D613" s="159"/>
      <c r="E613" s="159"/>
    </row>
    <row r="614" spans="2:5" x14ac:dyDescent="0.2">
      <c r="B614" s="159"/>
      <c r="C614" s="160"/>
      <c r="D614" s="159"/>
      <c r="E614" s="159"/>
    </row>
    <row r="615" spans="2:5" x14ac:dyDescent="0.2">
      <c r="B615" s="159"/>
      <c r="C615" s="160"/>
      <c r="D615" s="159"/>
      <c r="E615" s="159"/>
    </row>
    <row r="616" spans="2:5" x14ac:dyDescent="0.2">
      <c r="B616" s="159"/>
      <c r="C616" s="160"/>
      <c r="D616" s="159"/>
      <c r="E616" s="159"/>
    </row>
    <row r="617" spans="2:5" x14ac:dyDescent="0.2">
      <c r="B617" s="159"/>
      <c r="C617" s="160"/>
      <c r="D617" s="159"/>
      <c r="E617" s="159"/>
    </row>
    <row r="618" spans="2:5" x14ac:dyDescent="0.2">
      <c r="B618" s="159"/>
      <c r="C618" s="160"/>
      <c r="D618" s="159"/>
      <c r="E618" s="159"/>
    </row>
    <row r="619" spans="2:5" x14ac:dyDescent="0.2">
      <c r="B619" s="159"/>
      <c r="C619" s="160"/>
      <c r="D619" s="159"/>
      <c r="E619" s="159"/>
    </row>
    <row r="620" spans="2:5" x14ac:dyDescent="0.2">
      <c r="B620" s="159"/>
      <c r="C620" s="160"/>
      <c r="D620" s="159"/>
      <c r="E620" s="159"/>
    </row>
    <row r="621" spans="2:5" x14ac:dyDescent="0.2">
      <c r="B621" s="159"/>
      <c r="C621" s="160"/>
      <c r="D621" s="159"/>
      <c r="E621" s="159"/>
    </row>
    <row r="622" spans="2:5" x14ac:dyDescent="0.2">
      <c r="B622" s="159"/>
      <c r="C622" s="160"/>
      <c r="D622" s="159"/>
      <c r="E622" s="159"/>
    </row>
    <row r="623" spans="2:5" x14ac:dyDescent="0.2">
      <c r="B623" s="159"/>
      <c r="C623" s="160"/>
      <c r="D623" s="159"/>
      <c r="E623" s="159"/>
    </row>
    <row r="624" spans="2:5" x14ac:dyDescent="0.2">
      <c r="B624" s="159"/>
      <c r="C624" s="160"/>
      <c r="D624" s="159"/>
      <c r="E624" s="159"/>
    </row>
    <row r="625" spans="2:5" x14ac:dyDescent="0.2">
      <c r="B625" s="159"/>
      <c r="C625" s="160"/>
      <c r="D625" s="159"/>
      <c r="E625" s="159"/>
    </row>
    <row r="626" spans="2:5" x14ac:dyDescent="0.2">
      <c r="B626" s="159"/>
      <c r="C626" s="160"/>
      <c r="D626" s="159"/>
      <c r="E626" s="159"/>
    </row>
    <row r="627" spans="2:5" x14ac:dyDescent="0.2">
      <c r="B627" s="159"/>
      <c r="C627" s="160"/>
      <c r="D627" s="159"/>
      <c r="E627" s="159"/>
    </row>
    <row r="628" spans="2:5" x14ac:dyDescent="0.2">
      <c r="B628" s="159"/>
      <c r="C628" s="160"/>
      <c r="D628" s="159"/>
      <c r="E628" s="159"/>
    </row>
    <row r="629" spans="2:5" x14ac:dyDescent="0.2">
      <c r="B629" s="159"/>
      <c r="C629" s="160"/>
      <c r="D629" s="159"/>
      <c r="E629" s="159"/>
    </row>
    <row r="630" spans="2:5" x14ac:dyDescent="0.2">
      <c r="B630" s="159"/>
      <c r="C630" s="160"/>
      <c r="D630" s="159"/>
      <c r="E630" s="159"/>
    </row>
    <row r="631" spans="2:5" x14ac:dyDescent="0.2">
      <c r="B631" s="159"/>
      <c r="C631" s="160"/>
      <c r="D631" s="159"/>
      <c r="E631" s="159"/>
    </row>
    <row r="632" spans="2:5" x14ac:dyDescent="0.2">
      <c r="B632" s="159"/>
      <c r="C632" s="160"/>
      <c r="D632" s="159"/>
      <c r="E632" s="159"/>
    </row>
    <row r="633" spans="2:5" x14ac:dyDescent="0.2">
      <c r="B633" s="159"/>
      <c r="C633" s="160"/>
      <c r="D633" s="159"/>
      <c r="E633" s="159"/>
    </row>
    <row r="634" spans="2:5" x14ac:dyDescent="0.2">
      <c r="B634" s="159"/>
      <c r="C634" s="160"/>
      <c r="D634" s="159"/>
      <c r="E634" s="159"/>
    </row>
    <row r="635" spans="2:5" x14ac:dyDescent="0.2">
      <c r="B635" s="159"/>
      <c r="C635" s="160"/>
      <c r="D635" s="159"/>
      <c r="E635" s="159"/>
    </row>
    <row r="636" spans="2:5" x14ac:dyDescent="0.2">
      <c r="B636" s="159"/>
      <c r="C636" s="160"/>
      <c r="D636" s="159"/>
      <c r="E636" s="159"/>
    </row>
    <row r="637" spans="2:5" x14ac:dyDescent="0.2">
      <c r="B637" s="159"/>
      <c r="C637" s="160"/>
      <c r="D637" s="159"/>
      <c r="E637" s="159"/>
    </row>
    <row r="638" spans="2:5" x14ac:dyDescent="0.2">
      <c r="B638" s="159"/>
      <c r="C638" s="160"/>
      <c r="D638" s="159"/>
      <c r="E638" s="159"/>
    </row>
    <row r="639" spans="2:5" x14ac:dyDescent="0.2">
      <c r="B639" s="159"/>
      <c r="C639" s="160"/>
      <c r="D639" s="159"/>
      <c r="E639" s="159"/>
    </row>
    <row r="640" spans="2:5" x14ac:dyDescent="0.2">
      <c r="B640" s="159"/>
      <c r="C640" s="160"/>
      <c r="D640" s="159"/>
      <c r="E640" s="159"/>
    </row>
    <row r="641" spans="2:5" x14ac:dyDescent="0.2">
      <c r="B641" s="159"/>
      <c r="C641" s="160"/>
      <c r="D641" s="159"/>
      <c r="E641" s="159"/>
    </row>
    <row r="642" spans="2:5" x14ac:dyDescent="0.2">
      <c r="B642" s="159"/>
      <c r="C642" s="160"/>
      <c r="D642" s="159"/>
      <c r="E642" s="159"/>
    </row>
    <row r="643" spans="2:5" x14ac:dyDescent="0.2">
      <c r="B643" s="159"/>
      <c r="C643" s="160"/>
      <c r="D643" s="159"/>
      <c r="E643" s="159"/>
    </row>
    <row r="644" spans="2:5" x14ac:dyDescent="0.2">
      <c r="B644" s="159"/>
      <c r="C644" s="160"/>
      <c r="D644" s="159"/>
      <c r="E644" s="159"/>
    </row>
    <row r="645" spans="2:5" x14ac:dyDescent="0.2">
      <c r="B645" s="159"/>
      <c r="C645" s="160"/>
      <c r="D645" s="159"/>
      <c r="E645" s="159"/>
    </row>
    <row r="646" spans="2:5" x14ac:dyDescent="0.2">
      <c r="B646" s="159"/>
      <c r="C646" s="160"/>
      <c r="D646" s="159"/>
      <c r="E646" s="159"/>
    </row>
    <row r="647" spans="2:5" x14ac:dyDescent="0.2">
      <c r="B647" s="159"/>
      <c r="C647" s="160"/>
      <c r="D647" s="159"/>
      <c r="E647" s="159"/>
    </row>
    <row r="648" spans="2:5" x14ac:dyDescent="0.2">
      <c r="B648" s="159"/>
      <c r="C648" s="160"/>
      <c r="D648" s="159"/>
      <c r="E648" s="159"/>
    </row>
    <row r="649" spans="2:5" x14ac:dyDescent="0.2">
      <c r="B649" s="159"/>
      <c r="C649" s="160"/>
      <c r="D649" s="159"/>
      <c r="E649" s="159"/>
    </row>
    <row r="650" spans="2:5" x14ac:dyDescent="0.2">
      <c r="B650" s="159"/>
      <c r="C650" s="160"/>
      <c r="D650" s="159"/>
      <c r="E650" s="159"/>
    </row>
    <row r="651" spans="2:5" x14ac:dyDescent="0.2">
      <c r="B651" s="159"/>
      <c r="C651" s="160"/>
      <c r="D651" s="159"/>
      <c r="E651" s="159"/>
    </row>
    <row r="652" spans="2:5" x14ac:dyDescent="0.2">
      <c r="B652" s="159"/>
      <c r="C652" s="160"/>
      <c r="D652" s="159"/>
      <c r="E652" s="159"/>
    </row>
    <row r="653" spans="2:5" x14ac:dyDescent="0.2">
      <c r="B653" s="159"/>
      <c r="C653" s="160"/>
      <c r="D653" s="159"/>
      <c r="E653" s="159"/>
    </row>
    <row r="654" spans="2:5" x14ac:dyDescent="0.2">
      <c r="B654" s="159"/>
      <c r="C654" s="160"/>
      <c r="D654" s="159"/>
      <c r="E654" s="159"/>
    </row>
    <row r="655" spans="2:5" x14ac:dyDescent="0.2">
      <c r="B655" s="159"/>
      <c r="C655" s="160"/>
      <c r="D655" s="159"/>
      <c r="E655" s="159"/>
    </row>
    <row r="656" spans="2:5" x14ac:dyDescent="0.2">
      <c r="B656" s="159"/>
      <c r="C656" s="160"/>
      <c r="D656" s="159"/>
      <c r="E656" s="159"/>
    </row>
    <row r="657" spans="2:5" x14ac:dyDescent="0.2">
      <c r="B657" s="159"/>
      <c r="C657" s="160"/>
      <c r="D657" s="159"/>
      <c r="E657" s="159"/>
    </row>
    <row r="658" spans="2:5" x14ac:dyDescent="0.2">
      <c r="B658" s="159"/>
      <c r="C658" s="160"/>
      <c r="D658" s="159"/>
      <c r="E658" s="159"/>
    </row>
    <row r="659" spans="2:5" x14ac:dyDescent="0.2">
      <c r="B659" s="159"/>
      <c r="C659" s="160"/>
      <c r="D659" s="159"/>
      <c r="E659" s="159"/>
    </row>
    <row r="660" spans="2:5" x14ac:dyDescent="0.2">
      <c r="B660" s="159"/>
      <c r="C660" s="160"/>
      <c r="D660" s="159"/>
      <c r="E660" s="159"/>
    </row>
    <row r="661" spans="2:5" x14ac:dyDescent="0.2">
      <c r="B661" s="159"/>
      <c r="C661" s="160"/>
      <c r="D661" s="159"/>
      <c r="E661" s="159"/>
    </row>
    <row r="662" spans="2:5" x14ac:dyDescent="0.2">
      <c r="B662" s="159"/>
      <c r="C662" s="160"/>
      <c r="D662" s="159"/>
      <c r="E662" s="159"/>
    </row>
    <row r="663" spans="2:5" x14ac:dyDescent="0.2">
      <c r="B663" s="159"/>
      <c r="C663" s="160"/>
      <c r="D663" s="159"/>
      <c r="E663" s="159"/>
    </row>
    <row r="664" spans="2:5" x14ac:dyDescent="0.2">
      <c r="B664" s="159"/>
      <c r="C664" s="160"/>
      <c r="D664" s="159"/>
      <c r="E664" s="159"/>
    </row>
    <row r="665" spans="2:5" x14ac:dyDescent="0.2">
      <c r="B665" s="159"/>
      <c r="C665" s="160"/>
      <c r="D665" s="159"/>
      <c r="E665" s="159"/>
    </row>
    <row r="666" spans="2:5" x14ac:dyDescent="0.2">
      <c r="B666" s="159"/>
      <c r="C666" s="160"/>
      <c r="D666" s="159"/>
      <c r="E666" s="159"/>
    </row>
    <row r="667" spans="2:5" x14ac:dyDescent="0.2">
      <c r="B667" s="159"/>
      <c r="C667" s="160"/>
      <c r="D667" s="159"/>
      <c r="E667" s="159"/>
    </row>
    <row r="668" spans="2:5" x14ac:dyDescent="0.2">
      <c r="B668" s="159"/>
      <c r="C668" s="160"/>
      <c r="D668" s="159"/>
      <c r="E668" s="159"/>
    </row>
    <row r="669" spans="2:5" x14ac:dyDescent="0.2">
      <c r="B669" s="159"/>
      <c r="C669" s="160"/>
      <c r="D669" s="159"/>
      <c r="E669" s="159"/>
    </row>
    <row r="670" spans="2:5" x14ac:dyDescent="0.2">
      <c r="B670" s="159"/>
      <c r="C670" s="160"/>
      <c r="D670" s="159"/>
      <c r="E670" s="159"/>
    </row>
    <row r="671" spans="2:5" x14ac:dyDescent="0.2">
      <c r="B671" s="159"/>
      <c r="C671" s="160"/>
      <c r="D671" s="159"/>
      <c r="E671" s="159"/>
    </row>
    <row r="672" spans="2:5" x14ac:dyDescent="0.2">
      <c r="B672" s="159"/>
      <c r="C672" s="160"/>
      <c r="D672" s="159"/>
      <c r="E672" s="159"/>
    </row>
    <row r="673" spans="2:5" x14ac:dyDescent="0.2">
      <c r="B673" s="159"/>
      <c r="C673" s="160"/>
      <c r="D673" s="159"/>
      <c r="E673" s="159"/>
    </row>
    <row r="674" spans="2:5" x14ac:dyDescent="0.2">
      <c r="B674" s="159"/>
      <c r="C674" s="160"/>
      <c r="D674" s="159"/>
      <c r="E674" s="159"/>
    </row>
    <row r="675" spans="2:5" x14ac:dyDescent="0.2">
      <c r="B675" s="159"/>
      <c r="C675" s="160"/>
      <c r="D675" s="159"/>
      <c r="E675" s="159"/>
    </row>
    <row r="676" spans="2:5" x14ac:dyDescent="0.2">
      <c r="B676" s="159"/>
      <c r="C676" s="160"/>
      <c r="D676" s="159"/>
      <c r="E676" s="159"/>
    </row>
    <row r="677" spans="2:5" x14ac:dyDescent="0.2">
      <c r="B677" s="159"/>
      <c r="C677" s="160"/>
      <c r="D677" s="159"/>
      <c r="E677" s="159"/>
    </row>
    <row r="678" spans="2:5" x14ac:dyDescent="0.2">
      <c r="B678" s="159"/>
      <c r="C678" s="160"/>
      <c r="D678" s="159"/>
      <c r="E678" s="159"/>
    </row>
    <row r="679" spans="2:5" x14ac:dyDescent="0.2">
      <c r="B679" s="159"/>
      <c r="C679" s="160"/>
      <c r="D679" s="159"/>
      <c r="E679" s="159"/>
    </row>
    <row r="680" spans="2:5" x14ac:dyDescent="0.2">
      <c r="B680" s="159"/>
      <c r="C680" s="160"/>
      <c r="D680" s="159"/>
      <c r="E680" s="159"/>
    </row>
    <row r="681" spans="2:5" x14ac:dyDescent="0.2">
      <c r="B681" s="159"/>
      <c r="C681" s="160"/>
      <c r="D681" s="159"/>
      <c r="E681" s="159"/>
    </row>
    <row r="682" spans="2:5" x14ac:dyDescent="0.2">
      <c r="B682" s="159"/>
      <c r="C682" s="160"/>
      <c r="D682" s="159"/>
      <c r="E682" s="159"/>
    </row>
    <row r="683" spans="2:5" x14ac:dyDescent="0.2">
      <c r="B683" s="159"/>
      <c r="C683" s="160"/>
      <c r="D683" s="159"/>
      <c r="E683" s="159"/>
    </row>
    <row r="684" spans="2:5" x14ac:dyDescent="0.2">
      <c r="B684" s="159"/>
      <c r="C684" s="160"/>
      <c r="D684" s="159"/>
      <c r="E684" s="159"/>
    </row>
    <row r="685" spans="2:5" x14ac:dyDescent="0.2">
      <c r="B685" s="159"/>
      <c r="C685" s="160"/>
      <c r="D685" s="159"/>
      <c r="E685" s="159"/>
    </row>
    <row r="686" spans="2:5" x14ac:dyDescent="0.2">
      <c r="B686" s="159"/>
      <c r="C686" s="160"/>
      <c r="D686" s="159"/>
      <c r="E686" s="159"/>
    </row>
    <row r="687" spans="2:5" x14ac:dyDescent="0.2">
      <c r="B687" s="159"/>
      <c r="C687" s="160"/>
      <c r="D687" s="159"/>
      <c r="E687" s="159"/>
    </row>
    <row r="688" spans="2:5" x14ac:dyDescent="0.2">
      <c r="B688" s="159"/>
      <c r="C688" s="160"/>
      <c r="D688" s="159"/>
      <c r="E688" s="159"/>
    </row>
    <row r="689" spans="2:5" x14ac:dyDescent="0.2">
      <c r="B689" s="159"/>
      <c r="C689" s="160"/>
      <c r="D689" s="159"/>
      <c r="E689" s="159"/>
    </row>
    <row r="690" spans="2:5" x14ac:dyDescent="0.2">
      <c r="B690" s="159"/>
      <c r="C690" s="160"/>
      <c r="D690" s="159"/>
      <c r="E690" s="159"/>
    </row>
    <row r="691" spans="2:5" x14ac:dyDescent="0.2">
      <c r="B691" s="159"/>
      <c r="C691" s="160"/>
      <c r="D691" s="159"/>
      <c r="E691" s="159"/>
    </row>
    <row r="692" spans="2:5" x14ac:dyDescent="0.2">
      <c r="B692" s="159"/>
      <c r="C692" s="160"/>
      <c r="D692" s="159"/>
      <c r="E692" s="159"/>
    </row>
    <row r="693" spans="2:5" x14ac:dyDescent="0.2">
      <c r="B693" s="159"/>
      <c r="C693" s="160"/>
      <c r="D693" s="159"/>
      <c r="E693" s="159"/>
    </row>
    <row r="694" spans="2:5" x14ac:dyDescent="0.2">
      <c r="B694" s="159"/>
      <c r="C694" s="160"/>
      <c r="D694" s="159"/>
      <c r="E694" s="159"/>
    </row>
    <row r="695" spans="2:5" x14ac:dyDescent="0.2">
      <c r="B695" s="159"/>
      <c r="C695" s="160"/>
      <c r="D695" s="159"/>
      <c r="E695" s="159"/>
    </row>
    <row r="696" spans="2:5" x14ac:dyDescent="0.2">
      <c r="B696" s="159"/>
      <c r="C696" s="160"/>
      <c r="D696" s="159"/>
      <c r="E696" s="159"/>
    </row>
    <row r="697" spans="2:5" x14ac:dyDescent="0.2">
      <c r="B697" s="159"/>
      <c r="C697" s="160"/>
      <c r="D697" s="159"/>
      <c r="E697" s="159"/>
    </row>
    <row r="698" spans="2:5" x14ac:dyDescent="0.2">
      <c r="B698" s="159"/>
      <c r="C698" s="160"/>
      <c r="D698" s="159"/>
      <c r="E698" s="159"/>
    </row>
    <row r="699" spans="2:5" x14ac:dyDescent="0.2">
      <c r="B699" s="159"/>
      <c r="C699" s="160"/>
      <c r="D699" s="159"/>
      <c r="E699" s="159"/>
    </row>
    <row r="700" spans="2:5" x14ac:dyDescent="0.2">
      <c r="B700" s="159"/>
      <c r="C700" s="160"/>
      <c r="D700" s="159"/>
      <c r="E700" s="159"/>
    </row>
    <row r="701" spans="2:5" x14ac:dyDescent="0.2">
      <c r="B701" s="159"/>
      <c r="C701" s="160"/>
      <c r="D701" s="159"/>
      <c r="E701" s="159"/>
    </row>
    <row r="702" spans="2:5" x14ac:dyDescent="0.2">
      <c r="B702" s="159"/>
      <c r="C702" s="160"/>
      <c r="D702" s="159"/>
      <c r="E702" s="159"/>
    </row>
    <row r="703" spans="2:5" x14ac:dyDescent="0.2">
      <c r="B703" s="159"/>
      <c r="C703" s="160"/>
      <c r="D703" s="159"/>
      <c r="E703" s="159"/>
    </row>
    <row r="704" spans="2:5" x14ac:dyDescent="0.2">
      <c r="B704" s="159"/>
      <c r="C704" s="160"/>
      <c r="D704" s="159"/>
      <c r="E704" s="159"/>
    </row>
    <row r="705" spans="2:5" x14ac:dyDescent="0.2">
      <c r="B705" s="159"/>
      <c r="C705" s="160"/>
      <c r="D705" s="159"/>
      <c r="E705" s="159"/>
    </row>
    <row r="706" spans="2:5" x14ac:dyDescent="0.2">
      <c r="B706" s="159"/>
      <c r="C706" s="160"/>
      <c r="D706" s="159"/>
      <c r="E706" s="159"/>
    </row>
    <row r="707" spans="2:5" x14ac:dyDescent="0.2">
      <c r="B707" s="159"/>
      <c r="C707" s="160"/>
      <c r="D707" s="159"/>
      <c r="E707" s="159"/>
    </row>
    <row r="708" spans="2:5" x14ac:dyDescent="0.2">
      <c r="B708" s="159"/>
      <c r="C708" s="160"/>
      <c r="D708" s="159"/>
      <c r="E708" s="159"/>
    </row>
    <row r="709" spans="2:5" x14ac:dyDescent="0.2">
      <c r="B709" s="159"/>
      <c r="C709" s="160"/>
      <c r="D709" s="159"/>
      <c r="E709" s="159"/>
    </row>
    <row r="710" spans="2:5" x14ac:dyDescent="0.2">
      <c r="B710" s="159"/>
      <c r="C710" s="160"/>
      <c r="D710" s="159"/>
      <c r="E710" s="159"/>
    </row>
    <row r="711" spans="2:5" x14ac:dyDescent="0.2">
      <c r="B711" s="159"/>
      <c r="C711" s="160"/>
      <c r="D711" s="159"/>
      <c r="E711" s="159"/>
    </row>
    <row r="712" spans="2:5" x14ac:dyDescent="0.2">
      <c r="B712" s="159"/>
      <c r="C712" s="160"/>
      <c r="D712" s="159"/>
      <c r="E712" s="159"/>
    </row>
    <row r="713" spans="2:5" x14ac:dyDescent="0.2">
      <c r="B713" s="159"/>
      <c r="C713" s="160"/>
      <c r="D713" s="159"/>
      <c r="E713" s="159"/>
    </row>
    <row r="714" spans="2:5" x14ac:dyDescent="0.2">
      <c r="B714" s="159"/>
      <c r="C714" s="160"/>
      <c r="D714" s="159"/>
      <c r="E714" s="159"/>
    </row>
    <row r="715" spans="2:5" x14ac:dyDescent="0.2">
      <c r="B715" s="159"/>
      <c r="C715" s="160"/>
      <c r="D715" s="159"/>
      <c r="E715" s="159"/>
    </row>
    <row r="716" spans="2:5" x14ac:dyDescent="0.2">
      <c r="B716" s="159"/>
      <c r="C716" s="160"/>
      <c r="D716" s="159"/>
      <c r="E716" s="159"/>
    </row>
    <row r="717" spans="2:5" x14ac:dyDescent="0.2">
      <c r="B717" s="159"/>
      <c r="C717" s="160"/>
      <c r="D717" s="159"/>
      <c r="E717" s="159"/>
    </row>
    <row r="718" spans="2:5" x14ac:dyDescent="0.2">
      <c r="B718" s="159"/>
      <c r="C718" s="160"/>
      <c r="D718" s="159"/>
      <c r="E718" s="159"/>
    </row>
    <row r="719" spans="2:5" x14ac:dyDescent="0.2">
      <c r="B719" s="159"/>
      <c r="C719" s="160"/>
      <c r="D719" s="159"/>
      <c r="E719" s="159"/>
    </row>
    <row r="720" spans="2:5" x14ac:dyDescent="0.2">
      <c r="B720" s="159"/>
      <c r="C720" s="160"/>
      <c r="D720" s="159"/>
      <c r="E720" s="159"/>
    </row>
    <row r="721" spans="2:5" x14ac:dyDescent="0.2">
      <c r="B721" s="159"/>
      <c r="C721" s="160"/>
      <c r="D721" s="159"/>
      <c r="E721" s="159"/>
    </row>
    <row r="722" spans="2:5" x14ac:dyDescent="0.2">
      <c r="B722" s="159"/>
      <c r="C722" s="160"/>
      <c r="D722" s="159"/>
      <c r="E722" s="159"/>
    </row>
    <row r="723" spans="2:5" x14ac:dyDescent="0.2">
      <c r="B723" s="159"/>
      <c r="C723" s="160"/>
      <c r="D723" s="159"/>
      <c r="E723" s="159"/>
    </row>
    <row r="724" spans="2:5" x14ac:dyDescent="0.2">
      <c r="B724" s="159"/>
      <c r="C724" s="160"/>
      <c r="D724" s="159"/>
      <c r="E724" s="159"/>
    </row>
    <row r="725" spans="2:5" x14ac:dyDescent="0.2">
      <c r="B725" s="159"/>
      <c r="C725" s="160"/>
      <c r="D725" s="159"/>
      <c r="E725" s="159"/>
    </row>
    <row r="726" spans="2:5" x14ac:dyDescent="0.2">
      <c r="B726" s="159"/>
      <c r="C726" s="160"/>
      <c r="D726" s="159"/>
      <c r="E726" s="159"/>
    </row>
    <row r="727" spans="2:5" x14ac:dyDescent="0.2">
      <c r="B727" s="159"/>
      <c r="C727" s="160"/>
      <c r="D727" s="159"/>
      <c r="E727" s="159"/>
    </row>
    <row r="728" spans="2:5" x14ac:dyDescent="0.2">
      <c r="B728" s="159"/>
      <c r="C728" s="160"/>
      <c r="D728" s="159"/>
      <c r="E728" s="159"/>
    </row>
    <row r="729" spans="2:5" x14ac:dyDescent="0.2">
      <c r="B729" s="159"/>
      <c r="C729" s="160"/>
      <c r="D729" s="159"/>
      <c r="E729" s="159"/>
    </row>
    <row r="730" spans="2:5" x14ac:dyDescent="0.2">
      <c r="B730" s="159"/>
      <c r="C730" s="160"/>
      <c r="D730" s="159"/>
      <c r="E730" s="159"/>
    </row>
    <row r="731" spans="2:5" x14ac:dyDescent="0.2">
      <c r="B731" s="159"/>
      <c r="C731" s="160"/>
      <c r="D731" s="159"/>
      <c r="E731" s="159"/>
    </row>
    <row r="732" spans="2:5" x14ac:dyDescent="0.2">
      <c r="B732" s="159"/>
      <c r="C732" s="160"/>
      <c r="D732" s="159"/>
      <c r="E732" s="159"/>
    </row>
    <row r="733" spans="2:5" x14ac:dyDescent="0.2">
      <c r="B733" s="159"/>
      <c r="C733" s="160"/>
      <c r="D733" s="159"/>
      <c r="E733" s="159"/>
    </row>
    <row r="734" spans="2:5" x14ac:dyDescent="0.2">
      <c r="B734" s="159"/>
      <c r="C734" s="160"/>
      <c r="D734" s="159"/>
      <c r="E734" s="159"/>
    </row>
    <row r="735" spans="2:5" x14ac:dyDescent="0.2">
      <c r="B735" s="159"/>
      <c r="C735" s="160"/>
      <c r="D735" s="159"/>
      <c r="E735" s="159"/>
    </row>
    <row r="736" spans="2:5" x14ac:dyDescent="0.2">
      <c r="B736" s="159"/>
      <c r="C736" s="160"/>
      <c r="D736" s="159"/>
      <c r="E736" s="159"/>
    </row>
    <row r="737" spans="2:5" x14ac:dyDescent="0.2">
      <c r="B737" s="159"/>
      <c r="C737" s="160"/>
      <c r="D737" s="159"/>
      <c r="E737" s="159"/>
    </row>
    <row r="738" spans="2:5" x14ac:dyDescent="0.2">
      <c r="B738" s="159"/>
      <c r="C738" s="160"/>
      <c r="D738" s="159"/>
      <c r="E738" s="159"/>
    </row>
    <row r="739" spans="2:5" x14ac:dyDescent="0.2">
      <c r="B739" s="159"/>
      <c r="C739" s="160"/>
      <c r="D739" s="159"/>
      <c r="E739" s="159"/>
    </row>
    <row r="740" spans="2:5" x14ac:dyDescent="0.2">
      <c r="B740" s="159"/>
      <c r="C740" s="160"/>
      <c r="D740" s="159"/>
      <c r="E740" s="159"/>
    </row>
    <row r="741" spans="2:5" x14ac:dyDescent="0.2">
      <c r="B741" s="159"/>
      <c r="C741" s="160"/>
      <c r="D741" s="159"/>
      <c r="E741" s="159"/>
    </row>
    <row r="742" spans="2:5" x14ac:dyDescent="0.2">
      <c r="B742" s="159"/>
      <c r="C742" s="160"/>
      <c r="D742" s="159"/>
      <c r="E742" s="159"/>
    </row>
    <row r="743" spans="2:5" x14ac:dyDescent="0.2">
      <c r="B743" s="159"/>
      <c r="C743" s="160"/>
      <c r="D743" s="159"/>
      <c r="E743" s="159"/>
    </row>
    <row r="744" spans="2:5" x14ac:dyDescent="0.2">
      <c r="B744" s="159"/>
      <c r="C744" s="160"/>
      <c r="D744" s="159"/>
      <c r="E744" s="159"/>
    </row>
    <row r="745" spans="2:5" x14ac:dyDescent="0.2">
      <c r="B745" s="159"/>
      <c r="C745" s="160"/>
      <c r="D745" s="159"/>
      <c r="E745" s="159"/>
    </row>
    <row r="746" spans="2:5" x14ac:dyDescent="0.2">
      <c r="B746" s="159"/>
      <c r="C746" s="160"/>
      <c r="D746" s="159"/>
      <c r="E746" s="159"/>
    </row>
    <row r="747" spans="2:5" x14ac:dyDescent="0.2">
      <c r="B747" s="159"/>
      <c r="C747" s="160"/>
      <c r="D747" s="159"/>
      <c r="E747" s="159"/>
    </row>
    <row r="748" spans="2:5" x14ac:dyDescent="0.2">
      <c r="B748" s="159"/>
      <c r="C748" s="160"/>
      <c r="D748" s="159"/>
      <c r="E748" s="159"/>
    </row>
    <row r="749" spans="2:5" x14ac:dyDescent="0.2">
      <c r="B749" s="159"/>
      <c r="C749" s="160"/>
      <c r="D749" s="159"/>
      <c r="E749" s="159"/>
    </row>
    <row r="750" spans="2:5" x14ac:dyDescent="0.2">
      <c r="B750" s="159"/>
      <c r="C750" s="160"/>
      <c r="D750" s="159"/>
      <c r="E750" s="159"/>
    </row>
    <row r="751" spans="2:5" x14ac:dyDescent="0.2">
      <c r="B751" s="159"/>
      <c r="C751" s="160"/>
      <c r="D751" s="159"/>
      <c r="E751" s="159"/>
    </row>
    <row r="752" spans="2:5" x14ac:dyDescent="0.2">
      <c r="B752" s="159"/>
      <c r="C752" s="160"/>
      <c r="D752" s="159"/>
      <c r="E752" s="159"/>
    </row>
    <row r="753" spans="2:5" x14ac:dyDescent="0.2">
      <c r="B753" s="159"/>
      <c r="C753" s="160"/>
      <c r="D753" s="159"/>
      <c r="E753" s="159"/>
    </row>
    <row r="754" spans="2:5" x14ac:dyDescent="0.2">
      <c r="B754" s="159"/>
      <c r="C754" s="160"/>
      <c r="D754" s="159"/>
      <c r="E754" s="159"/>
    </row>
    <row r="755" spans="2:5" x14ac:dyDescent="0.2">
      <c r="B755" s="159"/>
      <c r="C755" s="160"/>
      <c r="D755" s="159"/>
      <c r="E755" s="159"/>
    </row>
    <row r="756" spans="2:5" x14ac:dyDescent="0.2">
      <c r="B756" s="159"/>
      <c r="C756" s="160"/>
      <c r="D756" s="159"/>
      <c r="E756" s="159"/>
    </row>
    <row r="757" spans="2:5" x14ac:dyDescent="0.2">
      <c r="B757" s="159"/>
      <c r="C757" s="160"/>
      <c r="D757" s="159"/>
      <c r="E757" s="159"/>
    </row>
    <row r="758" spans="2:5" x14ac:dyDescent="0.2">
      <c r="B758" s="159"/>
      <c r="C758" s="160"/>
      <c r="D758" s="159"/>
      <c r="E758" s="159"/>
    </row>
    <row r="759" spans="2:5" x14ac:dyDescent="0.2">
      <c r="B759" s="159"/>
      <c r="C759" s="160"/>
      <c r="D759" s="159"/>
      <c r="E759" s="159"/>
    </row>
    <row r="760" spans="2:5" x14ac:dyDescent="0.2">
      <c r="B760" s="159"/>
      <c r="C760" s="160"/>
      <c r="D760" s="159"/>
      <c r="E760" s="159"/>
    </row>
    <row r="761" spans="2:5" x14ac:dyDescent="0.2">
      <c r="B761" s="159"/>
      <c r="C761" s="160"/>
      <c r="D761" s="159"/>
      <c r="E761" s="159"/>
    </row>
    <row r="762" spans="2:5" x14ac:dyDescent="0.2">
      <c r="B762" s="159"/>
      <c r="C762" s="160"/>
      <c r="D762" s="159"/>
      <c r="E762" s="159"/>
    </row>
    <row r="763" spans="2:5" x14ac:dyDescent="0.2">
      <c r="B763" s="159"/>
      <c r="C763" s="160"/>
      <c r="D763" s="159"/>
      <c r="E763" s="159"/>
    </row>
    <row r="764" spans="2:5" x14ac:dyDescent="0.2">
      <c r="B764" s="159"/>
      <c r="C764" s="160"/>
      <c r="D764" s="159"/>
      <c r="E764" s="159"/>
    </row>
    <row r="765" spans="2:5" x14ac:dyDescent="0.2">
      <c r="B765" s="159"/>
      <c r="C765" s="160"/>
      <c r="D765" s="159"/>
      <c r="E765" s="159"/>
    </row>
    <row r="766" spans="2:5" x14ac:dyDescent="0.2">
      <c r="B766" s="159"/>
      <c r="C766" s="160"/>
      <c r="D766" s="159"/>
      <c r="E766" s="159"/>
    </row>
    <row r="767" spans="2:5" x14ac:dyDescent="0.2">
      <c r="B767" s="159"/>
      <c r="C767" s="160"/>
      <c r="D767" s="159"/>
      <c r="E767" s="159"/>
    </row>
    <row r="768" spans="2:5" x14ac:dyDescent="0.2">
      <c r="B768" s="159"/>
      <c r="C768" s="160"/>
      <c r="D768" s="159"/>
      <c r="E768" s="159"/>
    </row>
    <row r="769" spans="2:5" x14ac:dyDescent="0.2">
      <c r="B769" s="159"/>
      <c r="C769" s="160"/>
      <c r="D769" s="159"/>
      <c r="E769" s="159"/>
    </row>
    <row r="770" spans="2:5" x14ac:dyDescent="0.2">
      <c r="B770" s="159"/>
      <c r="C770" s="160"/>
      <c r="D770" s="159"/>
      <c r="E770" s="159"/>
    </row>
    <row r="771" spans="2:5" x14ac:dyDescent="0.2">
      <c r="B771" s="159"/>
      <c r="C771" s="160"/>
      <c r="D771" s="159"/>
      <c r="E771" s="159"/>
    </row>
    <row r="772" spans="2:5" x14ac:dyDescent="0.2">
      <c r="B772" s="159"/>
      <c r="C772" s="160"/>
      <c r="D772" s="159"/>
      <c r="E772" s="159"/>
    </row>
    <row r="773" spans="2:5" x14ac:dyDescent="0.2">
      <c r="B773" s="159"/>
      <c r="C773" s="160"/>
      <c r="D773" s="159"/>
      <c r="E773" s="159"/>
    </row>
    <row r="774" spans="2:5" x14ac:dyDescent="0.2">
      <c r="B774" s="159"/>
      <c r="C774" s="160"/>
      <c r="D774" s="159"/>
      <c r="E774" s="159"/>
    </row>
    <row r="775" spans="2:5" x14ac:dyDescent="0.2">
      <c r="B775" s="159"/>
      <c r="C775" s="160"/>
      <c r="D775" s="159"/>
      <c r="E775" s="159"/>
    </row>
    <row r="776" spans="2:5" x14ac:dyDescent="0.2">
      <c r="B776" s="159"/>
      <c r="C776" s="160"/>
      <c r="D776" s="159"/>
      <c r="E776" s="159"/>
    </row>
    <row r="777" spans="2:5" x14ac:dyDescent="0.2">
      <c r="B777" s="159"/>
      <c r="C777" s="160"/>
      <c r="D777" s="159"/>
      <c r="E777" s="159"/>
    </row>
    <row r="778" spans="2:5" x14ac:dyDescent="0.2">
      <c r="B778" s="159"/>
      <c r="C778" s="160"/>
      <c r="D778" s="159"/>
      <c r="E778" s="159"/>
    </row>
    <row r="779" spans="2:5" x14ac:dyDescent="0.2">
      <c r="B779" s="159"/>
      <c r="C779" s="160"/>
      <c r="D779" s="159"/>
      <c r="E779" s="159"/>
    </row>
    <row r="780" spans="2:5" x14ac:dyDescent="0.2">
      <c r="B780" s="159"/>
      <c r="C780" s="160"/>
      <c r="D780" s="159"/>
      <c r="E780" s="159"/>
    </row>
    <row r="781" spans="2:5" x14ac:dyDescent="0.2">
      <c r="B781" s="159"/>
      <c r="C781" s="160"/>
      <c r="D781" s="159"/>
      <c r="E781" s="159"/>
    </row>
    <row r="782" spans="2:5" x14ac:dyDescent="0.2">
      <c r="B782" s="159"/>
      <c r="C782" s="160"/>
      <c r="D782" s="159"/>
      <c r="E782" s="159"/>
    </row>
    <row r="783" spans="2:5" x14ac:dyDescent="0.2">
      <c r="B783" s="159"/>
      <c r="C783" s="160"/>
      <c r="D783" s="159"/>
      <c r="E783" s="159"/>
    </row>
    <row r="784" spans="2:5" x14ac:dyDescent="0.2">
      <c r="B784" s="159"/>
      <c r="C784" s="160"/>
      <c r="D784" s="159"/>
      <c r="E784" s="159"/>
    </row>
    <row r="785" spans="2:5" x14ac:dyDescent="0.2">
      <c r="B785" s="159"/>
      <c r="C785" s="160"/>
      <c r="D785" s="159"/>
      <c r="E785" s="159"/>
    </row>
    <row r="786" spans="2:5" x14ac:dyDescent="0.2">
      <c r="B786" s="159"/>
      <c r="C786" s="160"/>
      <c r="D786" s="159"/>
      <c r="E786" s="159"/>
    </row>
    <row r="787" spans="2:5" x14ac:dyDescent="0.2">
      <c r="B787" s="159"/>
      <c r="C787" s="160"/>
      <c r="D787" s="159"/>
      <c r="E787" s="159"/>
    </row>
    <row r="788" spans="2:5" x14ac:dyDescent="0.2">
      <c r="B788" s="159"/>
      <c r="C788" s="160"/>
      <c r="D788" s="159"/>
      <c r="E788" s="159"/>
    </row>
    <row r="789" spans="2:5" x14ac:dyDescent="0.2">
      <c r="B789" s="159"/>
      <c r="C789" s="160"/>
      <c r="D789" s="159"/>
      <c r="E789" s="159"/>
    </row>
    <row r="790" spans="2:5" x14ac:dyDescent="0.2">
      <c r="B790" s="159"/>
      <c r="C790" s="160"/>
      <c r="D790" s="159"/>
      <c r="E790" s="159"/>
    </row>
    <row r="791" spans="2:5" x14ac:dyDescent="0.2">
      <c r="B791" s="159"/>
      <c r="C791" s="160"/>
      <c r="D791" s="159"/>
      <c r="E791" s="159"/>
    </row>
    <row r="792" spans="2:5" x14ac:dyDescent="0.2">
      <c r="B792" s="159"/>
      <c r="C792" s="160"/>
      <c r="D792" s="159"/>
      <c r="E792" s="159"/>
    </row>
    <row r="793" spans="2:5" x14ac:dyDescent="0.2">
      <c r="B793" s="159"/>
      <c r="C793" s="160"/>
      <c r="D793" s="159"/>
      <c r="E793" s="159"/>
    </row>
    <row r="794" spans="2:5" x14ac:dyDescent="0.2">
      <c r="B794" s="159"/>
      <c r="C794" s="160"/>
      <c r="D794" s="159"/>
      <c r="E794" s="159"/>
    </row>
    <row r="795" spans="2:5" x14ac:dyDescent="0.2">
      <c r="B795" s="159"/>
      <c r="C795" s="160"/>
      <c r="D795" s="159"/>
      <c r="E795" s="159"/>
    </row>
    <row r="796" spans="2:5" x14ac:dyDescent="0.2">
      <c r="B796" s="159"/>
      <c r="C796" s="160"/>
      <c r="D796" s="159"/>
      <c r="E796" s="159"/>
    </row>
    <row r="797" spans="2:5" x14ac:dyDescent="0.2">
      <c r="B797" s="159"/>
      <c r="C797" s="160"/>
      <c r="D797" s="159"/>
      <c r="E797" s="159"/>
    </row>
    <row r="798" spans="2:5" x14ac:dyDescent="0.2">
      <c r="B798" s="159"/>
      <c r="C798" s="160"/>
      <c r="D798" s="159"/>
      <c r="E798" s="159"/>
    </row>
    <row r="799" spans="2:5" x14ac:dyDescent="0.2">
      <c r="B799" s="159"/>
      <c r="C799" s="160"/>
      <c r="D799" s="159"/>
      <c r="E799" s="159"/>
    </row>
    <row r="800" spans="2:5" x14ac:dyDescent="0.2">
      <c r="B800" s="159"/>
      <c r="C800" s="160"/>
      <c r="D800" s="159"/>
      <c r="E800" s="159"/>
    </row>
    <row r="801" spans="2:5" x14ac:dyDescent="0.2">
      <c r="B801" s="159"/>
      <c r="C801" s="160"/>
      <c r="D801" s="159"/>
      <c r="E801" s="159"/>
    </row>
    <row r="802" spans="2:5" x14ac:dyDescent="0.2">
      <c r="B802" s="159"/>
      <c r="C802" s="160"/>
      <c r="D802" s="159"/>
      <c r="E802" s="159"/>
    </row>
    <row r="803" spans="2:5" x14ac:dyDescent="0.2">
      <c r="B803" s="159"/>
      <c r="C803" s="160"/>
      <c r="D803" s="159"/>
      <c r="E803" s="159"/>
    </row>
    <row r="804" spans="2:5" x14ac:dyDescent="0.2">
      <c r="B804" s="159"/>
      <c r="C804" s="160"/>
      <c r="D804" s="159"/>
      <c r="E804" s="159"/>
    </row>
    <row r="805" spans="2:5" x14ac:dyDescent="0.2">
      <c r="B805" s="159"/>
      <c r="C805" s="160"/>
      <c r="D805" s="159"/>
      <c r="E805" s="159"/>
    </row>
    <row r="806" spans="2:5" x14ac:dyDescent="0.2">
      <c r="B806" s="159"/>
      <c r="C806" s="160"/>
      <c r="D806" s="159"/>
      <c r="E806" s="159"/>
    </row>
    <row r="807" spans="2:5" x14ac:dyDescent="0.2">
      <c r="B807" s="159"/>
      <c r="C807" s="160"/>
      <c r="D807" s="159"/>
      <c r="E807" s="159"/>
    </row>
    <row r="808" spans="2:5" x14ac:dyDescent="0.2">
      <c r="B808" s="159"/>
      <c r="C808" s="160"/>
      <c r="D808" s="159"/>
      <c r="E808" s="159"/>
    </row>
    <row r="809" spans="2:5" x14ac:dyDescent="0.2">
      <c r="B809" s="159"/>
      <c r="C809" s="160"/>
      <c r="D809" s="159"/>
      <c r="E809" s="159"/>
    </row>
    <row r="810" spans="2:5" x14ac:dyDescent="0.2">
      <c r="B810" s="159"/>
      <c r="C810" s="160"/>
      <c r="D810" s="159"/>
      <c r="E810" s="159"/>
    </row>
    <row r="811" spans="2:5" x14ac:dyDescent="0.2">
      <c r="B811" s="159"/>
      <c r="C811" s="160"/>
      <c r="D811" s="159"/>
      <c r="E811" s="159"/>
    </row>
    <row r="812" spans="2:5" x14ac:dyDescent="0.2">
      <c r="B812" s="159"/>
      <c r="C812" s="160"/>
      <c r="D812" s="159"/>
      <c r="E812" s="159"/>
    </row>
    <row r="813" spans="2:5" x14ac:dyDescent="0.2">
      <c r="B813" s="159"/>
      <c r="C813" s="160"/>
      <c r="D813" s="159"/>
      <c r="E813" s="159"/>
    </row>
    <row r="814" spans="2:5" x14ac:dyDescent="0.2">
      <c r="B814" s="159"/>
      <c r="C814" s="160"/>
      <c r="D814" s="159"/>
      <c r="E814" s="159"/>
    </row>
    <row r="815" spans="2:5" x14ac:dyDescent="0.2">
      <c r="B815" s="159"/>
      <c r="C815" s="160"/>
      <c r="D815" s="159"/>
      <c r="E815" s="159"/>
    </row>
    <row r="816" spans="2:5" x14ac:dyDescent="0.2">
      <c r="B816" s="159"/>
      <c r="C816" s="160"/>
      <c r="D816" s="159"/>
      <c r="E816" s="159"/>
    </row>
    <row r="817" spans="2:5" x14ac:dyDescent="0.2">
      <c r="B817" s="159"/>
      <c r="C817" s="160"/>
      <c r="D817" s="159"/>
      <c r="E817" s="159"/>
    </row>
    <row r="818" spans="2:5" x14ac:dyDescent="0.2">
      <c r="B818" s="159"/>
      <c r="C818" s="160"/>
      <c r="D818" s="159"/>
      <c r="E818" s="159"/>
    </row>
    <row r="819" spans="2:5" x14ac:dyDescent="0.2">
      <c r="B819" s="159"/>
      <c r="C819" s="160"/>
      <c r="D819" s="159"/>
      <c r="E819" s="159"/>
    </row>
    <row r="820" spans="2:5" x14ac:dyDescent="0.2">
      <c r="B820" s="159"/>
      <c r="C820" s="160"/>
      <c r="D820" s="159"/>
      <c r="E820" s="159"/>
    </row>
    <row r="821" spans="2:5" x14ac:dyDescent="0.2">
      <c r="B821" s="159"/>
      <c r="C821" s="160"/>
      <c r="D821" s="159"/>
      <c r="E821" s="159"/>
    </row>
    <row r="822" spans="2:5" x14ac:dyDescent="0.2">
      <c r="B822" s="159"/>
      <c r="C822" s="160"/>
      <c r="D822" s="159"/>
      <c r="E822" s="159"/>
    </row>
    <row r="823" spans="2:5" x14ac:dyDescent="0.2">
      <c r="B823" s="159"/>
      <c r="C823" s="160"/>
      <c r="D823" s="159"/>
      <c r="E823" s="159"/>
    </row>
    <row r="824" spans="2:5" x14ac:dyDescent="0.2">
      <c r="B824" s="159"/>
      <c r="C824" s="160"/>
      <c r="D824" s="159"/>
      <c r="E824" s="159"/>
    </row>
    <row r="825" spans="2:5" x14ac:dyDescent="0.2">
      <c r="B825" s="159"/>
      <c r="C825" s="160"/>
      <c r="D825" s="159"/>
      <c r="E825" s="159"/>
    </row>
    <row r="826" spans="2:5" x14ac:dyDescent="0.2">
      <c r="B826" s="159"/>
      <c r="C826" s="160"/>
      <c r="D826" s="159"/>
      <c r="E826" s="159"/>
    </row>
    <row r="827" spans="2:5" x14ac:dyDescent="0.2">
      <c r="B827" s="159"/>
      <c r="C827" s="160"/>
      <c r="D827" s="159"/>
      <c r="E827" s="159"/>
    </row>
    <row r="828" spans="2:5" x14ac:dyDescent="0.2">
      <c r="B828" s="159"/>
      <c r="C828" s="160"/>
      <c r="D828" s="159"/>
      <c r="E828" s="159"/>
    </row>
    <row r="829" spans="2:5" x14ac:dyDescent="0.2">
      <c r="B829" s="159"/>
      <c r="C829" s="160"/>
      <c r="D829" s="159"/>
      <c r="E829" s="159"/>
    </row>
    <row r="830" spans="2:5" x14ac:dyDescent="0.2">
      <c r="B830" s="159"/>
      <c r="C830" s="160"/>
      <c r="D830" s="159"/>
      <c r="E830" s="159"/>
    </row>
    <row r="831" spans="2:5" x14ac:dyDescent="0.2">
      <c r="B831" s="159"/>
      <c r="C831" s="160"/>
      <c r="D831" s="159"/>
      <c r="E831" s="159"/>
    </row>
    <row r="832" spans="2:5" x14ac:dyDescent="0.2">
      <c r="B832" s="159"/>
      <c r="C832" s="160"/>
      <c r="D832" s="159"/>
      <c r="E832" s="159"/>
    </row>
    <row r="833" spans="2:10" x14ac:dyDescent="0.2">
      <c r="B833" s="159"/>
      <c r="C833" s="160"/>
      <c r="D833" s="159"/>
      <c r="E833" s="159"/>
    </row>
    <row r="834" spans="2:10" x14ac:dyDescent="0.2">
      <c r="B834" s="159"/>
      <c r="C834" s="160"/>
      <c r="D834" s="159"/>
      <c r="E834" s="159"/>
    </row>
    <row r="835" spans="2:10" x14ac:dyDescent="0.2">
      <c r="B835" s="159"/>
      <c r="C835" s="160"/>
      <c r="D835" s="159"/>
      <c r="E835" s="159"/>
    </row>
    <row r="836" spans="2:10" x14ac:dyDescent="0.2">
      <c r="B836" s="159"/>
      <c r="C836" s="160"/>
      <c r="D836" s="159"/>
      <c r="E836" s="159"/>
    </row>
    <row r="837" spans="2:10" x14ac:dyDescent="0.2">
      <c r="B837" s="159"/>
      <c r="C837" s="160"/>
      <c r="D837" s="159"/>
      <c r="E837" s="159"/>
    </row>
    <row r="838" spans="2:10" x14ac:dyDescent="0.2">
      <c r="B838" s="159"/>
      <c r="C838" s="160"/>
      <c r="D838" s="159"/>
      <c r="E838" s="159"/>
    </row>
    <row r="839" spans="2:10" x14ac:dyDescent="0.2">
      <c r="B839" s="159"/>
      <c r="C839" s="160"/>
      <c r="D839" s="159"/>
      <c r="E839" s="159"/>
    </row>
    <row r="840" spans="2:10" x14ac:dyDescent="0.2">
      <c r="B840" s="159"/>
      <c r="C840" s="160"/>
      <c r="D840" s="159"/>
      <c r="E840" s="159"/>
    </row>
    <row r="841" spans="2:10" x14ac:dyDescent="0.2">
      <c r="B841" s="159"/>
      <c r="C841" s="160"/>
      <c r="D841" s="159"/>
      <c r="E841" s="159"/>
    </row>
    <row r="842" spans="2:10" x14ac:dyDescent="0.2">
      <c r="B842" s="159"/>
      <c r="C842" s="160"/>
      <c r="D842" s="159"/>
      <c r="E842" s="159"/>
    </row>
    <row r="843" spans="2:10" x14ac:dyDescent="0.2">
      <c r="B843" s="159"/>
      <c r="C843" s="160"/>
      <c r="D843" s="159"/>
      <c r="E843" s="159"/>
    </row>
    <row r="844" spans="2:10" x14ac:dyDescent="0.2">
      <c r="B844" s="159"/>
      <c r="C844" s="160"/>
      <c r="D844" s="159"/>
      <c r="E844" s="159"/>
    </row>
    <row r="845" spans="2:10" x14ac:dyDescent="0.2">
      <c r="B845" s="159"/>
      <c r="C845" s="160"/>
      <c r="D845" s="159"/>
      <c r="E845" s="159"/>
    </row>
    <row r="846" spans="2:10" x14ac:dyDescent="0.2">
      <c r="B846" s="159"/>
      <c r="C846" s="160"/>
      <c r="D846" s="159"/>
      <c r="E846" s="159"/>
    </row>
    <row r="847" spans="2:10" x14ac:dyDescent="0.2">
      <c r="B847" s="159"/>
      <c r="C847" s="160"/>
      <c r="D847" s="159"/>
      <c r="E847" s="159"/>
      <c r="I847" s="159"/>
      <c r="J847" s="159"/>
    </row>
    <row r="848" spans="2:10" x14ac:dyDescent="0.2">
      <c r="B848" s="159"/>
      <c r="C848" s="160"/>
      <c r="D848" s="159"/>
      <c r="E848" s="159"/>
      <c r="I848" s="159"/>
      <c r="J848" s="159"/>
    </row>
    <row r="849" spans="2:10" x14ac:dyDescent="0.2">
      <c r="B849" s="159"/>
      <c r="C849" s="160"/>
      <c r="D849" s="159"/>
      <c r="E849" s="159"/>
      <c r="I849" s="159"/>
      <c r="J849" s="159"/>
    </row>
    <row r="850" spans="2:10" x14ac:dyDescent="0.2">
      <c r="B850" s="159"/>
      <c r="C850" s="160"/>
      <c r="D850" s="159"/>
      <c r="E850" s="159"/>
      <c r="I850" s="159"/>
      <c r="J850" s="159"/>
    </row>
    <row r="851" spans="2:10" x14ac:dyDescent="0.2">
      <c r="B851" s="159"/>
      <c r="C851" s="160"/>
      <c r="D851" s="159"/>
      <c r="E851" s="159"/>
      <c r="I851" s="159"/>
    </row>
    <row r="852" spans="2:10" x14ac:dyDescent="0.2">
      <c r="B852" s="159"/>
      <c r="C852" s="160"/>
      <c r="D852" s="159"/>
      <c r="E852" s="159"/>
      <c r="I852" s="159"/>
    </row>
    <row r="853" spans="2:10" x14ac:dyDescent="0.2">
      <c r="B853" s="159"/>
      <c r="C853" s="160"/>
      <c r="D853" s="159"/>
      <c r="E853" s="159"/>
      <c r="I853" s="159"/>
    </row>
    <row r="854" spans="2:10" x14ac:dyDescent="0.2">
      <c r="B854" s="159"/>
      <c r="C854" s="160"/>
      <c r="D854" s="159"/>
      <c r="E854" s="159"/>
      <c r="I854" s="159"/>
    </row>
    <row r="855" spans="2:10" x14ac:dyDescent="0.2">
      <c r="B855" s="159"/>
      <c r="C855" s="160"/>
      <c r="D855" s="159"/>
      <c r="E855" s="159"/>
      <c r="I855" s="159"/>
    </row>
    <row r="856" spans="2:10" x14ac:dyDescent="0.2">
      <c r="B856" s="159"/>
      <c r="C856" s="160"/>
      <c r="D856" s="159"/>
      <c r="E856" s="159"/>
      <c r="I856" s="159"/>
    </row>
    <row r="857" spans="2:10" x14ac:dyDescent="0.2">
      <c r="B857" s="175"/>
      <c r="D857" s="159"/>
      <c r="E857" s="159"/>
      <c r="I857" s="159"/>
      <c r="J857" s="159"/>
    </row>
    <row r="858" spans="2:10" x14ac:dyDescent="0.2">
      <c r="B858" s="175"/>
      <c r="D858" s="159"/>
      <c r="E858" s="159"/>
    </row>
    <row r="859" spans="2:10" x14ac:dyDescent="0.2">
      <c r="B859" s="175"/>
      <c r="D859" s="159"/>
      <c r="E859" s="159"/>
    </row>
    <row r="860" spans="2:10" x14ac:dyDescent="0.2">
      <c r="B860" s="175"/>
      <c r="D860" s="159"/>
      <c r="E860" s="159"/>
    </row>
    <row r="861" spans="2:10" x14ac:dyDescent="0.2">
      <c r="B861" s="175"/>
      <c r="D861" s="159"/>
      <c r="E861" s="159"/>
    </row>
    <row r="862" spans="2:10" x14ac:dyDescent="0.2">
      <c r="B862" s="175"/>
      <c r="D862" s="159"/>
      <c r="E862" s="159"/>
    </row>
    <row r="863" spans="2:10" x14ac:dyDescent="0.2">
      <c r="B863" s="175"/>
      <c r="D863" s="159"/>
      <c r="E863" s="159"/>
    </row>
    <row r="864" spans="2:10" x14ac:dyDescent="0.2">
      <c r="B864" s="175"/>
      <c r="D864" s="159"/>
      <c r="E864" s="159"/>
    </row>
    <row r="865" spans="2:5" x14ac:dyDescent="0.2">
      <c r="B865" s="175"/>
      <c r="D865" s="159"/>
      <c r="E865" s="159"/>
    </row>
    <row r="866" spans="2:5" x14ac:dyDescent="0.2">
      <c r="B866" s="175"/>
      <c r="D866" s="159"/>
      <c r="E866" s="159"/>
    </row>
    <row r="867" spans="2:5" x14ac:dyDescent="0.2">
      <c r="B867" s="175"/>
      <c r="D867" s="159"/>
      <c r="E867" s="159"/>
    </row>
    <row r="868" spans="2:5" x14ac:dyDescent="0.2">
      <c r="B868" s="175"/>
      <c r="D868" s="159"/>
      <c r="E868" s="159"/>
    </row>
    <row r="869" spans="2:5" x14ac:dyDescent="0.2">
      <c r="B869" s="175"/>
      <c r="D869" s="159"/>
      <c r="E869" s="159"/>
    </row>
    <row r="870" spans="2:5" x14ac:dyDescent="0.2">
      <c r="B870" s="175"/>
      <c r="D870" s="159"/>
      <c r="E870" s="159"/>
    </row>
    <row r="871" spans="2:5" x14ac:dyDescent="0.2">
      <c r="B871" s="175"/>
      <c r="D871" s="159"/>
      <c r="E871" s="159"/>
    </row>
    <row r="872" spans="2:5" x14ac:dyDescent="0.2">
      <c r="B872" s="175"/>
      <c r="D872" s="159"/>
      <c r="E872" s="159"/>
    </row>
    <row r="873" spans="2:5" x14ac:dyDescent="0.2">
      <c r="B873" s="175"/>
      <c r="D873" s="159"/>
      <c r="E873" s="159"/>
    </row>
    <row r="874" spans="2:5" x14ac:dyDescent="0.2">
      <c r="B874" s="175"/>
      <c r="D874" s="159"/>
      <c r="E874" s="159"/>
    </row>
    <row r="875" spans="2:5" x14ac:dyDescent="0.2">
      <c r="B875" s="175"/>
      <c r="D875" s="159"/>
      <c r="E875" s="159"/>
    </row>
    <row r="876" spans="2:5" x14ac:dyDescent="0.2">
      <c r="B876" s="175"/>
      <c r="D876" s="159"/>
      <c r="E876" s="159"/>
    </row>
    <row r="877" spans="2:5" x14ac:dyDescent="0.2">
      <c r="B877" s="175"/>
      <c r="D877" s="159"/>
      <c r="E877" s="159"/>
    </row>
    <row r="878" spans="2:5" x14ac:dyDescent="0.2">
      <c r="B878" s="175"/>
      <c r="D878" s="159"/>
      <c r="E878" s="159"/>
    </row>
    <row r="879" spans="2:5" x14ac:dyDescent="0.2">
      <c r="B879" s="175"/>
      <c r="D879" s="159"/>
      <c r="E879" s="159"/>
    </row>
    <row r="880" spans="2:5" x14ac:dyDescent="0.2">
      <c r="B880" s="175"/>
      <c r="D880" s="159"/>
      <c r="E880" s="159"/>
    </row>
    <row r="881" spans="2:5" x14ac:dyDescent="0.2">
      <c r="B881" s="175"/>
      <c r="D881" s="159"/>
      <c r="E881" s="159"/>
    </row>
    <row r="882" spans="2:5" x14ac:dyDescent="0.2">
      <c r="B882" s="175"/>
      <c r="D882" s="159"/>
      <c r="E882" s="159"/>
    </row>
    <row r="883" spans="2:5" x14ac:dyDescent="0.2">
      <c r="B883" s="175"/>
      <c r="D883" s="159"/>
      <c r="E883" s="159"/>
    </row>
    <row r="884" spans="2:5" x14ac:dyDescent="0.2">
      <c r="B884" s="175"/>
      <c r="D884" s="159"/>
      <c r="E884" s="159"/>
    </row>
    <row r="885" spans="2:5" x14ac:dyDescent="0.2">
      <c r="B885" s="175"/>
      <c r="D885" s="159"/>
      <c r="E885" s="159"/>
    </row>
    <row r="886" spans="2:5" x14ac:dyDescent="0.2">
      <c r="B886" s="175"/>
      <c r="D886" s="159"/>
      <c r="E886" s="159"/>
    </row>
    <row r="887" spans="2:5" x14ac:dyDescent="0.2">
      <c r="B887" s="175"/>
      <c r="D887" s="159"/>
      <c r="E887" s="159"/>
    </row>
    <row r="888" spans="2:5" x14ac:dyDescent="0.2">
      <c r="B888" s="175"/>
      <c r="D888" s="159"/>
      <c r="E888" s="159"/>
    </row>
    <row r="889" spans="2:5" x14ac:dyDescent="0.2">
      <c r="B889" s="175"/>
      <c r="D889" s="159"/>
      <c r="E889" s="159"/>
    </row>
    <row r="890" spans="2:5" x14ac:dyDescent="0.2">
      <c r="B890" s="175"/>
      <c r="D890" s="159"/>
      <c r="E890" s="159"/>
    </row>
    <row r="891" spans="2:5" x14ac:dyDescent="0.2">
      <c r="B891" s="175"/>
      <c r="D891" s="159"/>
      <c r="E891" s="159"/>
    </row>
    <row r="892" spans="2:5" x14ac:dyDescent="0.2">
      <c r="B892" s="175"/>
      <c r="D892" s="159"/>
      <c r="E892" s="159"/>
    </row>
    <row r="893" spans="2:5" x14ac:dyDescent="0.2">
      <c r="B893" s="175"/>
      <c r="D893" s="159"/>
      <c r="E893" s="159"/>
    </row>
    <row r="894" spans="2:5" x14ac:dyDescent="0.2">
      <c r="B894" s="175"/>
      <c r="D894" s="159"/>
      <c r="E894" s="159"/>
    </row>
    <row r="895" spans="2:5" x14ac:dyDescent="0.2">
      <c r="B895" s="175"/>
      <c r="D895" s="159"/>
      <c r="E895" s="159"/>
    </row>
    <row r="896" spans="2:5" x14ac:dyDescent="0.2">
      <c r="B896" s="175"/>
      <c r="D896" s="159"/>
      <c r="E896" s="159"/>
    </row>
    <row r="897" spans="2:5" x14ac:dyDescent="0.2">
      <c r="B897" s="175"/>
      <c r="D897" s="159"/>
      <c r="E897" s="159"/>
    </row>
    <row r="898" spans="2:5" x14ac:dyDescent="0.2">
      <c r="B898" s="175"/>
      <c r="D898" s="159"/>
      <c r="E898" s="159"/>
    </row>
    <row r="899" spans="2:5" x14ac:dyDescent="0.2">
      <c r="B899" s="175"/>
      <c r="D899" s="159"/>
      <c r="E899" s="159"/>
    </row>
    <row r="900" spans="2:5" x14ac:dyDescent="0.2">
      <c r="B900" s="175"/>
      <c r="D900" s="159"/>
      <c r="E900" s="159"/>
    </row>
    <row r="901" spans="2:5" x14ac:dyDescent="0.2">
      <c r="B901" s="175"/>
      <c r="D901" s="159"/>
      <c r="E901" s="159"/>
    </row>
    <row r="902" spans="2:5" x14ac:dyDescent="0.2">
      <c r="B902" s="175"/>
      <c r="D902" s="159"/>
      <c r="E902" s="159"/>
    </row>
    <row r="903" spans="2:5" x14ac:dyDescent="0.2">
      <c r="B903" s="175"/>
      <c r="D903" s="159"/>
      <c r="E903" s="159"/>
    </row>
    <row r="904" spans="2:5" x14ac:dyDescent="0.2">
      <c r="B904" s="175"/>
      <c r="D904" s="159"/>
      <c r="E904" s="159"/>
    </row>
    <row r="905" spans="2:5" x14ac:dyDescent="0.2">
      <c r="B905" s="175"/>
      <c r="D905" s="159"/>
      <c r="E905" s="159"/>
    </row>
    <row r="906" spans="2:5" x14ac:dyDescent="0.2">
      <c r="B906" s="175"/>
      <c r="D906" s="159"/>
      <c r="E906" s="159"/>
    </row>
    <row r="907" spans="2:5" x14ac:dyDescent="0.2">
      <c r="B907" s="175"/>
      <c r="D907" s="159"/>
      <c r="E907" s="159"/>
    </row>
    <row r="908" spans="2:5" x14ac:dyDescent="0.2">
      <c r="B908" s="175"/>
      <c r="D908" s="159"/>
      <c r="E908" s="159"/>
    </row>
    <row r="909" spans="2:5" x14ac:dyDescent="0.2">
      <c r="B909" s="175"/>
      <c r="D909" s="159"/>
      <c r="E909" s="159"/>
    </row>
    <row r="910" spans="2:5" x14ac:dyDescent="0.2">
      <c r="B910" s="175"/>
      <c r="D910" s="159"/>
      <c r="E910" s="159"/>
    </row>
    <row r="911" spans="2:5" x14ac:dyDescent="0.2">
      <c r="B911" s="175"/>
      <c r="D911" s="159"/>
      <c r="E911" s="159"/>
    </row>
    <row r="912" spans="2:5" x14ac:dyDescent="0.2">
      <c r="B912" s="175"/>
      <c r="D912" s="159"/>
      <c r="E912" s="159"/>
    </row>
    <row r="913" spans="2:5" x14ac:dyDescent="0.2">
      <c r="B913" s="175"/>
      <c r="D913" s="159"/>
      <c r="E913" s="159"/>
    </row>
    <row r="914" spans="2:5" x14ac:dyDescent="0.2">
      <c r="B914" s="175"/>
      <c r="D914" s="159"/>
      <c r="E914" s="159"/>
    </row>
    <row r="915" spans="2:5" x14ac:dyDescent="0.2">
      <c r="B915" s="175"/>
      <c r="D915" s="159"/>
      <c r="E915" s="159"/>
    </row>
    <row r="916" spans="2:5" x14ac:dyDescent="0.2">
      <c r="B916" s="175"/>
      <c r="D916" s="159"/>
      <c r="E916" s="159"/>
    </row>
    <row r="917" spans="2:5" x14ac:dyDescent="0.2">
      <c r="B917" s="175"/>
      <c r="D917" s="159"/>
      <c r="E917" s="159"/>
    </row>
    <row r="918" spans="2:5" x14ac:dyDescent="0.2">
      <c r="B918" s="175"/>
      <c r="D918" s="159"/>
      <c r="E918" s="159"/>
    </row>
    <row r="919" spans="2:5" x14ac:dyDescent="0.2">
      <c r="B919" s="175"/>
      <c r="D919" s="159"/>
      <c r="E919" s="159"/>
    </row>
    <row r="920" spans="2:5" x14ac:dyDescent="0.2">
      <c r="B920" s="175"/>
      <c r="D920" s="159"/>
      <c r="E920" s="159"/>
    </row>
    <row r="921" spans="2:5" x14ac:dyDescent="0.2">
      <c r="B921" s="175"/>
      <c r="D921" s="159"/>
      <c r="E921" s="159"/>
    </row>
    <row r="922" spans="2:5" x14ac:dyDescent="0.2">
      <c r="B922" s="175"/>
      <c r="D922" s="159"/>
      <c r="E922" s="159"/>
    </row>
    <row r="923" spans="2:5" x14ac:dyDescent="0.2">
      <c r="B923" s="175"/>
      <c r="D923" s="159"/>
      <c r="E923" s="159"/>
    </row>
    <row r="924" spans="2:5" x14ac:dyDescent="0.2">
      <c r="B924" s="175"/>
      <c r="D924" s="159"/>
      <c r="E924" s="159"/>
    </row>
    <row r="925" spans="2:5" x14ac:dyDescent="0.2">
      <c r="B925" s="175"/>
      <c r="D925" s="159"/>
      <c r="E925" s="159"/>
    </row>
    <row r="926" spans="2:5" x14ac:dyDescent="0.2">
      <c r="B926" s="175"/>
      <c r="D926" s="159"/>
      <c r="E926" s="159"/>
    </row>
    <row r="927" spans="2:5" x14ac:dyDescent="0.2">
      <c r="B927" s="175"/>
      <c r="D927" s="159"/>
      <c r="E927" s="159"/>
    </row>
    <row r="928" spans="2:5" x14ac:dyDescent="0.2">
      <c r="B928" s="175"/>
      <c r="D928" s="159"/>
      <c r="E928" s="159"/>
    </row>
    <row r="929" spans="2:5" x14ac:dyDescent="0.2">
      <c r="B929" s="175"/>
      <c r="D929" s="159"/>
      <c r="E929" s="159"/>
    </row>
    <row r="930" spans="2:5" x14ac:dyDescent="0.2">
      <c r="B930" s="175"/>
      <c r="D930" s="159"/>
      <c r="E930" s="159"/>
    </row>
    <row r="931" spans="2:5" x14ac:dyDescent="0.2">
      <c r="B931" s="175"/>
      <c r="D931" s="159"/>
      <c r="E931" s="159"/>
    </row>
    <row r="932" spans="2:5" x14ac:dyDescent="0.2">
      <c r="B932" s="175"/>
      <c r="D932" s="159"/>
      <c r="E932" s="159"/>
    </row>
    <row r="933" spans="2:5" x14ac:dyDescent="0.2">
      <c r="B933" s="175"/>
      <c r="D933" s="159"/>
      <c r="E933" s="159"/>
    </row>
    <row r="934" spans="2:5" x14ac:dyDescent="0.2">
      <c r="B934" s="175"/>
      <c r="D934" s="159"/>
      <c r="E934" s="159"/>
    </row>
    <row r="935" spans="2:5" x14ac:dyDescent="0.2">
      <c r="B935" s="175"/>
      <c r="D935" s="159"/>
      <c r="E935" s="159"/>
    </row>
    <row r="936" spans="2:5" x14ac:dyDescent="0.2">
      <c r="B936" s="175"/>
      <c r="D936" s="159"/>
      <c r="E936" s="159"/>
    </row>
    <row r="937" spans="2:5" x14ac:dyDescent="0.2">
      <c r="B937" s="175"/>
      <c r="D937" s="159"/>
      <c r="E937" s="159"/>
    </row>
    <row r="938" spans="2:5" x14ac:dyDescent="0.2">
      <c r="B938" s="175"/>
      <c r="D938" s="159"/>
      <c r="E938" s="159"/>
    </row>
    <row r="939" spans="2:5" x14ac:dyDescent="0.2">
      <c r="B939" s="175"/>
      <c r="D939" s="159"/>
      <c r="E939" s="159"/>
    </row>
    <row r="940" spans="2:5" x14ac:dyDescent="0.2">
      <c r="B940" s="175"/>
      <c r="D940" s="159"/>
      <c r="E940" s="159"/>
    </row>
    <row r="941" spans="2:5" x14ac:dyDescent="0.2">
      <c r="B941" s="175"/>
      <c r="D941" s="159"/>
      <c r="E941" s="159"/>
    </row>
    <row r="942" spans="2:5" x14ac:dyDescent="0.2">
      <c r="B942" s="175"/>
      <c r="D942" s="159"/>
      <c r="E942" s="159"/>
    </row>
    <row r="943" spans="2:5" x14ac:dyDescent="0.2">
      <c r="B943" s="175"/>
      <c r="D943" s="159"/>
      <c r="E943" s="159"/>
    </row>
    <row r="944" spans="2:5" x14ac:dyDescent="0.2">
      <c r="B944" s="175"/>
      <c r="D944" s="159"/>
      <c r="E944" s="159"/>
    </row>
    <row r="945" spans="2:5" x14ac:dyDescent="0.2">
      <c r="B945" s="175"/>
      <c r="D945" s="159"/>
      <c r="E945" s="159"/>
    </row>
    <row r="946" spans="2:5" x14ac:dyDescent="0.2">
      <c r="B946" s="175"/>
      <c r="D946" s="159"/>
      <c r="E946" s="159"/>
    </row>
    <row r="947" spans="2:5" x14ac:dyDescent="0.2">
      <c r="B947" s="175"/>
      <c r="D947" s="159"/>
      <c r="E947" s="159"/>
    </row>
    <row r="948" spans="2:5" x14ac:dyDescent="0.2">
      <c r="B948" s="175"/>
      <c r="D948" s="159"/>
      <c r="E948" s="159"/>
    </row>
    <row r="949" spans="2:5" x14ac:dyDescent="0.2">
      <c r="B949" s="175"/>
      <c r="D949" s="159"/>
      <c r="E949" s="159"/>
    </row>
    <row r="950" spans="2:5" x14ac:dyDescent="0.2">
      <c r="B950" s="175"/>
      <c r="D950" s="159"/>
      <c r="E950" s="159"/>
    </row>
    <row r="951" spans="2:5" x14ac:dyDescent="0.2">
      <c r="B951" s="175"/>
      <c r="D951" s="159"/>
      <c r="E951" s="159"/>
    </row>
    <row r="952" spans="2:5" x14ac:dyDescent="0.2">
      <c r="B952" s="175"/>
      <c r="D952" s="159"/>
      <c r="E952" s="159"/>
    </row>
    <row r="953" spans="2:5" x14ac:dyDescent="0.2">
      <c r="B953" s="175"/>
      <c r="D953" s="159"/>
      <c r="E953" s="159"/>
    </row>
    <row r="954" spans="2:5" x14ac:dyDescent="0.2">
      <c r="B954" s="175"/>
      <c r="D954" s="159"/>
      <c r="E954" s="159"/>
    </row>
    <row r="955" spans="2:5" x14ac:dyDescent="0.2">
      <c r="B955" s="175"/>
      <c r="D955" s="159"/>
      <c r="E955" s="159"/>
    </row>
    <row r="956" spans="2:5" x14ac:dyDescent="0.2">
      <c r="B956" s="175"/>
      <c r="D956" s="159"/>
      <c r="E956" s="159"/>
    </row>
    <row r="957" spans="2:5" x14ac:dyDescent="0.2">
      <c r="B957" s="175"/>
      <c r="D957" s="159"/>
      <c r="E957" s="159"/>
    </row>
    <row r="958" spans="2:5" x14ac:dyDescent="0.2">
      <c r="B958" s="175"/>
      <c r="D958" s="159"/>
      <c r="E958" s="159"/>
    </row>
    <row r="959" spans="2:5" x14ac:dyDescent="0.2">
      <c r="B959" s="175"/>
      <c r="D959" s="159"/>
      <c r="E959" s="159"/>
    </row>
    <row r="960" spans="2:5" x14ac:dyDescent="0.2">
      <c r="B960" s="175"/>
      <c r="D960" s="159"/>
      <c r="E960" s="159"/>
    </row>
    <row r="961" spans="2:5" x14ac:dyDescent="0.2">
      <c r="B961" s="175"/>
      <c r="D961" s="159"/>
      <c r="E961" s="159"/>
    </row>
    <row r="962" spans="2:5" x14ac:dyDescent="0.2">
      <c r="B962" s="175"/>
      <c r="D962" s="159"/>
      <c r="E962" s="159"/>
    </row>
    <row r="963" spans="2:5" x14ac:dyDescent="0.2">
      <c r="B963" s="175"/>
      <c r="D963" s="159"/>
      <c r="E963" s="159"/>
    </row>
    <row r="964" spans="2:5" x14ac:dyDescent="0.2">
      <c r="B964" s="175"/>
      <c r="D964" s="159"/>
      <c r="E964" s="159"/>
    </row>
    <row r="965" spans="2:5" x14ac:dyDescent="0.2">
      <c r="B965" s="175"/>
      <c r="D965" s="159"/>
      <c r="E965" s="159"/>
    </row>
    <row r="966" spans="2:5" x14ac:dyDescent="0.2">
      <c r="B966" s="175"/>
      <c r="D966" s="159"/>
      <c r="E966" s="159"/>
    </row>
    <row r="967" spans="2:5" x14ac:dyDescent="0.2">
      <c r="B967" s="175"/>
      <c r="D967" s="159"/>
      <c r="E967" s="159"/>
    </row>
    <row r="968" spans="2:5" x14ac:dyDescent="0.2">
      <c r="B968" s="175"/>
      <c r="D968" s="159"/>
      <c r="E968" s="159"/>
    </row>
    <row r="969" spans="2:5" x14ac:dyDescent="0.2">
      <c r="B969" s="175"/>
      <c r="D969" s="159"/>
      <c r="E969" s="159"/>
    </row>
    <row r="970" spans="2:5" x14ac:dyDescent="0.2">
      <c r="B970" s="175"/>
      <c r="D970" s="159"/>
      <c r="E970" s="159"/>
    </row>
    <row r="971" spans="2:5" x14ac:dyDescent="0.2">
      <c r="B971" s="175"/>
      <c r="D971" s="159"/>
      <c r="E971" s="159"/>
    </row>
    <row r="972" spans="2:5" x14ac:dyDescent="0.2">
      <c r="B972" s="175"/>
      <c r="D972" s="159"/>
      <c r="E972" s="159"/>
    </row>
    <row r="973" spans="2:5" x14ac:dyDescent="0.2">
      <c r="B973" s="175"/>
      <c r="D973" s="159"/>
      <c r="E973" s="159"/>
    </row>
    <row r="974" spans="2:5" x14ac:dyDescent="0.2">
      <c r="B974" s="175"/>
      <c r="D974" s="159"/>
      <c r="E974" s="159"/>
    </row>
    <row r="975" spans="2:5" x14ac:dyDescent="0.2">
      <c r="B975" s="175"/>
      <c r="D975" s="159"/>
      <c r="E975" s="159"/>
    </row>
    <row r="976" spans="2:5" x14ac:dyDescent="0.2">
      <c r="B976" s="175"/>
      <c r="D976" s="159"/>
      <c r="E976" s="159"/>
    </row>
    <row r="977" spans="2:5" x14ac:dyDescent="0.2">
      <c r="B977" s="175"/>
      <c r="D977" s="159"/>
      <c r="E977" s="159"/>
    </row>
    <row r="978" spans="2:5" x14ac:dyDescent="0.2">
      <c r="B978" s="175"/>
      <c r="D978" s="159"/>
      <c r="E978" s="159"/>
    </row>
    <row r="979" spans="2:5" x14ac:dyDescent="0.2">
      <c r="B979" s="175"/>
      <c r="D979" s="159"/>
      <c r="E979" s="159"/>
    </row>
    <row r="980" spans="2:5" x14ac:dyDescent="0.2">
      <c r="B980" s="175"/>
      <c r="D980" s="159"/>
      <c r="E980" s="159"/>
    </row>
    <row r="981" spans="2:5" x14ac:dyDescent="0.2">
      <c r="B981" s="175"/>
      <c r="D981" s="159"/>
      <c r="E981" s="159"/>
    </row>
    <row r="982" spans="2:5" x14ac:dyDescent="0.2">
      <c r="B982" s="175"/>
      <c r="D982" s="159"/>
      <c r="E982" s="159"/>
    </row>
    <row r="983" spans="2:5" x14ac:dyDescent="0.2">
      <c r="B983" s="175"/>
      <c r="D983" s="159"/>
      <c r="E983" s="159"/>
    </row>
    <row r="984" spans="2:5" x14ac:dyDescent="0.2">
      <c r="B984" s="175"/>
      <c r="D984" s="159"/>
      <c r="E984" s="159"/>
    </row>
    <row r="985" spans="2:5" x14ac:dyDescent="0.2">
      <c r="B985" s="175"/>
      <c r="D985" s="159"/>
      <c r="E985" s="159"/>
    </row>
    <row r="986" spans="2:5" x14ac:dyDescent="0.2">
      <c r="B986" s="175"/>
      <c r="D986" s="159"/>
      <c r="E986" s="159"/>
    </row>
    <row r="987" spans="2:5" x14ac:dyDescent="0.2">
      <c r="B987" s="175"/>
      <c r="D987" s="159"/>
      <c r="E987" s="159"/>
    </row>
    <row r="988" spans="2:5" x14ac:dyDescent="0.2">
      <c r="B988" s="175"/>
      <c r="D988" s="159"/>
      <c r="E988" s="159"/>
    </row>
    <row r="989" spans="2:5" x14ac:dyDescent="0.2">
      <c r="B989" s="175"/>
      <c r="D989" s="159"/>
      <c r="E989" s="159"/>
    </row>
    <row r="990" spans="2:5" x14ac:dyDescent="0.2">
      <c r="B990" s="175"/>
      <c r="D990" s="159"/>
      <c r="E990" s="159"/>
    </row>
    <row r="991" spans="2:5" x14ac:dyDescent="0.2">
      <c r="B991" s="175"/>
      <c r="D991" s="159"/>
      <c r="E991" s="159"/>
    </row>
    <row r="992" spans="2:5" x14ac:dyDescent="0.2">
      <c r="B992" s="175"/>
      <c r="D992" s="159"/>
      <c r="E992" s="159"/>
    </row>
    <row r="993" spans="2:5" x14ac:dyDescent="0.2">
      <c r="B993" s="175"/>
      <c r="D993" s="159"/>
      <c r="E993" s="159"/>
    </row>
    <row r="994" spans="2:5" x14ac:dyDescent="0.2">
      <c r="B994" s="175"/>
      <c r="D994" s="159"/>
      <c r="E994" s="159"/>
    </row>
    <row r="995" spans="2:5" x14ac:dyDescent="0.2">
      <c r="B995" s="175"/>
      <c r="D995" s="159"/>
      <c r="E995" s="159"/>
    </row>
    <row r="996" spans="2:5" x14ac:dyDescent="0.2">
      <c r="B996" s="175"/>
      <c r="D996" s="159"/>
      <c r="E996" s="159"/>
    </row>
    <row r="997" spans="2:5" x14ac:dyDescent="0.2">
      <c r="B997" s="175"/>
      <c r="D997" s="159"/>
      <c r="E997" s="159"/>
    </row>
    <row r="998" spans="2:5" x14ac:dyDescent="0.2">
      <c r="B998" s="175"/>
      <c r="D998" s="159"/>
      <c r="E998" s="159"/>
    </row>
    <row r="999" spans="2:5" x14ac:dyDescent="0.2">
      <c r="B999" s="175"/>
      <c r="D999" s="159"/>
      <c r="E999" s="159"/>
    </row>
    <row r="1000" spans="2:5" x14ac:dyDescent="0.2">
      <c r="B1000" s="175"/>
      <c r="D1000" s="159"/>
      <c r="E1000" s="159"/>
    </row>
    <row r="1001" spans="2:5" x14ac:dyDescent="0.2">
      <c r="B1001" s="175"/>
      <c r="D1001" s="159"/>
      <c r="E1001" s="159"/>
    </row>
    <row r="1002" spans="2:5" x14ac:dyDescent="0.2">
      <c r="B1002" s="175"/>
      <c r="D1002" s="159"/>
      <c r="E1002" s="159"/>
    </row>
    <row r="1003" spans="2:5" x14ac:dyDescent="0.2">
      <c r="B1003" s="175"/>
      <c r="D1003" s="159"/>
      <c r="E1003" s="159"/>
    </row>
    <row r="1004" spans="2:5" x14ac:dyDescent="0.2">
      <c r="B1004" s="175"/>
      <c r="D1004" s="159"/>
      <c r="E1004" s="159"/>
    </row>
    <row r="1005" spans="2:5" x14ac:dyDescent="0.2">
      <c r="B1005" s="175"/>
      <c r="D1005" s="159"/>
      <c r="E1005" s="159"/>
    </row>
    <row r="1006" spans="2:5" x14ac:dyDescent="0.2">
      <c r="B1006" s="175"/>
      <c r="D1006" s="159"/>
      <c r="E1006" s="159"/>
    </row>
    <row r="1007" spans="2:5" x14ac:dyDescent="0.2">
      <c r="B1007" s="175"/>
      <c r="D1007" s="159"/>
      <c r="E1007" s="159"/>
    </row>
    <row r="1008" spans="2:5" x14ac:dyDescent="0.2">
      <c r="B1008" s="175"/>
      <c r="D1008" s="159"/>
      <c r="E1008" s="159"/>
    </row>
    <row r="1009" spans="2:5" x14ac:dyDescent="0.2">
      <c r="B1009" s="175"/>
      <c r="D1009" s="159"/>
      <c r="E1009" s="159"/>
    </row>
    <row r="1010" spans="2:5" x14ac:dyDescent="0.2">
      <c r="B1010" s="175"/>
      <c r="D1010" s="159"/>
      <c r="E1010" s="159"/>
    </row>
    <row r="1011" spans="2:5" x14ac:dyDescent="0.2">
      <c r="B1011" s="175"/>
      <c r="D1011" s="159"/>
      <c r="E1011" s="159"/>
    </row>
    <row r="1012" spans="2:5" x14ac:dyDescent="0.2">
      <c r="B1012" s="175"/>
      <c r="D1012" s="159"/>
      <c r="E1012" s="159"/>
    </row>
    <row r="1013" spans="2:5" x14ac:dyDescent="0.2">
      <c r="B1013" s="175"/>
      <c r="D1013" s="159"/>
      <c r="E1013" s="159"/>
    </row>
    <row r="1014" spans="2:5" x14ac:dyDescent="0.2">
      <c r="B1014" s="175"/>
      <c r="D1014" s="159"/>
      <c r="E1014" s="159"/>
    </row>
    <row r="1015" spans="2:5" x14ac:dyDescent="0.2">
      <c r="B1015" s="175"/>
      <c r="D1015" s="159"/>
      <c r="E1015" s="159"/>
    </row>
    <row r="1016" spans="2:5" x14ac:dyDescent="0.2">
      <c r="B1016" s="175"/>
      <c r="D1016" s="159"/>
      <c r="E1016" s="159"/>
    </row>
    <row r="1017" spans="2:5" x14ac:dyDescent="0.2">
      <c r="B1017" s="175"/>
      <c r="D1017" s="159"/>
      <c r="E1017" s="159"/>
    </row>
    <row r="1018" spans="2:5" x14ac:dyDescent="0.2">
      <c r="B1018" s="175"/>
      <c r="D1018" s="159"/>
      <c r="E1018" s="159"/>
    </row>
    <row r="1019" spans="2:5" x14ac:dyDescent="0.2">
      <c r="B1019" s="175"/>
      <c r="D1019" s="159"/>
      <c r="E1019" s="159"/>
    </row>
    <row r="1020" spans="2:5" x14ac:dyDescent="0.2">
      <c r="B1020" s="175"/>
      <c r="D1020" s="159"/>
      <c r="E1020" s="159"/>
    </row>
    <row r="1021" spans="2:5" x14ac:dyDescent="0.2">
      <c r="B1021" s="175"/>
      <c r="D1021" s="159"/>
      <c r="E1021" s="159"/>
    </row>
    <row r="1022" spans="2:5" x14ac:dyDescent="0.2">
      <c r="B1022" s="175"/>
      <c r="D1022" s="159"/>
      <c r="E1022" s="159"/>
    </row>
    <row r="1023" spans="2:5" x14ac:dyDescent="0.2">
      <c r="B1023" s="175"/>
      <c r="D1023" s="159"/>
      <c r="E1023" s="159"/>
    </row>
    <row r="1024" spans="2:5" x14ac:dyDescent="0.2">
      <c r="B1024" s="175"/>
      <c r="D1024" s="159"/>
      <c r="E1024" s="159"/>
    </row>
    <row r="1025" spans="2:5" x14ac:dyDescent="0.2">
      <c r="B1025" s="175"/>
      <c r="D1025" s="159"/>
      <c r="E1025" s="159"/>
    </row>
    <row r="1026" spans="2:5" x14ac:dyDescent="0.2">
      <c r="B1026" s="175"/>
      <c r="D1026" s="159"/>
      <c r="E1026" s="159"/>
    </row>
    <row r="1027" spans="2:5" x14ac:dyDescent="0.2">
      <c r="B1027" s="175"/>
      <c r="D1027" s="159"/>
      <c r="E1027" s="159"/>
    </row>
    <row r="1028" spans="2:5" x14ac:dyDescent="0.2">
      <c r="B1028" s="175"/>
      <c r="D1028" s="159"/>
      <c r="E1028" s="159"/>
    </row>
    <row r="1029" spans="2:5" x14ac:dyDescent="0.2">
      <c r="B1029" s="175"/>
      <c r="D1029" s="159"/>
      <c r="E1029" s="159"/>
    </row>
    <row r="1030" spans="2:5" x14ac:dyDescent="0.2">
      <c r="B1030" s="175"/>
      <c r="D1030" s="159"/>
      <c r="E1030" s="159"/>
    </row>
    <row r="1031" spans="2:5" x14ac:dyDescent="0.2">
      <c r="B1031" s="175"/>
      <c r="D1031" s="159"/>
      <c r="E1031" s="159"/>
    </row>
    <row r="1032" spans="2:5" x14ac:dyDescent="0.2">
      <c r="B1032" s="175"/>
      <c r="D1032" s="159"/>
      <c r="E1032" s="159"/>
    </row>
    <row r="1033" spans="2:5" x14ac:dyDescent="0.2">
      <c r="B1033" s="175"/>
      <c r="D1033" s="159"/>
      <c r="E1033" s="159"/>
    </row>
    <row r="1034" spans="2:5" x14ac:dyDescent="0.2">
      <c r="B1034" s="175"/>
      <c r="D1034" s="159"/>
      <c r="E1034" s="159"/>
    </row>
    <row r="1035" spans="2:5" x14ac:dyDescent="0.2">
      <c r="B1035" s="175"/>
      <c r="D1035" s="159"/>
      <c r="E1035" s="159"/>
    </row>
    <row r="1036" spans="2:5" x14ac:dyDescent="0.2">
      <c r="B1036" s="175"/>
      <c r="D1036" s="159"/>
      <c r="E1036" s="159"/>
    </row>
    <row r="1037" spans="2:5" x14ac:dyDescent="0.2">
      <c r="B1037" s="175"/>
      <c r="D1037" s="159"/>
      <c r="E1037" s="159"/>
    </row>
    <row r="1038" spans="2:5" x14ac:dyDescent="0.2">
      <c r="B1038" s="175"/>
      <c r="D1038" s="159"/>
      <c r="E1038" s="159"/>
    </row>
    <row r="1039" spans="2:5" x14ac:dyDescent="0.2">
      <c r="B1039" s="175"/>
      <c r="D1039" s="159"/>
      <c r="E1039" s="159"/>
    </row>
    <row r="1040" spans="2:5" x14ac:dyDescent="0.2">
      <c r="B1040" s="175"/>
      <c r="D1040" s="159"/>
      <c r="E1040" s="159"/>
    </row>
    <row r="1041" spans="2:5" x14ac:dyDescent="0.2">
      <c r="B1041" s="175"/>
      <c r="D1041" s="159"/>
      <c r="E1041" s="159"/>
    </row>
    <row r="1042" spans="2:5" x14ac:dyDescent="0.2">
      <c r="B1042" s="175"/>
      <c r="D1042" s="159"/>
      <c r="E1042" s="159"/>
    </row>
    <row r="1043" spans="2:5" x14ac:dyDescent="0.2">
      <c r="B1043" s="175"/>
      <c r="D1043" s="159"/>
      <c r="E1043" s="159"/>
    </row>
    <row r="1044" spans="2:5" x14ac:dyDescent="0.2">
      <c r="B1044" s="175"/>
      <c r="D1044" s="159"/>
      <c r="E1044" s="159"/>
    </row>
    <row r="1045" spans="2:5" x14ac:dyDescent="0.2">
      <c r="B1045" s="175"/>
      <c r="D1045" s="159"/>
      <c r="E1045" s="159"/>
    </row>
    <row r="1046" spans="2:5" x14ac:dyDescent="0.2">
      <c r="B1046" s="175"/>
      <c r="D1046" s="159"/>
      <c r="E1046" s="159"/>
    </row>
    <row r="1047" spans="2:5" x14ac:dyDescent="0.2">
      <c r="B1047" s="175"/>
      <c r="D1047" s="159"/>
      <c r="E1047" s="159"/>
    </row>
    <row r="1048" spans="2:5" x14ac:dyDescent="0.2">
      <c r="B1048" s="175"/>
      <c r="D1048" s="159"/>
      <c r="E1048" s="159"/>
    </row>
    <row r="1049" spans="2:5" x14ac:dyDescent="0.2">
      <c r="B1049" s="175"/>
      <c r="D1049" s="159"/>
      <c r="E1049" s="159"/>
    </row>
    <row r="1050" spans="2:5" x14ac:dyDescent="0.2">
      <c r="B1050" s="175"/>
      <c r="D1050" s="159"/>
      <c r="E1050" s="159"/>
    </row>
    <row r="1051" spans="2:5" x14ac:dyDescent="0.2">
      <c r="B1051" s="175"/>
      <c r="D1051" s="159"/>
      <c r="E1051" s="159"/>
    </row>
    <row r="1052" spans="2:5" x14ac:dyDescent="0.2">
      <c r="B1052" s="175"/>
      <c r="D1052" s="159"/>
      <c r="E1052" s="159"/>
    </row>
    <row r="1053" spans="2:5" x14ac:dyDescent="0.2">
      <c r="B1053" s="175"/>
      <c r="D1053" s="159"/>
      <c r="E1053" s="159"/>
    </row>
    <row r="1054" spans="2:5" x14ac:dyDescent="0.2">
      <c r="B1054" s="175"/>
      <c r="D1054" s="159"/>
      <c r="E1054" s="159"/>
    </row>
    <row r="1055" spans="2:5" x14ac:dyDescent="0.2">
      <c r="B1055" s="175"/>
      <c r="D1055" s="159"/>
      <c r="E1055" s="159"/>
    </row>
    <row r="1056" spans="2:5" x14ac:dyDescent="0.2">
      <c r="B1056" s="175"/>
      <c r="D1056" s="159"/>
      <c r="E1056" s="159"/>
    </row>
    <row r="1057" spans="2:5" x14ac:dyDescent="0.2">
      <c r="B1057" s="175"/>
      <c r="D1057" s="159"/>
      <c r="E1057" s="159"/>
    </row>
    <row r="1058" spans="2:5" x14ac:dyDescent="0.2">
      <c r="B1058" s="175"/>
      <c r="D1058" s="159"/>
      <c r="E1058" s="159"/>
    </row>
    <row r="1059" spans="2:5" x14ac:dyDescent="0.2">
      <c r="B1059" s="175"/>
      <c r="D1059" s="159"/>
      <c r="E1059" s="159"/>
    </row>
    <row r="1060" spans="2:5" x14ac:dyDescent="0.2">
      <c r="B1060" s="175"/>
      <c r="D1060" s="159"/>
      <c r="E1060" s="159"/>
    </row>
    <row r="1061" spans="2:5" x14ac:dyDescent="0.2">
      <c r="B1061" s="175"/>
      <c r="D1061" s="159"/>
      <c r="E1061" s="159"/>
    </row>
    <row r="1062" spans="2:5" x14ac:dyDescent="0.2">
      <c r="B1062" s="175"/>
      <c r="D1062" s="159"/>
      <c r="E1062" s="159"/>
    </row>
    <row r="1063" spans="2:5" x14ac:dyDescent="0.2">
      <c r="B1063" s="175"/>
      <c r="D1063" s="159"/>
      <c r="E1063" s="159"/>
    </row>
    <row r="1064" spans="2:5" x14ac:dyDescent="0.2">
      <c r="B1064" s="175"/>
      <c r="D1064" s="159"/>
      <c r="E1064" s="159"/>
    </row>
    <row r="1065" spans="2:5" x14ac:dyDescent="0.2">
      <c r="B1065" s="175"/>
      <c r="D1065" s="159"/>
      <c r="E1065" s="159"/>
    </row>
    <row r="1066" spans="2:5" x14ac:dyDescent="0.2">
      <c r="B1066" s="175"/>
      <c r="D1066" s="159"/>
      <c r="E1066" s="159"/>
    </row>
    <row r="1067" spans="2:5" x14ac:dyDescent="0.2">
      <c r="B1067" s="175"/>
      <c r="D1067" s="159"/>
      <c r="E1067" s="159"/>
    </row>
    <row r="1068" spans="2:5" x14ac:dyDescent="0.2">
      <c r="B1068" s="175"/>
      <c r="D1068" s="159"/>
      <c r="E1068" s="159"/>
    </row>
    <row r="1069" spans="2:5" x14ac:dyDescent="0.2">
      <c r="B1069" s="175"/>
      <c r="D1069" s="159"/>
      <c r="E1069" s="159"/>
    </row>
    <row r="1070" spans="2:5" x14ac:dyDescent="0.2">
      <c r="B1070" s="175"/>
      <c r="D1070" s="159"/>
      <c r="E1070" s="159"/>
    </row>
    <row r="1071" spans="2:5" x14ac:dyDescent="0.2">
      <c r="B1071" s="175"/>
      <c r="D1071" s="159"/>
      <c r="E1071" s="159"/>
    </row>
    <row r="1072" spans="2:5" x14ac:dyDescent="0.2">
      <c r="B1072" s="175"/>
      <c r="D1072" s="159"/>
      <c r="E1072" s="159"/>
    </row>
    <row r="1073" spans="2:5" x14ac:dyDescent="0.2">
      <c r="B1073" s="175"/>
      <c r="D1073" s="159"/>
      <c r="E1073" s="159"/>
    </row>
    <row r="1074" spans="2:5" x14ac:dyDescent="0.2">
      <c r="B1074" s="175"/>
      <c r="D1074" s="159"/>
      <c r="E1074" s="159"/>
    </row>
    <row r="1075" spans="2:5" x14ac:dyDescent="0.2">
      <c r="B1075" s="175"/>
      <c r="D1075" s="159"/>
      <c r="E1075" s="159"/>
    </row>
    <row r="1076" spans="2:5" x14ac:dyDescent="0.2">
      <c r="B1076" s="175"/>
      <c r="D1076" s="159"/>
      <c r="E1076" s="159"/>
    </row>
    <row r="1077" spans="2:5" x14ac:dyDescent="0.2">
      <c r="B1077" s="175"/>
      <c r="D1077" s="159"/>
      <c r="E1077" s="159"/>
    </row>
    <row r="1078" spans="2:5" x14ac:dyDescent="0.2">
      <c r="B1078" s="175"/>
      <c r="D1078" s="159"/>
      <c r="E1078" s="159"/>
    </row>
    <row r="1079" spans="2:5" x14ac:dyDescent="0.2">
      <c r="B1079" s="175"/>
      <c r="D1079" s="159"/>
      <c r="E1079" s="159"/>
    </row>
    <row r="1080" spans="2:5" x14ac:dyDescent="0.2">
      <c r="B1080" s="175"/>
      <c r="D1080" s="159"/>
      <c r="E1080" s="159"/>
    </row>
    <row r="1081" spans="2:5" x14ac:dyDescent="0.2">
      <c r="B1081" s="175"/>
      <c r="D1081" s="159"/>
      <c r="E1081" s="159"/>
    </row>
    <row r="1082" spans="2:5" x14ac:dyDescent="0.2">
      <c r="B1082" s="175"/>
      <c r="D1082" s="159"/>
      <c r="E1082" s="159"/>
    </row>
    <row r="1083" spans="2:5" x14ac:dyDescent="0.2">
      <c r="B1083" s="175"/>
      <c r="D1083" s="159"/>
      <c r="E1083" s="159"/>
    </row>
    <row r="1084" spans="2:5" x14ac:dyDescent="0.2">
      <c r="B1084" s="175"/>
      <c r="D1084" s="159"/>
      <c r="E1084" s="159"/>
    </row>
    <row r="1085" spans="2:5" x14ac:dyDescent="0.2">
      <c r="B1085" s="175"/>
      <c r="D1085" s="159"/>
      <c r="E1085" s="159"/>
    </row>
    <row r="1086" spans="2:5" x14ac:dyDescent="0.2">
      <c r="B1086" s="175"/>
      <c r="D1086" s="159"/>
      <c r="E1086" s="159"/>
    </row>
    <row r="1087" spans="2:5" x14ac:dyDescent="0.2">
      <c r="B1087" s="175"/>
      <c r="D1087" s="159"/>
      <c r="E1087" s="159"/>
    </row>
    <row r="1088" spans="2:5" x14ac:dyDescent="0.2">
      <c r="B1088" s="175"/>
      <c r="D1088" s="159"/>
      <c r="E1088" s="159"/>
    </row>
    <row r="1089" spans="2:5" x14ac:dyDescent="0.2">
      <c r="B1089" s="175"/>
      <c r="D1089" s="159"/>
      <c r="E1089" s="159"/>
    </row>
    <row r="1090" spans="2:5" x14ac:dyDescent="0.2">
      <c r="B1090" s="175"/>
      <c r="D1090" s="159"/>
      <c r="E1090" s="159"/>
    </row>
    <row r="1091" spans="2:5" x14ac:dyDescent="0.2">
      <c r="B1091" s="175"/>
      <c r="D1091" s="159"/>
      <c r="E1091" s="159"/>
    </row>
    <row r="1092" spans="2:5" x14ac:dyDescent="0.2">
      <c r="B1092" s="175"/>
      <c r="D1092" s="159"/>
      <c r="E1092" s="159"/>
    </row>
    <row r="1093" spans="2:5" x14ac:dyDescent="0.2">
      <c r="B1093" s="175"/>
      <c r="D1093" s="159"/>
      <c r="E1093" s="159"/>
    </row>
    <row r="1094" spans="2:5" x14ac:dyDescent="0.2">
      <c r="B1094" s="175"/>
      <c r="D1094" s="159"/>
      <c r="E1094" s="159"/>
    </row>
    <row r="1095" spans="2:5" x14ac:dyDescent="0.2">
      <c r="B1095" s="175"/>
      <c r="D1095" s="159"/>
      <c r="E1095" s="159"/>
    </row>
    <row r="1096" spans="2:5" x14ac:dyDescent="0.2">
      <c r="B1096" s="175"/>
      <c r="D1096" s="159"/>
      <c r="E1096" s="159"/>
    </row>
    <row r="1097" spans="2:5" x14ac:dyDescent="0.2">
      <c r="B1097" s="175"/>
      <c r="D1097" s="159"/>
      <c r="E1097" s="159"/>
    </row>
    <row r="1098" spans="2:5" x14ac:dyDescent="0.2">
      <c r="B1098" s="175"/>
      <c r="D1098" s="159"/>
      <c r="E1098" s="159"/>
    </row>
    <row r="1099" spans="2:5" x14ac:dyDescent="0.2">
      <c r="B1099" s="175"/>
      <c r="D1099" s="159"/>
      <c r="E1099" s="159"/>
    </row>
    <row r="1100" spans="2:5" x14ac:dyDescent="0.2">
      <c r="B1100" s="175"/>
      <c r="D1100" s="159"/>
      <c r="E1100" s="159"/>
    </row>
    <row r="1101" spans="2:5" x14ac:dyDescent="0.2">
      <c r="B1101" s="175"/>
      <c r="D1101" s="159"/>
      <c r="E1101" s="159"/>
    </row>
    <row r="1102" spans="2:5" x14ac:dyDescent="0.2">
      <c r="B1102" s="175"/>
      <c r="D1102" s="159"/>
      <c r="E1102" s="159"/>
    </row>
    <row r="1103" spans="2:5" x14ac:dyDescent="0.2">
      <c r="B1103" s="175"/>
      <c r="D1103" s="159"/>
      <c r="E1103" s="159"/>
    </row>
    <row r="1104" spans="2:5" x14ac:dyDescent="0.2">
      <c r="B1104" s="175"/>
      <c r="D1104" s="159"/>
      <c r="E1104" s="159"/>
    </row>
    <row r="1105" spans="2:5" x14ac:dyDescent="0.2">
      <c r="B1105" s="175"/>
      <c r="D1105" s="159"/>
      <c r="E1105" s="159"/>
    </row>
    <row r="1106" spans="2:5" x14ac:dyDescent="0.2">
      <c r="B1106" s="175"/>
      <c r="D1106" s="159"/>
      <c r="E1106" s="159"/>
    </row>
    <row r="1107" spans="2:5" x14ac:dyDescent="0.2">
      <c r="B1107" s="175"/>
      <c r="D1107" s="159"/>
      <c r="E1107" s="159"/>
    </row>
    <row r="1108" spans="2:5" x14ac:dyDescent="0.2">
      <c r="B1108" s="175"/>
      <c r="D1108" s="159"/>
      <c r="E1108" s="159"/>
    </row>
    <row r="1109" spans="2:5" x14ac:dyDescent="0.2">
      <c r="B1109" s="175"/>
      <c r="D1109" s="159"/>
      <c r="E1109" s="159"/>
    </row>
    <row r="1110" spans="2:5" x14ac:dyDescent="0.2">
      <c r="B1110" s="175"/>
      <c r="D1110" s="159"/>
      <c r="E1110" s="159"/>
    </row>
    <row r="1111" spans="2:5" x14ac:dyDescent="0.2">
      <c r="B1111" s="175"/>
      <c r="D1111" s="159"/>
      <c r="E1111" s="159"/>
    </row>
    <row r="1112" spans="2:5" x14ac:dyDescent="0.2">
      <c r="B1112" s="175"/>
      <c r="D1112" s="159"/>
      <c r="E1112" s="159"/>
    </row>
    <row r="1113" spans="2:5" x14ac:dyDescent="0.2">
      <c r="B1113" s="175"/>
      <c r="D1113" s="159"/>
      <c r="E1113" s="159"/>
    </row>
    <row r="1114" spans="2:5" x14ac:dyDescent="0.2">
      <c r="B1114" s="175"/>
      <c r="D1114" s="159"/>
      <c r="E1114" s="159"/>
    </row>
    <row r="1115" spans="2:5" x14ac:dyDescent="0.2">
      <c r="B1115" s="175"/>
      <c r="D1115" s="159"/>
      <c r="E1115" s="159"/>
    </row>
    <row r="1116" spans="2:5" x14ac:dyDescent="0.2">
      <c r="B1116" s="175"/>
      <c r="D1116" s="159"/>
      <c r="E1116" s="159"/>
    </row>
    <row r="1117" spans="2:5" x14ac:dyDescent="0.2">
      <c r="B1117" s="175"/>
      <c r="D1117" s="159"/>
      <c r="E1117" s="159"/>
    </row>
    <row r="1118" spans="2:5" x14ac:dyDescent="0.2">
      <c r="B1118" s="175"/>
      <c r="D1118" s="159"/>
      <c r="E1118" s="159"/>
    </row>
    <row r="1119" spans="2:5" x14ac:dyDescent="0.2">
      <c r="B1119" s="175"/>
      <c r="D1119" s="159"/>
      <c r="E1119" s="159"/>
    </row>
    <row r="1120" spans="2:5" x14ac:dyDescent="0.2">
      <c r="B1120" s="175"/>
      <c r="D1120" s="159"/>
      <c r="E1120" s="159"/>
    </row>
    <row r="1121" spans="2:5" x14ac:dyDescent="0.2">
      <c r="B1121" s="175"/>
      <c r="D1121" s="159"/>
      <c r="E1121" s="159"/>
    </row>
    <row r="1122" spans="2:5" x14ac:dyDescent="0.2">
      <c r="B1122" s="175"/>
      <c r="D1122" s="159"/>
      <c r="E1122" s="159"/>
    </row>
    <row r="1123" spans="2:5" x14ac:dyDescent="0.2">
      <c r="B1123" s="175"/>
      <c r="D1123" s="159"/>
      <c r="E1123" s="159"/>
    </row>
    <row r="1124" spans="2:5" x14ac:dyDescent="0.2">
      <c r="B1124" s="175"/>
      <c r="D1124" s="159"/>
      <c r="E1124" s="159"/>
    </row>
    <row r="1125" spans="2:5" x14ac:dyDescent="0.2">
      <c r="B1125" s="175"/>
      <c r="D1125" s="159"/>
      <c r="E1125" s="159"/>
    </row>
    <row r="1126" spans="2:5" x14ac:dyDescent="0.2">
      <c r="B1126" s="175"/>
      <c r="D1126" s="159"/>
      <c r="E1126" s="159"/>
    </row>
    <row r="1127" spans="2:5" x14ac:dyDescent="0.2">
      <c r="B1127" s="175"/>
      <c r="D1127" s="159"/>
      <c r="E1127" s="159"/>
    </row>
    <row r="1128" spans="2:5" x14ac:dyDescent="0.2">
      <c r="B1128" s="175"/>
      <c r="D1128" s="159"/>
      <c r="E1128" s="159"/>
    </row>
    <row r="1129" spans="2:5" x14ac:dyDescent="0.2">
      <c r="B1129" s="175"/>
      <c r="D1129" s="159"/>
      <c r="E1129" s="159"/>
    </row>
    <row r="1130" spans="2:5" x14ac:dyDescent="0.2">
      <c r="B1130" s="175"/>
      <c r="D1130" s="159"/>
      <c r="E1130" s="159"/>
    </row>
    <row r="1131" spans="2:5" x14ac:dyDescent="0.2">
      <c r="B1131" s="175"/>
      <c r="D1131" s="159"/>
      <c r="E1131" s="159"/>
    </row>
    <row r="1132" spans="2:5" x14ac:dyDescent="0.2">
      <c r="B1132" s="175"/>
      <c r="D1132" s="159"/>
      <c r="E1132" s="159"/>
    </row>
    <row r="1133" spans="2:5" x14ac:dyDescent="0.2">
      <c r="B1133" s="175"/>
      <c r="D1133" s="159"/>
      <c r="E1133" s="159"/>
    </row>
    <row r="1134" spans="2:5" x14ac:dyDescent="0.2">
      <c r="B1134" s="175"/>
      <c r="D1134" s="159"/>
      <c r="E1134" s="159"/>
    </row>
    <row r="1135" spans="2:5" x14ac:dyDescent="0.2">
      <c r="B1135" s="175"/>
      <c r="D1135" s="159"/>
      <c r="E1135" s="159"/>
    </row>
    <row r="1136" spans="2:5" x14ac:dyDescent="0.2">
      <c r="B1136" s="175"/>
      <c r="D1136" s="159"/>
      <c r="E1136" s="159"/>
    </row>
    <row r="1137" spans="2:5" x14ac:dyDescent="0.2">
      <c r="B1137" s="175"/>
      <c r="D1137" s="159"/>
      <c r="E1137" s="159"/>
    </row>
    <row r="1138" spans="2:5" x14ac:dyDescent="0.2">
      <c r="B1138" s="175"/>
      <c r="D1138" s="159"/>
      <c r="E1138" s="159"/>
    </row>
    <row r="1139" spans="2:5" x14ac:dyDescent="0.2">
      <c r="B1139" s="175"/>
      <c r="D1139" s="159"/>
      <c r="E1139" s="159"/>
    </row>
    <row r="1140" spans="2:5" x14ac:dyDescent="0.2">
      <c r="B1140" s="175"/>
      <c r="D1140" s="159"/>
      <c r="E1140" s="159"/>
    </row>
    <row r="1141" spans="2:5" x14ac:dyDescent="0.2">
      <c r="B1141" s="175"/>
      <c r="D1141" s="159"/>
      <c r="E1141" s="159"/>
    </row>
    <row r="1142" spans="2:5" x14ac:dyDescent="0.2">
      <c r="B1142" s="175"/>
      <c r="D1142" s="159"/>
      <c r="E1142" s="159"/>
    </row>
    <row r="1143" spans="2:5" x14ac:dyDescent="0.2">
      <c r="B1143" s="175"/>
      <c r="D1143" s="159"/>
      <c r="E1143" s="159"/>
    </row>
    <row r="1144" spans="2:5" x14ac:dyDescent="0.2">
      <c r="B1144" s="175"/>
      <c r="D1144" s="159"/>
      <c r="E1144" s="159"/>
    </row>
    <row r="1145" spans="2:5" x14ac:dyDescent="0.2">
      <c r="B1145" s="175"/>
      <c r="D1145" s="159"/>
      <c r="E1145" s="159"/>
    </row>
    <row r="1146" spans="2:5" x14ac:dyDescent="0.2">
      <c r="B1146" s="175"/>
      <c r="D1146" s="159"/>
      <c r="E1146" s="159"/>
    </row>
    <row r="1147" spans="2:5" x14ac:dyDescent="0.2">
      <c r="B1147" s="175"/>
      <c r="D1147" s="159"/>
      <c r="E1147" s="159"/>
    </row>
    <row r="1148" spans="2:5" x14ac:dyDescent="0.2">
      <c r="B1148" s="175"/>
      <c r="D1148" s="159"/>
      <c r="E1148" s="159"/>
    </row>
    <row r="1149" spans="2:5" x14ac:dyDescent="0.2">
      <c r="B1149" s="175"/>
      <c r="D1149" s="159"/>
      <c r="E1149" s="159"/>
    </row>
    <row r="1150" spans="2:5" x14ac:dyDescent="0.2">
      <c r="B1150" s="175"/>
      <c r="D1150" s="159"/>
      <c r="E1150" s="159"/>
    </row>
    <row r="1151" spans="2:5" x14ac:dyDescent="0.2">
      <c r="B1151" s="175"/>
      <c r="D1151" s="159"/>
      <c r="E1151" s="159"/>
    </row>
    <row r="1152" spans="2:5" x14ac:dyDescent="0.2">
      <c r="B1152" s="175"/>
      <c r="D1152" s="159"/>
      <c r="E1152" s="159"/>
    </row>
    <row r="1153" spans="2:5" x14ac:dyDescent="0.2">
      <c r="B1153" s="175"/>
      <c r="D1153" s="159"/>
      <c r="E1153" s="159"/>
    </row>
    <row r="1154" spans="2:5" x14ac:dyDescent="0.2">
      <c r="B1154" s="175"/>
      <c r="D1154" s="159"/>
      <c r="E1154" s="159"/>
    </row>
    <row r="1155" spans="2:5" x14ac:dyDescent="0.2">
      <c r="B1155" s="175"/>
      <c r="D1155" s="159"/>
      <c r="E1155" s="159"/>
    </row>
    <row r="1156" spans="2:5" x14ac:dyDescent="0.2">
      <c r="B1156" s="175"/>
      <c r="D1156" s="159"/>
      <c r="E1156" s="159"/>
    </row>
    <row r="1157" spans="2:5" x14ac:dyDescent="0.2">
      <c r="B1157" s="175"/>
      <c r="D1157" s="159"/>
      <c r="E1157" s="159"/>
    </row>
    <row r="1158" spans="2:5" x14ac:dyDescent="0.2">
      <c r="B1158" s="175"/>
      <c r="D1158" s="159"/>
      <c r="E1158" s="159"/>
    </row>
    <row r="1159" spans="2:5" x14ac:dyDescent="0.2">
      <c r="B1159" s="175"/>
      <c r="D1159" s="159"/>
      <c r="E1159" s="159"/>
    </row>
    <row r="1160" spans="2:5" x14ac:dyDescent="0.2">
      <c r="B1160" s="175"/>
      <c r="D1160" s="159"/>
      <c r="E1160" s="159"/>
    </row>
    <row r="1161" spans="2:5" x14ac:dyDescent="0.2">
      <c r="B1161" s="175"/>
      <c r="D1161" s="159"/>
      <c r="E1161" s="159"/>
    </row>
    <row r="1162" spans="2:5" x14ac:dyDescent="0.2">
      <c r="B1162" s="175"/>
      <c r="D1162" s="159"/>
      <c r="E1162" s="159"/>
    </row>
    <row r="1163" spans="2:5" x14ac:dyDescent="0.2">
      <c r="B1163" s="175"/>
      <c r="D1163" s="159"/>
      <c r="E1163" s="159"/>
    </row>
    <row r="1164" spans="2:5" x14ac:dyDescent="0.2">
      <c r="B1164" s="175"/>
      <c r="D1164" s="159"/>
      <c r="E1164" s="159"/>
    </row>
    <row r="1165" spans="2:5" x14ac:dyDescent="0.2">
      <c r="B1165" s="175"/>
      <c r="D1165" s="159"/>
      <c r="E1165" s="159"/>
    </row>
    <row r="1166" spans="2:5" x14ac:dyDescent="0.2">
      <c r="B1166" s="175"/>
      <c r="D1166" s="159"/>
      <c r="E1166" s="159"/>
    </row>
    <row r="1167" spans="2:5" x14ac:dyDescent="0.2">
      <c r="B1167" s="175"/>
      <c r="D1167" s="159"/>
      <c r="E1167" s="159"/>
    </row>
    <row r="1168" spans="2:5" x14ac:dyDescent="0.2">
      <c r="B1168" s="175"/>
      <c r="D1168" s="159"/>
      <c r="E1168" s="159"/>
    </row>
    <row r="1169" spans="2:5" x14ac:dyDescent="0.2">
      <c r="B1169" s="175"/>
      <c r="D1169" s="159"/>
      <c r="E1169" s="159"/>
    </row>
    <row r="1170" spans="2:5" x14ac:dyDescent="0.2">
      <c r="B1170" s="175"/>
      <c r="D1170" s="159"/>
      <c r="E1170" s="159"/>
    </row>
    <row r="1171" spans="2:5" x14ac:dyDescent="0.2">
      <c r="B1171" s="175"/>
      <c r="D1171" s="159"/>
      <c r="E1171" s="159"/>
    </row>
    <row r="1172" spans="2:5" x14ac:dyDescent="0.2">
      <c r="B1172" s="175"/>
      <c r="D1172" s="159"/>
      <c r="E1172" s="159"/>
    </row>
    <row r="1173" spans="2:5" x14ac:dyDescent="0.2">
      <c r="B1173" s="175"/>
      <c r="D1173" s="159"/>
      <c r="E1173" s="159"/>
    </row>
    <row r="1174" spans="2:5" x14ac:dyDescent="0.2">
      <c r="B1174" s="175"/>
      <c r="D1174" s="159"/>
      <c r="E1174" s="159"/>
    </row>
    <row r="1175" spans="2:5" x14ac:dyDescent="0.2">
      <c r="B1175" s="175"/>
      <c r="D1175" s="159"/>
      <c r="E1175" s="159"/>
    </row>
    <row r="1176" spans="2:5" x14ac:dyDescent="0.2">
      <c r="B1176" s="175"/>
      <c r="D1176" s="159"/>
      <c r="E1176" s="159"/>
    </row>
    <row r="1177" spans="2:5" x14ac:dyDescent="0.2">
      <c r="B1177" s="175"/>
      <c r="D1177" s="159"/>
      <c r="E1177" s="159"/>
    </row>
    <row r="1178" spans="2:5" x14ac:dyDescent="0.2">
      <c r="B1178" s="175"/>
      <c r="D1178" s="159"/>
      <c r="E1178" s="159"/>
    </row>
    <row r="1179" spans="2:5" x14ac:dyDescent="0.2">
      <c r="B1179" s="175"/>
      <c r="D1179" s="159"/>
      <c r="E1179" s="159"/>
    </row>
    <row r="1180" spans="2:5" x14ac:dyDescent="0.2">
      <c r="B1180" s="175"/>
      <c r="D1180" s="159"/>
      <c r="E1180" s="159"/>
    </row>
    <row r="1181" spans="2:5" x14ac:dyDescent="0.2">
      <c r="B1181" s="175"/>
      <c r="D1181" s="159"/>
      <c r="E1181" s="159"/>
    </row>
    <row r="1182" spans="2:5" x14ac:dyDescent="0.2">
      <c r="B1182" s="175"/>
      <c r="D1182" s="159"/>
      <c r="E1182" s="159"/>
    </row>
    <row r="1183" spans="2:5" x14ac:dyDescent="0.2">
      <c r="B1183" s="175"/>
      <c r="D1183" s="159"/>
      <c r="E1183" s="159"/>
    </row>
    <row r="1184" spans="2:5" x14ac:dyDescent="0.2">
      <c r="B1184" s="175"/>
      <c r="D1184" s="159"/>
      <c r="E1184" s="159"/>
    </row>
    <row r="1185" spans="2:5" x14ac:dyDescent="0.2">
      <c r="B1185" s="175"/>
      <c r="D1185" s="159"/>
      <c r="E1185" s="159"/>
    </row>
    <row r="1186" spans="2:5" x14ac:dyDescent="0.2">
      <c r="B1186" s="175"/>
      <c r="D1186" s="159"/>
      <c r="E1186" s="159"/>
    </row>
    <row r="1187" spans="2:5" x14ac:dyDescent="0.2">
      <c r="B1187" s="175"/>
      <c r="D1187" s="159"/>
      <c r="E1187" s="159"/>
    </row>
    <row r="1188" spans="2:5" x14ac:dyDescent="0.2">
      <c r="B1188" s="175"/>
      <c r="D1188" s="159"/>
      <c r="E1188" s="159"/>
    </row>
    <row r="1189" spans="2:5" x14ac:dyDescent="0.2">
      <c r="B1189" s="175"/>
      <c r="D1189" s="159"/>
      <c r="E1189" s="159"/>
    </row>
    <row r="1190" spans="2:5" x14ac:dyDescent="0.2">
      <c r="B1190" s="175"/>
      <c r="D1190" s="159"/>
      <c r="E1190" s="159"/>
    </row>
    <row r="1191" spans="2:5" x14ac:dyDescent="0.2">
      <c r="B1191" s="175"/>
      <c r="D1191" s="159"/>
      <c r="E1191" s="159"/>
    </row>
    <row r="1192" spans="2:5" x14ac:dyDescent="0.2">
      <c r="B1192" s="175"/>
      <c r="D1192" s="159"/>
      <c r="E1192" s="159"/>
    </row>
    <row r="1193" spans="2:5" x14ac:dyDescent="0.2">
      <c r="B1193" s="175"/>
      <c r="D1193" s="159"/>
      <c r="E1193" s="159"/>
    </row>
    <row r="1194" spans="2:5" x14ac:dyDescent="0.2">
      <c r="B1194" s="175"/>
      <c r="D1194" s="159"/>
      <c r="E1194" s="159"/>
    </row>
    <row r="1195" spans="2:5" x14ac:dyDescent="0.2">
      <c r="B1195" s="175"/>
      <c r="D1195" s="159"/>
      <c r="E1195" s="159"/>
    </row>
    <row r="1196" spans="2:5" x14ac:dyDescent="0.2">
      <c r="B1196" s="175"/>
      <c r="D1196" s="159"/>
      <c r="E1196" s="159"/>
    </row>
    <row r="1197" spans="2:5" x14ac:dyDescent="0.2">
      <c r="B1197" s="175"/>
      <c r="D1197" s="159"/>
      <c r="E1197" s="159"/>
    </row>
    <row r="1198" spans="2:5" x14ac:dyDescent="0.2">
      <c r="B1198" s="175"/>
      <c r="D1198" s="159"/>
      <c r="E1198" s="159"/>
    </row>
    <row r="1199" spans="2:5" x14ac:dyDescent="0.2">
      <c r="B1199" s="175"/>
      <c r="D1199" s="159"/>
      <c r="E1199" s="159"/>
    </row>
    <row r="1200" spans="2:5" x14ac:dyDescent="0.2">
      <c r="B1200" s="175"/>
      <c r="D1200" s="159"/>
      <c r="E1200" s="159"/>
    </row>
    <row r="1201" spans="2:5" x14ac:dyDescent="0.2">
      <c r="B1201" s="175"/>
      <c r="D1201" s="159"/>
      <c r="E1201" s="159"/>
    </row>
    <row r="1202" spans="2:5" x14ac:dyDescent="0.2">
      <c r="B1202" s="175"/>
      <c r="D1202" s="159"/>
      <c r="E1202" s="159"/>
    </row>
    <row r="1203" spans="2:5" x14ac:dyDescent="0.2">
      <c r="B1203" s="175"/>
      <c r="D1203" s="159"/>
      <c r="E1203" s="159"/>
    </row>
    <row r="1204" spans="2:5" x14ac:dyDescent="0.2">
      <c r="B1204" s="175"/>
      <c r="D1204" s="159"/>
      <c r="E1204" s="159"/>
    </row>
    <row r="1205" spans="2:5" x14ac:dyDescent="0.2">
      <c r="B1205" s="175"/>
      <c r="D1205" s="159"/>
      <c r="E1205" s="159"/>
    </row>
    <row r="1206" spans="2:5" x14ac:dyDescent="0.2">
      <c r="B1206" s="175"/>
      <c r="D1206" s="159"/>
      <c r="E1206" s="159"/>
    </row>
    <row r="1207" spans="2:5" x14ac:dyDescent="0.2">
      <c r="B1207" s="175"/>
      <c r="D1207" s="159"/>
      <c r="E1207" s="159"/>
    </row>
    <row r="1208" spans="2:5" x14ac:dyDescent="0.2">
      <c r="B1208" s="175"/>
      <c r="D1208" s="159"/>
      <c r="E1208" s="159"/>
    </row>
    <row r="1209" spans="2:5" x14ac:dyDescent="0.2">
      <c r="B1209" s="175"/>
      <c r="D1209" s="159"/>
      <c r="E1209" s="159"/>
    </row>
    <row r="1210" spans="2:5" x14ac:dyDescent="0.2">
      <c r="B1210" s="175"/>
      <c r="D1210" s="159"/>
      <c r="E1210" s="159"/>
    </row>
    <row r="1211" spans="2:5" x14ac:dyDescent="0.2">
      <c r="B1211" s="175"/>
      <c r="D1211" s="159"/>
      <c r="E1211" s="159"/>
    </row>
    <row r="1212" spans="2:5" x14ac:dyDescent="0.2">
      <c r="B1212" s="175"/>
      <c r="D1212" s="159"/>
      <c r="E1212" s="159"/>
    </row>
    <row r="1213" spans="2:5" x14ac:dyDescent="0.2">
      <c r="B1213" s="175"/>
      <c r="D1213" s="159"/>
      <c r="E1213" s="159"/>
    </row>
    <row r="1214" spans="2:5" x14ac:dyDescent="0.2">
      <c r="B1214" s="175"/>
      <c r="D1214" s="159"/>
      <c r="E1214" s="159"/>
    </row>
    <row r="1215" spans="2:5" x14ac:dyDescent="0.2">
      <c r="B1215" s="175"/>
      <c r="D1215" s="159"/>
      <c r="E1215" s="159"/>
    </row>
    <row r="1216" spans="2:5" x14ac:dyDescent="0.2">
      <c r="B1216" s="175"/>
      <c r="D1216" s="159"/>
      <c r="E1216" s="159"/>
    </row>
    <row r="1217" spans="2:5" x14ac:dyDescent="0.2">
      <c r="B1217" s="175"/>
      <c r="D1217" s="159"/>
      <c r="E1217" s="159"/>
    </row>
    <row r="1218" spans="2:5" x14ac:dyDescent="0.2">
      <c r="B1218" s="175"/>
      <c r="D1218" s="159"/>
      <c r="E1218" s="159"/>
    </row>
    <row r="1219" spans="2:5" x14ac:dyDescent="0.2">
      <c r="B1219" s="175"/>
      <c r="D1219" s="159"/>
      <c r="E1219" s="159"/>
    </row>
    <row r="1220" spans="2:5" x14ac:dyDescent="0.2">
      <c r="B1220" s="175"/>
      <c r="D1220" s="159"/>
      <c r="E1220" s="159"/>
    </row>
    <row r="1221" spans="2:5" x14ac:dyDescent="0.2">
      <c r="B1221" s="175"/>
      <c r="D1221" s="159"/>
      <c r="E1221" s="159"/>
    </row>
    <row r="1222" spans="2:5" x14ac:dyDescent="0.2">
      <c r="B1222" s="175"/>
      <c r="D1222" s="159"/>
      <c r="E1222" s="159"/>
    </row>
    <row r="1223" spans="2:5" x14ac:dyDescent="0.2">
      <c r="B1223" s="175"/>
      <c r="D1223" s="159"/>
      <c r="E1223" s="159"/>
    </row>
    <row r="1224" spans="2:5" x14ac:dyDescent="0.2">
      <c r="B1224" s="175"/>
      <c r="D1224" s="159"/>
      <c r="E1224" s="159"/>
    </row>
    <row r="1225" spans="2:5" x14ac:dyDescent="0.2">
      <c r="B1225" s="175"/>
      <c r="D1225" s="159"/>
      <c r="E1225" s="159"/>
    </row>
    <row r="1226" spans="2:5" x14ac:dyDescent="0.2">
      <c r="B1226" s="175"/>
      <c r="D1226" s="159"/>
      <c r="E1226" s="159"/>
    </row>
    <row r="1227" spans="2:5" x14ac:dyDescent="0.2">
      <c r="B1227" s="175"/>
      <c r="D1227" s="159"/>
      <c r="E1227" s="159"/>
    </row>
    <row r="1228" spans="2:5" x14ac:dyDescent="0.2">
      <c r="B1228" s="175"/>
      <c r="D1228" s="159"/>
      <c r="E1228" s="159"/>
    </row>
    <row r="1229" spans="2:5" x14ac:dyDescent="0.2">
      <c r="B1229" s="175"/>
      <c r="D1229" s="159"/>
      <c r="E1229" s="159"/>
    </row>
    <row r="1230" spans="2:5" x14ac:dyDescent="0.2">
      <c r="B1230" s="175"/>
      <c r="D1230" s="159"/>
      <c r="E1230" s="159"/>
    </row>
    <row r="1231" spans="2:5" x14ac:dyDescent="0.2">
      <c r="B1231" s="175"/>
      <c r="D1231" s="159"/>
      <c r="E1231" s="159"/>
    </row>
    <row r="1232" spans="2:5" x14ac:dyDescent="0.2">
      <c r="B1232" s="175"/>
      <c r="D1232" s="159"/>
      <c r="E1232" s="159"/>
    </row>
    <row r="1233" spans="2:5" x14ac:dyDescent="0.2">
      <c r="B1233" s="175"/>
      <c r="D1233" s="159"/>
      <c r="E1233" s="159"/>
    </row>
    <row r="1234" spans="2:5" x14ac:dyDescent="0.2">
      <c r="B1234" s="175"/>
      <c r="D1234" s="159"/>
      <c r="E1234" s="159"/>
    </row>
    <row r="1235" spans="2:5" x14ac:dyDescent="0.2">
      <c r="B1235" s="175"/>
      <c r="D1235" s="159"/>
      <c r="E1235" s="159"/>
    </row>
    <row r="1236" spans="2:5" x14ac:dyDescent="0.2">
      <c r="B1236" s="175"/>
      <c r="D1236" s="159"/>
      <c r="E1236" s="159"/>
    </row>
    <row r="1237" spans="2:5" x14ac:dyDescent="0.2">
      <c r="B1237" s="175"/>
      <c r="D1237" s="159"/>
      <c r="E1237" s="159"/>
    </row>
    <row r="1238" spans="2:5" x14ac:dyDescent="0.2">
      <c r="B1238" s="175"/>
      <c r="D1238" s="159"/>
      <c r="E1238" s="159"/>
    </row>
    <row r="1239" spans="2:5" x14ac:dyDescent="0.2">
      <c r="B1239" s="175"/>
      <c r="D1239" s="159"/>
      <c r="E1239" s="159"/>
    </row>
    <row r="1240" spans="2:5" x14ac:dyDescent="0.2">
      <c r="B1240" s="175"/>
      <c r="D1240" s="159"/>
      <c r="E1240" s="159"/>
    </row>
    <row r="1241" spans="2:5" x14ac:dyDescent="0.2">
      <c r="B1241" s="175"/>
      <c r="D1241" s="159"/>
      <c r="E1241" s="159"/>
    </row>
    <row r="1242" spans="2:5" x14ac:dyDescent="0.2">
      <c r="B1242" s="175"/>
      <c r="D1242" s="159"/>
      <c r="E1242" s="159"/>
    </row>
    <row r="1243" spans="2:5" x14ac:dyDescent="0.2">
      <c r="B1243" s="175"/>
      <c r="D1243" s="159"/>
      <c r="E1243" s="159"/>
    </row>
    <row r="1244" spans="2:5" x14ac:dyDescent="0.2">
      <c r="B1244" s="175"/>
      <c r="D1244" s="159"/>
      <c r="E1244" s="159"/>
    </row>
    <row r="1245" spans="2:5" x14ac:dyDescent="0.2">
      <c r="B1245" s="175"/>
      <c r="D1245" s="159"/>
      <c r="E1245" s="159"/>
    </row>
    <row r="1246" spans="2:5" x14ac:dyDescent="0.2">
      <c r="B1246" s="175"/>
      <c r="D1246" s="159"/>
      <c r="E1246" s="159"/>
    </row>
    <row r="1247" spans="2:5" x14ac:dyDescent="0.2">
      <c r="B1247" s="175"/>
      <c r="D1247" s="159"/>
      <c r="E1247" s="159"/>
    </row>
    <row r="1248" spans="2:5" x14ac:dyDescent="0.2">
      <c r="B1248" s="175"/>
      <c r="D1248" s="159"/>
      <c r="E1248" s="159"/>
    </row>
    <row r="1249" spans="2:5" x14ac:dyDescent="0.2">
      <c r="B1249" s="175"/>
      <c r="D1249" s="159"/>
      <c r="E1249" s="159"/>
    </row>
    <row r="1250" spans="2:5" x14ac:dyDescent="0.2">
      <c r="B1250" s="175"/>
      <c r="D1250" s="159"/>
      <c r="E1250" s="159"/>
    </row>
    <row r="1251" spans="2:5" x14ac:dyDescent="0.2">
      <c r="B1251" s="175"/>
      <c r="D1251" s="159"/>
      <c r="E1251" s="159"/>
    </row>
    <row r="1252" spans="2:5" x14ac:dyDescent="0.2">
      <c r="B1252" s="175"/>
      <c r="D1252" s="159"/>
      <c r="E1252" s="159"/>
    </row>
    <row r="1253" spans="2:5" x14ac:dyDescent="0.2">
      <c r="B1253" s="175"/>
      <c r="D1253" s="159"/>
      <c r="E1253" s="159"/>
    </row>
    <row r="1254" spans="2:5" x14ac:dyDescent="0.2">
      <c r="B1254" s="175"/>
      <c r="D1254" s="159"/>
      <c r="E1254" s="159"/>
    </row>
    <row r="1255" spans="2:5" x14ac:dyDescent="0.2">
      <c r="B1255" s="175"/>
      <c r="D1255" s="159"/>
      <c r="E1255" s="159"/>
    </row>
    <row r="1256" spans="2:5" x14ac:dyDescent="0.2">
      <c r="B1256" s="175"/>
      <c r="D1256" s="159"/>
      <c r="E1256" s="159"/>
    </row>
    <row r="1257" spans="2:5" x14ac:dyDescent="0.2">
      <c r="B1257" s="175"/>
      <c r="D1257" s="159"/>
      <c r="E1257" s="159"/>
    </row>
    <row r="1258" spans="2:5" x14ac:dyDescent="0.2">
      <c r="B1258" s="175"/>
      <c r="D1258" s="159"/>
      <c r="E1258" s="159"/>
    </row>
    <row r="1259" spans="2:5" x14ac:dyDescent="0.2">
      <c r="B1259" s="175"/>
      <c r="D1259" s="159"/>
      <c r="E1259" s="159"/>
    </row>
    <row r="1260" spans="2:5" x14ac:dyDescent="0.2">
      <c r="B1260" s="175"/>
      <c r="D1260" s="159"/>
      <c r="E1260" s="159"/>
    </row>
    <row r="1261" spans="2:5" x14ac:dyDescent="0.2">
      <c r="B1261" s="175"/>
      <c r="D1261" s="159"/>
      <c r="E1261" s="159"/>
    </row>
    <row r="1262" spans="2:5" x14ac:dyDescent="0.2">
      <c r="B1262" s="175"/>
      <c r="D1262" s="159"/>
      <c r="E1262" s="159"/>
    </row>
    <row r="1263" spans="2:5" x14ac:dyDescent="0.2">
      <c r="B1263" s="175"/>
      <c r="D1263" s="159"/>
      <c r="E1263" s="159"/>
    </row>
    <row r="1264" spans="2:5" x14ac:dyDescent="0.2">
      <c r="B1264" s="175"/>
      <c r="D1264" s="159"/>
      <c r="E1264" s="159"/>
    </row>
    <row r="1265" spans="2:5" x14ac:dyDescent="0.2">
      <c r="B1265" s="175"/>
      <c r="D1265" s="159"/>
      <c r="E1265" s="159"/>
    </row>
    <row r="1266" spans="2:5" x14ac:dyDescent="0.2">
      <c r="B1266" s="175"/>
      <c r="D1266" s="159"/>
      <c r="E1266" s="159"/>
    </row>
    <row r="1267" spans="2:5" x14ac:dyDescent="0.2">
      <c r="B1267" s="175"/>
      <c r="D1267" s="159"/>
      <c r="E1267" s="159"/>
    </row>
    <row r="1268" spans="2:5" x14ac:dyDescent="0.2">
      <c r="B1268" s="175"/>
      <c r="D1268" s="159"/>
      <c r="E1268" s="159"/>
    </row>
    <row r="1269" spans="2:5" x14ac:dyDescent="0.2">
      <c r="B1269" s="175"/>
      <c r="D1269" s="159"/>
      <c r="E1269" s="159"/>
    </row>
    <row r="1270" spans="2:5" x14ac:dyDescent="0.2">
      <c r="B1270" s="175"/>
      <c r="D1270" s="159"/>
      <c r="E1270" s="159"/>
    </row>
    <row r="1271" spans="2:5" x14ac:dyDescent="0.2">
      <c r="B1271" s="175"/>
      <c r="D1271" s="159"/>
      <c r="E1271" s="159"/>
    </row>
    <row r="1272" spans="2:5" x14ac:dyDescent="0.2">
      <c r="B1272" s="175"/>
      <c r="D1272" s="159"/>
      <c r="E1272" s="159"/>
    </row>
    <row r="1273" spans="2:5" x14ac:dyDescent="0.2">
      <c r="B1273" s="175"/>
      <c r="D1273" s="159"/>
      <c r="E1273" s="159"/>
    </row>
    <row r="1274" spans="2:5" x14ac:dyDescent="0.2">
      <c r="B1274" s="175"/>
      <c r="D1274" s="159"/>
      <c r="E1274" s="159"/>
    </row>
    <row r="1275" spans="2:5" x14ac:dyDescent="0.2">
      <c r="B1275" s="175"/>
      <c r="D1275" s="159"/>
      <c r="E1275" s="159"/>
    </row>
    <row r="1276" spans="2:5" x14ac:dyDescent="0.2">
      <c r="B1276" s="175"/>
      <c r="D1276" s="159"/>
      <c r="E1276" s="159"/>
    </row>
    <row r="1277" spans="2:5" x14ac:dyDescent="0.2">
      <c r="B1277" s="175"/>
      <c r="D1277" s="159"/>
      <c r="E1277" s="159"/>
    </row>
    <row r="1278" spans="2:5" x14ac:dyDescent="0.2">
      <c r="B1278" s="175"/>
      <c r="D1278" s="159"/>
      <c r="E1278" s="159"/>
    </row>
    <row r="1279" spans="2:5" x14ac:dyDescent="0.2">
      <c r="B1279" s="175"/>
      <c r="D1279" s="159"/>
      <c r="E1279" s="159"/>
    </row>
    <row r="1280" spans="2:5" x14ac:dyDescent="0.2">
      <c r="B1280" s="175"/>
      <c r="D1280" s="159"/>
      <c r="E1280" s="159"/>
    </row>
    <row r="1281" spans="2:5" x14ac:dyDescent="0.2">
      <c r="B1281" s="175"/>
      <c r="D1281" s="159"/>
      <c r="E1281" s="159"/>
    </row>
    <row r="1282" spans="2:5" x14ac:dyDescent="0.2">
      <c r="B1282" s="175"/>
      <c r="D1282" s="159"/>
      <c r="E1282" s="159"/>
    </row>
    <row r="1283" spans="2:5" x14ac:dyDescent="0.2">
      <c r="B1283" s="175"/>
      <c r="D1283" s="159"/>
      <c r="E1283" s="159"/>
    </row>
    <row r="1284" spans="2:5" x14ac:dyDescent="0.2">
      <c r="B1284" s="175"/>
      <c r="D1284" s="159"/>
      <c r="E1284" s="159"/>
    </row>
    <row r="1285" spans="2:5" x14ac:dyDescent="0.2">
      <c r="B1285" s="175"/>
      <c r="D1285" s="159"/>
      <c r="E1285" s="159"/>
    </row>
    <row r="1286" spans="2:5" x14ac:dyDescent="0.2">
      <c r="B1286" s="175"/>
      <c r="D1286" s="159"/>
      <c r="E1286" s="159"/>
    </row>
    <row r="1287" spans="2:5" x14ac:dyDescent="0.2">
      <c r="B1287" s="175"/>
      <c r="D1287" s="159"/>
      <c r="E1287" s="159"/>
    </row>
    <row r="1288" spans="2:5" x14ac:dyDescent="0.2">
      <c r="B1288" s="175"/>
      <c r="D1288" s="159"/>
      <c r="E1288" s="159"/>
    </row>
    <row r="1289" spans="2:5" x14ac:dyDescent="0.2">
      <c r="B1289" s="175"/>
      <c r="D1289" s="159"/>
      <c r="E1289" s="159"/>
    </row>
    <row r="1290" spans="2:5" x14ac:dyDescent="0.2">
      <c r="B1290" s="175"/>
      <c r="D1290" s="159"/>
      <c r="E1290" s="159"/>
    </row>
    <row r="1291" spans="2:5" x14ac:dyDescent="0.2">
      <c r="B1291" s="175"/>
      <c r="D1291" s="159"/>
      <c r="E1291" s="159"/>
    </row>
    <row r="1292" spans="2:5" x14ac:dyDescent="0.2">
      <c r="B1292" s="175"/>
      <c r="D1292" s="159"/>
      <c r="E1292" s="159"/>
    </row>
    <row r="1293" spans="2:5" x14ac:dyDescent="0.2">
      <c r="B1293" s="175"/>
      <c r="D1293" s="159"/>
      <c r="E1293" s="159"/>
    </row>
    <row r="1294" spans="2:5" x14ac:dyDescent="0.2">
      <c r="B1294" s="175"/>
      <c r="D1294" s="159"/>
      <c r="E1294" s="159"/>
    </row>
    <row r="1295" spans="2:5" x14ac:dyDescent="0.2">
      <c r="B1295" s="175"/>
      <c r="D1295" s="159"/>
      <c r="E1295" s="159"/>
    </row>
    <row r="1296" spans="2:5" x14ac:dyDescent="0.2">
      <c r="B1296" s="175"/>
      <c r="D1296" s="159"/>
      <c r="E1296" s="159"/>
    </row>
    <row r="1297" spans="2:5" x14ac:dyDescent="0.2">
      <c r="B1297" s="175"/>
      <c r="D1297" s="159"/>
      <c r="E1297" s="159"/>
    </row>
    <row r="1298" spans="2:5" x14ac:dyDescent="0.2">
      <c r="B1298" s="175"/>
      <c r="D1298" s="159"/>
      <c r="E1298" s="159"/>
    </row>
    <row r="1299" spans="2:5" x14ac:dyDescent="0.2">
      <c r="B1299" s="175"/>
      <c r="D1299" s="159"/>
      <c r="E1299" s="159"/>
    </row>
    <row r="1300" spans="2:5" x14ac:dyDescent="0.2">
      <c r="B1300" s="175"/>
      <c r="D1300" s="159"/>
      <c r="E1300" s="159"/>
    </row>
    <row r="1301" spans="2:5" x14ac:dyDescent="0.2">
      <c r="B1301" s="175"/>
      <c r="D1301" s="159"/>
      <c r="E1301" s="159"/>
    </row>
    <row r="1302" spans="2:5" x14ac:dyDescent="0.2">
      <c r="B1302" s="175"/>
      <c r="D1302" s="159"/>
      <c r="E1302" s="159"/>
    </row>
    <row r="1303" spans="2:5" x14ac:dyDescent="0.2">
      <c r="B1303" s="175"/>
      <c r="D1303" s="159"/>
      <c r="E1303" s="159"/>
    </row>
    <row r="1304" spans="2:5" x14ac:dyDescent="0.2">
      <c r="B1304" s="175"/>
      <c r="D1304" s="159"/>
      <c r="E1304" s="159"/>
    </row>
    <row r="1305" spans="2:5" x14ac:dyDescent="0.2">
      <c r="B1305" s="175"/>
      <c r="D1305" s="159"/>
      <c r="E1305" s="159"/>
    </row>
    <row r="1306" spans="2:5" x14ac:dyDescent="0.2">
      <c r="B1306" s="175"/>
      <c r="D1306" s="159"/>
      <c r="E1306" s="159"/>
    </row>
    <row r="1307" spans="2:5" x14ac:dyDescent="0.2">
      <c r="B1307" s="175"/>
      <c r="D1307" s="159"/>
      <c r="E1307" s="159"/>
    </row>
    <row r="1308" spans="2:5" x14ac:dyDescent="0.2">
      <c r="B1308" s="175"/>
      <c r="D1308" s="159"/>
      <c r="E1308" s="159"/>
    </row>
    <row r="1309" spans="2:5" x14ac:dyDescent="0.2">
      <c r="B1309" s="175"/>
      <c r="D1309" s="159"/>
      <c r="E1309" s="159"/>
    </row>
    <row r="1310" spans="2:5" x14ac:dyDescent="0.2">
      <c r="B1310" s="175"/>
      <c r="D1310" s="159"/>
      <c r="E1310" s="159"/>
    </row>
    <row r="1311" spans="2:5" x14ac:dyDescent="0.2">
      <c r="B1311" s="175"/>
      <c r="D1311" s="159"/>
      <c r="E1311" s="159"/>
    </row>
    <row r="1312" spans="2:5" x14ac:dyDescent="0.2">
      <c r="B1312" s="175"/>
      <c r="D1312" s="159"/>
      <c r="E1312" s="159"/>
    </row>
    <row r="1313" spans="2:5" x14ac:dyDescent="0.2">
      <c r="B1313" s="175"/>
      <c r="D1313" s="159"/>
      <c r="E1313" s="159"/>
    </row>
    <row r="1314" spans="2:5" x14ac:dyDescent="0.2">
      <c r="B1314" s="175"/>
      <c r="D1314" s="159"/>
      <c r="E1314" s="159"/>
    </row>
    <row r="1315" spans="2:5" x14ac:dyDescent="0.2">
      <c r="B1315" s="175"/>
      <c r="D1315" s="159"/>
      <c r="E1315" s="159"/>
    </row>
    <row r="1316" spans="2:5" x14ac:dyDescent="0.2">
      <c r="B1316" s="175"/>
      <c r="D1316" s="159"/>
      <c r="E1316" s="159"/>
    </row>
    <row r="1317" spans="2:5" x14ac:dyDescent="0.2">
      <c r="B1317" s="175"/>
      <c r="D1317" s="159"/>
      <c r="E1317" s="159"/>
    </row>
    <row r="1318" spans="2:5" x14ac:dyDescent="0.2">
      <c r="B1318" s="175"/>
      <c r="D1318" s="159"/>
      <c r="E1318" s="159"/>
    </row>
    <row r="1319" spans="2:5" x14ac:dyDescent="0.2">
      <c r="B1319" s="175"/>
      <c r="D1319" s="159"/>
      <c r="E1319" s="159"/>
    </row>
    <row r="1320" spans="2:5" x14ac:dyDescent="0.2">
      <c r="B1320" s="175"/>
      <c r="D1320" s="159"/>
      <c r="E1320" s="159"/>
    </row>
    <row r="1321" spans="2:5" x14ac:dyDescent="0.2">
      <c r="B1321" s="175"/>
      <c r="D1321" s="159"/>
      <c r="E1321" s="159"/>
    </row>
    <row r="1322" spans="2:5" x14ac:dyDescent="0.2">
      <c r="B1322" s="175"/>
      <c r="D1322" s="159"/>
      <c r="E1322" s="159"/>
    </row>
    <row r="1323" spans="2:5" x14ac:dyDescent="0.2">
      <c r="B1323" s="175"/>
      <c r="D1323" s="159"/>
      <c r="E1323" s="159"/>
    </row>
    <row r="1324" spans="2:5" x14ac:dyDescent="0.2">
      <c r="B1324" s="175"/>
      <c r="D1324" s="159"/>
      <c r="E1324" s="159"/>
    </row>
    <row r="1325" spans="2:5" x14ac:dyDescent="0.2">
      <c r="B1325" s="175"/>
      <c r="D1325" s="159"/>
      <c r="E1325" s="159"/>
    </row>
    <row r="1326" spans="2:5" x14ac:dyDescent="0.2">
      <c r="B1326" s="175"/>
      <c r="D1326" s="159"/>
      <c r="E1326" s="159"/>
    </row>
    <row r="1327" spans="2:5" x14ac:dyDescent="0.2">
      <c r="B1327" s="175"/>
      <c r="D1327" s="159"/>
      <c r="E1327" s="159"/>
    </row>
    <row r="1328" spans="2:5" x14ac:dyDescent="0.2">
      <c r="B1328" s="175"/>
      <c r="D1328" s="159"/>
      <c r="E1328" s="159"/>
    </row>
    <row r="1329" spans="2:5" x14ac:dyDescent="0.2">
      <c r="B1329" s="175"/>
      <c r="D1329" s="159"/>
      <c r="E1329" s="159"/>
    </row>
    <row r="1330" spans="2:5" x14ac:dyDescent="0.2">
      <c r="B1330" s="175"/>
      <c r="D1330" s="159"/>
      <c r="E1330" s="159"/>
    </row>
    <row r="1331" spans="2:5" x14ac:dyDescent="0.2">
      <c r="B1331" s="175"/>
      <c r="D1331" s="159"/>
      <c r="E1331" s="159"/>
    </row>
    <row r="1332" spans="2:5" x14ac:dyDescent="0.2">
      <c r="B1332" s="175"/>
      <c r="D1332" s="159"/>
      <c r="E1332" s="159"/>
    </row>
    <row r="1333" spans="2:5" x14ac:dyDescent="0.2">
      <c r="B1333" s="175"/>
      <c r="D1333" s="159"/>
      <c r="E1333" s="159"/>
    </row>
    <row r="1334" spans="2:5" x14ac:dyDescent="0.2">
      <c r="B1334" s="175"/>
      <c r="D1334" s="159"/>
      <c r="E1334" s="159"/>
    </row>
    <row r="1335" spans="2:5" x14ac:dyDescent="0.2">
      <c r="B1335" s="175"/>
      <c r="D1335" s="159"/>
      <c r="E1335" s="159"/>
    </row>
    <row r="1336" spans="2:5" x14ac:dyDescent="0.2">
      <c r="B1336" s="175"/>
      <c r="D1336" s="159"/>
      <c r="E1336" s="159"/>
    </row>
    <row r="1337" spans="2:5" x14ac:dyDescent="0.2">
      <c r="B1337" s="175"/>
      <c r="D1337" s="159"/>
      <c r="E1337" s="159"/>
    </row>
    <row r="1338" spans="2:5" x14ac:dyDescent="0.2">
      <c r="B1338" s="175"/>
      <c r="D1338" s="159"/>
      <c r="E1338" s="159"/>
    </row>
    <row r="1339" spans="2:5" x14ac:dyDescent="0.2">
      <c r="B1339" s="175"/>
      <c r="D1339" s="159"/>
      <c r="E1339" s="159"/>
    </row>
    <row r="1340" spans="2:5" x14ac:dyDescent="0.2">
      <c r="B1340" s="175"/>
      <c r="D1340" s="159"/>
      <c r="E1340" s="159"/>
    </row>
    <row r="1341" spans="2:5" x14ac:dyDescent="0.2">
      <c r="B1341" s="175"/>
      <c r="D1341" s="159"/>
      <c r="E1341" s="159"/>
    </row>
    <row r="1342" spans="2:5" x14ac:dyDescent="0.2">
      <c r="B1342" s="175"/>
      <c r="D1342" s="159"/>
      <c r="E1342" s="159"/>
    </row>
    <row r="1343" spans="2:5" x14ac:dyDescent="0.2">
      <c r="B1343" s="175"/>
      <c r="D1343" s="159"/>
      <c r="E1343" s="159"/>
    </row>
    <row r="1344" spans="2:5" x14ac:dyDescent="0.2">
      <c r="B1344" s="175"/>
      <c r="D1344" s="159"/>
      <c r="E1344" s="159"/>
    </row>
    <row r="1345" spans="2:5" x14ac:dyDescent="0.2">
      <c r="B1345" s="175"/>
      <c r="D1345" s="159"/>
      <c r="E1345" s="159"/>
    </row>
    <row r="1346" spans="2:5" x14ac:dyDescent="0.2">
      <c r="B1346" s="175"/>
      <c r="D1346" s="159"/>
      <c r="E1346" s="159"/>
    </row>
    <row r="1347" spans="2:5" x14ac:dyDescent="0.2">
      <c r="B1347" s="175"/>
      <c r="D1347" s="159"/>
      <c r="E1347" s="159"/>
    </row>
    <row r="1348" spans="2:5" x14ac:dyDescent="0.2">
      <c r="B1348" s="175"/>
      <c r="D1348" s="159"/>
      <c r="E1348" s="159"/>
    </row>
    <row r="1349" spans="2:5" x14ac:dyDescent="0.2">
      <c r="B1349" s="175"/>
      <c r="D1349" s="159"/>
      <c r="E1349" s="159"/>
    </row>
    <row r="1350" spans="2:5" x14ac:dyDescent="0.2">
      <c r="B1350" s="175"/>
      <c r="D1350" s="159"/>
      <c r="E1350" s="159"/>
    </row>
    <row r="1351" spans="2:5" x14ac:dyDescent="0.2">
      <c r="B1351" s="175"/>
      <c r="D1351" s="159"/>
      <c r="E1351" s="159"/>
    </row>
    <row r="1352" spans="2:5" x14ac:dyDescent="0.2">
      <c r="B1352" s="175"/>
      <c r="D1352" s="159"/>
      <c r="E1352" s="159"/>
    </row>
    <row r="1353" spans="2:5" x14ac:dyDescent="0.2">
      <c r="B1353" s="175"/>
      <c r="D1353" s="159"/>
      <c r="E1353" s="159"/>
    </row>
    <row r="1354" spans="2:5" x14ac:dyDescent="0.2">
      <c r="B1354" s="175"/>
      <c r="D1354" s="159"/>
      <c r="E1354" s="159"/>
    </row>
    <row r="1355" spans="2:5" x14ac:dyDescent="0.2">
      <c r="B1355" s="175"/>
      <c r="D1355" s="159"/>
      <c r="E1355" s="159"/>
    </row>
    <row r="1356" spans="2:5" x14ac:dyDescent="0.2">
      <c r="B1356" s="175"/>
      <c r="D1356" s="159"/>
      <c r="E1356" s="159"/>
    </row>
    <row r="1357" spans="2:5" x14ac:dyDescent="0.2">
      <c r="B1357" s="175"/>
      <c r="D1357" s="159"/>
      <c r="E1357" s="159"/>
    </row>
    <row r="1358" spans="2:5" x14ac:dyDescent="0.2">
      <c r="B1358" s="175"/>
      <c r="D1358" s="159"/>
      <c r="E1358" s="159"/>
    </row>
    <row r="1359" spans="2:5" x14ac:dyDescent="0.2">
      <c r="B1359" s="175"/>
      <c r="D1359" s="159"/>
      <c r="E1359" s="159"/>
    </row>
    <row r="1360" spans="2:5" x14ac:dyDescent="0.2">
      <c r="B1360" s="175"/>
      <c r="D1360" s="159"/>
      <c r="E1360" s="159"/>
    </row>
    <row r="1361" spans="2:5" x14ac:dyDescent="0.2">
      <c r="B1361" s="175"/>
      <c r="D1361" s="159"/>
      <c r="E1361" s="159"/>
    </row>
    <row r="1362" spans="2:5" x14ac:dyDescent="0.2">
      <c r="B1362" s="175"/>
      <c r="D1362" s="159"/>
      <c r="E1362" s="159"/>
    </row>
    <row r="1363" spans="2:5" x14ac:dyDescent="0.2">
      <c r="B1363" s="175"/>
      <c r="D1363" s="159"/>
      <c r="E1363" s="159"/>
    </row>
    <row r="1364" spans="2:5" x14ac:dyDescent="0.2">
      <c r="B1364" s="175"/>
      <c r="D1364" s="159"/>
      <c r="E1364" s="159"/>
    </row>
    <row r="1365" spans="2:5" x14ac:dyDescent="0.2">
      <c r="B1365" s="175"/>
      <c r="D1365" s="159"/>
      <c r="E1365" s="159"/>
    </row>
    <row r="1366" spans="2:5" x14ac:dyDescent="0.2">
      <c r="B1366" s="175"/>
      <c r="D1366" s="159"/>
      <c r="E1366" s="159"/>
    </row>
    <row r="1367" spans="2:5" x14ac:dyDescent="0.2">
      <c r="B1367" s="175"/>
      <c r="D1367" s="159"/>
      <c r="E1367" s="159"/>
    </row>
    <row r="1368" spans="2:5" x14ac:dyDescent="0.2">
      <c r="B1368" s="175"/>
      <c r="D1368" s="159"/>
      <c r="E1368" s="159"/>
    </row>
    <row r="1369" spans="2:5" x14ac:dyDescent="0.2">
      <c r="B1369" s="175"/>
      <c r="D1369" s="159"/>
      <c r="E1369" s="159"/>
    </row>
    <row r="1370" spans="2:5" x14ac:dyDescent="0.2">
      <c r="B1370" s="175"/>
      <c r="D1370" s="159"/>
      <c r="E1370" s="159"/>
    </row>
    <row r="1371" spans="2:5" x14ac:dyDescent="0.2">
      <c r="B1371" s="175"/>
      <c r="D1371" s="159"/>
      <c r="E1371" s="159"/>
    </row>
    <row r="1372" spans="2:5" x14ac:dyDescent="0.2">
      <c r="B1372" s="175"/>
      <c r="D1372" s="159"/>
      <c r="E1372" s="159"/>
    </row>
    <row r="1373" spans="2:5" x14ac:dyDescent="0.2">
      <c r="B1373" s="175"/>
      <c r="D1373" s="159"/>
      <c r="E1373" s="159"/>
    </row>
    <row r="1374" spans="2:5" x14ac:dyDescent="0.2">
      <c r="B1374" s="175"/>
      <c r="D1374" s="159"/>
      <c r="E1374" s="159"/>
    </row>
    <row r="1375" spans="2:5" x14ac:dyDescent="0.2">
      <c r="B1375" s="175"/>
      <c r="D1375" s="159"/>
      <c r="E1375" s="159"/>
    </row>
    <row r="1376" spans="2:5" x14ac:dyDescent="0.2">
      <c r="B1376" s="175"/>
      <c r="D1376" s="159"/>
      <c r="E1376" s="159"/>
    </row>
    <row r="1377" spans="2:5" x14ac:dyDescent="0.2">
      <c r="B1377" s="175"/>
      <c r="D1377" s="159"/>
      <c r="E1377" s="159"/>
    </row>
    <row r="1378" spans="2:5" x14ac:dyDescent="0.2">
      <c r="B1378" s="175"/>
      <c r="D1378" s="159"/>
      <c r="E1378" s="159"/>
    </row>
    <row r="1379" spans="2:5" x14ac:dyDescent="0.2">
      <c r="B1379" s="175"/>
      <c r="D1379" s="159"/>
      <c r="E1379" s="159"/>
    </row>
    <row r="1380" spans="2:5" x14ac:dyDescent="0.2">
      <c r="B1380" s="175"/>
      <c r="D1380" s="159"/>
      <c r="E1380" s="159"/>
    </row>
    <row r="1381" spans="2:5" x14ac:dyDescent="0.2">
      <c r="B1381" s="175"/>
      <c r="D1381" s="159"/>
      <c r="E1381" s="159"/>
    </row>
    <row r="1382" spans="2:5" x14ac:dyDescent="0.2">
      <c r="B1382" s="175"/>
      <c r="D1382" s="159"/>
      <c r="E1382" s="159"/>
    </row>
    <row r="1383" spans="2:5" x14ac:dyDescent="0.2">
      <c r="B1383" s="175"/>
      <c r="D1383" s="159"/>
      <c r="E1383" s="159"/>
    </row>
    <row r="1384" spans="2:5" x14ac:dyDescent="0.2">
      <c r="B1384" s="175"/>
      <c r="D1384" s="159"/>
      <c r="E1384" s="159"/>
    </row>
    <row r="1385" spans="2:5" x14ac:dyDescent="0.2">
      <c r="B1385" s="175"/>
      <c r="D1385" s="159"/>
      <c r="E1385" s="159"/>
    </row>
    <row r="1386" spans="2:5" x14ac:dyDescent="0.2">
      <c r="B1386" s="175"/>
      <c r="D1386" s="159"/>
      <c r="E1386" s="159"/>
    </row>
    <row r="1387" spans="2:5" x14ac:dyDescent="0.2">
      <c r="B1387" s="175"/>
      <c r="D1387" s="159"/>
      <c r="E1387" s="159"/>
    </row>
    <row r="1388" spans="2:5" x14ac:dyDescent="0.2">
      <c r="B1388" s="175"/>
      <c r="D1388" s="159"/>
      <c r="E1388" s="159"/>
    </row>
    <row r="1389" spans="2:5" x14ac:dyDescent="0.2">
      <c r="B1389" s="175"/>
      <c r="D1389" s="159"/>
      <c r="E1389" s="159"/>
    </row>
    <row r="1390" spans="2:5" x14ac:dyDescent="0.2">
      <c r="B1390" s="175"/>
      <c r="D1390" s="159"/>
      <c r="E1390" s="159"/>
    </row>
    <row r="1391" spans="2:5" x14ac:dyDescent="0.2">
      <c r="B1391" s="175"/>
      <c r="D1391" s="159"/>
      <c r="E1391" s="159"/>
    </row>
    <row r="1392" spans="2:5" x14ac:dyDescent="0.2">
      <c r="B1392" s="175"/>
      <c r="D1392" s="159"/>
      <c r="E1392" s="159"/>
    </row>
    <row r="1393" spans="2:5" x14ac:dyDescent="0.2">
      <c r="B1393" s="175"/>
      <c r="D1393" s="159"/>
      <c r="E1393" s="159"/>
    </row>
    <row r="1394" spans="2:5" x14ac:dyDescent="0.2">
      <c r="B1394" s="175"/>
      <c r="D1394" s="159"/>
      <c r="E1394" s="159"/>
    </row>
    <row r="1395" spans="2:5" x14ac:dyDescent="0.2">
      <c r="B1395" s="175"/>
      <c r="D1395" s="159"/>
      <c r="E1395" s="159"/>
    </row>
    <row r="1396" spans="2:5" x14ac:dyDescent="0.2">
      <c r="B1396" s="175"/>
      <c r="D1396" s="159"/>
      <c r="E1396" s="159"/>
    </row>
    <row r="1397" spans="2:5" x14ac:dyDescent="0.2">
      <c r="B1397" s="175"/>
      <c r="D1397" s="159"/>
      <c r="E1397" s="159"/>
    </row>
    <row r="1398" spans="2:5" x14ac:dyDescent="0.2">
      <c r="B1398" s="175"/>
      <c r="D1398" s="159"/>
      <c r="E1398" s="159"/>
    </row>
    <row r="1399" spans="2:5" x14ac:dyDescent="0.2">
      <c r="B1399" s="175"/>
      <c r="D1399" s="159"/>
      <c r="E1399" s="159"/>
    </row>
    <row r="1400" spans="2:5" x14ac:dyDescent="0.2">
      <c r="B1400" s="175"/>
      <c r="D1400" s="159"/>
      <c r="E1400" s="159"/>
    </row>
    <row r="1401" spans="2:5" x14ac:dyDescent="0.2">
      <c r="B1401" s="175"/>
      <c r="D1401" s="159"/>
      <c r="E1401" s="159"/>
    </row>
    <row r="1402" spans="2:5" x14ac:dyDescent="0.2">
      <c r="B1402" s="175"/>
      <c r="D1402" s="159"/>
      <c r="E1402" s="159"/>
    </row>
    <row r="1403" spans="2:5" x14ac:dyDescent="0.2">
      <c r="B1403" s="175"/>
      <c r="D1403" s="159"/>
      <c r="E1403" s="159"/>
    </row>
    <row r="1404" spans="2:5" x14ac:dyDescent="0.2">
      <c r="B1404" s="175"/>
      <c r="D1404" s="159"/>
      <c r="E1404" s="159"/>
    </row>
    <row r="1405" spans="2:5" x14ac:dyDescent="0.2">
      <c r="B1405" s="175"/>
      <c r="D1405" s="159"/>
      <c r="E1405" s="159"/>
    </row>
    <row r="1406" spans="2:5" x14ac:dyDescent="0.2">
      <c r="B1406" s="175"/>
      <c r="D1406" s="159"/>
      <c r="E1406" s="159"/>
    </row>
    <row r="1407" spans="2:5" x14ac:dyDescent="0.2">
      <c r="B1407" s="175"/>
      <c r="D1407" s="159"/>
      <c r="E1407" s="159"/>
    </row>
    <row r="1408" spans="2:5" x14ac:dyDescent="0.2">
      <c r="B1408" s="175"/>
      <c r="D1408" s="159"/>
      <c r="E1408" s="159"/>
    </row>
    <row r="1409" spans="2:5" x14ac:dyDescent="0.2">
      <c r="B1409" s="175"/>
      <c r="D1409" s="159"/>
      <c r="E1409" s="159"/>
    </row>
    <row r="1410" spans="2:5" x14ac:dyDescent="0.2">
      <c r="B1410" s="175"/>
      <c r="D1410" s="159"/>
      <c r="E1410" s="159"/>
    </row>
    <row r="1411" spans="2:5" x14ac:dyDescent="0.2">
      <c r="B1411" s="175"/>
      <c r="D1411" s="159"/>
      <c r="E1411" s="159"/>
    </row>
    <row r="1412" spans="2:5" x14ac:dyDescent="0.2">
      <c r="B1412" s="175"/>
      <c r="D1412" s="159"/>
      <c r="E1412" s="159"/>
    </row>
    <row r="1413" spans="2:5" x14ac:dyDescent="0.2">
      <c r="B1413" s="175"/>
      <c r="D1413" s="159"/>
      <c r="E1413" s="159"/>
    </row>
    <row r="1414" spans="2:5" x14ac:dyDescent="0.2">
      <c r="B1414" s="175"/>
      <c r="D1414" s="159"/>
      <c r="E1414" s="159"/>
    </row>
    <row r="1415" spans="2:5" x14ac:dyDescent="0.2">
      <c r="B1415" s="175"/>
      <c r="D1415" s="159"/>
      <c r="E1415" s="159"/>
    </row>
    <row r="1416" spans="2:5" x14ac:dyDescent="0.2">
      <c r="B1416" s="175"/>
      <c r="D1416" s="159"/>
      <c r="E1416" s="159"/>
    </row>
    <row r="1417" spans="2:5" x14ac:dyDescent="0.2">
      <c r="B1417" s="175"/>
      <c r="D1417" s="159"/>
      <c r="E1417" s="159"/>
    </row>
    <row r="1418" spans="2:5" x14ac:dyDescent="0.2">
      <c r="B1418" s="175"/>
      <c r="D1418" s="159"/>
      <c r="E1418" s="159"/>
    </row>
    <row r="1419" spans="2:5" x14ac:dyDescent="0.2">
      <c r="B1419" s="175"/>
      <c r="D1419" s="159"/>
      <c r="E1419" s="159"/>
    </row>
    <row r="1420" spans="2:5" x14ac:dyDescent="0.2">
      <c r="B1420" s="175"/>
      <c r="D1420" s="159"/>
      <c r="E1420" s="159"/>
    </row>
    <row r="1421" spans="2:5" x14ac:dyDescent="0.2">
      <c r="B1421" s="175"/>
      <c r="D1421" s="159"/>
      <c r="E1421" s="159"/>
    </row>
    <row r="1422" spans="2:5" x14ac:dyDescent="0.2">
      <c r="B1422" s="175"/>
      <c r="D1422" s="159"/>
      <c r="E1422" s="159"/>
    </row>
    <row r="1423" spans="2:5" x14ac:dyDescent="0.2">
      <c r="B1423" s="175"/>
      <c r="D1423" s="159"/>
      <c r="E1423" s="159"/>
    </row>
    <row r="1424" spans="2:5" x14ac:dyDescent="0.2">
      <c r="B1424" s="175"/>
      <c r="D1424" s="159"/>
      <c r="E1424" s="159"/>
    </row>
    <row r="1425" spans="2:5" x14ac:dyDescent="0.2">
      <c r="B1425" s="175"/>
      <c r="D1425" s="159"/>
      <c r="E1425" s="159"/>
    </row>
    <row r="1426" spans="2:5" x14ac:dyDescent="0.2">
      <c r="B1426" s="175"/>
      <c r="D1426" s="159"/>
      <c r="E1426" s="159"/>
    </row>
    <row r="1427" spans="2:5" x14ac:dyDescent="0.2">
      <c r="B1427" s="175"/>
      <c r="D1427" s="159"/>
      <c r="E1427" s="159"/>
    </row>
    <row r="1428" spans="2:5" x14ac:dyDescent="0.2">
      <c r="B1428" s="175"/>
      <c r="D1428" s="159"/>
      <c r="E1428" s="159"/>
    </row>
    <row r="1429" spans="2:5" x14ac:dyDescent="0.2">
      <c r="B1429" s="175"/>
      <c r="D1429" s="159"/>
      <c r="E1429" s="159"/>
    </row>
    <row r="1430" spans="2:5" x14ac:dyDescent="0.2">
      <c r="B1430" s="175"/>
      <c r="D1430" s="159"/>
      <c r="E1430" s="159"/>
    </row>
    <row r="1431" spans="2:5" x14ac:dyDescent="0.2">
      <c r="B1431" s="175"/>
      <c r="D1431" s="159"/>
      <c r="E1431" s="159"/>
    </row>
    <row r="1432" spans="2:5" x14ac:dyDescent="0.2">
      <c r="B1432" s="175"/>
      <c r="D1432" s="159"/>
      <c r="E1432" s="159"/>
    </row>
    <row r="1433" spans="2:5" x14ac:dyDescent="0.2">
      <c r="B1433" s="175"/>
      <c r="D1433" s="159"/>
      <c r="E1433" s="159"/>
    </row>
    <row r="1434" spans="2:5" x14ac:dyDescent="0.2">
      <c r="B1434" s="175"/>
      <c r="D1434" s="159"/>
      <c r="E1434" s="159"/>
    </row>
    <row r="1435" spans="2:5" x14ac:dyDescent="0.2">
      <c r="B1435" s="175"/>
      <c r="D1435" s="159"/>
      <c r="E1435" s="159"/>
    </row>
    <row r="1436" spans="2:5" x14ac:dyDescent="0.2">
      <c r="B1436" s="175"/>
      <c r="D1436" s="159"/>
      <c r="E1436" s="159"/>
    </row>
    <row r="1437" spans="2:5" x14ac:dyDescent="0.2">
      <c r="B1437" s="175"/>
      <c r="D1437" s="159"/>
      <c r="E1437" s="159"/>
    </row>
    <row r="1438" spans="2:5" x14ac:dyDescent="0.2">
      <c r="B1438" s="175"/>
      <c r="D1438" s="159"/>
      <c r="E1438" s="159"/>
    </row>
    <row r="1439" spans="2:5" x14ac:dyDescent="0.2">
      <c r="B1439" s="175"/>
      <c r="D1439" s="159"/>
      <c r="E1439" s="159"/>
    </row>
    <row r="1440" spans="2:5" x14ac:dyDescent="0.2">
      <c r="B1440" s="175"/>
      <c r="D1440" s="159"/>
      <c r="E1440" s="159"/>
    </row>
    <row r="1441" spans="2:5" x14ac:dyDescent="0.2">
      <c r="B1441" s="175"/>
      <c r="D1441" s="159"/>
      <c r="E1441" s="159"/>
    </row>
    <row r="1442" spans="2:5" x14ac:dyDescent="0.2">
      <c r="B1442" s="175"/>
      <c r="D1442" s="159"/>
      <c r="E1442" s="159"/>
    </row>
    <row r="1443" spans="2:5" x14ac:dyDescent="0.2">
      <c r="B1443" s="175"/>
      <c r="D1443" s="159"/>
      <c r="E1443" s="159"/>
    </row>
    <row r="1444" spans="2:5" x14ac:dyDescent="0.2">
      <c r="B1444" s="175"/>
      <c r="D1444" s="159"/>
      <c r="E1444" s="159"/>
    </row>
    <row r="1445" spans="2:5" x14ac:dyDescent="0.2">
      <c r="B1445" s="175"/>
      <c r="D1445" s="159"/>
      <c r="E1445" s="159"/>
    </row>
    <row r="1446" spans="2:5" x14ac:dyDescent="0.2">
      <c r="B1446" s="175"/>
      <c r="D1446" s="159"/>
      <c r="E1446" s="159"/>
    </row>
    <row r="1447" spans="2:5" x14ac:dyDescent="0.2">
      <c r="B1447" s="175"/>
      <c r="D1447" s="159"/>
      <c r="E1447" s="159"/>
    </row>
    <row r="1448" spans="2:5" x14ac:dyDescent="0.2">
      <c r="B1448" s="175"/>
      <c r="D1448" s="159"/>
      <c r="E1448" s="159"/>
    </row>
    <row r="1449" spans="2:5" x14ac:dyDescent="0.2">
      <c r="B1449" s="175"/>
      <c r="D1449" s="159"/>
      <c r="E1449" s="159"/>
    </row>
    <row r="1450" spans="2:5" x14ac:dyDescent="0.2">
      <c r="B1450" s="175"/>
      <c r="D1450" s="159"/>
      <c r="E1450" s="159"/>
    </row>
    <row r="1451" spans="2:5" x14ac:dyDescent="0.2">
      <c r="B1451" s="175"/>
      <c r="D1451" s="159"/>
      <c r="E1451" s="159"/>
    </row>
    <row r="1452" spans="2:5" x14ac:dyDescent="0.2">
      <c r="B1452" s="175"/>
      <c r="D1452" s="159"/>
      <c r="E1452" s="159"/>
    </row>
    <row r="1453" spans="2:5" x14ac:dyDescent="0.2">
      <c r="B1453" s="175"/>
      <c r="D1453" s="159"/>
      <c r="E1453" s="159"/>
    </row>
    <row r="1454" spans="2:5" x14ac:dyDescent="0.2">
      <c r="B1454" s="175"/>
      <c r="D1454" s="159"/>
      <c r="E1454" s="159"/>
    </row>
    <row r="1455" spans="2:5" x14ac:dyDescent="0.2">
      <c r="B1455" s="175"/>
      <c r="D1455" s="159"/>
      <c r="E1455" s="159"/>
    </row>
    <row r="1456" spans="2:5" x14ac:dyDescent="0.2">
      <c r="B1456" s="175"/>
      <c r="D1456" s="159"/>
      <c r="E1456" s="159"/>
    </row>
    <row r="1457" spans="2:5" x14ac:dyDescent="0.2">
      <c r="B1457" s="175"/>
      <c r="D1457" s="159"/>
      <c r="E1457" s="159"/>
    </row>
    <row r="1458" spans="2:5" x14ac:dyDescent="0.2">
      <c r="B1458" s="175"/>
      <c r="D1458" s="159"/>
      <c r="E1458" s="159"/>
    </row>
    <row r="1459" spans="2:5" x14ac:dyDescent="0.2">
      <c r="B1459" s="175"/>
      <c r="D1459" s="159"/>
      <c r="E1459" s="159"/>
    </row>
    <row r="1460" spans="2:5" x14ac:dyDescent="0.2">
      <c r="B1460" s="175"/>
      <c r="D1460" s="159"/>
      <c r="E1460" s="159"/>
    </row>
    <row r="1461" spans="2:5" x14ac:dyDescent="0.2">
      <c r="B1461" s="175"/>
      <c r="D1461" s="159"/>
      <c r="E1461" s="159"/>
    </row>
    <row r="1462" spans="2:5" x14ac:dyDescent="0.2">
      <c r="B1462" s="175"/>
      <c r="D1462" s="159"/>
      <c r="E1462" s="159"/>
    </row>
    <row r="1463" spans="2:5" x14ac:dyDescent="0.2">
      <c r="B1463" s="175"/>
      <c r="D1463" s="159"/>
      <c r="E1463" s="159"/>
    </row>
    <row r="1464" spans="2:5" x14ac:dyDescent="0.2">
      <c r="B1464" s="175"/>
      <c r="D1464" s="159"/>
      <c r="E1464" s="159"/>
    </row>
    <row r="1465" spans="2:5" x14ac:dyDescent="0.2">
      <c r="B1465" s="175"/>
      <c r="D1465" s="159"/>
      <c r="E1465" s="159"/>
    </row>
    <row r="1466" spans="2:5" x14ac:dyDescent="0.2">
      <c r="B1466" s="175"/>
      <c r="D1466" s="159"/>
      <c r="E1466" s="159"/>
    </row>
    <row r="1467" spans="2:5" x14ac:dyDescent="0.2">
      <c r="B1467" s="175"/>
      <c r="D1467" s="159"/>
      <c r="E1467" s="159"/>
    </row>
    <row r="1468" spans="2:5" x14ac:dyDescent="0.2">
      <c r="B1468" s="175"/>
      <c r="D1468" s="159"/>
      <c r="E1468" s="159"/>
    </row>
    <row r="1469" spans="2:5" x14ac:dyDescent="0.2">
      <c r="B1469" s="175"/>
      <c r="D1469" s="159"/>
      <c r="E1469" s="159"/>
    </row>
    <row r="1470" spans="2:5" x14ac:dyDescent="0.2">
      <c r="B1470" s="175"/>
      <c r="D1470" s="159"/>
      <c r="E1470" s="159"/>
    </row>
    <row r="1471" spans="2:5" x14ac:dyDescent="0.2">
      <c r="B1471" s="175"/>
      <c r="D1471" s="159"/>
      <c r="E1471" s="159"/>
    </row>
    <row r="1472" spans="2:5" x14ac:dyDescent="0.2">
      <c r="B1472" s="175"/>
      <c r="D1472" s="159"/>
      <c r="E1472" s="159"/>
    </row>
    <row r="1473" spans="2:5" x14ac:dyDescent="0.2">
      <c r="B1473" s="175"/>
      <c r="D1473" s="159"/>
      <c r="E1473" s="159"/>
    </row>
    <row r="1474" spans="2:5" x14ac:dyDescent="0.2">
      <c r="B1474" s="175"/>
      <c r="D1474" s="159"/>
      <c r="E1474" s="159"/>
    </row>
    <row r="1475" spans="2:5" x14ac:dyDescent="0.2">
      <c r="B1475" s="175"/>
      <c r="D1475" s="159"/>
      <c r="E1475" s="159"/>
    </row>
    <row r="1476" spans="2:5" x14ac:dyDescent="0.2">
      <c r="B1476" s="175"/>
      <c r="D1476" s="159"/>
      <c r="E1476" s="159"/>
    </row>
    <row r="1477" spans="2:5" x14ac:dyDescent="0.2">
      <c r="B1477" s="175"/>
      <c r="D1477" s="159"/>
      <c r="E1477" s="159"/>
    </row>
    <row r="1478" spans="2:5" x14ac:dyDescent="0.2">
      <c r="B1478" s="175"/>
      <c r="D1478" s="159"/>
      <c r="E1478" s="159"/>
    </row>
    <row r="1479" spans="2:5" x14ac:dyDescent="0.2">
      <c r="B1479" s="175"/>
      <c r="D1479" s="159"/>
      <c r="E1479" s="159"/>
    </row>
    <row r="1480" spans="2:5" x14ac:dyDescent="0.2">
      <c r="B1480" s="175"/>
      <c r="D1480" s="159"/>
      <c r="E1480" s="159"/>
    </row>
    <row r="1481" spans="2:5" x14ac:dyDescent="0.2">
      <c r="B1481" s="175"/>
      <c r="D1481" s="159"/>
      <c r="E1481" s="159"/>
    </row>
    <row r="1482" spans="2:5" x14ac:dyDescent="0.2">
      <c r="B1482" s="175"/>
      <c r="D1482" s="159"/>
      <c r="E1482" s="159"/>
    </row>
    <row r="1483" spans="2:5" x14ac:dyDescent="0.2">
      <c r="B1483" s="175"/>
      <c r="D1483" s="159"/>
      <c r="E1483" s="159"/>
    </row>
    <row r="1484" spans="2:5" x14ac:dyDescent="0.2">
      <c r="B1484" s="175"/>
      <c r="D1484" s="159"/>
      <c r="E1484" s="159"/>
    </row>
    <row r="1485" spans="2:5" x14ac:dyDescent="0.2">
      <c r="B1485" s="175"/>
      <c r="D1485" s="159"/>
      <c r="E1485" s="159"/>
    </row>
    <row r="1486" spans="2:5" x14ac:dyDescent="0.2">
      <c r="B1486" s="175"/>
      <c r="D1486" s="159"/>
      <c r="E1486" s="159"/>
    </row>
    <row r="1487" spans="2:5" x14ac:dyDescent="0.2">
      <c r="B1487" s="175"/>
      <c r="D1487" s="159"/>
      <c r="E1487" s="159"/>
    </row>
    <row r="1488" spans="2:5" x14ac:dyDescent="0.2">
      <c r="B1488" s="175"/>
      <c r="D1488" s="159"/>
      <c r="E1488" s="159"/>
    </row>
    <row r="1489" spans="2:5" x14ac:dyDescent="0.2">
      <c r="B1489" s="175"/>
      <c r="D1489" s="159"/>
      <c r="E1489" s="159"/>
    </row>
    <row r="1490" spans="2:5" x14ac:dyDescent="0.2">
      <c r="B1490" s="175"/>
      <c r="D1490" s="159"/>
      <c r="E1490" s="159"/>
    </row>
    <row r="1491" spans="2:5" x14ac:dyDescent="0.2">
      <c r="B1491" s="175"/>
      <c r="D1491" s="159"/>
      <c r="E1491" s="159"/>
    </row>
    <row r="1492" spans="2:5" x14ac:dyDescent="0.2">
      <c r="B1492" s="175"/>
      <c r="D1492" s="159"/>
      <c r="E1492" s="159"/>
    </row>
    <row r="1493" spans="2:5" x14ac:dyDescent="0.2">
      <c r="B1493" s="175"/>
      <c r="D1493" s="159"/>
      <c r="E1493" s="159"/>
    </row>
    <row r="1494" spans="2:5" x14ac:dyDescent="0.2">
      <c r="B1494" s="175"/>
      <c r="D1494" s="159"/>
      <c r="E1494" s="159"/>
    </row>
    <row r="1495" spans="2:5" x14ac:dyDescent="0.2">
      <c r="B1495" s="175"/>
      <c r="D1495" s="159"/>
      <c r="E1495" s="159"/>
    </row>
    <row r="1496" spans="2:5" x14ac:dyDescent="0.2">
      <c r="B1496" s="175"/>
      <c r="D1496" s="159"/>
      <c r="E1496" s="159"/>
    </row>
    <row r="1497" spans="2:5" x14ac:dyDescent="0.2">
      <c r="B1497" s="175"/>
      <c r="D1497" s="159"/>
      <c r="E1497" s="159"/>
    </row>
    <row r="1498" spans="2:5" x14ac:dyDescent="0.2">
      <c r="B1498" s="175"/>
      <c r="D1498" s="159"/>
      <c r="E1498" s="159"/>
    </row>
    <row r="1499" spans="2:5" x14ac:dyDescent="0.2">
      <c r="B1499" s="175"/>
      <c r="D1499" s="159"/>
      <c r="E1499" s="159"/>
    </row>
    <row r="1500" spans="2:5" x14ac:dyDescent="0.2">
      <c r="B1500" s="175"/>
      <c r="D1500" s="159"/>
      <c r="E1500" s="159"/>
    </row>
    <row r="1501" spans="2:5" x14ac:dyDescent="0.2">
      <c r="B1501" s="175"/>
      <c r="D1501" s="159"/>
      <c r="E1501" s="159"/>
    </row>
    <row r="1502" spans="2:5" x14ac:dyDescent="0.2">
      <c r="B1502" s="175"/>
      <c r="D1502" s="159"/>
      <c r="E1502" s="159"/>
    </row>
    <row r="1503" spans="2:5" x14ac:dyDescent="0.2">
      <c r="B1503" s="175"/>
      <c r="D1503" s="159"/>
      <c r="E1503" s="159"/>
    </row>
    <row r="1504" spans="2:5" x14ac:dyDescent="0.2">
      <c r="B1504" s="175"/>
      <c r="D1504" s="159"/>
      <c r="E1504" s="159"/>
    </row>
    <row r="1505" spans="2:5" x14ac:dyDescent="0.2">
      <c r="B1505" s="175"/>
      <c r="D1505" s="159"/>
      <c r="E1505" s="159"/>
    </row>
    <row r="1506" spans="2:5" x14ac:dyDescent="0.2">
      <c r="B1506" s="175"/>
      <c r="D1506" s="159"/>
      <c r="E1506" s="159"/>
    </row>
    <row r="1507" spans="2:5" x14ac:dyDescent="0.2">
      <c r="B1507" s="175"/>
      <c r="D1507" s="159"/>
      <c r="E1507" s="159"/>
    </row>
    <row r="1508" spans="2:5" x14ac:dyDescent="0.2">
      <c r="B1508" s="175"/>
      <c r="D1508" s="159"/>
      <c r="E1508" s="159"/>
    </row>
    <row r="1509" spans="2:5" x14ac:dyDescent="0.2">
      <c r="B1509" s="175"/>
      <c r="D1509" s="159"/>
      <c r="E1509" s="159"/>
    </row>
    <row r="1510" spans="2:5" x14ac:dyDescent="0.2">
      <c r="B1510" s="175"/>
      <c r="D1510" s="159"/>
      <c r="E1510" s="159"/>
    </row>
    <row r="1511" spans="2:5" x14ac:dyDescent="0.2">
      <c r="B1511" s="175"/>
      <c r="D1511" s="159"/>
      <c r="E1511" s="159"/>
    </row>
    <row r="1512" spans="2:5" x14ac:dyDescent="0.2">
      <c r="B1512" s="175"/>
      <c r="D1512" s="159"/>
      <c r="E1512" s="159"/>
    </row>
    <row r="1513" spans="2:5" x14ac:dyDescent="0.2">
      <c r="B1513" s="175"/>
      <c r="D1513" s="159"/>
      <c r="E1513" s="159"/>
    </row>
    <row r="1514" spans="2:5" x14ac:dyDescent="0.2">
      <c r="B1514" s="175"/>
      <c r="D1514" s="159"/>
      <c r="E1514" s="159"/>
    </row>
    <row r="1515" spans="2:5" x14ac:dyDescent="0.2">
      <c r="B1515" s="175"/>
      <c r="D1515" s="159"/>
      <c r="E1515" s="159"/>
    </row>
    <row r="1516" spans="2:5" x14ac:dyDescent="0.2">
      <c r="B1516" s="175"/>
      <c r="D1516" s="159"/>
      <c r="E1516" s="159"/>
    </row>
    <row r="1517" spans="2:5" x14ac:dyDescent="0.2">
      <c r="B1517" s="175"/>
      <c r="D1517" s="159"/>
      <c r="E1517" s="159"/>
    </row>
    <row r="1518" spans="2:5" x14ac:dyDescent="0.2">
      <c r="B1518" s="175"/>
      <c r="D1518" s="159"/>
      <c r="E1518" s="159"/>
    </row>
    <row r="1519" spans="2:5" x14ac:dyDescent="0.2">
      <c r="B1519" s="175"/>
      <c r="D1519" s="159"/>
      <c r="E1519" s="159"/>
    </row>
    <row r="1520" spans="2:5" x14ac:dyDescent="0.2">
      <c r="B1520" s="175"/>
      <c r="D1520" s="159"/>
      <c r="E1520" s="159"/>
    </row>
    <row r="1521" spans="2:5" x14ac:dyDescent="0.2">
      <c r="B1521" s="175"/>
      <c r="D1521" s="159"/>
      <c r="E1521" s="159"/>
    </row>
    <row r="1522" spans="2:5" x14ac:dyDescent="0.2">
      <c r="B1522" s="175"/>
      <c r="D1522" s="159"/>
      <c r="E1522" s="159"/>
    </row>
    <row r="1523" spans="2:5" x14ac:dyDescent="0.2">
      <c r="B1523" s="175"/>
      <c r="D1523" s="159"/>
      <c r="E1523" s="159"/>
    </row>
    <row r="1524" spans="2:5" x14ac:dyDescent="0.2">
      <c r="B1524" s="175"/>
      <c r="D1524" s="159"/>
      <c r="E1524" s="159"/>
    </row>
    <row r="1525" spans="2:5" x14ac:dyDescent="0.2">
      <c r="B1525" s="175"/>
      <c r="D1525" s="159"/>
      <c r="E1525" s="159"/>
    </row>
    <row r="1526" spans="2:5" x14ac:dyDescent="0.2">
      <c r="B1526" s="175"/>
      <c r="D1526" s="159"/>
      <c r="E1526" s="159"/>
    </row>
    <row r="1527" spans="2:5" x14ac:dyDescent="0.2">
      <c r="B1527" s="175"/>
      <c r="D1527" s="159"/>
      <c r="E1527" s="159"/>
    </row>
    <row r="1528" spans="2:5" x14ac:dyDescent="0.2">
      <c r="B1528" s="175"/>
      <c r="D1528" s="159"/>
      <c r="E1528" s="159"/>
    </row>
    <row r="1529" spans="2:5" x14ac:dyDescent="0.2">
      <c r="B1529" s="175"/>
      <c r="D1529" s="159"/>
      <c r="E1529" s="159"/>
    </row>
    <row r="1530" spans="2:5" x14ac:dyDescent="0.2">
      <c r="B1530" s="175"/>
      <c r="D1530" s="159"/>
      <c r="E1530" s="159"/>
    </row>
    <row r="1531" spans="2:5" x14ac:dyDescent="0.2">
      <c r="B1531" s="175"/>
      <c r="D1531" s="159"/>
      <c r="E1531" s="159"/>
    </row>
    <row r="1532" spans="2:5" x14ac:dyDescent="0.2">
      <c r="B1532" s="175"/>
      <c r="D1532" s="159"/>
      <c r="E1532" s="159"/>
    </row>
    <row r="1533" spans="2:5" x14ac:dyDescent="0.2">
      <c r="B1533" s="175"/>
      <c r="D1533" s="159"/>
      <c r="E1533" s="159"/>
    </row>
    <row r="1534" spans="2:5" x14ac:dyDescent="0.2">
      <c r="B1534" s="175"/>
      <c r="D1534" s="159"/>
      <c r="E1534" s="159"/>
    </row>
    <row r="1535" spans="2:5" x14ac:dyDescent="0.2">
      <c r="B1535" s="175"/>
      <c r="D1535" s="159"/>
      <c r="E1535" s="159"/>
    </row>
    <row r="1536" spans="2:5" x14ac:dyDescent="0.2">
      <c r="B1536" s="175"/>
      <c r="D1536" s="159"/>
      <c r="E1536" s="159"/>
    </row>
    <row r="1537" spans="2:5" x14ac:dyDescent="0.2">
      <c r="B1537" s="175"/>
      <c r="D1537" s="159"/>
      <c r="E1537" s="159"/>
    </row>
    <row r="1538" spans="2:5" x14ac:dyDescent="0.2">
      <c r="B1538" s="175"/>
      <c r="D1538" s="159"/>
      <c r="E1538" s="159"/>
    </row>
    <row r="1539" spans="2:5" x14ac:dyDescent="0.2">
      <c r="B1539" s="175"/>
      <c r="D1539" s="159"/>
      <c r="E1539" s="159"/>
    </row>
    <row r="1540" spans="2:5" x14ac:dyDescent="0.2">
      <c r="B1540" s="175"/>
      <c r="D1540" s="159"/>
      <c r="E1540" s="159"/>
    </row>
    <row r="1541" spans="2:5" x14ac:dyDescent="0.2">
      <c r="B1541" s="175"/>
      <c r="D1541" s="159"/>
      <c r="E1541" s="159"/>
    </row>
    <row r="1542" spans="2:5" x14ac:dyDescent="0.2">
      <c r="B1542" s="175"/>
      <c r="D1542" s="159"/>
      <c r="E1542" s="159"/>
    </row>
    <row r="1543" spans="2:5" x14ac:dyDescent="0.2">
      <c r="B1543" s="175"/>
      <c r="D1543" s="159"/>
      <c r="E1543" s="159"/>
    </row>
    <row r="1544" spans="2:5" x14ac:dyDescent="0.2">
      <c r="B1544" s="175"/>
      <c r="D1544" s="159"/>
      <c r="E1544" s="159"/>
    </row>
    <row r="1545" spans="2:5" x14ac:dyDescent="0.2">
      <c r="B1545" s="175"/>
      <c r="D1545" s="159"/>
      <c r="E1545" s="159"/>
    </row>
    <row r="1546" spans="2:5" x14ac:dyDescent="0.2">
      <c r="B1546" s="175"/>
      <c r="D1546" s="159"/>
      <c r="E1546" s="159"/>
    </row>
    <row r="1547" spans="2:5" x14ac:dyDescent="0.2">
      <c r="B1547" s="175"/>
      <c r="D1547" s="159"/>
      <c r="E1547" s="159"/>
    </row>
    <row r="1548" spans="2:5" x14ac:dyDescent="0.2">
      <c r="B1548" s="175"/>
      <c r="D1548" s="159"/>
      <c r="E1548" s="159"/>
    </row>
    <row r="1549" spans="2:5" x14ac:dyDescent="0.2">
      <c r="B1549" s="175"/>
      <c r="D1549" s="159"/>
      <c r="E1549" s="159"/>
    </row>
    <row r="1550" spans="2:5" x14ac:dyDescent="0.2">
      <c r="B1550" s="175"/>
      <c r="D1550" s="159"/>
      <c r="E1550" s="159"/>
    </row>
    <row r="1551" spans="2:5" x14ac:dyDescent="0.2">
      <c r="B1551" s="175"/>
      <c r="D1551" s="159"/>
      <c r="E1551" s="159"/>
    </row>
    <row r="1552" spans="2:5" x14ac:dyDescent="0.2">
      <c r="B1552" s="175"/>
      <c r="D1552" s="159"/>
      <c r="E1552" s="159"/>
    </row>
    <row r="1553" spans="2:5" x14ac:dyDescent="0.2">
      <c r="B1553" s="175"/>
      <c r="D1553" s="159"/>
      <c r="E1553" s="159"/>
    </row>
    <row r="1554" spans="2:5" x14ac:dyDescent="0.2">
      <c r="B1554" s="175"/>
      <c r="D1554" s="159"/>
      <c r="E1554" s="159"/>
    </row>
    <row r="1555" spans="2:5" x14ac:dyDescent="0.2">
      <c r="B1555" s="175"/>
      <c r="D1555" s="159"/>
      <c r="E1555" s="159"/>
    </row>
    <row r="1556" spans="2:5" x14ac:dyDescent="0.2">
      <c r="B1556" s="175"/>
      <c r="D1556" s="159"/>
      <c r="E1556" s="159"/>
    </row>
    <row r="1557" spans="2:5" x14ac:dyDescent="0.2">
      <c r="B1557" s="175"/>
      <c r="D1557" s="159"/>
      <c r="E1557" s="159"/>
    </row>
    <row r="1558" spans="2:5" x14ac:dyDescent="0.2">
      <c r="B1558" s="175"/>
      <c r="D1558" s="159"/>
      <c r="E1558" s="159"/>
    </row>
    <row r="1559" spans="2:5" x14ac:dyDescent="0.2">
      <c r="B1559" s="175"/>
      <c r="D1559" s="159"/>
      <c r="E1559" s="159"/>
    </row>
    <row r="1560" spans="2:5" x14ac:dyDescent="0.2">
      <c r="B1560" s="175"/>
      <c r="D1560" s="159"/>
      <c r="E1560" s="159"/>
    </row>
    <row r="1561" spans="2:5" x14ac:dyDescent="0.2">
      <c r="B1561" s="175"/>
      <c r="D1561" s="159"/>
      <c r="E1561" s="159"/>
    </row>
    <row r="1562" spans="2:5" x14ac:dyDescent="0.2">
      <c r="B1562" s="175"/>
      <c r="D1562" s="159"/>
      <c r="E1562" s="159"/>
    </row>
    <row r="1563" spans="2:5" x14ac:dyDescent="0.2">
      <c r="B1563" s="175"/>
      <c r="D1563" s="159"/>
      <c r="E1563" s="159"/>
    </row>
    <row r="1564" spans="2:5" x14ac:dyDescent="0.2">
      <c r="B1564" s="175"/>
      <c r="D1564" s="159"/>
      <c r="E1564" s="159"/>
    </row>
    <row r="1565" spans="2:5" x14ac:dyDescent="0.2">
      <c r="B1565" s="175"/>
      <c r="D1565" s="159"/>
      <c r="E1565" s="159"/>
    </row>
    <row r="1566" spans="2:5" x14ac:dyDescent="0.2">
      <c r="B1566" s="175"/>
      <c r="D1566" s="159"/>
      <c r="E1566" s="159"/>
    </row>
    <row r="1567" spans="2:5" x14ac:dyDescent="0.2">
      <c r="B1567" s="175"/>
      <c r="D1567" s="159"/>
      <c r="E1567" s="159"/>
    </row>
    <row r="1568" spans="2:5" x14ac:dyDescent="0.2">
      <c r="B1568" s="175"/>
      <c r="D1568" s="159"/>
      <c r="E1568" s="159"/>
    </row>
    <row r="1569" spans="2:5" x14ac:dyDescent="0.2">
      <c r="B1569" s="175"/>
      <c r="D1569" s="159"/>
      <c r="E1569" s="159"/>
    </row>
    <row r="1570" spans="2:5" x14ac:dyDescent="0.2">
      <c r="B1570" s="175"/>
      <c r="D1570" s="159"/>
      <c r="E1570" s="159"/>
    </row>
    <row r="1571" spans="2:5" x14ac:dyDescent="0.2">
      <c r="B1571" s="175"/>
      <c r="D1571" s="159"/>
      <c r="E1571" s="159"/>
    </row>
    <row r="1572" spans="2:5" x14ac:dyDescent="0.2">
      <c r="B1572" s="175"/>
      <c r="D1572" s="159"/>
      <c r="E1572" s="159"/>
    </row>
    <row r="1573" spans="2:5" x14ac:dyDescent="0.2">
      <c r="B1573" s="175"/>
      <c r="D1573" s="159"/>
      <c r="E1573" s="159"/>
    </row>
    <row r="1574" spans="2:5" x14ac:dyDescent="0.2">
      <c r="B1574" s="175"/>
      <c r="D1574" s="159"/>
      <c r="E1574" s="159"/>
    </row>
    <row r="1575" spans="2:5" x14ac:dyDescent="0.2">
      <c r="B1575" s="175"/>
      <c r="D1575" s="159"/>
      <c r="E1575" s="159"/>
    </row>
    <row r="1576" spans="2:5" x14ac:dyDescent="0.2">
      <c r="B1576" s="175"/>
      <c r="D1576" s="159"/>
      <c r="E1576" s="159"/>
    </row>
    <row r="1577" spans="2:5" x14ac:dyDescent="0.2">
      <c r="B1577" s="175"/>
      <c r="D1577" s="159"/>
      <c r="E1577" s="159"/>
    </row>
    <row r="1578" spans="2:5" x14ac:dyDescent="0.2">
      <c r="B1578" s="175"/>
      <c r="D1578" s="159"/>
      <c r="E1578" s="159"/>
    </row>
    <row r="1579" spans="2:5" x14ac:dyDescent="0.2">
      <c r="B1579" s="175"/>
      <c r="D1579" s="159"/>
      <c r="E1579" s="159"/>
    </row>
    <row r="1580" spans="2:5" x14ac:dyDescent="0.2">
      <c r="B1580" s="175"/>
      <c r="D1580" s="159"/>
      <c r="E1580" s="159"/>
    </row>
    <row r="1581" spans="2:5" x14ac:dyDescent="0.2">
      <c r="B1581" s="175"/>
      <c r="D1581" s="159"/>
      <c r="E1581" s="159"/>
    </row>
    <row r="1582" spans="2:5" x14ac:dyDescent="0.2">
      <c r="B1582" s="175"/>
      <c r="D1582" s="159"/>
      <c r="E1582" s="159"/>
    </row>
    <row r="1583" spans="2:5" x14ac:dyDescent="0.2">
      <c r="B1583" s="175"/>
      <c r="D1583" s="159"/>
      <c r="E1583" s="159"/>
    </row>
    <row r="1584" spans="2:5" x14ac:dyDescent="0.2">
      <c r="B1584" s="175"/>
      <c r="D1584" s="159"/>
      <c r="E1584" s="159"/>
    </row>
    <row r="1585" spans="2:5" x14ac:dyDescent="0.2">
      <c r="B1585" s="175"/>
      <c r="D1585" s="159"/>
      <c r="E1585" s="159"/>
    </row>
    <row r="1586" spans="2:5" x14ac:dyDescent="0.2">
      <c r="B1586" s="175"/>
      <c r="D1586" s="159"/>
      <c r="E1586" s="159"/>
    </row>
    <row r="1587" spans="2:5" x14ac:dyDescent="0.2">
      <c r="B1587" s="175"/>
      <c r="D1587" s="159"/>
      <c r="E1587" s="159"/>
    </row>
    <row r="1588" spans="2:5" x14ac:dyDescent="0.2">
      <c r="B1588" s="175"/>
      <c r="D1588" s="159"/>
      <c r="E1588" s="159"/>
    </row>
    <row r="1589" spans="2:5" x14ac:dyDescent="0.2">
      <c r="B1589" s="175"/>
      <c r="D1589" s="159"/>
      <c r="E1589" s="159"/>
    </row>
    <row r="1590" spans="2:5" x14ac:dyDescent="0.2">
      <c r="B1590" s="175"/>
      <c r="D1590" s="159"/>
      <c r="E1590" s="159"/>
    </row>
    <row r="1591" spans="2:5" x14ac:dyDescent="0.2">
      <c r="B1591" s="175"/>
      <c r="D1591" s="159"/>
      <c r="E1591" s="159"/>
    </row>
    <row r="1592" spans="2:5" x14ac:dyDescent="0.2">
      <c r="B1592" s="175"/>
      <c r="D1592" s="159"/>
      <c r="E1592" s="159"/>
    </row>
    <row r="1593" spans="2:5" x14ac:dyDescent="0.2">
      <c r="B1593" s="175"/>
      <c r="D1593" s="159"/>
      <c r="E1593" s="159"/>
    </row>
    <row r="1594" spans="2:5" x14ac:dyDescent="0.2">
      <c r="B1594" s="175"/>
      <c r="D1594" s="159"/>
      <c r="E1594" s="159"/>
    </row>
    <row r="1595" spans="2:5" x14ac:dyDescent="0.2">
      <c r="B1595" s="175"/>
      <c r="D1595" s="159"/>
      <c r="E1595" s="159"/>
    </row>
    <row r="1596" spans="2:5" x14ac:dyDescent="0.2">
      <c r="B1596" s="175"/>
      <c r="D1596" s="159"/>
      <c r="E1596" s="159"/>
    </row>
    <row r="1597" spans="2:5" x14ac:dyDescent="0.2">
      <c r="B1597" s="175"/>
      <c r="D1597" s="159"/>
      <c r="E1597" s="159"/>
    </row>
    <row r="1598" spans="2:5" x14ac:dyDescent="0.2">
      <c r="B1598" s="175"/>
      <c r="D1598" s="159"/>
      <c r="E1598" s="159"/>
    </row>
    <row r="1599" spans="2:5" x14ac:dyDescent="0.2">
      <c r="B1599" s="175"/>
      <c r="D1599" s="159"/>
      <c r="E1599" s="159"/>
    </row>
    <row r="1600" spans="2:5" x14ac:dyDescent="0.2">
      <c r="B1600" s="175"/>
      <c r="D1600" s="159"/>
      <c r="E1600" s="159"/>
    </row>
    <row r="1601" spans="2:5" x14ac:dyDescent="0.2">
      <c r="B1601" s="175"/>
      <c r="D1601" s="159"/>
      <c r="E1601" s="159"/>
    </row>
    <row r="1602" spans="2:5" x14ac:dyDescent="0.2">
      <c r="B1602" s="175"/>
      <c r="D1602" s="159"/>
      <c r="E1602" s="159"/>
    </row>
    <row r="1603" spans="2:5" x14ac:dyDescent="0.2">
      <c r="B1603" s="175"/>
      <c r="D1603" s="159"/>
      <c r="E1603" s="159"/>
    </row>
    <row r="1604" spans="2:5" x14ac:dyDescent="0.2">
      <c r="B1604" s="175"/>
      <c r="D1604" s="159"/>
      <c r="E1604" s="159"/>
    </row>
    <row r="1605" spans="2:5" x14ac:dyDescent="0.2">
      <c r="B1605" s="175"/>
      <c r="D1605" s="159"/>
      <c r="E1605" s="159"/>
    </row>
    <row r="1606" spans="2:5" x14ac:dyDescent="0.2">
      <c r="B1606" s="175"/>
      <c r="D1606" s="159"/>
      <c r="E1606" s="159"/>
    </row>
    <row r="1607" spans="2:5" x14ac:dyDescent="0.2">
      <c r="B1607" s="175"/>
      <c r="D1607" s="159"/>
      <c r="E1607" s="159"/>
    </row>
    <row r="1608" spans="2:5" x14ac:dyDescent="0.2">
      <c r="B1608" s="175"/>
      <c r="D1608" s="159"/>
      <c r="E1608" s="159"/>
    </row>
    <row r="1609" spans="2:5" x14ac:dyDescent="0.2">
      <c r="B1609" s="175"/>
      <c r="D1609" s="159"/>
      <c r="E1609" s="159"/>
    </row>
    <row r="1610" spans="2:5" x14ac:dyDescent="0.2">
      <c r="B1610" s="175"/>
      <c r="D1610" s="159"/>
      <c r="E1610" s="159"/>
    </row>
    <row r="1611" spans="2:5" x14ac:dyDescent="0.2">
      <c r="B1611" s="175"/>
      <c r="D1611" s="159"/>
      <c r="E1611" s="159"/>
    </row>
    <row r="1612" spans="2:5" x14ac:dyDescent="0.2">
      <c r="B1612" s="175"/>
      <c r="D1612" s="159"/>
      <c r="E1612" s="159"/>
    </row>
    <row r="1613" spans="2:5" x14ac:dyDescent="0.2">
      <c r="B1613" s="175"/>
      <c r="D1613" s="159"/>
      <c r="E1613" s="159"/>
    </row>
    <row r="1614" spans="2:5" x14ac:dyDescent="0.2">
      <c r="B1614" s="175"/>
      <c r="D1614" s="159"/>
      <c r="E1614" s="159"/>
    </row>
    <row r="1615" spans="2:5" x14ac:dyDescent="0.2">
      <c r="B1615" s="175"/>
      <c r="D1615" s="159"/>
      <c r="E1615" s="159"/>
    </row>
    <row r="1616" spans="2:5" x14ac:dyDescent="0.2">
      <c r="B1616" s="175"/>
      <c r="D1616" s="159"/>
      <c r="E1616" s="159"/>
    </row>
    <row r="1617" spans="2:5" x14ac:dyDescent="0.2">
      <c r="B1617" s="175"/>
      <c r="D1617" s="159"/>
      <c r="E1617" s="159"/>
    </row>
    <row r="1618" spans="2:5" x14ac:dyDescent="0.2">
      <c r="B1618" s="175"/>
      <c r="D1618" s="159"/>
      <c r="E1618" s="159"/>
    </row>
    <row r="1619" spans="2:5" x14ac:dyDescent="0.2">
      <c r="B1619" s="175"/>
      <c r="D1619" s="159"/>
      <c r="E1619" s="159"/>
    </row>
    <row r="1620" spans="2:5" x14ac:dyDescent="0.2">
      <c r="B1620" s="175"/>
      <c r="D1620" s="159"/>
      <c r="E1620" s="159"/>
    </row>
    <row r="1621" spans="2:5" x14ac:dyDescent="0.2">
      <c r="B1621" s="175"/>
      <c r="D1621" s="159"/>
      <c r="E1621" s="159"/>
    </row>
    <row r="1622" spans="2:5" x14ac:dyDescent="0.2">
      <c r="B1622" s="175"/>
      <c r="D1622" s="159"/>
      <c r="E1622" s="159"/>
    </row>
    <row r="1623" spans="2:5" x14ac:dyDescent="0.2">
      <c r="B1623" s="175"/>
      <c r="D1623" s="159"/>
      <c r="E1623" s="159"/>
    </row>
    <row r="1624" spans="2:5" x14ac:dyDescent="0.2">
      <c r="B1624" s="175"/>
      <c r="D1624" s="159"/>
      <c r="E1624" s="159"/>
    </row>
    <row r="1625" spans="2:5" x14ac:dyDescent="0.2">
      <c r="B1625" s="175"/>
      <c r="D1625" s="159"/>
      <c r="E1625" s="159"/>
    </row>
    <row r="1626" spans="2:5" x14ac:dyDescent="0.2">
      <c r="B1626" s="175"/>
      <c r="D1626" s="159"/>
      <c r="E1626" s="159"/>
    </row>
    <row r="1627" spans="2:5" x14ac:dyDescent="0.2">
      <c r="B1627" s="175"/>
      <c r="D1627" s="159"/>
      <c r="E1627" s="159"/>
    </row>
    <row r="1628" spans="2:5" x14ac:dyDescent="0.2">
      <c r="B1628" s="175"/>
      <c r="D1628" s="159"/>
      <c r="E1628" s="159"/>
    </row>
    <row r="1629" spans="2:5" x14ac:dyDescent="0.2">
      <c r="B1629" s="175"/>
      <c r="D1629" s="159"/>
      <c r="E1629" s="159"/>
    </row>
    <row r="1630" spans="2:5" x14ac:dyDescent="0.2">
      <c r="B1630" s="175"/>
      <c r="D1630" s="159"/>
      <c r="E1630" s="159"/>
    </row>
    <row r="1631" spans="2:5" x14ac:dyDescent="0.2">
      <c r="B1631" s="175"/>
      <c r="D1631" s="159"/>
      <c r="E1631" s="159"/>
    </row>
    <row r="1632" spans="2:5" x14ac:dyDescent="0.2">
      <c r="B1632" s="175"/>
      <c r="D1632" s="159"/>
      <c r="E1632" s="159"/>
    </row>
    <row r="1633" spans="2:5" x14ac:dyDescent="0.2">
      <c r="B1633" s="175"/>
      <c r="D1633" s="159"/>
      <c r="E1633" s="159"/>
    </row>
    <row r="1634" spans="2:5" x14ac:dyDescent="0.2">
      <c r="B1634" s="175"/>
      <c r="D1634" s="159"/>
      <c r="E1634" s="159"/>
    </row>
    <row r="1635" spans="2:5" x14ac:dyDescent="0.2">
      <c r="B1635" s="175"/>
      <c r="D1635" s="159"/>
      <c r="E1635" s="159"/>
    </row>
    <row r="1636" spans="2:5" x14ac:dyDescent="0.2">
      <c r="B1636" s="175"/>
      <c r="D1636" s="159"/>
      <c r="E1636" s="159"/>
    </row>
    <row r="1637" spans="2:5" x14ac:dyDescent="0.2">
      <c r="B1637" s="175"/>
      <c r="D1637" s="159"/>
      <c r="E1637" s="159"/>
    </row>
    <row r="1638" spans="2:5" x14ac:dyDescent="0.2">
      <c r="B1638" s="175"/>
      <c r="D1638" s="159"/>
      <c r="E1638" s="159"/>
    </row>
    <row r="1639" spans="2:5" x14ac:dyDescent="0.2">
      <c r="B1639" s="175"/>
      <c r="D1639" s="159"/>
      <c r="E1639" s="159"/>
    </row>
    <row r="1640" spans="2:5" x14ac:dyDescent="0.2">
      <c r="B1640" s="175"/>
      <c r="D1640" s="159"/>
      <c r="E1640" s="159"/>
    </row>
    <row r="1641" spans="2:5" x14ac:dyDescent="0.2">
      <c r="B1641" s="175"/>
      <c r="D1641" s="159"/>
      <c r="E1641" s="159"/>
    </row>
    <row r="1642" spans="2:5" x14ac:dyDescent="0.2">
      <c r="B1642" s="175"/>
      <c r="D1642" s="159"/>
      <c r="E1642" s="159"/>
    </row>
    <row r="1643" spans="2:5" x14ac:dyDescent="0.2">
      <c r="B1643" s="175"/>
      <c r="D1643" s="159"/>
      <c r="E1643" s="159"/>
    </row>
    <row r="1644" spans="2:5" x14ac:dyDescent="0.2">
      <c r="B1644" s="175"/>
      <c r="D1644" s="159"/>
      <c r="E1644" s="159"/>
    </row>
    <row r="1645" spans="2:5" x14ac:dyDescent="0.2">
      <c r="B1645" s="175"/>
      <c r="D1645" s="159"/>
      <c r="E1645" s="159"/>
    </row>
    <row r="1646" spans="2:5" x14ac:dyDescent="0.2">
      <c r="B1646" s="175"/>
      <c r="D1646" s="159"/>
      <c r="E1646" s="159"/>
    </row>
    <row r="1647" spans="2:5" x14ac:dyDescent="0.2">
      <c r="B1647" s="175"/>
      <c r="D1647" s="159"/>
      <c r="E1647" s="159"/>
    </row>
    <row r="1648" spans="2:5" x14ac:dyDescent="0.2">
      <c r="B1648" s="175"/>
      <c r="D1648" s="159"/>
      <c r="E1648" s="159"/>
    </row>
    <row r="1649" spans="2:5" x14ac:dyDescent="0.2">
      <c r="B1649" s="175"/>
      <c r="D1649" s="159"/>
      <c r="E1649" s="159"/>
    </row>
    <row r="1650" spans="2:5" x14ac:dyDescent="0.2">
      <c r="B1650" s="175"/>
      <c r="D1650" s="159"/>
      <c r="E1650" s="159"/>
    </row>
    <row r="1651" spans="2:5" x14ac:dyDescent="0.2">
      <c r="B1651" s="175"/>
      <c r="D1651" s="159"/>
      <c r="E1651" s="159"/>
    </row>
    <row r="1652" spans="2:5" x14ac:dyDescent="0.2">
      <c r="B1652" s="175"/>
      <c r="D1652" s="159"/>
      <c r="E1652" s="159"/>
    </row>
    <row r="1653" spans="2:5" x14ac:dyDescent="0.2">
      <c r="B1653" s="175"/>
      <c r="D1653" s="159"/>
      <c r="E1653" s="159"/>
    </row>
    <row r="1654" spans="2:5" x14ac:dyDescent="0.2">
      <c r="B1654" s="175"/>
      <c r="D1654" s="159"/>
      <c r="E1654" s="159"/>
    </row>
    <row r="1655" spans="2:5" x14ac:dyDescent="0.2">
      <c r="B1655" s="175"/>
      <c r="D1655" s="159"/>
      <c r="E1655" s="159"/>
    </row>
    <row r="1656" spans="2:5" x14ac:dyDescent="0.2">
      <c r="B1656" s="175"/>
      <c r="D1656" s="159"/>
      <c r="E1656" s="159"/>
    </row>
    <row r="1657" spans="2:5" x14ac:dyDescent="0.2">
      <c r="B1657" s="175"/>
      <c r="D1657" s="159"/>
      <c r="E1657" s="159"/>
    </row>
    <row r="1658" spans="2:5" x14ac:dyDescent="0.2">
      <c r="B1658" s="175"/>
      <c r="D1658" s="159"/>
      <c r="E1658" s="159"/>
    </row>
    <row r="1659" spans="2:5" x14ac:dyDescent="0.2">
      <c r="B1659" s="175"/>
      <c r="D1659" s="159"/>
      <c r="E1659" s="159"/>
    </row>
    <row r="1660" spans="2:5" x14ac:dyDescent="0.2">
      <c r="B1660" s="175"/>
      <c r="D1660" s="159"/>
      <c r="E1660" s="159"/>
    </row>
    <row r="1661" spans="2:5" x14ac:dyDescent="0.2">
      <c r="B1661" s="175"/>
      <c r="D1661" s="159"/>
      <c r="E1661" s="159"/>
    </row>
    <row r="1662" spans="2:5" x14ac:dyDescent="0.2">
      <c r="B1662" s="175"/>
      <c r="D1662" s="159"/>
      <c r="E1662" s="159"/>
    </row>
    <row r="1663" spans="2:5" x14ac:dyDescent="0.2">
      <c r="B1663" s="175"/>
      <c r="D1663" s="159"/>
      <c r="E1663" s="159"/>
    </row>
    <row r="1664" spans="2:5" x14ac:dyDescent="0.2">
      <c r="B1664" s="175"/>
      <c r="D1664" s="159"/>
      <c r="E1664" s="159"/>
    </row>
    <row r="1665" spans="2:5" x14ac:dyDescent="0.2">
      <c r="B1665" s="175"/>
      <c r="D1665" s="159"/>
      <c r="E1665" s="159"/>
    </row>
    <row r="1666" spans="2:5" x14ac:dyDescent="0.2">
      <c r="B1666" s="175"/>
      <c r="D1666" s="159"/>
      <c r="E1666" s="159"/>
    </row>
    <row r="1667" spans="2:5" x14ac:dyDescent="0.2">
      <c r="B1667" s="175"/>
      <c r="D1667" s="159"/>
      <c r="E1667" s="159"/>
    </row>
    <row r="1668" spans="2:5" x14ac:dyDescent="0.2">
      <c r="B1668" s="175"/>
      <c r="D1668" s="159"/>
      <c r="E1668" s="159"/>
    </row>
    <row r="1669" spans="2:5" x14ac:dyDescent="0.2">
      <c r="B1669" s="175"/>
      <c r="D1669" s="159"/>
      <c r="E1669" s="159"/>
    </row>
    <row r="1670" spans="2:5" x14ac:dyDescent="0.2">
      <c r="B1670" s="175"/>
      <c r="D1670" s="159"/>
      <c r="E1670" s="159"/>
    </row>
    <row r="1671" spans="2:5" x14ac:dyDescent="0.2">
      <c r="B1671" s="175"/>
      <c r="D1671" s="159"/>
      <c r="E1671" s="159"/>
    </row>
    <row r="1672" spans="2:5" x14ac:dyDescent="0.2">
      <c r="B1672" s="175"/>
      <c r="D1672" s="159"/>
      <c r="E1672" s="159"/>
    </row>
    <row r="1673" spans="2:5" x14ac:dyDescent="0.2">
      <c r="B1673" s="175"/>
      <c r="D1673" s="159"/>
      <c r="E1673" s="159"/>
    </row>
    <row r="1674" spans="2:5" x14ac:dyDescent="0.2">
      <c r="B1674" s="175"/>
      <c r="D1674" s="159"/>
      <c r="E1674" s="159"/>
    </row>
    <row r="1675" spans="2:5" x14ac:dyDescent="0.2">
      <c r="B1675" s="175"/>
      <c r="D1675" s="159"/>
      <c r="E1675" s="159"/>
    </row>
    <row r="1676" spans="2:5" x14ac:dyDescent="0.2">
      <c r="B1676" s="175"/>
      <c r="D1676" s="159"/>
      <c r="E1676" s="159"/>
    </row>
    <row r="1677" spans="2:5" x14ac:dyDescent="0.2">
      <c r="B1677" s="175"/>
      <c r="D1677" s="159"/>
      <c r="E1677" s="159"/>
    </row>
    <row r="1678" spans="2:5" x14ac:dyDescent="0.2">
      <c r="B1678" s="175"/>
      <c r="D1678" s="159"/>
      <c r="E1678" s="159"/>
    </row>
    <row r="1679" spans="2:5" x14ac:dyDescent="0.2">
      <c r="B1679" s="175"/>
      <c r="D1679" s="159"/>
      <c r="E1679" s="159"/>
    </row>
    <row r="1680" spans="2:5" x14ac:dyDescent="0.2">
      <c r="B1680" s="175"/>
      <c r="D1680" s="159"/>
      <c r="E1680" s="159"/>
    </row>
    <row r="1681" spans="2:5" x14ac:dyDescent="0.2">
      <c r="B1681" s="175"/>
      <c r="D1681" s="159"/>
      <c r="E1681" s="159"/>
    </row>
    <row r="1682" spans="2:5" x14ac:dyDescent="0.2">
      <c r="B1682" s="175"/>
      <c r="D1682" s="159"/>
      <c r="E1682" s="159"/>
    </row>
    <row r="1683" spans="2:5" x14ac:dyDescent="0.2">
      <c r="B1683" s="175"/>
      <c r="D1683" s="159"/>
      <c r="E1683" s="159"/>
    </row>
    <row r="1684" spans="2:5" x14ac:dyDescent="0.2">
      <c r="B1684" s="175"/>
      <c r="D1684" s="159"/>
      <c r="E1684" s="159"/>
    </row>
    <row r="1685" spans="2:5" x14ac:dyDescent="0.2">
      <c r="B1685" s="175"/>
      <c r="D1685" s="159"/>
      <c r="E1685" s="159"/>
    </row>
    <row r="1686" spans="2:5" x14ac:dyDescent="0.2">
      <c r="B1686" s="175"/>
      <c r="D1686" s="159"/>
      <c r="E1686" s="159"/>
    </row>
    <row r="1687" spans="2:5" x14ac:dyDescent="0.2">
      <c r="B1687" s="175"/>
      <c r="D1687" s="159"/>
      <c r="E1687" s="159"/>
    </row>
    <row r="1688" spans="2:5" x14ac:dyDescent="0.2">
      <c r="B1688" s="175"/>
      <c r="D1688" s="159"/>
      <c r="E1688" s="159"/>
    </row>
    <row r="1689" spans="2:5" x14ac:dyDescent="0.2">
      <c r="B1689" s="175"/>
      <c r="D1689" s="159"/>
      <c r="E1689" s="159"/>
    </row>
    <row r="1690" spans="2:5" x14ac:dyDescent="0.2">
      <c r="B1690" s="175"/>
      <c r="D1690" s="159"/>
      <c r="E1690" s="159"/>
    </row>
    <row r="1691" spans="2:5" x14ac:dyDescent="0.2">
      <c r="B1691" s="175"/>
      <c r="D1691" s="159"/>
      <c r="E1691" s="159"/>
    </row>
    <row r="1692" spans="2:5" x14ac:dyDescent="0.2">
      <c r="B1692" s="175"/>
      <c r="D1692" s="159"/>
      <c r="E1692" s="159"/>
    </row>
    <row r="1693" spans="2:5" x14ac:dyDescent="0.2">
      <c r="B1693" s="175"/>
      <c r="D1693" s="159"/>
      <c r="E1693" s="159"/>
    </row>
    <row r="1694" spans="2:5" x14ac:dyDescent="0.2">
      <c r="B1694" s="175"/>
      <c r="D1694" s="159"/>
      <c r="E1694" s="159"/>
    </row>
    <row r="1695" spans="2:5" x14ac:dyDescent="0.2">
      <c r="B1695" s="175"/>
      <c r="D1695" s="159"/>
      <c r="E1695" s="159"/>
    </row>
    <row r="1696" spans="2:5" x14ac:dyDescent="0.2">
      <c r="B1696" s="175"/>
      <c r="D1696" s="159"/>
      <c r="E1696" s="159"/>
    </row>
    <row r="1697" spans="2:5" x14ac:dyDescent="0.2">
      <c r="B1697" s="175"/>
      <c r="D1697" s="159"/>
      <c r="E1697" s="159"/>
    </row>
    <row r="1698" spans="2:5" x14ac:dyDescent="0.2">
      <c r="B1698" s="175"/>
      <c r="D1698" s="159"/>
      <c r="E1698" s="159"/>
    </row>
    <row r="1699" spans="2:5" x14ac:dyDescent="0.2">
      <c r="B1699" s="175"/>
      <c r="D1699" s="159"/>
      <c r="E1699" s="159"/>
    </row>
    <row r="1700" spans="2:5" x14ac:dyDescent="0.2">
      <c r="B1700" s="175"/>
      <c r="D1700" s="159"/>
      <c r="E1700" s="159"/>
    </row>
    <row r="1701" spans="2:5" x14ac:dyDescent="0.2">
      <c r="B1701" s="175"/>
      <c r="D1701" s="159"/>
      <c r="E1701" s="159"/>
    </row>
    <row r="1702" spans="2:5" x14ac:dyDescent="0.2">
      <c r="B1702" s="175"/>
      <c r="D1702" s="159"/>
      <c r="E1702" s="159"/>
    </row>
    <row r="1703" spans="2:5" x14ac:dyDescent="0.2">
      <c r="B1703" s="175"/>
      <c r="D1703" s="159"/>
      <c r="E1703" s="159"/>
    </row>
    <row r="1704" spans="2:5" x14ac:dyDescent="0.2">
      <c r="B1704" s="175"/>
      <c r="D1704" s="159"/>
      <c r="E1704" s="159"/>
    </row>
    <row r="1705" spans="2:5" x14ac:dyDescent="0.2">
      <c r="B1705" s="175"/>
      <c r="D1705" s="159"/>
      <c r="E1705" s="159"/>
    </row>
    <row r="1706" spans="2:5" x14ac:dyDescent="0.2">
      <c r="B1706" s="175"/>
      <c r="D1706" s="159"/>
      <c r="E1706" s="159"/>
    </row>
    <row r="1707" spans="2:5" x14ac:dyDescent="0.2">
      <c r="B1707" s="175"/>
      <c r="D1707" s="159"/>
      <c r="E1707" s="159"/>
    </row>
    <row r="1708" spans="2:5" x14ac:dyDescent="0.2">
      <c r="B1708" s="175"/>
      <c r="D1708" s="159"/>
      <c r="E1708" s="159"/>
    </row>
    <row r="1709" spans="2:5" x14ac:dyDescent="0.2">
      <c r="B1709" s="175"/>
      <c r="D1709" s="159"/>
      <c r="E1709" s="159"/>
    </row>
    <row r="1710" spans="2:5" x14ac:dyDescent="0.2">
      <c r="B1710" s="175"/>
      <c r="D1710" s="159"/>
      <c r="E1710" s="159"/>
    </row>
    <row r="1711" spans="2:5" x14ac:dyDescent="0.2">
      <c r="B1711" s="175"/>
      <c r="D1711" s="159"/>
      <c r="E1711" s="159"/>
    </row>
    <row r="1712" spans="2:5" x14ac:dyDescent="0.2">
      <c r="B1712" s="175"/>
      <c r="D1712" s="159"/>
      <c r="E1712" s="159"/>
    </row>
    <row r="1713" spans="2:5" x14ac:dyDescent="0.2">
      <c r="B1713" s="175"/>
      <c r="D1713" s="159"/>
      <c r="E1713" s="159"/>
    </row>
    <row r="1714" spans="2:5" x14ac:dyDescent="0.2">
      <c r="B1714" s="175"/>
      <c r="D1714" s="159"/>
      <c r="E1714" s="159"/>
    </row>
    <row r="1715" spans="2:5" x14ac:dyDescent="0.2">
      <c r="B1715" s="175"/>
      <c r="D1715" s="159"/>
      <c r="E1715" s="159"/>
    </row>
    <row r="1716" spans="2:5" x14ac:dyDescent="0.2">
      <c r="B1716" s="175"/>
      <c r="D1716" s="159"/>
      <c r="E1716" s="159"/>
    </row>
    <row r="1717" spans="2:5" x14ac:dyDescent="0.2">
      <c r="B1717" s="175"/>
      <c r="D1717" s="159"/>
      <c r="E1717" s="159"/>
    </row>
    <row r="1718" spans="2:5" x14ac:dyDescent="0.2">
      <c r="B1718" s="175"/>
      <c r="D1718" s="159"/>
      <c r="E1718" s="159"/>
    </row>
    <row r="1719" spans="2:5" x14ac:dyDescent="0.2">
      <c r="B1719" s="175"/>
      <c r="D1719" s="159"/>
      <c r="E1719" s="159"/>
    </row>
    <row r="1720" spans="2:5" x14ac:dyDescent="0.2">
      <c r="B1720" s="175"/>
      <c r="D1720" s="159"/>
      <c r="E1720" s="159"/>
    </row>
    <row r="1721" spans="2:5" x14ac:dyDescent="0.2">
      <c r="B1721" s="175"/>
      <c r="D1721" s="159"/>
      <c r="E1721" s="159"/>
    </row>
    <row r="1722" spans="2:5" x14ac:dyDescent="0.2">
      <c r="B1722" s="175"/>
      <c r="D1722" s="159"/>
      <c r="E1722" s="159"/>
    </row>
    <row r="1723" spans="2:5" x14ac:dyDescent="0.2">
      <c r="B1723" s="175"/>
      <c r="D1723" s="159"/>
      <c r="E1723" s="159"/>
    </row>
    <row r="1724" spans="2:5" x14ac:dyDescent="0.2">
      <c r="B1724" s="175"/>
      <c r="D1724" s="159"/>
      <c r="E1724" s="159"/>
    </row>
    <row r="1725" spans="2:5" x14ac:dyDescent="0.2">
      <c r="B1725" s="175"/>
      <c r="D1725" s="159"/>
      <c r="E1725" s="159"/>
    </row>
    <row r="1726" spans="2:5" x14ac:dyDescent="0.2">
      <c r="B1726" s="175"/>
      <c r="D1726" s="159"/>
      <c r="E1726" s="159"/>
    </row>
    <row r="1727" spans="2:5" x14ac:dyDescent="0.2">
      <c r="B1727" s="175"/>
      <c r="D1727" s="159"/>
      <c r="E1727" s="159"/>
    </row>
    <row r="1728" spans="2:5" x14ac:dyDescent="0.2">
      <c r="B1728" s="175"/>
      <c r="D1728" s="159"/>
      <c r="E1728" s="159"/>
    </row>
    <row r="1729" spans="2:5" x14ac:dyDescent="0.2">
      <c r="B1729" s="175"/>
      <c r="D1729" s="159"/>
      <c r="E1729" s="159"/>
    </row>
    <row r="1730" spans="2:5" x14ac:dyDescent="0.2">
      <c r="B1730" s="175"/>
      <c r="D1730" s="159"/>
      <c r="E1730" s="159"/>
    </row>
    <row r="1731" spans="2:5" x14ac:dyDescent="0.2">
      <c r="B1731" s="175"/>
      <c r="D1731" s="159"/>
      <c r="E1731" s="159"/>
    </row>
    <row r="1732" spans="2:5" x14ac:dyDescent="0.2">
      <c r="B1732" s="175"/>
      <c r="D1732" s="159"/>
      <c r="E1732" s="159"/>
    </row>
    <row r="1733" spans="2:5" x14ac:dyDescent="0.2">
      <c r="B1733" s="175"/>
      <c r="D1733" s="159"/>
      <c r="E1733" s="159"/>
    </row>
    <row r="1734" spans="2:5" x14ac:dyDescent="0.2">
      <c r="B1734" s="175"/>
      <c r="D1734" s="159"/>
      <c r="E1734" s="159"/>
    </row>
    <row r="1735" spans="2:5" x14ac:dyDescent="0.2">
      <c r="B1735" s="175"/>
      <c r="D1735" s="159"/>
      <c r="E1735" s="159"/>
    </row>
    <row r="1736" spans="2:5" x14ac:dyDescent="0.2">
      <c r="B1736" s="175"/>
      <c r="D1736" s="159"/>
      <c r="E1736" s="159"/>
    </row>
    <row r="1737" spans="2:5" x14ac:dyDescent="0.2">
      <c r="B1737" s="175"/>
      <c r="D1737" s="159"/>
      <c r="E1737" s="159"/>
    </row>
    <row r="1738" spans="2:5" x14ac:dyDescent="0.2">
      <c r="B1738" s="175"/>
      <c r="D1738" s="159"/>
      <c r="E1738" s="159"/>
    </row>
    <row r="1739" spans="2:5" x14ac:dyDescent="0.2">
      <c r="B1739" s="175"/>
      <c r="D1739" s="159"/>
      <c r="E1739" s="159"/>
    </row>
    <row r="1740" spans="2:5" x14ac:dyDescent="0.2">
      <c r="B1740" s="175"/>
      <c r="D1740" s="159"/>
      <c r="E1740" s="159"/>
    </row>
    <row r="1741" spans="2:5" x14ac:dyDescent="0.2">
      <c r="B1741" s="175"/>
      <c r="D1741" s="159"/>
      <c r="E1741" s="159"/>
    </row>
    <row r="1742" spans="2:5" x14ac:dyDescent="0.2">
      <c r="B1742" s="175"/>
      <c r="D1742" s="159"/>
      <c r="E1742" s="159"/>
    </row>
    <row r="1743" spans="2:5" x14ac:dyDescent="0.2">
      <c r="B1743" s="175"/>
      <c r="D1743" s="159"/>
      <c r="E1743" s="159"/>
    </row>
    <row r="1744" spans="2:5" x14ac:dyDescent="0.2">
      <c r="B1744" s="175"/>
      <c r="D1744" s="159"/>
      <c r="E1744" s="159"/>
    </row>
    <row r="1745" spans="2:5" x14ac:dyDescent="0.2">
      <c r="B1745" s="175"/>
      <c r="D1745" s="159"/>
      <c r="E1745" s="159"/>
    </row>
    <row r="1746" spans="2:5" x14ac:dyDescent="0.2">
      <c r="B1746" s="175"/>
      <c r="D1746" s="159"/>
      <c r="E1746" s="159"/>
    </row>
    <row r="1747" spans="2:5" x14ac:dyDescent="0.2">
      <c r="B1747" s="175"/>
      <c r="D1747" s="159"/>
      <c r="E1747" s="159"/>
    </row>
    <row r="1748" spans="2:5" x14ac:dyDescent="0.2">
      <c r="B1748" s="175"/>
      <c r="D1748" s="159"/>
      <c r="E1748" s="159"/>
    </row>
    <row r="1749" spans="2:5" x14ac:dyDescent="0.2">
      <c r="B1749" s="175"/>
      <c r="D1749" s="159"/>
      <c r="E1749" s="159"/>
    </row>
    <row r="1750" spans="2:5" x14ac:dyDescent="0.2">
      <c r="B1750" s="175"/>
      <c r="D1750" s="159"/>
      <c r="E1750" s="159"/>
    </row>
    <row r="1751" spans="2:5" x14ac:dyDescent="0.2">
      <c r="B1751" s="175"/>
      <c r="D1751" s="159"/>
      <c r="E1751" s="159"/>
    </row>
    <row r="1752" spans="2:5" x14ac:dyDescent="0.2">
      <c r="B1752" s="175"/>
      <c r="D1752" s="159"/>
      <c r="E1752" s="159"/>
    </row>
    <row r="1753" spans="2:5" x14ac:dyDescent="0.2">
      <c r="B1753" s="175"/>
      <c r="D1753" s="159"/>
      <c r="E1753" s="159"/>
    </row>
    <row r="1754" spans="2:5" x14ac:dyDescent="0.2">
      <c r="B1754" s="175"/>
      <c r="D1754" s="159"/>
      <c r="E1754" s="159"/>
    </row>
    <row r="1755" spans="2:5" x14ac:dyDescent="0.2">
      <c r="B1755" s="175"/>
      <c r="D1755" s="159"/>
      <c r="E1755" s="159"/>
    </row>
    <row r="1756" spans="2:5" x14ac:dyDescent="0.2">
      <c r="B1756" s="175"/>
      <c r="D1756" s="159"/>
      <c r="E1756" s="159"/>
    </row>
    <row r="1757" spans="2:5" x14ac:dyDescent="0.2">
      <c r="B1757" s="175"/>
      <c r="D1757" s="159"/>
      <c r="E1757" s="159"/>
    </row>
    <row r="1758" spans="2:5" x14ac:dyDescent="0.2">
      <c r="B1758" s="175"/>
      <c r="D1758" s="159"/>
      <c r="E1758" s="159"/>
    </row>
    <row r="1759" spans="2:5" x14ac:dyDescent="0.2">
      <c r="B1759" s="175"/>
      <c r="D1759" s="159"/>
      <c r="E1759" s="159"/>
    </row>
    <row r="1760" spans="2:5" x14ac:dyDescent="0.2">
      <c r="B1760" s="175"/>
      <c r="D1760" s="159"/>
      <c r="E1760" s="159"/>
    </row>
    <row r="1761" spans="2:5" x14ac:dyDescent="0.2">
      <c r="B1761" s="175"/>
      <c r="D1761" s="159"/>
      <c r="E1761" s="159"/>
    </row>
    <row r="1762" spans="2:5" x14ac:dyDescent="0.2">
      <c r="B1762" s="175"/>
      <c r="D1762" s="159"/>
      <c r="E1762" s="159"/>
    </row>
    <row r="1763" spans="2:5" x14ac:dyDescent="0.2">
      <c r="B1763" s="175"/>
      <c r="D1763" s="159"/>
      <c r="E1763" s="159"/>
    </row>
    <row r="1764" spans="2:5" x14ac:dyDescent="0.2">
      <c r="B1764" s="175"/>
      <c r="D1764" s="159"/>
      <c r="E1764" s="159"/>
    </row>
    <row r="1765" spans="2:5" x14ac:dyDescent="0.2">
      <c r="B1765" s="175"/>
      <c r="D1765" s="159"/>
      <c r="E1765" s="159"/>
    </row>
    <row r="1766" spans="2:5" x14ac:dyDescent="0.2">
      <c r="B1766" s="175"/>
      <c r="D1766" s="159"/>
      <c r="E1766" s="159"/>
    </row>
    <row r="1767" spans="2:5" x14ac:dyDescent="0.2">
      <c r="B1767" s="175"/>
      <c r="D1767" s="159"/>
      <c r="E1767" s="159"/>
    </row>
    <row r="1768" spans="2:5" x14ac:dyDescent="0.2">
      <c r="B1768" s="175"/>
      <c r="D1768" s="159"/>
      <c r="E1768" s="159"/>
    </row>
    <row r="1769" spans="2:5" x14ac:dyDescent="0.2">
      <c r="B1769" s="175"/>
      <c r="D1769" s="159"/>
      <c r="E1769" s="159"/>
    </row>
    <row r="1770" spans="2:5" x14ac:dyDescent="0.2">
      <c r="B1770" s="175"/>
      <c r="D1770" s="159"/>
      <c r="E1770" s="159"/>
    </row>
    <row r="1771" spans="2:5" x14ac:dyDescent="0.2">
      <c r="B1771" s="175"/>
      <c r="D1771" s="159"/>
      <c r="E1771" s="159"/>
    </row>
    <row r="1772" spans="2:5" x14ac:dyDescent="0.2">
      <c r="B1772" s="175"/>
      <c r="D1772" s="159"/>
      <c r="E1772" s="159"/>
    </row>
    <row r="1773" spans="2:5" x14ac:dyDescent="0.2">
      <c r="B1773" s="175"/>
      <c r="D1773" s="159"/>
      <c r="E1773" s="159"/>
    </row>
    <row r="1774" spans="2:5" x14ac:dyDescent="0.2">
      <c r="B1774" s="175"/>
      <c r="D1774" s="159"/>
      <c r="E1774" s="159"/>
    </row>
    <row r="1775" spans="2:5" x14ac:dyDescent="0.2">
      <c r="B1775" s="175"/>
      <c r="D1775" s="159"/>
      <c r="E1775" s="159"/>
    </row>
    <row r="1776" spans="2:5" x14ac:dyDescent="0.2">
      <c r="B1776" s="175"/>
      <c r="D1776" s="159"/>
      <c r="E1776" s="159"/>
    </row>
    <row r="1777" spans="2:5" x14ac:dyDescent="0.2">
      <c r="B1777" s="175"/>
      <c r="D1777" s="159"/>
      <c r="E1777" s="159"/>
    </row>
    <row r="1778" spans="2:5" x14ac:dyDescent="0.2">
      <c r="B1778" s="175"/>
      <c r="D1778" s="159"/>
      <c r="E1778" s="159"/>
    </row>
    <row r="1779" spans="2:5" x14ac:dyDescent="0.2">
      <c r="B1779" s="175"/>
      <c r="D1779" s="159"/>
      <c r="E1779" s="159"/>
    </row>
    <row r="1780" spans="2:5" x14ac:dyDescent="0.2">
      <c r="B1780" s="175"/>
      <c r="D1780" s="159"/>
      <c r="E1780" s="159"/>
    </row>
    <row r="1781" spans="2:5" x14ac:dyDescent="0.2">
      <c r="B1781" s="175"/>
      <c r="D1781" s="159"/>
      <c r="E1781" s="159"/>
    </row>
    <row r="1782" spans="2:5" x14ac:dyDescent="0.2">
      <c r="B1782" s="175"/>
      <c r="D1782" s="159"/>
      <c r="E1782" s="159"/>
    </row>
    <row r="1783" spans="2:5" x14ac:dyDescent="0.2">
      <c r="B1783" s="175"/>
      <c r="D1783" s="159"/>
      <c r="E1783" s="159"/>
    </row>
    <row r="1784" spans="2:5" x14ac:dyDescent="0.2">
      <c r="B1784" s="175"/>
      <c r="D1784" s="159"/>
      <c r="E1784" s="159"/>
    </row>
    <row r="1785" spans="2:5" x14ac:dyDescent="0.2">
      <c r="B1785" s="175"/>
      <c r="D1785" s="159"/>
      <c r="E1785" s="159"/>
    </row>
    <row r="1786" spans="2:5" x14ac:dyDescent="0.2">
      <c r="B1786" s="175"/>
      <c r="D1786" s="159"/>
      <c r="E1786" s="159"/>
    </row>
    <row r="1787" spans="2:5" x14ac:dyDescent="0.2">
      <c r="B1787" s="175"/>
      <c r="D1787" s="159"/>
      <c r="E1787" s="159"/>
    </row>
    <row r="1788" spans="2:5" x14ac:dyDescent="0.2">
      <c r="B1788" s="175"/>
      <c r="D1788" s="159"/>
      <c r="E1788" s="159"/>
    </row>
    <row r="1789" spans="2:5" x14ac:dyDescent="0.2">
      <c r="B1789" s="175"/>
      <c r="D1789" s="159"/>
      <c r="E1789" s="159"/>
    </row>
    <row r="1790" spans="2:5" x14ac:dyDescent="0.2">
      <c r="B1790" s="175"/>
      <c r="D1790" s="159"/>
      <c r="E1790" s="159"/>
    </row>
    <row r="1791" spans="2:5" x14ac:dyDescent="0.2">
      <c r="B1791" s="175"/>
      <c r="D1791" s="159"/>
      <c r="E1791" s="159"/>
    </row>
    <row r="1792" spans="2:5" x14ac:dyDescent="0.2">
      <c r="B1792" s="175"/>
      <c r="D1792" s="159"/>
      <c r="E1792" s="159"/>
    </row>
    <row r="1793" spans="2:5" x14ac:dyDescent="0.2">
      <c r="B1793" s="175"/>
      <c r="D1793" s="159"/>
      <c r="E1793" s="159"/>
    </row>
    <row r="1794" spans="2:5" x14ac:dyDescent="0.2">
      <c r="B1794" s="175"/>
      <c r="D1794" s="159"/>
      <c r="E1794" s="159"/>
    </row>
    <row r="1795" spans="2:5" x14ac:dyDescent="0.2">
      <c r="B1795" s="175"/>
      <c r="D1795" s="159"/>
      <c r="E1795" s="159"/>
    </row>
    <row r="1796" spans="2:5" x14ac:dyDescent="0.2">
      <c r="B1796" s="175"/>
      <c r="D1796" s="159"/>
      <c r="E1796" s="159"/>
    </row>
    <row r="1797" spans="2:5" x14ac:dyDescent="0.2">
      <c r="B1797" s="175"/>
      <c r="D1797" s="159"/>
      <c r="E1797" s="159"/>
    </row>
    <row r="1798" spans="2:5" x14ac:dyDescent="0.2">
      <c r="B1798" s="175"/>
      <c r="D1798" s="159"/>
      <c r="E1798" s="159"/>
    </row>
    <row r="1799" spans="2:5" x14ac:dyDescent="0.2">
      <c r="B1799" s="175"/>
      <c r="D1799" s="159"/>
      <c r="E1799" s="159"/>
    </row>
    <row r="1800" spans="2:5" x14ac:dyDescent="0.2">
      <c r="B1800" s="175"/>
      <c r="D1800" s="159"/>
      <c r="E1800" s="159"/>
    </row>
    <row r="1801" spans="2:5" x14ac:dyDescent="0.2">
      <c r="B1801" s="175"/>
      <c r="D1801" s="159"/>
      <c r="E1801" s="159"/>
    </row>
    <row r="1802" spans="2:5" x14ac:dyDescent="0.2">
      <c r="B1802" s="175"/>
      <c r="D1802" s="159"/>
      <c r="E1802" s="159"/>
    </row>
    <row r="1803" spans="2:5" x14ac:dyDescent="0.2">
      <c r="B1803" s="175"/>
      <c r="D1803" s="159"/>
      <c r="E1803" s="159"/>
    </row>
    <row r="1804" spans="2:5" x14ac:dyDescent="0.2">
      <c r="B1804" s="175"/>
      <c r="D1804" s="159"/>
      <c r="E1804" s="159"/>
    </row>
    <row r="1805" spans="2:5" x14ac:dyDescent="0.2">
      <c r="B1805" s="175"/>
      <c r="D1805" s="159"/>
      <c r="E1805" s="159"/>
    </row>
    <row r="1806" spans="2:5" x14ac:dyDescent="0.2">
      <c r="B1806" s="175"/>
      <c r="D1806" s="159"/>
      <c r="E1806" s="159"/>
    </row>
    <row r="1807" spans="2:5" x14ac:dyDescent="0.2">
      <c r="B1807" s="175"/>
      <c r="D1807" s="159"/>
      <c r="E1807" s="159"/>
    </row>
    <row r="1808" spans="2:5" x14ac:dyDescent="0.2">
      <c r="B1808" s="175"/>
      <c r="D1808" s="159"/>
      <c r="E1808" s="159"/>
    </row>
    <row r="1809" spans="2:5" x14ac:dyDescent="0.2">
      <c r="B1809" s="175"/>
      <c r="D1809" s="159"/>
      <c r="E1809" s="159"/>
    </row>
    <row r="1810" spans="2:5" x14ac:dyDescent="0.2">
      <c r="B1810" s="175"/>
      <c r="D1810" s="159"/>
      <c r="E1810" s="159"/>
    </row>
    <row r="1811" spans="2:5" x14ac:dyDescent="0.2">
      <c r="B1811" s="175"/>
      <c r="D1811" s="159"/>
      <c r="E1811" s="159"/>
    </row>
    <row r="1812" spans="2:5" x14ac:dyDescent="0.2">
      <c r="B1812" s="175"/>
      <c r="D1812" s="159"/>
      <c r="E1812" s="159"/>
    </row>
    <row r="1813" spans="2:5" x14ac:dyDescent="0.2">
      <c r="B1813" s="175"/>
      <c r="D1813" s="159"/>
      <c r="E1813" s="159"/>
    </row>
    <row r="1814" spans="2:5" x14ac:dyDescent="0.2">
      <c r="B1814" s="175"/>
      <c r="D1814" s="159"/>
      <c r="E1814" s="159"/>
    </row>
    <row r="1815" spans="2:5" x14ac:dyDescent="0.2">
      <c r="B1815" s="175"/>
      <c r="D1815" s="159"/>
      <c r="E1815" s="159"/>
    </row>
    <row r="1816" spans="2:5" x14ac:dyDescent="0.2">
      <c r="B1816" s="175"/>
      <c r="D1816" s="159"/>
      <c r="E1816" s="159"/>
    </row>
    <row r="1817" spans="2:5" x14ac:dyDescent="0.2">
      <c r="B1817" s="175"/>
      <c r="D1817" s="159"/>
      <c r="E1817" s="159"/>
    </row>
    <row r="1818" spans="2:5" x14ac:dyDescent="0.2">
      <c r="B1818" s="175"/>
      <c r="D1818" s="159"/>
      <c r="E1818" s="159"/>
    </row>
    <row r="1819" spans="2:5" x14ac:dyDescent="0.2">
      <c r="B1819" s="175"/>
      <c r="D1819" s="159"/>
      <c r="E1819" s="159"/>
    </row>
    <row r="1820" spans="2:5" x14ac:dyDescent="0.2">
      <c r="B1820" s="175"/>
      <c r="D1820" s="159"/>
      <c r="E1820" s="159"/>
    </row>
    <row r="1821" spans="2:5" x14ac:dyDescent="0.2">
      <c r="B1821" s="175"/>
      <c r="D1821" s="159"/>
      <c r="E1821" s="159"/>
    </row>
    <row r="1822" spans="2:5" x14ac:dyDescent="0.2">
      <c r="B1822" s="175"/>
      <c r="D1822" s="159"/>
      <c r="E1822" s="159"/>
    </row>
    <row r="1823" spans="2:5" x14ac:dyDescent="0.2">
      <c r="B1823" s="175"/>
      <c r="D1823" s="159"/>
      <c r="E1823" s="159"/>
    </row>
    <row r="1824" spans="2:5" x14ac:dyDescent="0.2">
      <c r="B1824" s="175"/>
      <c r="D1824" s="159"/>
      <c r="E1824" s="159"/>
    </row>
    <row r="1825" spans="2:5" x14ac:dyDescent="0.2">
      <c r="B1825" s="175"/>
      <c r="D1825" s="159"/>
      <c r="E1825" s="159"/>
    </row>
    <row r="1826" spans="2:5" x14ac:dyDescent="0.2">
      <c r="B1826" s="175"/>
      <c r="D1826" s="159"/>
      <c r="E1826" s="159"/>
    </row>
    <row r="1827" spans="2:5" x14ac:dyDescent="0.2">
      <c r="B1827" s="175"/>
      <c r="D1827" s="159"/>
      <c r="E1827" s="159"/>
    </row>
    <row r="1828" spans="2:5" x14ac:dyDescent="0.2">
      <c r="B1828" s="175"/>
      <c r="D1828" s="159"/>
      <c r="E1828" s="159"/>
    </row>
    <row r="1829" spans="2:5" x14ac:dyDescent="0.2">
      <c r="B1829" s="175"/>
      <c r="D1829" s="159"/>
      <c r="E1829" s="159"/>
    </row>
    <row r="1830" spans="2:5" x14ac:dyDescent="0.2">
      <c r="B1830" s="175"/>
      <c r="D1830" s="159"/>
      <c r="E1830" s="159"/>
    </row>
    <row r="1831" spans="2:5" x14ac:dyDescent="0.2">
      <c r="B1831" s="175"/>
      <c r="D1831" s="159"/>
      <c r="E1831" s="159"/>
    </row>
    <row r="1832" spans="2:5" x14ac:dyDescent="0.2">
      <c r="B1832" s="175"/>
      <c r="D1832" s="159"/>
      <c r="E1832" s="159"/>
    </row>
    <row r="1833" spans="2:5" x14ac:dyDescent="0.2">
      <c r="B1833" s="175"/>
      <c r="D1833" s="159"/>
      <c r="E1833" s="159"/>
    </row>
    <row r="1834" spans="2:5" x14ac:dyDescent="0.2">
      <c r="B1834" s="175"/>
      <c r="D1834" s="159"/>
      <c r="E1834" s="159"/>
    </row>
    <row r="1835" spans="2:5" x14ac:dyDescent="0.2">
      <c r="B1835" s="175"/>
      <c r="D1835" s="159"/>
      <c r="E1835" s="159"/>
    </row>
    <row r="1836" spans="2:5" x14ac:dyDescent="0.2">
      <c r="B1836" s="175"/>
      <c r="D1836" s="159"/>
      <c r="E1836" s="159"/>
    </row>
    <row r="1837" spans="2:5" x14ac:dyDescent="0.2">
      <c r="B1837" s="175"/>
      <c r="D1837" s="159"/>
      <c r="E1837" s="159"/>
    </row>
    <row r="1838" spans="2:5" x14ac:dyDescent="0.2">
      <c r="B1838" s="175"/>
      <c r="D1838" s="159"/>
      <c r="E1838" s="159"/>
    </row>
    <row r="1839" spans="2:5" x14ac:dyDescent="0.2">
      <c r="B1839" s="175"/>
      <c r="D1839" s="159"/>
      <c r="E1839" s="159"/>
    </row>
    <row r="1840" spans="2:5" x14ac:dyDescent="0.2">
      <c r="B1840" s="175"/>
      <c r="D1840" s="159"/>
      <c r="E1840" s="159"/>
    </row>
    <row r="1841" spans="2:5" x14ac:dyDescent="0.2">
      <c r="B1841" s="175"/>
      <c r="D1841" s="159"/>
      <c r="E1841" s="159"/>
    </row>
    <row r="1842" spans="2:5" x14ac:dyDescent="0.2">
      <c r="B1842" s="175"/>
      <c r="D1842" s="159"/>
      <c r="E1842" s="159"/>
    </row>
    <row r="1843" spans="2:5" x14ac:dyDescent="0.2">
      <c r="B1843" s="175"/>
      <c r="D1843" s="159"/>
      <c r="E1843" s="159"/>
    </row>
    <row r="1844" spans="2:5" x14ac:dyDescent="0.2">
      <c r="B1844" s="175"/>
      <c r="D1844" s="159"/>
      <c r="E1844" s="159"/>
    </row>
    <row r="1845" spans="2:5" x14ac:dyDescent="0.2">
      <c r="B1845" s="175"/>
      <c r="D1845" s="159"/>
      <c r="E1845" s="159"/>
    </row>
    <row r="1846" spans="2:5" x14ac:dyDescent="0.2">
      <c r="B1846" s="175"/>
      <c r="D1846" s="159"/>
      <c r="E1846" s="159"/>
    </row>
    <row r="1847" spans="2:5" x14ac:dyDescent="0.2">
      <c r="B1847" s="175"/>
      <c r="D1847" s="159"/>
      <c r="E1847" s="159"/>
    </row>
    <row r="1848" spans="2:5" x14ac:dyDescent="0.2">
      <c r="B1848" s="175"/>
      <c r="D1848" s="159"/>
      <c r="E1848" s="159"/>
    </row>
    <row r="1849" spans="2:5" x14ac:dyDescent="0.2">
      <c r="B1849" s="175"/>
      <c r="D1849" s="159"/>
      <c r="E1849" s="159"/>
    </row>
    <row r="1850" spans="2:5" x14ac:dyDescent="0.2">
      <c r="B1850" s="175"/>
      <c r="D1850" s="159"/>
      <c r="E1850" s="159"/>
    </row>
    <row r="1851" spans="2:5" x14ac:dyDescent="0.2">
      <c r="B1851" s="175"/>
      <c r="D1851" s="159"/>
      <c r="E1851" s="159"/>
    </row>
    <row r="1852" spans="2:5" x14ac:dyDescent="0.2">
      <c r="B1852" s="175"/>
      <c r="D1852" s="159"/>
      <c r="E1852" s="159"/>
    </row>
    <row r="1853" spans="2:5" x14ac:dyDescent="0.2">
      <c r="B1853" s="175"/>
      <c r="D1853" s="159"/>
      <c r="E1853" s="159"/>
    </row>
    <row r="1854" spans="2:5" x14ac:dyDescent="0.2">
      <c r="B1854" s="175"/>
      <c r="D1854" s="159"/>
      <c r="E1854" s="159"/>
    </row>
    <row r="1855" spans="2:5" x14ac:dyDescent="0.2">
      <c r="B1855" s="175"/>
      <c r="D1855" s="159"/>
      <c r="E1855" s="159"/>
    </row>
    <row r="1856" spans="2:5" x14ac:dyDescent="0.2">
      <c r="B1856" s="175"/>
      <c r="D1856" s="159"/>
      <c r="E1856" s="159"/>
    </row>
    <row r="1857" spans="2:5" x14ac:dyDescent="0.2">
      <c r="B1857" s="175"/>
      <c r="D1857" s="159"/>
      <c r="E1857" s="159"/>
    </row>
    <row r="1858" spans="2:5" x14ac:dyDescent="0.2">
      <c r="B1858" s="175"/>
      <c r="D1858" s="159"/>
      <c r="E1858" s="159"/>
    </row>
    <row r="1859" spans="2:5" x14ac:dyDescent="0.2">
      <c r="B1859" s="175"/>
      <c r="D1859" s="159"/>
      <c r="E1859" s="159"/>
    </row>
    <row r="1860" spans="2:5" x14ac:dyDescent="0.2">
      <c r="B1860" s="175"/>
      <c r="D1860" s="159"/>
      <c r="E1860" s="159"/>
    </row>
    <row r="1861" spans="2:5" x14ac:dyDescent="0.2">
      <c r="B1861" s="175"/>
      <c r="D1861" s="159"/>
      <c r="E1861" s="159"/>
    </row>
    <row r="1862" spans="2:5" x14ac:dyDescent="0.2">
      <c r="B1862" s="175"/>
      <c r="D1862" s="159"/>
      <c r="E1862" s="159"/>
    </row>
    <row r="1863" spans="2:5" x14ac:dyDescent="0.2">
      <c r="B1863" s="175"/>
      <c r="D1863" s="159"/>
      <c r="E1863" s="159"/>
    </row>
    <row r="1864" spans="2:5" x14ac:dyDescent="0.2">
      <c r="B1864" s="175"/>
      <c r="D1864" s="159"/>
      <c r="E1864" s="159"/>
    </row>
    <row r="1865" spans="2:5" x14ac:dyDescent="0.2">
      <c r="B1865" s="175"/>
      <c r="D1865" s="159"/>
      <c r="E1865" s="159"/>
    </row>
    <row r="1866" spans="2:5" x14ac:dyDescent="0.2">
      <c r="B1866" s="175"/>
      <c r="D1866" s="159"/>
      <c r="E1866" s="159"/>
    </row>
    <row r="1867" spans="2:5" x14ac:dyDescent="0.2">
      <c r="B1867" s="175"/>
      <c r="D1867" s="159"/>
      <c r="E1867" s="159"/>
    </row>
    <row r="1868" spans="2:5" x14ac:dyDescent="0.2">
      <c r="B1868" s="175"/>
      <c r="D1868" s="159"/>
      <c r="E1868" s="159"/>
    </row>
    <row r="1869" spans="2:5" x14ac:dyDescent="0.2">
      <c r="B1869" s="175"/>
      <c r="D1869" s="159"/>
      <c r="E1869" s="159"/>
    </row>
    <row r="1870" spans="2:5" x14ac:dyDescent="0.2">
      <c r="B1870" s="175"/>
      <c r="D1870" s="159"/>
      <c r="E1870" s="159"/>
    </row>
    <row r="1871" spans="2:5" x14ac:dyDescent="0.2">
      <c r="B1871" s="175"/>
      <c r="D1871" s="159"/>
      <c r="E1871" s="159"/>
    </row>
    <row r="1872" spans="2:5" x14ac:dyDescent="0.2">
      <c r="B1872" s="175"/>
      <c r="D1872" s="159"/>
      <c r="E1872" s="159"/>
    </row>
    <row r="1873" spans="2:5" x14ac:dyDescent="0.2">
      <c r="B1873" s="175"/>
      <c r="D1873" s="159"/>
      <c r="E1873" s="159"/>
    </row>
    <row r="1874" spans="2:5" x14ac:dyDescent="0.2">
      <c r="B1874" s="175"/>
      <c r="D1874" s="159"/>
      <c r="E1874" s="159"/>
    </row>
    <row r="1875" spans="2:5" x14ac:dyDescent="0.2">
      <c r="B1875" s="175"/>
      <c r="D1875" s="159"/>
      <c r="E1875" s="159"/>
    </row>
    <row r="1876" spans="2:5" x14ac:dyDescent="0.2">
      <c r="B1876" s="175"/>
      <c r="D1876" s="159"/>
      <c r="E1876" s="159"/>
    </row>
    <row r="1877" spans="2:5" x14ac:dyDescent="0.2">
      <c r="B1877" s="175"/>
      <c r="D1877" s="159"/>
      <c r="E1877" s="159"/>
    </row>
    <row r="1878" spans="2:5" x14ac:dyDescent="0.2">
      <c r="B1878" s="175"/>
      <c r="D1878" s="159"/>
      <c r="E1878" s="159"/>
    </row>
    <row r="1879" spans="2:5" x14ac:dyDescent="0.2">
      <c r="B1879" s="175"/>
      <c r="D1879" s="159"/>
      <c r="E1879" s="159"/>
    </row>
    <row r="1880" spans="2:5" x14ac:dyDescent="0.2">
      <c r="B1880" s="175"/>
      <c r="D1880" s="159"/>
      <c r="E1880" s="159"/>
    </row>
    <row r="1881" spans="2:5" x14ac:dyDescent="0.2">
      <c r="B1881" s="175"/>
      <c r="D1881" s="159"/>
      <c r="E1881" s="159"/>
    </row>
    <row r="1882" spans="2:5" x14ac:dyDescent="0.2">
      <c r="B1882" s="175"/>
      <c r="D1882" s="159"/>
      <c r="E1882" s="159"/>
    </row>
    <row r="1883" spans="2:5" x14ac:dyDescent="0.2">
      <c r="B1883" s="175"/>
      <c r="D1883" s="159"/>
      <c r="E1883" s="159"/>
    </row>
    <row r="1884" spans="2:5" x14ac:dyDescent="0.2">
      <c r="B1884" s="175"/>
      <c r="D1884" s="159"/>
      <c r="E1884" s="159"/>
    </row>
    <row r="1885" spans="2:5" x14ac:dyDescent="0.2">
      <c r="B1885" s="175"/>
      <c r="D1885" s="159"/>
      <c r="E1885" s="159"/>
    </row>
    <row r="1886" spans="2:5" x14ac:dyDescent="0.2">
      <c r="B1886" s="175"/>
      <c r="D1886" s="159"/>
      <c r="E1886" s="159"/>
    </row>
    <row r="1887" spans="2:5" x14ac:dyDescent="0.2">
      <c r="B1887" s="175"/>
      <c r="D1887" s="159"/>
      <c r="E1887" s="159"/>
    </row>
    <row r="1888" spans="2:5" x14ac:dyDescent="0.2">
      <c r="B1888" s="175"/>
      <c r="D1888" s="159"/>
      <c r="E1888" s="159"/>
    </row>
    <row r="1889" spans="2:5" x14ac:dyDescent="0.2">
      <c r="B1889" s="175"/>
      <c r="D1889" s="159"/>
      <c r="E1889" s="159"/>
    </row>
    <row r="1890" spans="2:5" x14ac:dyDescent="0.2">
      <c r="B1890" s="175"/>
      <c r="D1890" s="159"/>
      <c r="E1890" s="159"/>
    </row>
    <row r="1891" spans="2:5" x14ac:dyDescent="0.2">
      <c r="B1891" s="175"/>
      <c r="D1891" s="159"/>
      <c r="E1891" s="159"/>
    </row>
    <row r="1892" spans="2:5" x14ac:dyDescent="0.2">
      <c r="B1892" s="175"/>
      <c r="D1892" s="159"/>
      <c r="E1892" s="159"/>
    </row>
    <row r="1893" spans="2:5" x14ac:dyDescent="0.2">
      <c r="B1893" s="175"/>
      <c r="D1893" s="159"/>
      <c r="E1893" s="159"/>
    </row>
    <row r="1894" spans="2:5" x14ac:dyDescent="0.2">
      <c r="B1894" s="175"/>
      <c r="D1894" s="159"/>
      <c r="E1894" s="159"/>
    </row>
    <row r="1895" spans="2:5" x14ac:dyDescent="0.2">
      <c r="B1895" s="175"/>
      <c r="D1895" s="159"/>
      <c r="E1895" s="159"/>
    </row>
    <row r="1896" spans="2:5" x14ac:dyDescent="0.2">
      <c r="B1896" s="175"/>
      <c r="D1896" s="159"/>
      <c r="E1896" s="159"/>
    </row>
    <row r="1897" spans="2:5" x14ac:dyDescent="0.2">
      <c r="B1897" s="175"/>
      <c r="D1897" s="159"/>
      <c r="E1897" s="159"/>
    </row>
    <row r="1898" spans="2:5" x14ac:dyDescent="0.2">
      <c r="B1898" s="175"/>
      <c r="D1898" s="159"/>
      <c r="E1898" s="159"/>
    </row>
    <row r="1899" spans="2:5" x14ac:dyDescent="0.2">
      <c r="B1899" s="175"/>
      <c r="D1899" s="159"/>
      <c r="E1899" s="159"/>
    </row>
    <row r="1900" spans="2:5" x14ac:dyDescent="0.2">
      <c r="B1900" s="175"/>
      <c r="D1900" s="159"/>
      <c r="E1900" s="159"/>
    </row>
    <row r="1901" spans="2:5" x14ac:dyDescent="0.2">
      <c r="B1901" s="175"/>
      <c r="D1901" s="159"/>
      <c r="E1901" s="159"/>
    </row>
    <row r="1902" spans="2:5" x14ac:dyDescent="0.2">
      <c r="B1902" s="175"/>
      <c r="D1902" s="159"/>
      <c r="E1902" s="159"/>
    </row>
    <row r="1903" spans="2:5" x14ac:dyDescent="0.2">
      <c r="B1903" s="175"/>
      <c r="D1903" s="159"/>
      <c r="E1903" s="159"/>
    </row>
    <row r="1904" spans="2:5" x14ac:dyDescent="0.2">
      <c r="B1904" s="175"/>
      <c r="D1904" s="159"/>
      <c r="E1904" s="159"/>
    </row>
    <row r="1905" spans="2:5" x14ac:dyDescent="0.2">
      <c r="B1905" s="175"/>
      <c r="D1905" s="159"/>
      <c r="E1905" s="159"/>
    </row>
    <row r="1906" spans="2:5" x14ac:dyDescent="0.2">
      <c r="B1906" s="175"/>
      <c r="D1906" s="159"/>
      <c r="E1906" s="159"/>
    </row>
    <row r="1907" spans="2:5" x14ac:dyDescent="0.2">
      <c r="B1907" s="175"/>
      <c r="D1907" s="159"/>
      <c r="E1907" s="159"/>
    </row>
    <row r="1908" spans="2:5" x14ac:dyDescent="0.2">
      <c r="B1908" s="175"/>
      <c r="D1908" s="159"/>
      <c r="E1908" s="159"/>
    </row>
    <row r="1909" spans="2:5" x14ac:dyDescent="0.2">
      <c r="B1909" s="175"/>
      <c r="D1909" s="159"/>
      <c r="E1909" s="159"/>
    </row>
    <row r="1910" spans="2:5" x14ac:dyDescent="0.2">
      <c r="B1910" s="175"/>
      <c r="D1910" s="159"/>
      <c r="E1910" s="159"/>
    </row>
    <row r="1911" spans="2:5" x14ac:dyDescent="0.2">
      <c r="B1911" s="175"/>
      <c r="D1911" s="159"/>
      <c r="E1911" s="159"/>
    </row>
    <row r="1912" spans="2:5" x14ac:dyDescent="0.2">
      <c r="B1912" s="175"/>
      <c r="D1912" s="159"/>
      <c r="E1912" s="159"/>
    </row>
    <row r="1913" spans="2:5" x14ac:dyDescent="0.2">
      <c r="B1913" s="175"/>
      <c r="D1913" s="159"/>
      <c r="E1913" s="159"/>
    </row>
    <row r="1914" spans="2:5" x14ac:dyDescent="0.2">
      <c r="B1914" s="175"/>
      <c r="D1914" s="159"/>
      <c r="E1914" s="159"/>
    </row>
    <row r="1915" spans="2:5" x14ac:dyDescent="0.2">
      <c r="B1915" s="175"/>
      <c r="D1915" s="159"/>
      <c r="E1915" s="159"/>
    </row>
    <row r="1916" spans="2:5" x14ac:dyDescent="0.2">
      <c r="B1916" s="175"/>
      <c r="D1916" s="159"/>
      <c r="E1916" s="159"/>
    </row>
    <row r="1917" spans="2:5" x14ac:dyDescent="0.2">
      <c r="B1917" s="175"/>
      <c r="D1917" s="159"/>
      <c r="E1917" s="159"/>
    </row>
    <row r="1918" spans="2:5" x14ac:dyDescent="0.2">
      <c r="B1918" s="175"/>
      <c r="D1918" s="159"/>
      <c r="E1918" s="159"/>
    </row>
    <row r="1919" spans="2:5" x14ac:dyDescent="0.2">
      <c r="B1919" s="175"/>
      <c r="D1919" s="159"/>
      <c r="E1919" s="159"/>
    </row>
    <row r="1920" spans="2:5" x14ac:dyDescent="0.2">
      <c r="B1920" s="175"/>
      <c r="D1920" s="159"/>
      <c r="E1920" s="159"/>
    </row>
    <row r="1921" spans="2:5" x14ac:dyDescent="0.2">
      <c r="B1921" s="175"/>
      <c r="D1921" s="159"/>
      <c r="E1921" s="159"/>
    </row>
    <row r="1922" spans="2:5" x14ac:dyDescent="0.2">
      <c r="B1922" s="175"/>
      <c r="D1922" s="159"/>
      <c r="E1922" s="159"/>
    </row>
    <row r="1923" spans="2:5" x14ac:dyDescent="0.2">
      <c r="B1923" s="175"/>
      <c r="D1923" s="159"/>
      <c r="E1923" s="159"/>
    </row>
    <row r="1924" spans="2:5" x14ac:dyDescent="0.2">
      <c r="B1924" s="175"/>
      <c r="D1924" s="159"/>
      <c r="E1924" s="159"/>
    </row>
    <row r="1925" spans="2:5" x14ac:dyDescent="0.2">
      <c r="B1925" s="175"/>
      <c r="D1925" s="159"/>
      <c r="E1925" s="159"/>
    </row>
    <row r="1926" spans="2:5" x14ac:dyDescent="0.2">
      <c r="B1926" s="175"/>
      <c r="D1926" s="159"/>
      <c r="E1926" s="159"/>
    </row>
    <row r="1927" spans="2:5" x14ac:dyDescent="0.2">
      <c r="B1927" s="175"/>
      <c r="D1927" s="159"/>
      <c r="E1927" s="159"/>
    </row>
    <row r="1928" spans="2:5" x14ac:dyDescent="0.2">
      <c r="B1928" s="175"/>
      <c r="D1928" s="159"/>
      <c r="E1928" s="159"/>
    </row>
    <row r="1929" spans="2:5" x14ac:dyDescent="0.2">
      <c r="B1929" s="175"/>
      <c r="D1929" s="159"/>
      <c r="E1929" s="159"/>
    </row>
    <row r="1930" spans="2:5" x14ac:dyDescent="0.2">
      <c r="B1930" s="175"/>
      <c r="D1930" s="159"/>
      <c r="E1930" s="159"/>
    </row>
    <row r="1931" spans="2:5" x14ac:dyDescent="0.2">
      <c r="B1931" s="175"/>
      <c r="D1931" s="159"/>
      <c r="E1931" s="159"/>
    </row>
    <row r="1932" spans="2:5" x14ac:dyDescent="0.2">
      <c r="B1932" s="175"/>
      <c r="D1932" s="159"/>
      <c r="E1932" s="159"/>
    </row>
    <row r="1933" spans="2:5" x14ac:dyDescent="0.2">
      <c r="B1933" s="175"/>
      <c r="D1933" s="159"/>
      <c r="E1933" s="159"/>
    </row>
    <row r="1934" spans="2:5" x14ac:dyDescent="0.2">
      <c r="B1934" s="175"/>
      <c r="D1934" s="159"/>
      <c r="E1934" s="159"/>
    </row>
    <row r="1935" spans="2:5" x14ac:dyDescent="0.2">
      <c r="B1935" s="175"/>
      <c r="D1935" s="159"/>
      <c r="E1935" s="159"/>
    </row>
    <row r="1936" spans="2:5" x14ac:dyDescent="0.2">
      <c r="B1936" s="175"/>
      <c r="D1936" s="159"/>
      <c r="E1936" s="159"/>
    </row>
    <row r="1937" spans="2:5" x14ac:dyDescent="0.2">
      <c r="B1937" s="175"/>
      <c r="D1937" s="159"/>
      <c r="E1937" s="159"/>
    </row>
    <row r="1938" spans="2:5" x14ac:dyDescent="0.2">
      <c r="B1938" s="175"/>
      <c r="D1938" s="159"/>
      <c r="E1938" s="159"/>
    </row>
    <row r="1939" spans="2:5" x14ac:dyDescent="0.2">
      <c r="B1939" s="175"/>
      <c r="D1939" s="159"/>
      <c r="E1939" s="159"/>
    </row>
    <row r="1940" spans="2:5" x14ac:dyDescent="0.2">
      <c r="B1940" s="175"/>
      <c r="D1940" s="159"/>
      <c r="E1940" s="159"/>
    </row>
    <row r="1941" spans="2:5" x14ac:dyDescent="0.2">
      <c r="B1941" s="175"/>
      <c r="D1941" s="159"/>
      <c r="E1941" s="159"/>
    </row>
    <row r="1942" spans="2:5" x14ac:dyDescent="0.2">
      <c r="B1942" s="175"/>
      <c r="D1942" s="159"/>
      <c r="E1942" s="159"/>
    </row>
    <row r="1943" spans="2:5" x14ac:dyDescent="0.2">
      <c r="B1943" s="175"/>
      <c r="D1943" s="159"/>
      <c r="E1943" s="159"/>
    </row>
    <row r="1944" spans="2:5" x14ac:dyDescent="0.2">
      <c r="B1944" s="175"/>
      <c r="D1944" s="159"/>
      <c r="E1944" s="159"/>
    </row>
    <row r="1945" spans="2:5" x14ac:dyDescent="0.2">
      <c r="B1945" s="175"/>
      <c r="D1945" s="159"/>
      <c r="E1945" s="159"/>
    </row>
    <row r="1946" spans="2:5" x14ac:dyDescent="0.2">
      <c r="B1946" s="175"/>
      <c r="D1946" s="159"/>
      <c r="E1946" s="159"/>
    </row>
    <row r="1947" spans="2:5" x14ac:dyDescent="0.2">
      <c r="B1947" s="175"/>
      <c r="D1947" s="159"/>
      <c r="E1947" s="159"/>
    </row>
    <row r="1948" spans="2:5" x14ac:dyDescent="0.2">
      <c r="B1948" s="175"/>
      <c r="D1948" s="159"/>
      <c r="E1948" s="159"/>
    </row>
    <row r="1949" spans="2:5" x14ac:dyDescent="0.2">
      <c r="B1949" s="175"/>
      <c r="D1949" s="159"/>
      <c r="E1949" s="159"/>
    </row>
    <row r="1950" spans="2:5" x14ac:dyDescent="0.2">
      <c r="B1950" s="175"/>
      <c r="D1950" s="159"/>
      <c r="E1950" s="159"/>
    </row>
    <row r="1951" spans="2:5" x14ac:dyDescent="0.2">
      <c r="B1951" s="175"/>
      <c r="D1951" s="159"/>
      <c r="E1951" s="159"/>
    </row>
    <row r="1952" spans="2:5" x14ac:dyDescent="0.2">
      <c r="B1952" s="175"/>
      <c r="D1952" s="159"/>
      <c r="E1952" s="159"/>
    </row>
    <row r="1953" spans="2:5" x14ac:dyDescent="0.2">
      <c r="B1953" s="175"/>
      <c r="D1953" s="159"/>
      <c r="E1953" s="159"/>
    </row>
    <row r="1954" spans="2:5" x14ac:dyDescent="0.2">
      <c r="B1954" s="175"/>
      <c r="D1954" s="159"/>
      <c r="E1954" s="159"/>
    </row>
    <row r="1955" spans="2:5" x14ac:dyDescent="0.2">
      <c r="B1955" s="175"/>
      <c r="D1955" s="159"/>
      <c r="E1955" s="159"/>
    </row>
    <row r="1956" spans="2:5" x14ac:dyDescent="0.2">
      <c r="B1956" s="176"/>
      <c r="D1956" s="159"/>
      <c r="E1956" s="159"/>
    </row>
    <row r="1957" spans="2:5" x14ac:dyDescent="0.2">
      <c r="B1957" s="176"/>
      <c r="D1957" s="159"/>
      <c r="E1957" s="159"/>
    </row>
    <row r="1958" spans="2:5" x14ac:dyDescent="0.2">
      <c r="B1958" s="177"/>
      <c r="D1958" s="159"/>
      <c r="E1958" s="159"/>
    </row>
    <row r="1959" spans="2:5" x14ac:dyDescent="0.2">
      <c r="B1959" s="159"/>
      <c r="C1959" s="160"/>
      <c r="D1959" s="159"/>
      <c r="E1959" s="159"/>
    </row>
    <row r="1960" spans="2:5" x14ac:dyDescent="0.2">
      <c r="B1960" s="159"/>
      <c r="C1960" s="160"/>
      <c r="D1960" s="159"/>
      <c r="E1960" s="159"/>
    </row>
    <row r="1961" spans="2:5" x14ac:dyDescent="0.2">
      <c r="B1961" s="159"/>
      <c r="C1961" s="160"/>
      <c r="D1961" s="159"/>
      <c r="E1961" s="159"/>
    </row>
    <row r="1962" spans="2:5" x14ac:dyDescent="0.2">
      <c r="B1962" s="159"/>
      <c r="C1962" s="160"/>
      <c r="D1962" s="159"/>
      <c r="E1962" s="159"/>
    </row>
    <row r="1963" spans="2:5" x14ac:dyDescent="0.2">
      <c r="B1963" s="159"/>
      <c r="C1963" s="160"/>
      <c r="D1963" s="159"/>
      <c r="E1963" s="159"/>
    </row>
    <row r="1964" spans="2:5" x14ac:dyDescent="0.2">
      <c r="B1964" s="159"/>
      <c r="C1964" s="160"/>
      <c r="D1964" s="159"/>
      <c r="E1964" s="159"/>
    </row>
    <row r="1965" spans="2:5" x14ac:dyDescent="0.2">
      <c r="B1965" s="159"/>
      <c r="C1965" s="160"/>
      <c r="D1965" s="159"/>
      <c r="E1965" s="159"/>
    </row>
    <row r="1966" spans="2:5" x14ac:dyDescent="0.2">
      <c r="B1966" s="159"/>
      <c r="C1966" s="160"/>
      <c r="D1966" s="159"/>
      <c r="E1966" s="159"/>
    </row>
    <row r="1967" spans="2:5" x14ac:dyDescent="0.2">
      <c r="B1967" s="159"/>
      <c r="C1967" s="160"/>
      <c r="D1967" s="159"/>
      <c r="E1967" s="159"/>
    </row>
    <row r="1968" spans="2:5" x14ac:dyDescent="0.2">
      <c r="B1968" s="159"/>
      <c r="C1968" s="160"/>
      <c r="D1968" s="159"/>
      <c r="E1968" s="159"/>
    </row>
    <row r="1969" spans="2:5" x14ac:dyDescent="0.2">
      <c r="B1969" s="159"/>
      <c r="C1969" s="160"/>
      <c r="D1969" s="159"/>
      <c r="E1969" s="159"/>
    </row>
    <row r="1970" spans="2:5" x14ac:dyDescent="0.2">
      <c r="B1970" s="159"/>
      <c r="C1970" s="160"/>
      <c r="D1970" s="159"/>
      <c r="E1970" s="159"/>
    </row>
    <row r="1971" spans="2:5" x14ac:dyDescent="0.2">
      <c r="B1971" s="159"/>
      <c r="C1971" s="160"/>
      <c r="D1971" s="159"/>
      <c r="E1971" s="159"/>
    </row>
    <row r="1972" spans="2:5" x14ac:dyDescent="0.2">
      <c r="B1972" s="159"/>
      <c r="C1972" s="160"/>
      <c r="D1972" s="159"/>
      <c r="E1972" s="159"/>
    </row>
    <row r="1973" spans="2:5" x14ac:dyDescent="0.2">
      <c r="B1973" s="159"/>
      <c r="C1973" s="160"/>
      <c r="D1973" s="159"/>
      <c r="E1973" s="159"/>
    </row>
    <row r="1974" spans="2:5" x14ac:dyDescent="0.2">
      <c r="B1974" s="159"/>
      <c r="C1974" s="160"/>
      <c r="D1974" s="159"/>
      <c r="E1974" s="159"/>
    </row>
    <row r="1975" spans="2:5" x14ac:dyDescent="0.2">
      <c r="B1975" s="159"/>
      <c r="C1975" s="160"/>
      <c r="D1975" s="159"/>
      <c r="E1975" s="159"/>
    </row>
    <row r="1976" spans="2:5" x14ac:dyDescent="0.2">
      <c r="B1976" s="159"/>
      <c r="C1976" s="160"/>
      <c r="D1976" s="159"/>
      <c r="E1976" s="159"/>
    </row>
    <row r="1977" spans="2:5" x14ac:dyDescent="0.2">
      <c r="B1977" s="159"/>
      <c r="C1977" s="160"/>
      <c r="D1977" s="159"/>
      <c r="E1977" s="159"/>
    </row>
    <row r="1978" spans="2:5" x14ac:dyDescent="0.2">
      <c r="B1978" s="159"/>
      <c r="C1978" s="160"/>
      <c r="D1978" s="159"/>
      <c r="E1978" s="159"/>
    </row>
    <row r="1979" spans="2:5" x14ac:dyDescent="0.2">
      <c r="B1979" s="159"/>
      <c r="C1979" s="160"/>
      <c r="D1979" s="159"/>
      <c r="E1979" s="159"/>
    </row>
    <row r="1980" spans="2:5" x14ac:dyDescent="0.2">
      <c r="B1980" s="159"/>
      <c r="C1980" s="160"/>
      <c r="D1980" s="159"/>
      <c r="E1980" s="159"/>
    </row>
    <row r="1981" spans="2:5" x14ac:dyDescent="0.2">
      <c r="B1981" s="159"/>
      <c r="C1981" s="160"/>
      <c r="D1981" s="159"/>
      <c r="E1981" s="159"/>
    </row>
    <row r="1982" spans="2:5" x14ac:dyDescent="0.2">
      <c r="B1982" s="159"/>
      <c r="C1982" s="160"/>
      <c r="D1982" s="159"/>
      <c r="E1982" s="159"/>
    </row>
    <row r="1983" spans="2:5" x14ac:dyDescent="0.2">
      <c r="B1983" s="159"/>
      <c r="C1983" s="160"/>
      <c r="D1983" s="159"/>
      <c r="E1983" s="159"/>
    </row>
    <row r="1984" spans="2:5" x14ac:dyDescent="0.2">
      <c r="B1984" s="159"/>
      <c r="C1984" s="160"/>
      <c r="D1984" s="159"/>
      <c r="E1984" s="159"/>
    </row>
    <row r="1985" spans="2:5" x14ac:dyDescent="0.2">
      <c r="B1985" s="159"/>
      <c r="C1985" s="160"/>
      <c r="D1985" s="159"/>
      <c r="E1985" s="159"/>
    </row>
    <row r="1986" spans="2:5" x14ac:dyDescent="0.2">
      <c r="B1986" s="159"/>
      <c r="C1986" s="160"/>
      <c r="D1986" s="159"/>
      <c r="E1986" s="159"/>
    </row>
    <row r="1987" spans="2:5" x14ac:dyDescent="0.2">
      <c r="B1987" s="159"/>
      <c r="C1987" s="160"/>
      <c r="D1987" s="159"/>
      <c r="E1987" s="159"/>
    </row>
    <row r="1988" spans="2:5" x14ac:dyDescent="0.2">
      <c r="B1988" s="159"/>
      <c r="C1988" s="160"/>
      <c r="D1988" s="159"/>
      <c r="E1988" s="159"/>
    </row>
    <row r="1989" spans="2:5" x14ac:dyDescent="0.2">
      <c r="B1989" s="159"/>
      <c r="C1989" s="160"/>
      <c r="D1989" s="159"/>
      <c r="E1989" s="159"/>
    </row>
    <row r="1990" spans="2:5" x14ac:dyDescent="0.2">
      <c r="B1990" s="159"/>
      <c r="C1990" s="160"/>
      <c r="D1990" s="159"/>
      <c r="E1990" s="159"/>
    </row>
    <row r="1991" spans="2:5" x14ac:dyDescent="0.2">
      <c r="B1991" s="159"/>
      <c r="C1991" s="160"/>
      <c r="D1991" s="159"/>
      <c r="E1991" s="159"/>
    </row>
    <row r="1992" spans="2:5" x14ac:dyDescent="0.2">
      <c r="B1992" s="159"/>
      <c r="C1992" s="160"/>
      <c r="D1992" s="159"/>
      <c r="E1992" s="159"/>
    </row>
    <row r="1993" spans="2:5" x14ac:dyDescent="0.2">
      <c r="B1993" s="159"/>
      <c r="C1993" s="160"/>
      <c r="D1993" s="159"/>
      <c r="E1993" s="159"/>
    </row>
    <row r="1994" spans="2:5" x14ac:dyDescent="0.2">
      <c r="B1994" s="159"/>
      <c r="C1994" s="160"/>
      <c r="D1994" s="159"/>
      <c r="E1994" s="159"/>
    </row>
    <row r="1995" spans="2:5" x14ac:dyDescent="0.2">
      <c r="B1995" s="159"/>
      <c r="C1995" s="160"/>
      <c r="D1995" s="159"/>
      <c r="E1995" s="159"/>
    </row>
    <row r="1996" spans="2:5" x14ac:dyDescent="0.2">
      <c r="B1996" s="159"/>
      <c r="C1996" s="160"/>
      <c r="D1996" s="159"/>
      <c r="E1996" s="159"/>
    </row>
    <row r="1997" spans="2:5" x14ac:dyDescent="0.2">
      <c r="B1997" s="159"/>
      <c r="C1997" s="160"/>
      <c r="D1997" s="159"/>
      <c r="E1997" s="159"/>
    </row>
    <row r="1998" spans="2:5" x14ac:dyDescent="0.2">
      <c r="B1998" s="159"/>
      <c r="C1998" s="160"/>
      <c r="D1998" s="159"/>
      <c r="E1998" s="159"/>
    </row>
    <row r="1999" spans="2:5" x14ac:dyDescent="0.2">
      <c r="B1999" s="159"/>
      <c r="C1999" s="160"/>
      <c r="D1999" s="159"/>
      <c r="E1999" s="159"/>
    </row>
    <row r="2000" spans="2:5" x14ac:dyDescent="0.2">
      <c r="B2000" s="159"/>
      <c r="C2000" s="160"/>
      <c r="D2000" s="159"/>
      <c r="E2000" s="159"/>
    </row>
    <row r="2001" spans="2:5" x14ac:dyDescent="0.2">
      <c r="B2001" s="159"/>
      <c r="C2001" s="160"/>
      <c r="D2001" s="159"/>
      <c r="E2001" s="159"/>
    </row>
    <row r="2002" spans="2:5" x14ac:dyDescent="0.2">
      <c r="B2002" s="159"/>
      <c r="C2002" s="160"/>
      <c r="D2002" s="159"/>
      <c r="E2002" s="159"/>
    </row>
    <row r="2003" spans="2:5" x14ac:dyDescent="0.2">
      <c r="B2003" s="159"/>
      <c r="C2003" s="160"/>
      <c r="D2003" s="159"/>
      <c r="E2003" s="159"/>
    </row>
    <row r="2004" spans="2:5" x14ac:dyDescent="0.2">
      <c r="B2004" s="159"/>
      <c r="C2004" s="160"/>
      <c r="D2004" s="159"/>
      <c r="E2004" s="159"/>
    </row>
    <row r="2005" spans="2:5" x14ac:dyDescent="0.2">
      <c r="B2005" s="159"/>
      <c r="C2005" s="160"/>
      <c r="D2005" s="159"/>
      <c r="E2005" s="159"/>
    </row>
    <row r="2006" spans="2:5" x14ac:dyDescent="0.2">
      <c r="B2006" s="159"/>
      <c r="C2006" s="160"/>
      <c r="D2006" s="159"/>
      <c r="E2006" s="159"/>
    </row>
    <row r="2007" spans="2:5" x14ac:dyDescent="0.2">
      <c r="B2007" s="159"/>
      <c r="C2007" s="160"/>
      <c r="D2007" s="159"/>
      <c r="E2007" s="159"/>
    </row>
    <row r="2008" spans="2:5" x14ac:dyDescent="0.2">
      <c r="B2008" s="159"/>
      <c r="C2008" s="160"/>
      <c r="D2008" s="159"/>
      <c r="E2008" s="159"/>
    </row>
    <row r="2009" spans="2:5" x14ac:dyDescent="0.2">
      <c r="B2009" s="159"/>
      <c r="C2009" s="160"/>
      <c r="D2009" s="159"/>
      <c r="E2009" s="159"/>
    </row>
    <row r="2010" spans="2:5" x14ac:dyDescent="0.2">
      <c r="B2010" s="159"/>
      <c r="C2010" s="160"/>
      <c r="D2010" s="159"/>
      <c r="E2010" s="159"/>
    </row>
    <row r="2011" spans="2:5" x14ac:dyDescent="0.2">
      <c r="B2011" s="159"/>
      <c r="C2011" s="160"/>
      <c r="D2011" s="159"/>
      <c r="E2011" s="159"/>
    </row>
    <row r="2012" spans="2:5" x14ac:dyDescent="0.2">
      <c r="B2012" s="159"/>
      <c r="C2012" s="160"/>
      <c r="D2012" s="159"/>
      <c r="E2012" s="159"/>
    </row>
    <row r="2013" spans="2:5" x14ac:dyDescent="0.2">
      <c r="B2013" s="159"/>
      <c r="C2013" s="160"/>
      <c r="D2013" s="159"/>
      <c r="E2013" s="159"/>
    </row>
    <row r="2014" spans="2:5" x14ac:dyDescent="0.2">
      <c r="B2014" s="159"/>
      <c r="C2014" s="160"/>
      <c r="D2014" s="159"/>
      <c r="E2014" s="159"/>
    </row>
    <row r="2015" spans="2:5" x14ac:dyDescent="0.2">
      <c r="B2015" s="159"/>
      <c r="C2015" s="160"/>
      <c r="D2015" s="159"/>
      <c r="E2015" s="159"/>
    </row>
    <row r="2016" spans="2:5" x14ac:dyDescent="0.2">
      <c r="B2016" s="159"/>
      <c r="C2016" s="160"/>
      <c r="D2016" s="159"/>
      <c r="E2016" s="159"/>
    </row>
    <row r="2017" spans="2:5" x14ac:dyDescent="0.2">
      <c r="B2017" s="159"/>
      <c r="C2017" s="160"/>
      <c r="D2017" s="159"/>
      <c r="E2017" s="159"/>
    </row>
    <row r="2018" spans="2:5" x14ac:dyDescent="0.2">
      <c r="B2018" s="159"/>
      <c r="C2018" s="160"/>
      <c r="D2018" s="159"/>
      <c r="E2018" s="159"/>
    </row>
    <row r="2019" spans="2:5" x14ac:dyDescent="0.2">
      <c r="B2019" s="159"/>
      <c r="C2019" s="160"/>
      <c r="D2019" s="159"/>
      <c r="E2019" s="159"/>
    </row>
    <row r="2020" spans="2:5" x14ac:dyDescent="0.2">
      <c r="B2020" s="159"/>
      <c r="C2020" s="160"/>
      <c r="D2020" s="159"/>
      <c r="E2020" s="159"/>
    </row>
    <row r="2021" spans="2:5" x14ac:dyDescent="0.2">
      <c r="B2021" s="159"/>
      <c r="C2021" s="160"/>
      <c r="D2021" s="159"/>
      <c r="E2021" s="159"/>
    </row>
    <row r="2022" spans="2:5" x14ac:dyDescent="0.2">
      <c r="B2022" s="159"/>
      <c r="C2022" s="160"/>
      <c r="D2022" s="159"/>
      <c r="E2022" s="159"/>
    </row>
    <row r="2023" spans="2:5" x14ac:dyDescent="0.2">
      <c r="B2023" s="159"/>
      <c r="C2023" s="160"/>
      <c r="D2023" s="159"/>
      <c r="E2023" s="159"/>
    </row>
    <row r="2024" spans="2:5" x14ac:dyDescent="0.2">
      <c r="B2024" s="159"/>
      <c r="C2024" s="160"/>
      <c r="D2024" s="159"/>
      <c r="E2024" s="159"/>
    </row>
    <row r="2025" spans="2:5" x14ac:dyDescent="0.2">
      <c r="B2025" s="159"/>
      <c r="C2025" s="160"/>
      <c r="D2025" s="159"/>
      <c r="E2025" s="159"/>
    </row>
    <row r="2026" spans="2:5" x14ac:dyDescent="0.2">
      <c r="B2026" s="159"/>
      <c r="C2026" s="160"/>
      <c r="D2026" s="159"/>
      <c r="E2026" s="159"/>
    </row>
    <row r="2027" spans="2:5" x14ac:dyDescent="0.2">
      <c r="B2027" s="159"/>
      <c r="C2027" s="160"/>
      <c r="D2027" s="159"/>
      <c r="E2027" s="159"/>
    </row>
    <row r="2028" spans="2:5" x14ac:dyDescent="0.2">
      <c r="B2028" s="159"/>
      <c r="C2028" s="160"/>
      <c r="D2028" s="159"/>
      <c r="E2028" s="159"/>
    </row>
    <row r="2029" spans="2:5" x14ac:dyDescent="0.2">
      <c r="B2029" s="159"/>
      <c r="C2029" s="160"/>
      <c r="D2029" s="159"/>
      <c r="E2029" s="159"/>
    </row>
    <row r="2030" spans="2:5" x14ac:dyDescent="0.2">
      <c r="B2030" s="159"/>
      <c r="C2030" s="160"/>
      <c r="D2030" s="159"/>
      <c r="E2030" s="159"/>
    </row>
    <row r="2031" spans="2:5" x14ac:dyDescent="0.2">
      <c r="B2031" s="159"/>
      <c r="C2031" s="160"/>
      <c r="D2031" s="159"/>
      <c r="E2031" s="159"/>
    </row>
    <row r="2032" spans="2:5" x14ac:dyDescent="0.2">
      <c r="B2032" s="159"/>
      <c r="C2032" s="160"/>
      <c r="D2032" s="159"/>
      <c r="E2032" s="159"/>
    </row>
    <row r="2033" spans="2:5" x14ac:dyDescent="0.2">
      <c r="B2033" s="159"/>
      <c r="C2033" s="160"/>
      <c r="D2033" s="159"/>
      <c r="E2033" s="159"/>
    </row>
    <row r="2034" spans="2:5" x14ac:dyDescent="0.2">
      <c r="B2034" s="159"/>
      <c r="C2034" s="160"/>
      <c r="D2034" s="159"/>
      <c r="E2034" s="159"/>
    </row>
    <row r="2035" spans="2:5" x14ac:dyDescent="0.2">
      <c r="B2035" s="159"/>
      <c r="C2035" s="160"/>
      <c r="D2035" s="159"/>
      <c r="E2035" s="159"/>
    </row>
    <row r="2036" spans="2:5" x14ac:dyDescent="0.2">
      <c r="B2036" s="159"/>
      <c r="C2036" s="160"/>
      <c r="D2036" s="159"/>
      <c r="E2036" s="159"/>
    </row>
    <row r="2037" spans="2:5" x14ac:dyDescent="0.2">
      <c r="B2037" s="159"/>
      <c r="C2037" s="160"/>
      <c r="D2037" s="159"/>
      <c r="E2037" s="159"/>
    </row>
    <row r="2038" spans="2:5" x14ac:dyDescent="0.2">
      <c r="B2038" s="159"/>
      <c r="C2038" s="160"/>
      <c r="D2038" s="159"/>
      <c r="E2038" s="159"/>
    </row>
    <row r="2039" spans="2:5" x14ac:dyDescent="0.2">
      <c r="B2039" s="159"/>
      <c r="C2039" s="160"/>
      <c r="D2039" s="159"/>
      <c r="E2039" s="159"/>
    </row>
    <row r="2040" spans="2:5" x14ac:dyDescent="0.2">
      <c r="B2040" s="159"/>
      <c r="C2040" s="160"/>
      <c r="D2040" s="159"/>
      <c r="E2040" s="159"/>
    </row>
    <row r="2041" spans="2:5" x14ac:dyDescent="0.2">
      <c r="B2041" s="159"/>
      <c r="C2041" s="160"/>
      <c r="D2041" s="159"/>
      <c r="E2041" s="159"/>
    </row>
    <row r="2042" spans="2:5" x14ac:dyDescent="0.2">
      <c r="B2042" s="159"/>
      <c r="C2042" s="160"/>
      <c r="D2042" s="159"/>
      <c r="E2042" s="159"/>
    </row>
    <row r="2043" spans="2:5" x14ac:dyDescent="0.2">
      <c r="B2043" s="159"/>
      <c r="C2043" s="160"/>
      <c r="D2043" s="159"/>
      <c r="E2043" s="159"/>
    </row>
    <row r="2044" spans="2:5" x14ac:dyDescent="0.2">
      <c r="B2044" s="159"/>
      <c r="C2044" s="160"/>
      <c r="D2044" s="159"/>
      <c r="E2044" s="159"/>
    </row>
    <row r="2045" spans="2:5" x14ac:dyDescent="0.2">
      <c r="B2045" s="159"/>
      <c r="C2045" s="160"/>
      <c r="D2045" s="159"/>
      <c r="E2045" s="159"/>
    </row>
    <row r="2046" spans="2:5" x14ac:dyDescent="0.2">
      <c r="B2046" s="159"/>
      <c r="C2046" s="160"/>
      <c r="D2046" s="159"/>
      <c r="E2046" s="159"/>
    </row>
    <row r="2047" spans="2:5" x14ac:dyDescent="0.2">
      <c r="B2047" s="159"/>
      <c r="C2047" s="160"/>
      <c r="D2047" s="159"/>
      <c r="E2047" s="159"/>
    </row>
    <row r="2048" spans="2:5" x14ac:dyDescent="0.2">
      <c r="B2048" s="159"/>
      <c r="C2048" s="160"/>
      <c r="D2048" s="159"/>
      <c r="E2048" s="159"/>
    </row>
    <row r="2049" spans="2:5" x14ac:dyDescent="0.2">
      <c r="B2049" s="159"/>
      <c r="C2049" s="160"/>
      <c r="D2049" s="159"/>
      <c r="E2049" s="159"/>
    </row>
    <row r="2050" spans="2:5" x14ac:dyDescent="0.2">
      <c r="B2050" s="159"/>
      <c r="C2050" s="160"/>
      <c r="D2050" s="159"/>
      <c r="E2050" s="159"/>
    </row>
    <row r="2051" spans="2:5" x14ac:dyDescent="0.2">
      <c r="B2051" s="159"/>
      <c r="C2051" s="160"/>
      <c r="D2051" s="159"/>
      <c r="E2051" s="159"/>
    </row>
    <row r="2052" spans="2:5" x14ac:dyDescent="0.2">
      <c r="B2052" s="159"/>
      <c r="C2052" s="160"/>
      <c r="D2052" s="159"/>
      <c r="E2052" s="159"/>
    </row>
    <row r="2053" spans="2:5" x14ac:dyDescent="0.2">
      <c r="B2053" s="159"/>
      <c r="C2053" s="160"/>
      <c r="D2053" s="159"/>
      <c r="E2053" s="159"/>
    </row>
    <row r="2054" spans="2:5" x14ac:dyDescent="0.2">
      <c r="B2054" s="159"/>
      <c r="C2054" s="160"/>
      <c r="D2054" s="159"/>
      <c r="E2054" s="159"/>
    </row>
    <row r="2055" spans="2:5" x14ac:dyDescent="0.2">
      <c r="B2055" s="159"/>
      <c r="C2055" s="160"/>
      <c r="D2055" s="159"/>
      <c r="E2055" s="159"/>
    </row>
    <row r="2056" spans="2:5" x14ac:dyDescent="0.2">
      <c r="B2056" s="159"/>
      <c r="C2056" s="160"/>
      <c r="D2056" s="159"/>
      <c r="E2056" s="159"/>
    </row>
    <row r="2057" spans="2:5" x14ac:dyDescent="0.2">
      <c r="B2057" s="159"/>
      <c r="C2057" s="160"/>
      <c r="D2057" s="159"/>
      <c r="E2057" s="159"/>
    </row>
    <row r="2058" spans="2:5" x14ac:dyDescent="0.2">
      <c r="B2058" s="159"/>
      <c r="C2058" s="160"/>
      <c r="D2058" s="159"/>
      <c r="E2058" s="159"/>
    </row>
    <row r="2059" spans="2:5" x14ac:dyDescent="0.2">
      <c r="B2059" s="159"/>
      <c r="C2059" s="160"/>
      <c r="D2059" s="159"/>
      <c r="E2059" s="159"/>
    </row>
    <row r="2060" spans="2:5" x14ac:dyDescent="0.2">
      <c r="B2060" s="159"/>
      <c r="C2060" s="160"/>
      <c r="D2060" s="159"/>
      <c r="E2060" s="159"/>
    </row>
    <row r="2061" spans="2:5" x14ac:dyDescent="0.2">
      <c r="B2061" s="159"/>
      <c r="C2061" s="160"/>
      <c r="D2061" s="159"/>
      <c r="E2061" s="159"/>
    </row>
    <row r="2062" spans="2:5" x14ac:dyDescent="0.2">
      <c r="B2062" s="159"/>
      <c r="C2062" s="160"/>
      <c r="D2062" s="159"/>
      <c r="E2062" s="159"/>
    </row>
    <row r="2063" spans="2:5" x14ac:dyDescent="0.2">
      <c r="B2063" s="159"/>
      <c r="C2063" s="160"/>
      <c r="D2063" s="159"/>
      <c r="E2063" s="159"/>
    </row>
    <row r="2064" spans="2:5" x14ac:dyDescent="0.2">
      <c r="B2064" s="159"/>
      <c r="C2064" s="160"/>
      <c r="D2064" s="159"/>
      <c r="E2064" s="159"/>
    </row>
    <row r="2065" spans="2:5" x14ac:dyDescent="0.2">
      <c r="B2065" s="159"/>
      <c r="C2065" s="160"/>
      <c r="D2065" s="159"/>
      <c r="E2065" s="159"/>
    </row>
    <row r="2066" spans="2:5" x14ac:dyDescent="0.2">
      <c r="B2066" s="159"/>
      <c r="C2066" s="160"/>
      <c r="D2066" s="159"/>
      <c r="E2066" s="159"/>
    </row>
    <row r="2067" spans="2:5" x14ac:dyDescent="0.2">
      <c r="B2067" s="159"/>
      <c r="C2067" s="160"/>
      <c r="D2067" s="159"/>
      <c r="E2067" s="159"/>
    </row>
    <row r="2068" spans="2:5" x14ac:dyDescent="0.2">
      <c r="B2068" s="159"/>
      <c r="C2068" s="160"/>
      <c r="D2068" s="159"/>
      <c r="E2068" s="159"/>
    </row>
    <row r="2069" spans="2:5" x14ac:dyDescent="0.2">
      <c r="B2069" s="159"/>
      <c r="C2069" s="160"/>
      <c r="D2069" s="159"/>
      <c r="E2069" s="159"/>
    </row>
    <row r="2070" spans="2:5" x14ac:dyDescent="0.2">
      <c r="B2070" s="159"/>
      <c r="C2070" s="160"/>
      <c r="D2070" s="159"/>
      <c r="E2070" s="159"/>
    </row>
    <row r="2071" spans="2:5" x14ac:dyDescent="0.2">
      <c r="B2071" s="159"/>
      <c r="C2071" s="160"/>
      <c r="D2071" s="159"/>
      <c r="E2071" s="159"/>
    </row>
    <row r="2072" spans="2:5" x14ac:dyDescent="0.2">
      <c r="B2072" s="159"/>
      <c r="C2072" s="160"/>
      <c r="D2072" s="159"/>
      <c r="E2072" s="159"/>
    </row>
    <row r="2073" spans="2:5" x14ac:dyDescent="0.2">
      <c r="B2073" s="159"/>
      <c r="C2073" s="160"/>
      <c r="D2073" s="159"/>
      <c r="E2073" s="159"/>
    </row>
    <row r="2074" spans="2:5" x14ac:dyDescent="0.2">
      <c r="B2074" s="159"/>
      <c r="C2074" s="160"/>
      <c r="D2074" s="159"/>
      <c r="E2074" s="159"/>
    </row>
    <row r="2075" spans="2:5" x14ac:dyDescent="0.2">
      <c r="B2075" s="159"/>
      <c r="C2075" s="160"/>
      <c r="D2075" s="159"/>
      <c r="E2075" s="159"/>
    </row>
    <row r="2076" spans="2:5" x14ac:dyDescent="0.2">
      <c r="B2076" s="159"/>
      <c r="C2076" s="160"/>
      <c r="D2076" s="159"/>
      <c r="E2076" s="159"/>
    </row>
    <row r="2077" spans="2:5" x14ac:dyDescent="0.2">
      <c r="B2077" s="159"/>
      <c r="C2077" s="160"/>
      <c r="D2077" s="159"/>
      <c r="E2077" s="159"/>
    </row>
    <row r="2078" spans="2:5" x14ac:dyDescent="0.2">
      <c r="B2078" s="159"/>
      <c r="C2078" s="160"/>
      <c r="D2078" s="159"/>
      <c r="E2078" s="159"/>
    </row>
    <row r="2079" spans="2:5" x14ac:dyDescent="0.2">
      <c r="B2079" s="159"/>
      <c r="C2079" s="160"/>
      <c r="D2079" s="159"/>
      <c r="E2079" s="159"/>
    </row>
    <row r="2080" spans="2:5" x14ac:dyDescent="0.2">
      <c r="B2080" s="159"/>
      <c r="C2080" s="160"/>
      <c r="D2080" s="159"/>
      <c r="E2080" s="159"/>
    </row>
    <row r="2081" spans="2:5" x14ac:dyDescent="0.2">
      <c r="B2081" s="159"/>
      <c r="C2081" s="160"/>
      <c r="D2081" s="159"/>
      <c r="E2081" s="159"/>
    </row>
    <row r="2082" spans="2:5" x14ac:dyDescent="0.2">
      <c r="B2082" s="159"/>
      <c r="C2082" s="160"/>
      <c r="D2082" s="159"/>
      <c r="E2082" s="159"/>
    </row>
    <row r="2083" spans="2:5" x14ac:dyDescent="0.2">
      <c r="B2083" s="159"/>
      <c r="C2083" s="160"/>
      <c r="D2083" s="159"/>
      <c r="E2083" s="159"/>
    </row>
    <row r="2084" spans="2:5" x14ac:dyDescent="0.2">
      <c r="B2084" s="159"/>
      <c r="C2084" s="160"/>
      <c r="D2084" s="159"/>
      <c r="E2084" s="159"/>
    </row>
    <row r="2085" spans="2:5" x14ac:dyDescent="0.2">
      <c r="B2085" s="159"/>
      <c r="C2085" s="160"/>
      <c r="D2085" s="159"/>
      <c r="E2085" s="159"/>
    </row>
    <row r="2086" spans="2:5" x14ac:dyDescent="0.2">
      <c r="B2086" s="159"/>
      <c r="C2086" s="160"/>
      <c r="D2086" s="159"/>
      <c r="E2086" s="159"/>
    </row>
    <row r="2087" spans="2:5" x14ac:dyDescent="0.2">
      <c r="B2087" s="159"/>
      <c r="C2087" s="160"/>
      <c r="D2087" s="159"/>
      <c r="E2087" s="159"/>
    </row>
    <row r="2088" spans="2:5" x14ac:dyDescent="0.2">
      <c r="B2088" s="159"/>
      <c r="C2088" s="160"/>
      <c r="D2088" s="159"/>
      <c r="E2088" s="159"/>
    </row>
    <row r="2089" spans="2:5" x14ac:dyDescent="0.2">
      <c r="B2089" s="159"/>
      <c r="C2089" s="160"/>
      <c r="D2089" s="159"/>
      <c r="E2089" s="159"/>
    </row>
    <row r="2090" spans="2:5" x14ac:dyDescent="0.2">
      <c r="B2090" s="159"/>
      <c r="C2090" s="160"/>
      <c r="D2090" s="159"/>
      <c r="E2090" s="159"/>
    </row>
    <row r="2091" spans="2:5" x14ac:dyDescent="0.2">
      <c r="B2091" s="159"/>
      <c r="C2091" s="160"/>
      <c r="D2091" s="159"/>
      <c r="E2091" s="159"/>
    </row>
    <row r="2092" spans="2:5" x14ac:dyDescent="0.2">
      <c r="B2092" s="159"/>
      <c r="C2092" s="160"/>
      <c r="D2092" s="159"/>
      <c r="E2092" s="159"/>
    </row>
    <row r="2093" spans="2:5" x14ac:dyDescent="0.2">
      <c r="B2093" s="159"/>
      <c r="C2093" s="160"/>
      <c r="D2093" s="159"/>
      <c r="E2093" s="159"/>
    </row>
    <row r="2094" spans="2:5" x14ac:dyDescent="0.2">
      <c r="B2094" s="159"/>
      <c r="C2094" s="160"/>
      <c r="D2094" s="159"/>
      <c r="E2094" s="159"/>
    </row>
    <row r="2095" spans="2:5" x14ac:dyDescent="0.2">
      <c r="B2095" s="159"/>
      <c r="C2095" s="160"/>
      <c r="D2095" s="159"/>
      <c r="E2095" s="159"/>
    </row>
    <row r="2096" spans="2:5" x14ac:dyDescent="0.2">
      <c r="B2096" s="159"/>
      <c r="C2096" s="160"/>
      <c r="D2096" s="159"/>
      <c r="E2096" s="159"/>
    </row>
    <row r="2097" spans="2:5" x14ac:dyDescent="0.2">
      <c r="B2097" s="159"/>
      <c r="C2097" s="160"/>
      <c r="D2097" s="159"/>
      <c r="E2097" s="159"/>
    </row>
    <row r="2098" spans="2:5" x14ac:dyDescent="0.2">
      <c r="B2098" s="159"/>
      <c r="C2098" s="160"/>
      <c r="D2098" s="159"/>
      <c r="E2098" s="159"/>
    </row>
    <row r="2099" spans="2:5" x14ac:dyDescent="0.2">
      <c r="B2099" s="159"/>
      <c r="C2099" s="160"/>
      <c r="D2099" s="159"/>
      <c r="E2099" s="159"/>
    </row>
    <row r="2100" spans="2:5" x14ac:dyDescent="0.2">
      <c r="B2100" s="159"/>
      <c r="C2100" s="160"/>
      <c r="D2100" s="159"/>
      <c r="E2100" s="159"/>
    </row>
    <row r="2101" spans="2:5" x14ac:dyDescent="0.2">
      <c r="B2101" s="159"/>
      <c r="C2101" s="160"/>
      <c r="D2101" s="159"/>
      <c r="E2101" s="159"/>
    </row>
    <row r="2102" spans="2:5" x14ac:dyDescent="0.2">
      <c r="B2102" s="159"/>
      <c r="C2102" s="160"/>
      <c r="D2102" s="159"/>
      <c r="E2102" s="159"/>
    </row>
    <row r="2103" spans="2:5" x14ac:dyDescent="0.2">
      <c r="B2103" s="159"/>
      <c r="C2103" s="160"/>
      <c r="D2103" s="159"/>
      <c r="E2103" s="159"/>
    </row>
    <row r="2104" spans="2:5" x14ac:dyDescent="0.2">
      <c r="B2104" s="159"/>
      <c r="C2104" s="160"/>
      <c r="D2104" s="159"/>
      <c r="E2104" s="159"/>
    </row>
    <row r="2105" spans="2:5" x14ac:dyDescent="0.2">
      <c r="B2105" s="159"/>
      <c r="C2105" s="160"/>
      <c r="D2105" s="159"/>
      <c r="E2105" s="159"/>
    </row>
    <row r="2106" spans="2:5" x14ac:dyDescent="0.2">
      <c r="B2106" s="159"/>
      <c r="C2106" s="160"/>
      <c r="D2106" s="159"/>
      <c r="E2106" s="159"/>
    </row>
    <row r="2107" spans="2:5" x14ac:dyDescent="0.2">
      <c r="B2107" s="159"/>
      <c r="C2107" s="160"/>
      <c r="D2107" s="159"/>
      <c r="E2107" s="159"/>
    </row>
    <row r="2108" spans="2:5" x14ac:dyDescent="0.2">
      <c r="B2108" s="159"/>
      <c r="C2108" s="160"/>
      <c r="D2108" s="159"/>
      <c r="E2108" s="159"/>
    </row>
    <row r="2109" spans="2:5" x14ac:dyDescent="0.2">
      <c r="B2109" s="159"/>
      <c r="C2109" s="160"/>
      <c r="D2109" s="159"/>
      <c r="E2109" s="159"/>
    </row>
    <row r="2110" spans="2:5" x14ac:dyDescent="0.2">
      <c r="B2110" s="159"/>
      <c r="C2110" s="160"/>
      <c r="D2110" s="159"/>
      <c r="E2110" s="159"/>
    </row>
    <row r="2111" spans="2:5" x14ac:dyDescent="0.2">
      <c r="B2111" s="159"/>
      <c r="C2111" s="160"/>
      <c r="D2111" s="159"/>
      <c r="E2111" s="159"/>
    </row>
    <row r="2112" spans="2:5" x14ac:dyDescent="0.2">
      <c r="B2112" s="159"/>
      <c r="C2112" s="160"/>
      <c r="D2112" s="159"/>
      <c r="E2112" s="159"/>
    </row>
    <row r="2113" spans="2:5" x14ac:dyDescent="0.2">
      <c r="B2113" s="159"/>
      <c r="C2113" s="160"/>
      <c r="D2113" s="159"/>
      <c r="E2113" s="159"/>
    </row>
    <row r="2114" spans="2:5" x14ac:dyDescent="0.2">
      <c r="B2114" s="159"/>
      <c r="C2114" s="160"/>
      <c r="D2114" s="159"/>
      <c r="E2114" s="159"/>
    </row>
    <row r="2115" spans="2:5" x14ac:dyDescent="0.2">
      <c r="B2115" s="159"/>
      <c r="C2115" s="160"/>
      <c r="D2115" s="159"/>
      <c r="E2115" s="159"/>
    </row>
    <row r="2116" spans="2:5" x14ac:dyDescent="0.2">
      <c r="B2116" s="159"/>
      <c r="C2116" s="160"/>
      <c r="D2116" s="159"/>
      <c r="E2116" s="159"/>
    </row>
    <row r="2117" spans="2:5" x14ac:dyDescent="0.2">
      <c r="B2117" s="159"/>
      <c r="C2117" s="160"/>
      <c r="D2117" s="159"/>
      <c r="E2117" s="159"/>
    </row>
    <row r="2118" spans="2:5" x14ac:dyDescent="0.2">
      <c r="B2118" s="159"/>
      <c r="C2118" s="160"/>
      <c r="D2118" s="159"/>
      <c r="E2118" s="159"/>
    </row>
    <row r="2119" spans="2:5" x14ac:dyDescent="0.2">
      <c r="B2119" s="159"/>
      <c r="C2119" s="160"/>
      <c r="D2119" s="159"/>
      <c r="E2119" s="159"/>
    </row>
    <row r="2120" spans="2:5" x14ac:dyDescent="0.2">
      <c r="B2120" s="159"/>
      <c r="C2120" s="160"/>
      <c r="D2120" s="159"/>
      <c r="E2120" s="159"/>
    </row>
    <row r="2121" spans="2:5" x14ac:dyDescent="0.2">
      <c r="B2121" s="159"/>
      <c r="C2121" s="160"/>
      <c r="D2121" s="159"/>
      <c r="E2121" s="159"/>
    </row>
    <row r="2122" spans="2:5" x14ac:dyDescent="0.2">
      <c r="B2122" s="159"/>
      <c r="C2122" s="160"/>
      <c r="D2122" s="159"/>
      <c r="E2122" s="159"/>
    </row>
    <row r="2123" spans="2:5" x14ac:dyDescent="0.2">
      <c r="B2123" s="159"/>
      <c r="C2123" s="160"/>
      <c r="D2123" s="159"/>
      <c r="E2123" s="159"/>
    </row>
    <row r="2124" spans="2:5" x14ac:dyDescent="0.2">
      <c r="B2124" s="159"/>
      <c r="C2124" s="160"/>
      <c r="D2124" s="159"/>
      <c r="E2124" s="159"/>
    </row>
    <row r="2125" spans="2:5" x14ac:dyDescent="0.2">
      <c r="B2125" s="159"/>
      <c r="C2125" s="160"/>
      <c r="D2125" s="159"/>
      <c r="E2125" s="159"/>
    </row>
    <row r="2126" spans="2:5" x14ac:dyDescent="0.2">
      <c r="B2126" s="159"/>
      <c r="C2126" s="160"/>
      <c r="D2126" s="159"/>
      <c r="E2126" s="159"/>
    </row>
    <row r="2127" spans="2:5" x14ac:dyDescent="0.2">
      <c r="B2127" s="159"/>
      <c r="C2127" s="160"/>
      <c r="D2127" s="159"/>
      <c r="E2127" s="159"/>
    </row>
    <row r="2128" spans="2:5" x14ac:dyDescent="0.2">
      <c r="B2128" s="159"/>
      <c r="C2128" s="160"/>
      <c r="D2128" s="159"/>
      <c r="E2128" s="159"/>
    </row>
    <row r="2129" spans="2:5" x14ac:dyDescent="0.2">
      <c r="B2129" s="159"/>
      <c r="C2129" s="160"/>
      <c r="D2129" s="159"/>
      <c r="E2129" s="159"/>
    </row>
    <row r="2130" spans="2:5" x14ac:dyDescent="0.2">
      <c r="B2130" s="159"/>
      <c r="C2130" s="160"/>
      <c r="D2130" s="159"/>
      <c r="E2130" s="159"/>
    </row>
    <row r="2131" spans="2:5" x14ac:dyDescent="0.2">
      <c r="B2131" s="159"/>
      <c r="C2131" s="160"/>
      <c r="D2131" s="159"/>
      <c r="E2131" s="159"/>
    </row>
    <row r="2132" spans="2:5" x14ac:dyDescent="0.2">
      <c r="B2132" s="159"/>
      <c r="C2132" s="160"/>
      <c r="D2132" s="159"/>
      <c r="E2132" s="159"/>
    </row>
    <row r="2133" spans="2:5" x14ac:dyDescent="0.2">
      <c r="B2133" s="159"/>
      <c r="C2133" s="160"/>
      <c r="D2133" s="159"/>
      <c r="E2133" s="159"/>
    </row>
    <row r="2134" spans="2:5" x14ac:dyDescent="0.2">
      <c r="B2134" s="159"/>
      <c r="C2134" s="160"/>
      <c r="D2134" s="159"/>
      <c r="E2134" s="159"/>
    </row>
    <row r="2135" spans="2:5" x14ac:dyDescent="0.2">
      <c r="B2135" s="159"/>
      <c r="C2135" s="160"/>
      <c r="D2135" s="159"/>
      <c r="E2135" s="159"/>
    </row>
    <row r="2136" spans="2:5" x14ac:dyDescent="0.2">
      <c r="B2136" s="159"/>
      <c r="C2136" s="160"/>
      <c r="D2136" s="159"/>
      <c r="E2136" s="159"/>
    </row>
    <row r="2137" spans="2:5" x14ac:dyDescent="0.2">
      <c r="B2137" s="159"/>
      <c r="C2137" s="160"/>
      <c r="D2137" s="159"/>
      <c r="E2137" s="159"/>
    </row>
    <row r="2138" spans="2:5" x14ac:dyDescent="0.2">
      <c r="B2138" s="159"/>
      <c r="C2138" s="160"/>
      <c r="D2138" s="159"/>
      <c r="E2138" s="159"/>
    </row>
    <row r="2139" spans="2:5" x14ac:dyDescent="0.2">
      <c r="B2139" s="159"/>
      <c r="C2139" s="160"/>
      <c r="D2139" s="159"/>
      <c r="E2139" s="159"/>
    </row>
    <row r="2140" spans="2:5" x14ac:dyDescent="0.2">
      <c r="B2140" s="159"/>
      <c r="C2140" s="160"/>
      <c r="D2140" s="159"/>
      <c r="E2140" s="159"/>
    </row>
    <row r="2141" spans="2:5" x14ac:dyDescent="0.2">
      <c r="B2141" s="159"/>
      <c r="C2141" s="160"/>
      <c r="D2141" s="159"/>
      <c r="E2141" s="159"/>
    </row>
    <row r="2142" spans="2:5" x14ac:dyDescent="0.2">
      <c r="B2142" s="159"/>
      <c r="C2142" s="160"/>
      <c r="D2142" s="159"/>
      <c r="E2142" s="159"/>
    </row>
    <row r="2143" spans="2:5" x14ac:dyDescent="0.2">
      <c r="B2143" s="159"/>
      <c r="C2143" s="160"/>
      <c r="D2143" s="159"/>
      <c r="E2143" s="159"/>
    </row>
    <row r="2144" spans="2:5" x14ac:dyDescent="0.2">
      <c r="B2144" s="159"/>
      <c r="C2144" s="160"/>
      <c r="D2144" s="159"/>
      <c r="E2144" s="159"/>
    </row>
    <row r="2145" spans="2:5" x14ac:dyDescent="0.2">
      <c r="B2145" s="159"/>
      <c r="C2145" s="160"/>
      <c r="D2145" s="159"/>
      <c r="E2145" s="159"/>
    </row>
    <row r="2146" spans="2:5" x14ac:dyDescent="0.2">
      <c r="B2146" s="159"/>
      <c r="C2146" s="160"/>
      <c r="D2146" s="159"/>
      <c r="E2146" s="159"/>
    </row>
    <row r="2147" spans="2:5" x14ac:dyDescent="0.2">
      <c r="B2147" s="159"/>
      <c r="C2147" s="160"/>
      <c r="D2147" s="159"/>
      <c r="E2147" s="159"/>
    </row>
    <row r="2148" spans="2:5" x14ac:dyDescent="0.2">
      <c r="B2148" s="159"/>
      <c r="C2148" s="160"/>
      <c r="D2148" s="159"/>
      <c r="E2148" s="159"/>
    </row>
    <row r="2149" spans="2:5" x14ac:dyDescent="0.2">
      <c r="B2149" s="159"/>
      <c r="C2149" s="160"/>
      <c r="D2149" s="159"/>
      <c r="E2149" s="159"/>
    </row>
    <row r="2150" spans="2:5" x14ac:dyDescent="0.2">
      <c r="B2150" s="159"/>
      <c r="C2150" s="160"/>
      <c r="D2150" s="159"/>
      <c r="E2150" s="159"/>
    </row>
    <row r="2151" spans="2:5" x14ac:dyDescent="0.2">
      <c r="B2151" s="159"/>
      <c r="C2151" s="160"/>
      <c r="D2151" s="159"/>
      <c r="E2151" s="159"/>
    </row>
    <row r="2152" spans="2:5" x14ac:dyDescent="0.2">
      <c r="B2152" s="159"/>
      <c r="C2152" s="160"/>
      <c r="D2152" s="159"/>
      <c r="E2152" s="159"/>
    </row>
    <row r="2153" spans="2:5" x14ac:dyDescent="0.2">
      <c r="B2153" s="159"/>
      <c r="C2153" s="160"/>
      <c r="D2153" s="159"/>
      <c r="E2153" s="159"/>
    </row>
    <row r="2154" spans="2:5" x14ac:dyDescent="0.2">
      <c r="B2154" s="159"/>
      <c r="C2154" s="160"/>
      <c r="D2154" s="159"/>
      <c r="E2154" s="159"/>
    </row>
    <row r="2155" spans="2:5" x14ac:dyDescent="0.2">
      <c r="B2155" s="159"/>
      <c r="C2155" s="160"/>
      <c r="D2155" s="159"/>
      <c r="E2155" s="159"/>
    </row>
    <row r="2156" spans="2:5" x14ac:dyDescent="0.2">
      <c r="B2156" s="159"/>
      <c r="C2156" s="160"/>
      <c r="D2156" s="159"/>
      <c r="E2156" s="159"/>
    </row>
    <row r="2157" spans="2:5" x14ac:dyDescent="0.2">
      <c r="B2157" s="159"/>
      <c r="C2157" s="160"/>
      <c r="D2157" s="159"/>
      <c r="E2157" s="159"/>
    </row>
    <row r="2158" spans="2:5" x14ac:dyDescent="0.2">
      <c r="B2158" s="159"/>
      <c r="C2158" s="160"/>
      <c r="D2158" s="159"/>
      <c r="E2158" s="159"/>
    </row>
    <row r="2159" spans="2:5" x14ac:dyDescent="0.2">
      <c r="B2159" s="159"/>
      <c r="C2159" s="160"/>
      <c r="D2159" s="159"/>
      <c r="E2159" s="159"/>
    </row>
    <row r="2160" spans="2:5" x14ac:dyDescent="0.2">
      <c r="B2160" s="159"/>
      <c r="C2160" s="160"/>
      <c r="D2160" s="159"/>
      <c r="E2160" s="159"/>
    </row>
    <row r="2161" spans="2:5" x14ac:dyDescent="0.2">
      <c r="B2161" s="159"/>
      <c r="C2161" s="160"/>
      <c r="D2161" s="159"/>
      <c r="E2161" s="159"/>
    </row>
    <row r="2162" spans="2:5" x14ac:dyDescent="0.2">
      <c r="B2162" s="159"/>
      <c r="C2162" s="160"/>
      <c r="D2162" s="159"/>
      <c r="E2162" s="159"/>
    </row>
    <row r="2163" spans="2:5" x14ac:dyDescent="0.2">
      <c r="B2163" s="159"/>
      <c r="C2163" s="160"/>
      <c r="D2163" s="159"/>
      <c r="E2163" s="159"/>
    </row>
    <row r="2164" spans="2:5" x14ac:dyDescent="0.2">
      <c r="B2164" s="159"/>
      <c r="C2164" s="160"/>
      <c r="D2164" s="159"/>
      <c r="E2164" s="159"/>
    </row>
    <row r="2165" spans="2:5" x14ac:dyDescent="0.2">
      <c r="B2165" s="159"/>
      <c r="C2165" s="160"/>
      <c r="D2165" s="159"/>
      <c r="E2165" s="159"/>
    </row>
    <row r="2166" spans="2:5" x14ac:dyDescent="0.2">
      <c r="B2166" s="159"/>
      <c r="C2166" s="160"/>
      <c r="D2166" s="159"/>
      <c r="E2166" s="159"/>
    </row>
    <row r="2167" spans="2:5" x14ac:dyDescent="0.2">
      <c r="B2167" s="159"/>
      <c r="C2167" s="160"/>
      <c r="D2167" s="159"/>
      <c r="E2167" s="159"/>
    </row>
    <row r="2168" spans="2:5" x14ac:dyDescent="0.2">
      <c r="B2168" s="159"/>
      <c r="C2168" s="160"/>
      <c r="D2168" s="159"/>
      <c r="E2168" s="159"/>
    </row>
    <row r="2169" spans="2:5" x14ac:dyDescent="0.2">
      <c r="B2169" s="159"/>
      <c r="C2169" s="160"/>
      <c r="D2169" s="159"/>
      <c r="E2169" s="159"/>
    </row>
    <row r="2170" spans="2:5" x14ac:dyDescent="0.2">
      <c r="B2170" s="159"/>
      <c r="C2170" s="160"/>
      <c r="D2170" s="159"/>
      <c r="E2170" s="159"/>
    </row>
    <row r="2171" spans="2:5" x14ac:dyDescent="0.2">
      <c r="B2171" s="159"/>
      <c r="C2171" s="160"/>
      <c r="D2171" s="159"/>
      <c r="E2171" s="159"/>
    </row>
    <row r="2172" spans="2:5" x14ac:dyDescent="0.2">
      <c r="B2172" s="159"/>
      <c r="C2172" s="160"/>
      <c r="D2172" s="159"/>
      <c r="E2172" s="159"/>
    </row>
    <row r="2173" spans="2:5" x14ac:dyDescent="0.2">
      <c r="B2173" s="159"/>
      <c r="C2173" s="160"/>
      <c r="D2173" s="159"/>
      <c r="E2173" s="159"/>
    </row>
    <row r="2174" spans="2:5" x14ac:dyDescent="0.2">
      <c r="B2174" s="159"/>
      <c r="C2174" s="160"/>
      <c r="D2174" s="159"/>
      <c r="E2174" s="159"/>
    </row>
    <row r="2175" spans="2:5" x14ac:dyDescent="0.2">
      <c r="B2175" s="159"/>
      <c r="C2175" s="160"/>
      <c r="D2175" s="159"/>
      <c r="E2175" s="159"/>
    </row>
    <row r="2176" spans="2:5" x14ac:dyDescent="0.2">
      <c r="B2176" s="159"/>
      <c r="C2176" s="160"/>
      <c r="D2176" s="159"/>
      <c r="E2176" s="159"/>
    </row>
    <row r="2177" spans="2:5" x14ac:dyDescent="0.2">
      <c r="B2177" s="159"/>
      <c r="C2177" s="160"/>
      <c r="D2177" s="159"/>
      <c r="E2177" s="159"/>
    </row>
    <row r="2178" spans="2:5" x14ac:dyDescent="0.2">
      <c r="B2178" s="159"/>
      <c r="C2178" s="160"/>
      <c r="D2178" s="159"/>
      <c r="E2178" s="159"/>
    </row>
    <row r="2179" spans="2:5" x14ac:dyDescent="0.2">
      <c r="B2179" s="159"/>
      <c r="C2179" s="160"/>
      <c r="D2179" s="159"/>
      <c r="E2179" s="159"/>
    </row>
    <row r="2180" spans="2:5" x14ac:dyDescent="0.2">
      <c r="B2180" s="159"/>
      <c r="C2180" s="160"/>
      <c r="D2180" s="159"/>
      <c r="E2180" s="159"/>
    </row>
    <row r="2181" spans="2:5" x14ac:dyDescent="0.2">
      <c r="B2181" s="159"/>
      <c r="C2181" s="160"/>
      <c r="D2181" s="159"/>
      <c r="E2181" s="159"/>
    </row>
    <row r="2182" spans="2:5" x14ac:dyDescent="0.2">
      <c r="B2182" s="159"/>
      <c r="C2182" s="160"/>
      <c r="D2182" s="159"/>
      <c r="E2182" s="159"/>
    </row>
    <row r="2183" spans="2:5" x14ac:dyDescent="0.2">
      <c r="B2183" s="159"/>
      <c r="C2183" s="160"/>
      <c r="D2183" s="159"/>
      <c r="E2183" s="159"/>
    </row>
    <row r="2184" spans="2:5" x14ac:dyDescent="0.2">
      <c r="B2184" s="159"/>
      <c r="C2184" s="160"/>
      <c r="D2184" s="159"/>
      <c r="E2184" s="159"/>
    </row>
    <row r="2185" spans="2:5" x14ac:dyDescent="0.2">
      <c r="B2185" s="159"/>
      <c r="C2185" s="160"/>
      <c r="D2185" s="159"/>
      <c r="E2185" s="159"/>
    </row>
    <row r="2186" spans="2:5" x14ac:dyDescent="0.2">
      <c r="B2186" s="159"/>
      <c r="C2186" s="160"/>
      <c r="D2186" s="159"/>
      <c r="E2186" s="159"/>
    </row>
    <row r="2187" spans="2:5" x14ac:dyDescent="0.2">
      <c r="B2187" s="159"/>
      <c r="C2187" s="160"/>
      <c r="D2187" s="159"/>
      <c r="E2187" s="159"/>
    </row>
    <row r="2188" spans="2:5" x14ac:dyDescent="0.2">
      <c r="B2188" s="159"/>
      <c r="C2188" s="160"/>
      <c r="D2188" s="159"/>
      <c r="E2188" s="159"/>
    </row>
    <row r="2189" spans="2:5" x14ac:dyDescent="0.2">
      <c r="B2189" s="159"/>
      <c r="C2189" s="160"/>
      <c r="D2189" s="159"/>
      <c r="E2189" s="159"/>
    </row>
    <row r="2190" spans="2:5" x14ac:dyDescent="0.2">
      <c r="B2190" s="159"/>
      <c r="C2190" s="160"/>
      <c r="D2190" s="159"/>
      <c r="E2190" s="159"/>
    </row>
    <row r="2191" spans="2:5" x14ac:dyDescent="0.2">
      <c r="B2191" s="159"/>
      <c r="C2191" s="160"/>
      <c r="D2191" s="159"/>
      <c r="E2191" s="159"/>
    </row>
    <row r="2192" spans="2:5" x14ac:dyDescent="0.2">
      <c r="B2192" s="159"/>
      <c r="C2192" s="160"/>
      <c r="D2192" s="159"/>
      <c r="E2192" s="159"/>
    </row>
    <row r="2193" spans="2:5" x14ac:dyDescent="0.2">
      <c r="B2193" s="159"/>
      <c r="C2193" s="160"/>
      <c r="D2193" s="159"/>
      <c r="E2193" s="159"/>
    </row>
    <row r="2194" spans="2:5" x14ac:dyDescent="0.2">
      <c r="B2194" s="159"/>
      <c r="C2194" s="160"/>
      <c r="D2194" s="159"/>
      <c r="E2194" s="159"/>
    </row>
    <row r="2195" spans="2:5" x14ac:dyDescent="0.2">
      <c r="B2195" s="159"/>
      <c r="C2195" s="160"/>
      <c r="D2195" s="159"/>
      <c r="E2195" s="159"/>
    </row>
    <row r="2196" spans="2:5" x14ac:dyDescent="0.2">
      <c r="B2196" s="159"/>
      <c r="C2196" s="160"/>
      <c r="D2196" s="159"/>
      <c r="E2196" s="159"/>
    </row>
    <row r="2197" spans="2:5" x14ac:dyDescent="0.2">
      <c r="B2197" s="159"/>
      <c r="C2197" s="160"/>
      <c r="D2197" s="159"/>
      <c r="E2197" s="159"/>
    </row>
    <row r="2198" spans="2:5" x14ac:dyDescent="0.2">
      <c r="B2198" s="159"/>
      <c r="C2198" s="160"/>
      <c r="D2198" s="159"/>
      <c r="E2198" s="159"/>
    </row>
    <row r="2199" spans="2:5" x14ac:dyDescent="0.2">
      <c r="B2199" s="159"/>
      <c r="C2199" s="160"/>
      <c r="D2199" s="159"/>
      <c r="E2199" s="159"/>
    </row>
    <row r="2200" spans="2:5" x14ac:dyDescent="0.2">
      <c r="B2200" s="159"/>
      <c r="C2200" s="160"/>
      <c r="D2200" s="159"/>
      <c r="E2200" s="159"/>
    </row>
    <row r="2201" spans="2:5" x14ac:dyDescent="0.2">
      <c r="B2201" s="159"/>
      <c r="C2201" s="160"/>
      <c r="D2201" s="159"/>
      <c r="E2201" s="159"/>
    </row>
    <row r="2202" spans="2:5" x14ac:dyDescent="0.2">
      <c r="B2202" s="159"/>
      <c r="C2202" s="160"/>
      <c r="D2202" s="159"/>
      <c r="E2202" s="159"/>
    </row>
    <row r="2203" spans="2:5" x14ac:dyDescent="0.2">
      <c r="B2203" s="159"/>
      <c r="C2203" s="160"/>
      <c r="D2203" s="159"/>
      <c r="E2203" s="159"/>
    </row>
    <row r="2204" spans="2:5" x14ac:dyDescent="0.2">
      <c r="B2204" s="159"/>
      <c r="C2204" s="160"/>
      <c r="D2204" s="159"/>
      <c r="E2204" s="159"/>
    </row>
    <row r="2205" spans="2:5" x14ac:dyDescent="0.2">
      <c r="B2205" s="159"/>
      <c r="C2205" s="160"/>
      <c r="D2205" s="159"/>
      <c r="E2205" s="159"/>
    </row>
    <row r="2206" spans="2:5" x14ac:dyDescent="0.2">
      <c r="B2206" s="159"/>
      <c r="C2206" s="160"/>
      <c r="D2206" s="159"/>
      <c r="E2206" s="159"/>
    </row>
    <row r="2207" spans="2:5" x14ac:dyDescent="0.2">
      <c r="B2207" s="159"/>
      <c r="C2207" s="160"/>
      <c r="D2207" s="159"/>
      <c r="E2207" s="159"/>
    </row>
    <row r="2208" spans="2:5" x14ac:dyDescent="0.2">
      <c r="B2208" s="159"/>
      <c r="C2208" s="160"/>
      <c r="D2208" s="159"/>
      <c r="E2208" s="159"/>
    </row>
    <row r="2209" spans="2:5" x14ac:dyDescent="0.2">
      <c r="B2209" s="159"/>
      <c r="C2209" s="160"/>
      <c r="D2209" s="159"/>
      <c r="E2209" s="159"/>
    </row>
    <row r="2210" spans="2:5" x14ac:dyDescent="0.2">
      <c r="B2210" s="159"/>
      <c r="C2210" s="160"/>
      <c r="D2210" s="159"/>
      <c r="E2210" s="159"/>
    </row>
    <row r="2211" spans="2:5" x14ac:dyDescent="0.2">
      <c r="B2211" s="159"/>
      <c r="C2211" s="160"/>
      <c r="D2211" s="159"/>
      <c r="E2211" s="159"/>
    </row>
    <row r="2212" spans="2:5" x14ac:dyDescent="0.2">
      <c r="B2212" s="159"/>
      <c r="C2212" s="160"/>
      <c r="D2212" s="159"/>
      <c r="E2212" s="159"/>
    </row>
    <row r="2213" spans="2:5" x14ac:dyDescent="0.2">
      <c r="B2213" s="159"/>
      <c r="C2213" s="160"/>
      <c r="D2213" s="159"/>
      <c r="E2213" s="159"/>
    </row>
    <row r="2214" spans="2:5" x14ac:dyDescent="0.2">
      <c r="B2214" s="159"/>
      <c r="C2214" s="160"/>
      <c r="D2214" s="159"/>
      <c r="E2214" s="159"/>
    </row>
    <row r="2215" spans="2:5" x14ac:dyDescent="0.2">
      <c r="B2215" s="159"/>
      <c r="C2215" s="160"/>
      <c r="D2215" s="159"/>
      <c r="E2215" s="159"/>
    </row>
    <row r="2216" spans="2:5" x14ac:dyDescent="0.2">
      <c r="B2216" s="159"/>
      <c r="C2216" s="160"/>
      <c r="D2216" s="159"/>
      <c r="E2216" s="159"/>
    </row>
    <row r="2217" spans="2:5" x14ac:dyDescent="0.2">
      <c r="B2217" s="159"/>
      <c r="C2217" s="160"/>
      <c r="D2217" s="159"/>
      <c r="E2217" s="159"/>
    </row>
    <row r="2218" spans="2:5" x14ac:dyDescent="0.2">
      <c r="B2218" s="159"/>
      <c r="C2218" s="160"/>
      <c r="D2218" s="159"/>
      <c r="E2218" s="159"/>
    </row>
    <row r="2219" spans="2:5" x14ac:dyDescent="0.2">
      <c r="B2219" s="159"/>
      <c r="C2219" s="160"/>
      <c r="D2219" s="159"/>
      <c r="E2219" s="159"/>
    </row>
    <row r="2220" spans="2:5" x14ac:dyDescent="0.2">
      <c r="B2220" s="159"/>
      <c r="C2220" s="160"/>
      <c r="D2220" s="159"/>
      <c r="E2220" s="159"/>
    </row>
    <row r="2221" spans="2:5" x14ac:dyDescent="0.2">
      <c r="B2221" s="159"/>
      <c r="C2221" s="160"/>
      <c r="D2221" s="159"/>
      <c r="E2221" s="159"/>
    </row>
    <row r="2222" spans="2:5" x14ac:dyDescent="0.2">
      <c r="B2222" s="159"/>
      <c r="C2222" s="160"/>
      <c r="D2222" s="159"/>
      <c r="E2222" s="159"/>
    </row>
    <row r="2223" spans="2:5" x14ac:dyDescent="0.2">
      <c r="B2223" s="159"/>
      <c r="C2223" s="160"/>
      <c r="D2223" s="159"/>
      <c r="E2223" s="159"/>
    </row>
    <row r="2224" spans="2:5" x14ac:dyDescent="0.2">
      <c r="B2224" s="159"/>
      <c r="C2224" s="160"/>
      <c r="D2224" s="159"/>
      <c r="E2224" s="159"/>
    </row>
    <row r="2225" spans="2:5" x14ac:dyDescent="0.2">
      <c r="B2225" s="159"/>
      <c r="C2225" s="160"/>
      <c r="D2225" s="159"/>
      <c r="E2225" s="159"/>
    </row>
    <row r="2226" spans="2:5" x14ac:dyDescent="0.2">
      <c r="B2226" s="159"/>
      <c r="C2226" s="160"/>
      <c r="D2226" s="159"/>
      <c r="E2226" s="159"/>
    </row>
    <row r="2227" spans="2:5" x14ac:dyDescent="0.2">
      <c r="B2227" s="159"/>
      <c r="C2227" s="160"/>
      <c r="D2227" s="159"/>
      <c r="E2227" s="159"/>
    </row>
    <row r="2228" spans="2:5" x14ac:dyDescent="0.2">
      <c r="B2228" s="159"/>
      <c r="C2228" s="160"/>
      <c r="D2228" s="159"/>
      <c r="E2228" s="159"/>
    </row>
    <row r="2229" spans="2:5" x14ac:dyDescent="0.2">
      <c r="B2229" s="159"/>
      <c r="C2229" s="160"/>
      <c r="D2229" s="159"/>
      <c r="E2229" s="159"/>
    </row>
    <row r="2230" spans="2:5" x14ac:dyDescent="0.2">
      <c r="B2230" s="159"/>
      <c r="C2230" s="160"/>
      <c r="D2230" s="159"/>
      <c r="E2230" s="159"/>
    </row>
    <row r="2231" spans="2:5" x14ac:dyDescent="0.2">
      <c r="B2231" s="159"/>
      <c r="C2231" s="160"/>
      <c r="D2231" s="159"/>
      <c r="E2231" s="159"/>
    </row>
    <row r="2232" spans="2:5" x14ac:dyDescent="0.2">
      <c r="B2232" s="159"/>
      <c r="C2232" s="160"/>
      <c r="D2232" s="159"/>
      <c r="E2232" s="159"/>
    </row>
    <row r="2233" spans="2:5" x14ac:dyDescent="0.2">
      <c r="B2233" s="159"/>
      <c r="C2233" s="160"/>
      <c r="D2233" s="159"/>
      <c r="E2233" s="159"/>
    </row>
    <row r="2234" spans="2:5" x14ac:dyDescent="0.2">
      <c r="B2234" s="159"/>
      <c r="C2234" s="160"/>
      <c r="D2234" s="159"/>
      <c r="E2234" s="159"/>
    </row>
    <row r="2235" spans="2:5" x14ac:dyDescent="0.2">
      <c r="B2235" s="159"/>
      <c r="C2235" s="160"/>
      <c r="D2235" s="159"/>
      <c r="E2235" s="159"/>
    </row>
    <row r="2236" spans="2:5" x14ac:dyDescent="0.2">
      <c r="B2236" s="159"/>
      <c r="C2236" s="160"/>
      <c r="D2236" s="159"/>
      <c r="E2236" s="159"/>
    </row>
    <row r="2237" spans="2:5" x14ac:dyDescent="0.2">
      <c r="B2237" s="159"/>
      <c r="C2237" s="160"/>
      <c r="D2237" s="159"/>
      <c r="E2237" s="159"/>
    </row>
    <row r="2238" spans="2:5" x14ac:dyDescent="0.2">
      <c r="B2238" s="159"/>
      <c r="C2238" s="160"/>
      <c r="D2238" s="159"/>
      <c r="E2238" s="159"/>
    </row>
    <row r="2239" spans="2:5" x14ac:dyDescent="0.2">
      <c r="B2239" s="159"/>
      <c r="C2239" s="160"/>
      <c r="D2239" s="159"/>
      <c r="E2239" s="159"/>
    </row>
    <row r="2240" spans="2:5" x14ac:dyDescent="0.2">
      <c r="B2240" s="159"/>
      <c r="C2240" s="160"/>
      <c r="D2240" s="159"/>
      <c r="E2240" s="159"/>
    </row>
    <row r="2241" spans="2:5" x14ac:dyDescent="0.2">
      <c r="B2241" s="159"/>
      <c r="C2241" s="160"/>
      <c r="D2241" s="159"/>
      <c r="E2241" s="159"/>
    </row>
    <row r="2242" spans="2:5" x14ac:dyDescent="0.2">
      <c r="B2242" s="159"/>
      <c r="C2242" s="160"/>
      <c r="D2242" s="159"/>
      <c r="E2242" s="159"/>
    </row>
    <row r="2243" spans="2:5" x14ac:dyDescent="0.2">
      <c r="B2243" s="159"/>
      <c r="C2243" s="160"/>
      <c r="D2243" s="159"/>
      <c r="E2243" s="159"/>
    </row>
    <row r="2244" spans="2:5" x14ac:dyDescent="0.2">
      <c r="B2244" s="159"/>
      <c r="C2244" s="160"/>
      <c r="D2244" s="159"/>
      <c r="E2244" s="159"/>
    </row>
    <row r="2245" spans="2:5" x14ac:dyDescent="0.2">
      <c r="B2245" s="159"/>
      <c r="C2245" s="160"/>
      <c r="D2245" s="159"/>
      <c r="E2245" s="159"/>
    </row>
    <row r="2246" spans="2:5" x14ac:dyDescent="0.2">
      <c r="B2246" s="159"/>
      <c r="C2246" s="160"/>
      <c r="D2246" s="159"/>
      <c r="E2246" s="159"/>
    </row>
    <row r="2247" spans="2:5" x14ac:dyDescent="0.2">
      <c r="B2247" s="159"/>
      <c r="C2247" s="160"/>
      <c r="D2247" s="159"/>
      <c r="E2247" s="159"/>
    </row>
    <row r="2248" spans="2:5" x14ac:dyDescent="0.2">
      <c r="B2248" s="159"/>
      <c r="C2248" s="160"/>
      <c r="D2248" s="159"/>
      <c r="E2248" s="159"/>
    </row>
    <row r="2249" spans="2:5" x14ac:dyDescent="0.2">
      <c r="B2249" s="159"/>
      <c r="C2249" s="160"/>
      <c r="D2249" s="159"/>
      <c r="E2249" s="159"/>
    </row>
    <row r="2250" spans="2:5" x14ac:dyDescent="0.2">
      <c r="B2250" s="159"/>
      <c r="C2250" s="160"/>
      <c r="D2250" s="159"/>
      <c r="E2250" s="159"/>
    </row>
    <row r="2251" spans="2:5" x14ac:dyDescent="0.2">
      <c r="B2251" s="159"/>
      <c r="C2251" s="160"/>
      <c r="D2251" s="159"/>
      <c r="E2251" s="159"/>
    </row>
    <row r="2252" spans="2:5" x14ac:dyDescent="0.2">
      <c r="B2252" s="159"/>
      <c r="C2252" s="160"/>
      <c r="D2252" s="159"/>
      <c r="E2252" s="159"/>
    </row>
    <row r="2253" spans="2:5" x14ac:dyDescent="0.2">
      <c r="B2253" s="159"/>
      <c r="C2253" s="160"/>
      <c r="D2253" s="159"/>
      <c r="E2253" s="159"/>
    </row>
    <row r="2254" spans="2:5" x14ac:dyDescent="0.2">
      <c r="B2254" s="159"/>
      <c r="C2254" s="160"/>
      <c r="D2254" s="159"/>
      <c r="E2254" s="159"/>
    </row>
    <row r="2255" spans="2:5" x14ac:dyDescent="0.2">
      <c r="B2255" s="159"/>
      <c r="C2255" s="160"/>
      <c r="D2255" s="159"/>
      <c r="E2255" s="159"/>
    </row>
    <row r="2256" spans="2:5" x14ac:dyDescent="0.2">
      <c r="B2256" s="159"/>
      <c r="C2256" s="160"/>
      <c r="D2256" s="159"/>
      <c r="E2256" s="159"/>
    </row>
    <row r="2257" spans="2:5" x14ac:dyDescent="0.2">
      <c r="B2257" s="159"/>
      <c r="C2257" s="160"/>
      <c r="D2257" s="159"/>
      <c r="E2257" s="159"/>
    </row>
    <row r="2258" spans="2:5" x14ac:dyDescent="0.2">
      <c r="B2258" s="159"/>
      <c r="C2258" s="160"/>
      <c r="D2258" s="159"/>
      <c r="E2258" s="159"/>
    </row>
    <row r="2259" spans="2:5" x14ac:dyDescent="0.2">
      <c r="B2259" s="159"/>
      <c r="C2259" s="160"/>
      <c r="D2259" s="159"/>
      <c r="E2259" s="159"/>
    </row>
    <row r="2260" spans="2:5" x14ac:dyDescent="0.2">
      <c r="B2260" s="159"/>
      <c r="C2260" s="160"/>
      <c r="D2260" s="159"/>
      <c r="E2260" s="159"/>
    </row>
    <row r="2261" spans="2:5" x14ac:dyDescent="0.2">
      <c r="B2261" s="159"/>
      <c r="C2261" s="160"/>
      <c r="D2261" s="159"/>
      <c r="E2261" s="159"/>
    </row>
    <row r="2262" spans="2:5" x14ac:dyDescent="0.2">
      <c r="B2262" s="159"/>
      <c r="C2262" s="160"/>
      <c r="D2262" s="159"/>
      <c r="E2262" s="159"/>
    </row>
    <row r="2263" spans="2:5" x14ac:dyDescent="0.2">
      <c r="B2263" s="159"/>
      <c r="C2263" s="160"/>
      <c r="D2263" s="159"/>
      <c r="E2263" s="159"/>
    </row>
    <row r="2264" spans="2:5" x14ac:dyDescent="0.2">
      <c r="B2264" s="159"/>
      <c r="C2264" s="160"/>
      <c r="D2264" s="159"/>
      <c r="E2264" s="159"/>
    </row>
    <row r="2265" spans="2:5" x14ac:dyDescent="0.2">
      <c r="B2265" s="159"/>
      <c r="C2265" s="160"/>
      <c r="D2265" s="159"/>
      <c r="E2265" s="159"/>
    </row>
    <row r="2266" spans="2:5" x14ac:dyDescent="0.2">
      <c r="B2266" s="159"/>
      <c r="C2266" s="160"/>
      <c r="D2266" s="159"/>
      <c r="E2266" s="159"/>
    </row>
    <row r="2267" spans="2:5" x14ac:dyDescent="0.2">
      <c r="B2267" s="159"/>
      <c r="C2267" s="160"/>
      <c r="D2267" s="159"/>
      <c r="E2267" s="159"/>
    </row>
    <row r="2268" spans="2:5" x14ac:dyDescent="0.2">
      <c r="B2268" s="159"/>
      <c r="C2268" s="160"/>
      <c r="D2268" s="159"/>
      <c r="E2268" s="159"/>
    </row>
    <row r="2269" spans="2:5" x14ac:dyDescent="0.2">
      <c r="B2269" s="159"/>
      <c r="C2269" s="160"/>
      <c r="D2269" s="159"/>
      <c r="E2269" s="159"/>
    </row>
    <row r="2270" spans="2:5" x14ac:dyDescent="0.2">
      <c r="B2270" s="159"/>
      <c r="C2270" s="160"/>
      <c r="D2270" s="159"/>
      <c r="E2270" s="159"/>
    </row>
    <row r="2271" spans="2:5" x14ac:dyDescent="0.2">
      <c r="B2271" s="159"/>
      <c r="C2271" s="160"/>
      <c r="D2271" s="159"/>
      <c r="E2271" s="159"/>
    </row>
    <row r="2272" spans="2:5" x14ac:dyDescent="0.2">
      <c r="B2272" s="159"/>
      <c r="C2272" s="160"/>
      <c r="D2272" s="159"/>
      <c r="E2272" s="159"/>
    </row>
    <row r="2273" spans="2:5" x14ac:dyDescent="0.2">
      <c r="B2273" s="159"/>
      <c r="C2273" s="160"/>
      <c r="D2273" s="159"/>
      <c r="E2273" s="159"/>
    </row>
    <row r="2274" spans="2:5" x14ac:dyDescent="0.2">
      <c r="B2274" s="159"/>
      <c r="C2274" s="160"/>
      <c r="D2274" s="159"/>
      <c r="E2274" s="159"/>
    </row>
    <row r="2275" spans="2:5" x14ac:dyDescent="0.2">
      <c r="B2275" s="159"/>
      <c r="C2275" s="160"/>
      <c r="D2275" s="159"/>
      <c r="E2275" s="159"/>
    </row>
    <row r="2276" spans="2:5" x14ac:dyDescent="0.2">
      <c r="B2276" s="159"/>
      <c r="C2276" s="160"/>
      <c r="D2276" s="159"/>
      <c r="E2276" s="159"/>
    </row>
    <row r="2277" spans="2:5" x14ac:dyDescent="0.2">
      <c r="B2277" s="159"/>
      <c r="C2277" s="160"/>
      <c r="D2277" s="159"/>
      <c r="E2277" s="159"/>
    </row>
    <row r="2278" spans="2:5" x14ac:dyDescent="0.2">
      <c r="B2278" s="159"/>
      <c r="C2278" s="160"/>
      <c r="D2278" s="159"/>
      <c r="E2278" s="159"/>
    </row>
    <row r="2279" spans="2:5" x14ac:dyDescent="0.2">
      <c r="B2279" s="159"/>
      <c r="C2279" s="160"/>
      <c r="D2279" s="159"/>
      <c r="E2279" s="159"/>
    </row>
    <row r="2280" spans="2:5" x14ac:dyDescent="0.2">
      <c r="B2280" s="159"/>
      <c r="C2280" s="160"/>
      <c r="D2280" s="159"/>
      <c r="E2280" s="159"/>
    </row>
    <row r="2281" spans="2:5" x14ac:dyDescent="0.2">
      <c r="B2281" s="159"/>
      <c r="C2281" s="160"/>
      <c r="D2281" s="159"/>
      <c r="E2281" s="159"/>
    </row>
    <row r="2282" spans="2:5" x14ac:dyDescent="0.2">
      <c r="B2282" s="159"/>
      <c r="C2282" s="160"/>
      <c r="D2282" s="159"/>
      <c r="E2282" s="159"/>
    </row>
    <row r="2283" spans="2:5" x14ac:dyDescent="0.2">
      <c r="B2283" s="159"/>
      <c r="C2283" s="160"/>
      <c r="D2283" s="159"/>
      <c r="E2283" s="159"/>
    </row>
    <row r="2284" spans="2:5" x14ac:dyDescent="0.2">
      <c r="B2284" s="159"/>
      <c r="C2284" s="160"/>
      <c r="D2284" s="159"/>
      <c r="E2284" s="159"/>
    </row>
    <row r="2285" spans="2:5" x14ac:dyDescent="0.2">
      <c r="B2285" s="159"/>
      <c r="C2285" s="160"/>
      <c r="D2285" s="159"/>
      <c r="E2285" s="159"/>
    </row>
    <row r="2286" spans="2:5" x14ac:dyDescent="0.2">
      <c r="B2286" s="159"/>
      <c r="C2286" s="160"/>
      <c r="D2286" s="159"/>
      <c r="E2286" s="159"/>
    </row>
    <row r="2287" spans="2:5" x14ac:dyDescent="0.2">
      <c r="B2287" s="159"/>
      <c r="C2287" s="160"/>
      <c r="D2287" s="159"/>
      <c r="E2287" s="159"/>
    </row>
    <row r="2288" spans="2:5" x14ac:dyDescent="0.2">
      <c r="B2288" s="159"/>
      <c r="C2288" s="160"/>
      <c r="D2288" s="159"/>
      <c r="E2288" s="159"/>
    </row>
    <row r="2289" spans="2:5" x14ac:dyDescent="0.2">
      <c r="B2289" s="159"/>
      <c r="C2289" s="160"/>
      <c r="D2289" s="159"/>
      <c r="E2289" s="159"/>
    </row>
    <row r="2290" spans="2:5" x14ac:dyDescent="0.2">
      <c r="B2290" s="159"/>
      <c r="C2290" s="160"/>
      <c r="D2290" s="159"/>
      <c r="E2290" s="159"/>
    </row>
    <row r="2291" spans="2:5" x14ac:dyDescent="0.2">
      <c r="B2291" s="159"/>
      <c r="C2291" s="160"/>
      <c r="D2291" s="159"/>
      <c r="E2291" s="159"/>
    </row>
    <row r="2292" spans="2:5" x14ac:dyDescent="0.2">
      <c r="B2292" s="159"/>
      <c r="C2292" s="160"/>
      <c r="D2292" s="159"/>
      <c r="E2292" s="159"/>
    </row>
    <row r="2293" spans="2:5" x14ac:dyDescent="0.2">
      <c r="B2293" s="159"/>
      <c r="C2293" s="160"/>
      <c r="D2293" s="159"/>
      <c r="E2293" s="159"/>
    </row>
    <row r="2294" spans="2:5" x14ac:dyDescent="0.2">
      <c r="B2294" s="159"/>
      <c r="C2294" s="160"/>
      <c r="D2294" s="159"/>
      <c r="E2294" s="159"/>
    </row>
    <row r="2295" spans="2:5" x14ac:dyDescent="0.2">
      <c r="B2295" s="159"/>
      <c r="C2295" s="160"/>
      <c r="D2295" s="159"/>
      <c r="E2295" s="159"/>
    </row>
    <row r="2296" spans="2:5" x14ac:dyDescent="0.2">
      <c r="B2296" s="159"/>
      <c r="C2296" s="160"/>
      <c r="D2296" s="159"/>
      <c r="E2296" s="159"/>
    </row>
    <row r="2297" spans="2:5" x14ac:dyDescent="0.2">
      <c r="B2297" s="159"/>
      <c r="C2297" s="160"/>
      <c r="D2297" s="159"/>
      <c r="E2297" s="159"/>
    </row>
    <row r="2298" spans="2:5" x14ac:dyDescent="0.2">
      <c r="B2298" s="159"/>
      <c r="C2298" s="160"/>
      <c r="D2298" s="159"/>
      <c r="E2298" s="159"/>
    </row>
    <row r="2299" spans="2:5" x14ac:dyDescent="0.2">
      <c r="B2299" s="159"/>
      <c r="C2299" s="160"/>
      <c r="D2299" s="159"/>
      <c r="E2299" s="159"/>
    </row>
    <row r="2300" spans="2:5" x14ac:dyDescent="0.2">
      <c r="B2300" s="159"/>
      <c r="C2300" s="160"/>
      <c r="D2300" s="159"/>
      <c r="E2300" s="159"/>
    </row>
    <row r="2301" spans="2:5" x14ac:dyDescent="0.2">
      <c r="B2301" s="159"/>
      <c r="C2301" s="160"/>
      <c r="D2301" s="159"/>
      <c r="E2301" s="159"/>
    </row>
    <row r="2302" spans="2:5" x14ac:dyDescent="0.2">
      <c r="B2302" s="159"/>
      <c r="C2302" s="160"/>
      <c r="D2302" s="159"/>
      <c r="E2302" s="159"/>
    </row>
    <row r="2303" spans="2:5" x14ac:dyDescent="0.2">
      <c r="B2303" s="159"/>
      <c r="C2303" s="160"/>
      <c r="D2303" s="159"/>
      <c r="E2303" s="159"/>
    </row>
    <row r="2304" spans="2:5" x14ac:dyDescent="0.2">
      <c r="B2304" s="159"/>
      <c r="C2304" s="160"/>
      <c r="D2304" s="159"/>
      <c r="E2304" s="159"/>
    </row>
    <row r="2305" spans="2:5" x14ac:dyDescent="0.2">
      <c r="B2305" s="159"/>
      <c r="C2305" s="160"/>
      <c r="D2305" s="159"/>
      <c r="E2305" s="159"/>
    </row>
    <row r="2306" spans="2:5" x14ac:dyDescent="0.2">
      <c r="B2306" s="159"/>
      <c r="C2306" s="160"/>
      <c r="D2306" s="159"/>
      <c r="E2306" s="159"/>
    </row>
    <row r="2307" spans="2:5" x14ac:dyDescent="0.2">
      <c r="B2307" s="159"/>
      <c r="C2307" s="160"/>
      <c r="D2307" s="159"/>
      <c r="E2307" s="159"/>
    </row>
    <row r="2308" spans="2:5" x14ac:dyDescent="0.2">
      <c r="B2308" s="159"/>
      <c r="C2308" s="160"/>
      <c r="D2308" s="159"/>
      <c r="E2308" s="159"/>
    </row>
    <row r="2309" spans="2:5" x14ac:dyDescent="0.2">
      <c r="B2309" s="159"/>
      <c r="C2309" s="160"/>
      <c r="D2309" s="159"/>
      <c r="E2309" s="159"/>
    </row>
    <row r="2310" spans="2:5" x14ac:dyDescent="0.2">
      <c r="B2310" s="159"/>
      <c r="C2310" s="160"/>
      <c r="D2310" s="159"/>
      <c r="E2310" s="159"/>
    </row>
    <row r="2311" spans="2:5" x14ac:dyDescent="0.2">
      <c r="B2311" s="159"/>
      <c r="C2311" s="160"/>
      <c r="D2311" s="159"/>
      <c r="E2311" s="159"/>
    </row>
    <row r="2312" spans="2:5" x14ac:dyDescent="0.2">
      <c r="B2312" s="159"/>
      <c r="C2312" s="160"/>
      <c r="D2312" s="159"/>
      <c r="E2312" s="159"/>
    </row>
    <row r="2313" spans="2:5" x14ac:dyDescent="0.2">
      <c r="B2313" s="159"/>
      <c r="C2313" s="160"/>
      <c r="D2313" s="159"/>
      <c r="E2313" s="159"/>
    </row>
    <row r="2314" spans="2:5" x14ac:dyDescent="0.2">
      <c r="B2314" s="159"/>
      <c r="C2314" s="160"/>
      <c r="D2314" s="159"/>
      <c r="E2314" s="159"/>
    </row>
    <row r="2315" spans="2:5" x14ac:dyDescent="0.2">
      <c r="B2315" s="159"/>
      <c r="C2315" s="160"/>
      <c r="D2315" s="159"/>
      <c r="E2315" s="159"/>
    </row>
    <row r="2316" spans="2:5" x14ac:dyDescent="0.2">
      <c r="B2316" s="159"/>
      <c r="C2316" s="160"/>
      <c r="D2316" s="159"/>
      <c r="E2316" s="159"/>
    </row>
    <row r="2317" spans="2:5" x14ac:dyDescent="0.2">
      <c r="B2317" s="159"/>
      <c r="C2317" s="160"/>
      <c r="D2317" s="159"/>
      <c r="E2317" s="159"/>
    </row>
    <row r="2318" spans="2:5" x14ac:dyDescent="0.2">
      <c r="B2318" s="159"/>
      <c r="C2318" s="160"/>
      <c r="D2318" s="159"/>
      <c r="E2318" s="159"/>
    </row>
    <row r="2319" spans="2:5" x14ac:dyDescent="0.2">
      <c r="B2319" s="159"/>
      <c r="C2319" s="160"/>
      <c r="D2319" s="159"/>
      <c r="E2319" s="159"/>
    </row>
    <row r="2320" spans="2:5" x14ac:dyDescent="0.2">
      <c r="B2320" s="159"/>
      <c r="C2320" s="160"/>
      <c r="D2320" s="159"/>
      <c r="E2320" s="159"/>
    </row>
    <row r="2321" spans="2:5" x14ac:dyDescent="0.2">
      <c r="B2321" s="159"/>
      <c r="C2321" s="160"/>
      <c r="D2321" s="159"/>
      <c r="E2321" s="159"/>
    </row>
    <row r="2322" spans="2:5" x14ac:dyDescent="0.2">
      <c r="B2322" s="159"/>
      <c r="C2322" s="160"/>
      <c r="D2322" s="159"/>
      <c r="E2322" s="159"/>
    </row>
    <row r="2323" spans="2:5" x14ac:dyDescent="0.2">
      <c r="B2323" s="159"/>
      <c r="C2323" s="160"/>
      <c r="D2323" s="159"/>
      <c r="E2323" s="159"/>
    </row>
    <row r="2324" spans="2:5" x14ac:dyDescent="0.2">
      <c r="B2324" s="159"/>
      <c r="C2324" s="160"/>
      <c r="D2324" s="159"/>
      <c r="E2324" s="159"/>
    </row>
    <row r="2325" spans="2:5" x14ac:dyDescent="0.2">
      <c r="B2325" s="159"/>
      <c r="C2325" s="160"/>
      <c r="D2325" s="159"/>
      <c r="E2325" s="159"/>
    </row>
    <row r="2326" spans="2:5" x14ac:dyDescent="0.2">
      <c r="B2326" s="159"/>
      <c r="C2326" s="160"/>
      <c r="D2326" s="159"/>
      <c r="E2326" s="159"/>
    </row>
    <row r="2327" spans="2:5" x14ac:dyDescent="0.2">
      <c r="B2327" s="159"/>
      <c r="C2327" s="160"/>
      <c r="D2327" s="159"/>
      <c r="E2327" s="159"/>
    </row>
    <row r="2328" spans="2:5" x14ac:dyDescent="0.2">
      <c r="B2328" s="159"/>
      <c r="C2328" s="160"/>
      <c r="D2328" s="159"/>
      <c r="E2328" s="159"/>
    </row>
    <row r="2329" spans="2:5" x14ac:dyDescent="0.2">
      <c r="B2329" s="159"/>
      <c r="C2329" s="160"/>
      <c r="D2329" s="159"/>
      <c r="E2329" s="159"/>
    </row>
    <row r="2330" spans="2:5" x14ac:dyDescent="0.2">
      <c r="B2330" s="159"/>
      <c r="C2330" s="160"/>
      <c r="D2330" s="159"/>
      <c r="E2330" s="159"/>
    </row>
    <row r="2331" spans="2:5" x14ac:dyDescent="0.2">
      <c r="B2331" s="159"/>
      <c r="C2331" s="160"/>
      <c r="D2331" s="159"/>
      <c r="E2331" s="159"/>
    </row>
    <row r="2332" spans="2:5" x14ac:dyDescent="0.2">
      <c r="B2332" s="159"/>
      <c r="C2332" s="160"/>
      <c r="D2332" s="159"/>
      <c r="E2332" s="159"/>
    </row>
    <row r="2333" spans="2:5" x14ac:dyDescent="0.2">
      <c r="B2333" s="159"/>
      <c r="C2333" s="160"/>
      <c r="D2333" s="159"/>
      <c r="E2333" s="159"/>
    </row>
    <row r="2334" spans="2:5" x14ac:dyDescent="0.2">
      <c r="B2334" s="159"/>
      <c r="C2334" s="160"/>
      <c r="D2334" s="159"/>
      <c r="E2334" s="159"/>
    </row>
    <row r="2335" spans="2:5" x14ac:dyDescent="0.2">
      <c r="B2335" s="159"/>
      <c r="C2335" s="160"/>
      <c r="D2335" s="159"/>
      <c r="E2335" s="159"/>
    </row>
    <row r="2336" spans="2:5" x14ac:dyDescent="0.2">
      <c r="B2336" s="159"/>
      <c r="C2336" s="160"/>
      <c r="D2336" s="159"/>
      <c r="E2336" s="159"/>
    </row>
    <row r="2337" spans="2:5" x14ac:dyDescent="0.2">
      <c r="B2337" s="159"/>
      <c r="C2337" s="160"/>
      <c r="D2337" s="159"/>
      <c r="E2337" s="159"/>
    </row>
    <row r="2338" spans="2:5" x14ac:dyDescent="0.2">
      <c r="B2338" s="159"/>
      <c r="C2338" s="160"/>
      <c r="D2338" s="159"/>
      <c r="E2338" s="159"/>
    </row>
    <row r="2339" spans="2:5" x14ac:dyDescent="0.2">
      <c r="B2339" s="159"/>
      <c r="C2339" s="160"/>
      <c r="D2339" s="159"/>
      <c r="E2339" s="159"/>
    </row>
    <row r="2340" spans="2:5" x14ac:dyDescent="0.2">
      <c r="B2340" s="159"/>
      <c r="C2340" s="160"/>
      <c r="D2340" s="159"/>
      <c r="E2340" s="159"/>
    </row>
    <row r="2341" spans="2:5" x14ac:dyDescent="0.2">
      <c r="B2341" s="159"/>
      <c r="C2341" s="160"/>
      <c r="D2341" s="159"/>
      <c r="E2341" s="159"/>
    </row>
    <row r="2342" spans="2:5" x14ac:dyDescent="0.2">
      <c r="B2342" s="159"/>
      <c r="C2342" s="160"/>
      <c r="D2342" s="159"/>
      <c r="E2342" s="159"/>
    </row>
    <row r="2343" spans="2:5" x14ac:dyDescent="0.2">
      <c r="B2343" s="159"/>
      <c r="C2343" s="160"/>
      <c r="D2343" s="159"/>
      <c r="E2343" s="159"/>
    </row>
    <row r="2344" spans="2:5" x14ac:dyDescent="0.2">
      <c r="B2344" s="159"/>
      <c r="C2344" s="160"/>
      <c r="D2344" s="159"/>
      <c r="E2344" s="159"/>
    </row>
    <row r="2345" spans="2:5" x14ac:dyDescent="0.2">
      <c r="B2345" s="159"/>
      <c r="C2345" s="160"/>
      <c r="D2345" s="159"/>
      <c r="E2345" s="159"/>
    </row>
    <row r="2346" spans="2:5" x14ac:dyDescent="0.2">
      <c r="B2346" s="159"/>
      <c r="C2346" s="160"/>
      <c r="D2346" s="159"/>
      <c r="E2346" s="159"/>
    </row>
    <row r="2347" spans="2:5" x14ac:dyDescent="0.2">
      <c r="B2347" s="159"/>
      <c r="C2347" s="160"/>
      <c r="D2347" s="159"/>
      <c r="E2347" s="159"/>
    </row>
    <row r="2348" spans="2:5" x14ac:dyDescent="0.2">
      <c r="B2348" s="159"/>
      <c r="C2348" s="160"/>
      <c r="D2348" s="159"/>
      <c r="E2348" s="159"/>
    </row>
    <row r="2349" spans="2:5" x14ac:dyDescent="0.2">
      <c r="B2349" s="159"/>
      <c r="C2349" s="160"/>
      <c r="D2349" s="159"/>
      <c r="E2349" s="159"/>
    </row>
    <row r="2350" spans="2:5" x14ac:dyDescent="0.2">
      <c r="B2350" s="159"/>
      <c r="C2350" s="160"/>
      <c r="D2350" s="159"/>
      <c r="E2350" s="159"/>
    </row>
    <row r="2351" spans="2:5" x14ac:dyDescent="0.2">
      <c r="B2351" s="159"/>
      <c r="C2351" s="160"/>
      <c r="D2351" s="159"/>
      <c r="E2351" s="159"/>
    </row>
    <row r="2352" spans="2:5" x14ac:dyDescent="0.2">
      <c r="B2352" s="159"/>
      <c r="C2352" s="160"/>
      <c r="D2352" s="159"/>
      <c r="E2352" s="159"/>
    </row>
    <row r="2353" spans="2:5" x14ac:dyDescent="0.2">
      <c r="B2353" s="159"/>
      <c r="C2353" s="160"/>
      <c r="D2353" s="159"/>
      <c r="E2353" s="159"/>
    </row>
    <row r="2354" spans="2:5" x14ac:dyDescent="0.2">
      <c r="B2354" s="159"/>
      <c r="C2354" s="160"/>
      <c r="D2354" s="159"/>
      <c r="E2354" s="159"/>
    </row>
    <row r="2355" spans="2:5" x14ac:dyDescent="0.2">
      <c r="B2355" s="159"/>
      <c r="C2355" s="160"/>
      <c r="D2355" s="159"/>
      <c r="E2355" s="159"/>
    </row>
    <row r="2356" spans="2:5" x14ac:dyDescent="0.2">
      <c r="B2356" s="159"/>
      <c r="C2356" s="160"/>
      <c r="D2356" s="159"/>
      <c r="E2356" s="159"/>
    </row>
    <row r="2357" spans="2:5" x14ac:dyDescent="0.2">
      <c r="B2357" s="159"/>
      <c r="C2357" s="160"/>
      <c r="D2357" s="159"/>
      <c r="E2357" s="159"/>
    </row>
    <row r="2358" spans="2:5" x14ac:dyDescent="0.2">
      <c r="B2358" s="159"/>
      <c r="C2358" s="160"/>
      <c r="D2358" s="159"/>
      <c r="E2358" s="159"/>
    </row>
    <row r="2359" spans="2:5" x14ac:dyDescent="0.2">
      <c r="B2359" s="159"/>
      <c r="C2359" s="160"/>
      <c r="D2359" s="159"/>
      <c r="E2359" s="159"/>
    </row>
    <row r="2360" spans="2:5" x14ac:dyDescent="0.2">
      <c r="B2360" s="159"/>
      <c r="C2360" s="160"/>
      <c r="D2360" s="159"/>
      <c r="E2360" s="159"/>
    </row>
    <row r="2361" spans="2:5" x14ac:dyDescent="0.2">
      <c r="B2361" s="159"/>
      <c r="C2361" s="160"/>
      <c r="D2361" s="159"/>
      <c r="E2361" s="159"/>
    </row>
    <row r="2362" spans="2:5" x14ac:dyDescent="0.2">
      <c r="B2362" s="159"/>
      <c r="C2362" s="160"/>
      <c r="D2362" s="159"/>
      <c r="E2362" s="159"/>
    </row>
    <row r="2363" spans="2:5" x14ac:dyDescent="0.2">
      <c r="B2363" s="159"/>
      <c r="C2363" s="160"/>
      <c r="D2363" s="159"/>
      <c r="E2363" s="159"/>
    </row>
    <row r="2364" spans="2:5" x14ac:dyDescent="0.2">
      <c r="B2364" s="159"/>
      <c r="C2364" s="160"/>
      <c r="D2364" s="159"/>
      <c r="E2364" s="159"/>
    </row>
    <row r="2365" spans="2:5" x14ac:dyDescent="0.2">
      <c r="B2365" s="159"/>
      <c r="C2365" s="160"/>
      <c r="D2365" s="159"/>
      <c r="E2365" s="159"/>
    </row>
    <row r="2366" spans="2:5" x14ac:dyDescent="0.2">
      <c r="B2366" s="159"/>
      <c r="C2366" s="160"/>
      <c r="D2366" s="159"/>
      <c r="E2366" s="159"/>
    </row>
    <row r="2367" spans="2:5" x14ac:dyDescent="0.2">
      <c r="B2367" s="159"/>
      <c r="C2367" s="160"/>
      <c r="D2367" s="159"/>
      <c r="E2367" s="159"/>
    </row>
    <row r="2368" spans="2:5" x14ac:dyDescent="0.2">
      <c r="B2368" s="159"/>
      <c r="C2368" s="160"/>
      <c r="D2368" s="159"/>
      <c r="E2368" s="159"/>
    </row>
    <row r="2369" spans="2:5" x14ac:dyDescent="0.2">
      <c r="B2369" s="159"/>
      <c r="C2369" s="160"/>
      <c r="D2369" s="159"/>
      <c r="E2369" s="159"/>
    </row>
    <row r="2370" spans="2:5" x14ac:dyDescent="0.2">
      <c r="B2370" s="159"/>
      <c r="C2370" s="160"/>
      <c r="D2370" s="159"/>
      <c r="E2370" s="159"/>
    </row>
    <row r="2371" spans="2:5" x14ac:dyDescent="0.2">
      <c r="B2371" s="159"/>
      <c r="C2371" s="160"/>
      <c r="D2371" s="159"/>
      <c r="E2371" s="159"/>
    </row>
    <row r="2372" spans="2:5" x14ac:dyDescent="0.2">
      <c r="B2372" s="159"/>
      <c r="C2372" s="160"/>
      <c r="D2372" s="159"/>
      <c r="E2372" s="159"/>
    </row>
    <row r="2373" spans="2:5" x14ac:dyDescent="0.2">
      <c r="B2373" s="159"/>
      <c r="C2373" s="160"/>
      <c r="D2373" s="159"/>
      <c r="E2373" s="159"/>
    </row>
    <row r="2374" spans="2:5" x14ac:dyDescent="0.2">
      <c r="B2374" s="159"/>
      <c r="C2374" s="160"/>
      <c r="D2374" s="159"/>
      <c r="E2374" s="159"/>
    </row>
    <row r="2375" spans="2:5" x14ac:dyDescent="0.2">
      <c r="B2375" s="159"/>
      <c r="C2375" s="160"/>
      <c r="D2375" s="159"/>
      <c r="E2375" s="159"/>
    </row>
    <row r="2376" spans="2:5" x14ac:dyDescent="0.2">
      <c r="B2376" s="159"/>
      <c r="C2376" s="160"/>
      <c r="D2376" s="159"/>
      <c r="E2376" s="159"/>
    </row>
    <row r="2377" spans="2:5" x14ac:dyDescent="0.2">
      <c r="B2377" s="159"/>
      <c r="C2377" s="160"/>
      <c r="D2377" s="159"/>
      <c r="E2377" s="159"/>
    </row>
    <row r="2378" spans="2:5" x14ac:dyDescent="0.2">
      <c r="B2378" s="159"/>
      <c r="C2378" s="160"/>
      <c r="D2378" s="159"/>
      <c r="E2378" s="159"/>
    </row>
    <row r="2379" spans="2:5" x14ac:dyDescent="0.2">
      <c r="B2379" s="159"/>
      <c r="C2379" s="160"/>
      <c r="D2379" s="159"/>
      <c r="E2379" s="159"/>
    </row>
    <row r="2380" spans="2:5" x14ac:dyDescent="0.2">
      <c r="B2380" s="159"/>
      <c r="C2380" s="160"/>
      <c r="D2380" s="159"/>
      <c r="E2380" s="159"/>
    </row>
    <row r="2381" spans="2:5" x14ac:dyDescent="0.2">
      <c r="B2381" s="159"/>
      <c r="C2381" s="160"/>
      <c r="D2381" s="159"/>
      <c r="E2381" s="159"/>
    </row>
    <row r="2382" spans="2:5" x14ac:dyDescent="0.2">
      <c r="B2382" s="159"/>
      <c r="C2382" s="160"/>
      <c r="D2382" s="159"/>
      <c r="E2382" s="159"/>
    </row>
    <row r="2383" spans="2:5" x14ac:dyDescent="0.2">
      <c r="B2383" s="159"/>
      <c r="C2383" s="160"/>
      <c r="D2383" s="159"/>
      <c r="E2383" s="159"/>
    </row>
    <row r="2384" spans="2:5" x14ac:dyDescent="0.2">
      <c r="B2384" s="159"/>
      <c r="C2384" s="160"/>
      <c r="D2384" s="159"/>
      <c r="E2384" s="159"/>
    </row>
    <row r="2385" spans="2:5" x14ac:dyDescent="0.2">
      <c r="B2385" s="159"/>
      <c r="C2385" s="160"/>
      <c r="D2385" s="159"/>
      <c r="E2385" s="159"/>
    </row>
    <row r="2386" spans="2:5" x14ac:dyDescent="0.2">
      <c r="B2386" s="159"/>
      <c r="C2386" s="160"/>
      <c r="D2386" s="159"/>
      <c r="E2386" s="159"/>
    </row>
    <row r="2387" spans="2:5" x14ac:dyDescent="0.2">
      <c r="B2387" s="159"/>
      <c r="C2387" s="160"/>
      <c r="D2387" s="159"/>
      <c r="E2387" s="159"/>
    </row>
    <row r="2388" spans="2:5" x14ac:dyDescent="0.2">
      <c r="B2388" s="159"/>
      <c r="C2388" s="160"/>
      <c r="D2388" s="159"/>
      <c r="E2388" s="159"/>
    </row>
    <row r="2389" spans="2:5" x14ac:dyDescent="0.2">
      <c r="B2389" s="159"/>
      <c r="C2389" s="160"/>
      <c r="D2389" s="159"/>
      <c r="E2389" s="159"/>
    </row>
    <row r="2390" spans="2:5" x14ac:dyDescent="0.2">
      <c r="B2390" s="159"/>
      <c r="C2390" s="160"/>
      <c r="D2390" s="159"/>
      <c r="E2390" s="159"/>
    </row>
    <row r="2391" spans="2:5" x14ac:dyDescent="0.2">
      <c r="B2391" s="159"/>
      <c r="C2391" s="160"/>
      <c r="D2391" s="159"/>
      <c r="E2391" s="159"/>
    </row>
    <row r="2392" spans="2:5" x14ac:dyDescent="0.2">
      <c r="B2392" s="159"/>
      <c r="C2392" s="160"/>
      <c r="D2392" s="159"/>
      <c r="E2392" s="159"/>
    </row>
    <row r="2393" spans="2:5" x14ac:dyDescent="0.2">
      <c r="B2393" s="159"/>
      <c r="C2393" s="160"/>
      <c r="D2393" s="159"/>
      <c r="E2393" s="159"/>
    </row>
    <row r="2394" spans="2:5" x14ac:dyDescent="0.2">
      <c r="B2394" s="159"/>
      <c r="C2394" s="160"/>
      <c r="D2394" s="159"/>
      <c r="E2394" s="159"/>
    </row>
    <row r="2395" spans="2:5" x14ac:dyDescent="0.2">
      <c r="B2395" s="159"/>
      <c r="C2395" s="160"/>
      <c r="D2395" s="159"/>
      <c r="E2395" s="159"/>
    </row>
    <row r="2396" spans="2:5" x14ac:dyDescent="0.2">
      <c r="B2396" s="159"/>
      <c r="C2396" s="160"/>
      <c r="D2396" s="159"/>
      <c r="E2396" s="159"/>
    </row>
    <row r="2397" spans="2:5" x14ac:dyDescent="0.2">
      <c r="B2397" s="159"/>
      <c r="C2397" s="160"/>
      <c r="D2397" s="159"/>
      <c r="E2397" s="159"/>
    </row>
    <row r="2398" spans="2:5" x14ac:dyDescent="0.2">
      <c r="B2398" s="159"/>
      <c r="C2398" s="160"/>
      <c r="D2398" s="159"/>
      <c r="E2398" s="159"/>
    </row>
    <row r="2399" spans="2:5" x14ac:dyDescent="0.2">
      <c r="B2399" s="159"/>
      <c r="C2399" s="160"/>
      <c r="D2399" s="159"/>
      <c r="E2399" s="159"/>
    </row>
    <row r="2400" spans="2:5" x14ac:dyDescent="0.2">
      <c r="B2400" s="159"/>
      <c r="C2400" s="160"/>
      <c r="D2400" s="159"/>
      <c r="E2400" s="159"/>
    </row>
    <row r="2401" spans="2:5" x14ac:dyDescent="0.2">
      <c r="B2401" s="159"/>
      <c r="C2401" s="160"/>
      <c r="D2401" s="159"/>
      <c r="E2401" s="159"/>
    </row>
    <row r="2402" spans="2:5" x14ac:dyDescent="0.2">
      <c r="B2402" s="159"/>
      <c r="C2402" s="160"/>
      <c r="D2402" s="159"/>
      <c r="E2402" s="159"/>
    </row>
    <row r="2403" spans="2:5" x14ac:dyDescent="0.2">
      <c r="B2403" s="159"/>
      <c r="C2403" s="160"/>
      <c r="D2403" s="159"/>
      <c r="E2403" s="159"/>
    </row>
    <row r="2404" spans="2:5" x14ac:dyDescent="0.2">
      <c r="B2404" s="159"/>
      <c r="C2404" s="160"/>
      <c r="D2404" s="159"/>
      <c r="E2404" s="159"/>
    </row>
    <row r="2405" spans="2:5" x14ac:dyDescent="0.2">
      <c r="B2405" s="159"/>
      <c r="C2405" s="160"/>
      <c r="D2405" s="159"/>
      <c r="E2405" s="159"/>
    </row>
    <row r="2406" spans="2:5" x14ac:dyDescent="0.2">
      <c r="B2406" s="159"/>
      <c r="C2406" s="160"/>
      <c r="D2406" s="159"/>
      <c r="E2406" s="159"/>
    </row>
    <row r="2407" spans="2:5" x14ac:dyDescent="0.2">
      <c r="B2407" s="159"/>
      <c r="C2407" s="160"/>
      <c r="D2407" s="159"/>
      <c r="E2407" s="159"/>
    </row>
    <row r="2408" spans="2:5" x14ac:dyDescent="0.2">
      <c r="B2408" s="159"/>
      <c r="C2408" s="160"/>
      <c r="D2408" s="159"/>
      <c r="E2408" s="159"/>
    </row>
    <row r="2409" spans="2:5" x14ac:dyDescent="0.2">
      <c r="B2409" s="159"/>
      <c r="C2409" s="160"/>
      <c r="D2409" s="159"/>
      <c r="E2409" s="159"/>
    </row>
    <row r="2410" spans="2:5" x14ac:dyDescent="0.2">
      <c r="B2410" s="159"/>
      <c r="C2410" s="160"/>
      <c r="D2410" s="159"/>
      <c r="E2410" s="159"/>
    </row>
    <row r="2411" spans="2:5" x14ac:dyDescent="0.2">
      <c r="B2411" s="159"/>
      <c r="C2411" s="160"/>
      <c r="D2411" s="159"/>
      <c r="E2411" s="159"/>
    </row>
    <row r="2412" spans="2:5" x14ac:dyDescent="0.2">
      <c r="B2412" s="159"/>
      <c r="C2412" s="160"/>
      <c r="D2412" s="159"/>
      <c r="E2412" s="159"/>
    </row>
    <row r="2413" spans="2:5" x14ac:dyDescent="0.2">
      <c r="B2413" s="159"/>
      <c r="C2413" s="160"/>
      <c r="D2413" s="159"/>
      <c r="E2413" s="159"/>
    </row>
    <row r="2414" spans="2:5" x14ac:dyDescent="0.2">
      <c r="B2414" s="159"/>
      <c r="C2414" s="160"/>
      <c r="D2414" s="159"/>
      <c r="E2414" s="159"/>
    </row>
    <row r="2415" spans="2:5" x14ac:dyDescent="0.2">
      <c r="B2415" s="159"/>
      <c r="C2415" s="160"/>
      <c r="D2415" s="159"/>
      <c r="E2415" s="159"/>
    </row>
    <row r="2416" spans="2:5" x14ac:dyDescent="0.2">
      <c r="B2416" s="159"/>
      <c r="C2416" s="160"/>
      <c r="D2416" s="159"/>
      <c r="E2416" s="159"/>
    </row>
    <row r="2417" spans="2:5" x14ac:dyDescent="0.2">
      <c r="B2417" s="159"/>
      <c r="C2417" s="160"/>
      <c r="D2417" s="159"/>
      <c r="E2417" s="159"/>
    </row>
    <row r="2418" spans="2:5" x14ac:dyDescent="0.2">
      <c r="B2418" s="159"/>
      <c r="C2418" s="160"/>
      <c r="D2418" s="159"/>
      <c r="E2418" s="159"/>
    </row>
    <row r="2419" spans="2:5" x14ac:dyDescent="0.2">
      <c r="B2419" s="159"/>
      <c r="C2419" s="160"/>
      <c r="D2419" s="159"/>
      <c r="E2419" s="159"/>
    </row>
    <row r="2420" spans="2:5" x14ac:dyDescent="0.2">
      <c r="B2420" s="159"/>
      <c r="C2420" s="160"/>
      <c r="D2420" s="159"/>
      <c r="E2420" s="159"/>
    </row>
    <row r="2421" spans="2:5" x14ac:dyDescent="0.2">
      <c r="B2421" s="159"/>
      <c r="C2421" s="160"/>
      <c r="D2421" s="159"/>
      <c r="E2421" s="159"/>
    </row>
    <row r="2422" spans="2:5" x14ac:dyDescent="0.2">
      <c r="B2422" s="159"/>
      <c r="C2422" s="160"/>
      <c r="D2422" s="159"/>
      <c r="E2422" s="159"/>
    </row>
    <row r="2423" spans="2:5" x14ac:dyDescent="0.2">
      <c r="B2423" s="159"/>
      <c r="C2423" s="160"/>
      <c r="D2423" s="159"/>
      <c r="E2423" s="159"/>
    </row>
    <row r="2424" spans="2:5" x14ac:dyDescent="0.2">
      <c r="B2424" s="159"/>
      <c r="C2424" s="160"/>
      <c r="D2424" s="159"/>
      <c r="E2424" s="159"/>
    </row>
    <row r="2425" spans="2:5" x14ac:dyDescent="0.2">
      <c r="B2425" s="159"/>
      <c r="C2425" s="160"/>
      <c r="D2425" s="159"/>
      <c r="E2425" s="159"/>
    </row>
    <row r="2426" spans="2:5" x14ac:dyDescent="0.2">
      <c r="B2426" s="159"/>
      <c r="C2426" s="160"/>
      <c r="D2426" s="159"/>
      <c r="E2426" s="159"/>
    </row>
    <row r="2427" spans="2:5" x14ac:dyDescent="0.2">
      <c r="B2427" s="159"/>
      <c r="C2427" s="160"/>
      <c r="D2427" s="159"/>
      <c r="E2427" s="159"/>
    </row>
    <row r="2428" spans="2:5" x14ac:dyDescent="0.2">
      <c r="B2428" s="159"/>
      <c r="C2428" s="160"/>
      <c r="D2428" s="159"/>
      <c r="E2428" s="159"/>
    </row>
    <row r="2429" spans="2:5" x14ac:dyDescent="0.2">
      <c r="B2429" s="159"/>
      <c r="C2429" s="160"/>
      <c r="D2429" s="159"/>
      <c r="E2429" s="159"/>
    </row>
    <row r="2430" spans="2:5" x14ac:dyDescent="0.2">
      <c r="B2430" s="159"/>
      <c r="C2430" s="160"/>
      <c r="D2430" s="159"/>
      <c r="E2430" s="159"/>
    </row>
    <row r="2431" spans="2:5" x14ac:dyDescent="0.2">
      <c r="B2431" s="159"/>
      <c r="C2431" s="160"/>
      <c r="D2431" s="159"/>
      <c r="E2431" s="159"/>
    </row>
    <row r="2432" spans="2:5" x14ac:dyDescent="0.2">
      <c r="B2432" s="159"/>
      <c r="C2432" s="160"/>
      <c r="D2432" s="159"/>
      <c r="E2432" s="159"/>
    </row>
    <row r="2433" spans="2:5" x14ac:dyDescent="0.2">
      <c r="B2433" s="159"/>
      <c r="C2433" s="160"/>
      <c r="D2433" s="159"/>
      <c r="E2433" s="159"/>
    </row>
    <row r="2434" spans="2:5" x14ac:dyDescent="0.2">
      <c r="B2434" s="159"/>
      <c r="C2434" s="160"/>
      <c r="D2434" s="159"/>
      <c r="E2434" s="159"/>
    </row>
    <row r="2435" spans="2:5" x14ac:dyDescent="0.2">
      <c r="B2435" s="159"/>
      <c r="C2435" s="160"/>
      <c r="D2435" s="159"/>
      <c r="E2435" s="159"/>
    </row>
    <row r="2436" spans="2:5" x14ac:dyDescent="0.2">
      <c r="B2436" s="159"/>
      <c r="C2436" s="160"/>
      <c r="D2436" s="159"/>
      <c r="E2436" s="159"/>
    </row>
    <row r="2437" spans="2:5" x14ac:dyDescent="0.2">
      <c r="B2437" s="159"/>
      <c r="C2437" s="160"/>
      <c r="D2437" s="159"/>
      <c r="E2437" s="159"/>
    </row>
    <row r="2438" spans="2:5" x14ac:dyDescent="0.2">
      <c r="B2438" s="159"/>
      <c r="C2438" s="160"/>
      <c r="D2438" s="159"/>
      <c r="E2438" s="159"/>
    </row>
    <row r="2439" spans="2:5" x14ac:dyDescent="0.2">
      <c r="B2439" s="159"/>
      <c r="C2439" s="160"/>
      <c r="D2439" s="159"/>
      <c r="E2439" s="159"/>
    </row>
    <row r="2440" spans="2:5" x14ac:dyDescent="0.2">
      <c r="B2440" s="159"/>
      <c r="C2440" s="160"/>
      <c r="D2440" s="159"/>
      <c r="E2440" s="159"/>
    </row>
    <row r="2441" spans="2:5" x14ac:dyDescent="0.2">
      <c r="B2441" s="159"/>
      <c r="C2441" s="160"/>
      <c r="D2441" s="159"/>
      <c r="E2441" s="159"/>
    </row>
    <row r="2442" spans="2:5" x14ac:dyDescent="0.2">
      <c r="B2442" s="159"/>
      <c r="C2442" s="160"/>
      <c r="D2442" s="159"/>
      <c r="E2442" s="159"/>
    </row>
    <row r="2443" spans="2:5" x14ac:dyDescent="0.2">
      <c r="B2443" s="159"/>
      <c r="C2443" s="160"/>
      <c r="D2443" s="159"/>
      <c r="E2443" s="159"/>
    </row>
    <row r="2444" spans="2:5" x14ac:dyDescent="0.2">
      <c r="B2444" s="159"/>
      <c r="C2444" s="160"/>
      <c r="D2444" s="159"/>
      <c r="E2444" s="159"/>
    </row>
    <row r="2445" spans="2:5" x14ac:dyDescent="0.2">
      <c r="B2445" s="159"/>
      <c r="C2445" s="160"/>
      <c r="D2445" s="159"/>
      <c r="E2445" s="159"/>
    </row>
    <row r="2446" spans="2:5" x14ac:dyDescent="0.2">
      <c r="B2446" s="159"/>
      <c r="C2446" s="160"/>
      <c r="D2446" s="159"/>
      <c r="E2446" s="159"/>
    </row>
    <row r="2447" spans="2:5" x14ac:dyDescent="0.2">
      <c r="B2447" s="159"/>
      <c r="C2447" s="160"/>
      <c r="D2447" s="159"/>
      <c r="E2447" s="159"/>
    </row>
    <row r="2448" spans="2:5" x14ac:dyDescent="0.2">
      <c r="B2448" s="159"/>
      <c r="C2448" s="160"/>
      <c r="D2448" s="159"/>
      <c r="E2448" s="159"/>
    </row>
    <row r="2449" spans="2:5" x14ac:dyDescent="0.2">
      <c r="B2449" s="159"/>
      <c r="C2449" s="160"/>
      <c r="D2449" s="159"/>
      <c r="E2449" s="159"/>
    </row>
    <row r="2450" spans="2:5" x14ac:dyDescent="0.2">
      <c r="B2450" s="159"/>
      <c r="C2450" s="160"/>
      <c r="D2450" s="159"/>
      <c r="E2450" s="159"/>
    </row>
    <row r="2451" spans="2:5" x14ac:dyDescent="0.2">
      <c r="B2451" s="159"/>
      <c r="C2451" s="160"/>
      <c r="D2451" s="159"/>
      <c r="E2451" s="159"/>
    </row>
    <row r="2452" spans="2:5" x14ac:dyDescent="0.2">
      <c r="B2452" s="159"/>
      <c r="C2452" s="160"/>
      <c r="D2452" s="159"/>
      <c r="E2452" s="159"/>
    </row>
    <row r="2453" spans="2:5" x14ac:dyDescent="0.2">
      <c r="B2453" s="159"/>
      <c r="C2453" s="160"/>
      <c r="D2453" s="159"/>
      <c r="E2453" s="159"/>
    </row>
    <row r="2454" spans="2:5" x14ac:dyDescent="0.2">
      <c r="B2454" s="159"/>
      <c r="C2454" s="160"/>
      <c r="D2454" s="159"/>
      <c r="E2454" s="159"/>
    </row>
    <row r="2455" spans="2:5" x14ac:dyDescent="0.2">
      <c r="B2455" s="159"/>
      <c r="C2455" s="160"/>
      <c r="D2455" s="159"/>
      <c r="E2455" s="159"/>
    </row>
    <row r="2456" spans="2:5" x14ac:dyDescent="0.2">
      <c r="B2456" s="159"/>
      <c r="C2456" s="160"/>
      <c r="D2456" s="159"/>
      <c r="E2456" s="159"/>
    </row>
    <row r="2457" spans="2:5" x14ac:dyDescent="0.2">
      <c r="B2457" s="159"/>
      <c r="C2457" s="160"/>
      <c r="D2457" s="159"/>
      <c r="E2457" s="159"/>
    </row>
    <row r="2458" spans="2:5" x14ac:dyDescent="0.2">
      <c r="B2458" s="159"/>
      <c r="C2458" s="160"/>
      <c r="D2458" s="159"/>
      <c r="E2458" s="159"/>
    </row>
    <row r="2459" spans="2:5" x14ac:dyDescent="0.2">
      <c r="B2459" s="159"/>
      <c r="C2459" s="160"/>
      <c r="D2459" s="159"/>
      <c r="E2459" s="159"/>
    </row>
    <row r="2460" spans="2:5" x14ac:dyDescent="0.2">
      <c r="B2460" s="159"/>
      <c r="C2460" s="160"/>
      <c r="D2460" s="159"/>
      <c r="E2460" s="159"/>
    </row>
    <row r="2461" spans="2:5" x14ac:dyDescent="0.2">
      <c r="B2461" s="159"/>
      <c r="C2461" s="160"/>
      <c r="D2461" s="159"/>
      <c r="E2461" s="159"/>
    </row>
    <row r="2462" spans="2:5" x14ac:dyDescent="0.2">
      <c r="B2462" s="159"/>
      <c r="C2462" s="160"/>
      <c r="D2462" s="159"/>
      <c r="E2462" s="159"/>
    </row>
    <row r="2463" spans="2:5" x14ac:dyDescent="0.2">
      <c r="B2463" s="159"/>
      <c r="C2463" s="160"/>
      <c r="D2463" s="159"/>
      <c r="E2463" s="159"/>
    </row>
    <row r="2464" spans="2:5" x14ac:dyDescent="0.2">
      <c r="B2464" s="159"/>
      <c r="C2464" s="160"/>
      <c r="D2464" s="159"/>
      <c r="E2464" s="159"/>
    </row>
    <row r="2465" spans="2:5" x14ac:dyDescent="0.2">
      <c r="B2465" s="159"/>
      <c r="C2465" s="160"/>
      <c r="D2465" s="159"/>
      <c r="E2465" s="159"/>
    </row>
    <row r="2466" spans="2:5" x14ac:dyDescent="0.2">
      <c r="B2466" s="159"/>
      <c r="C2466" s="160"/>
      <c r="D2466" s="159"/>
      <c r="E2466" s="159"/>
    </row>
    <row r="2467" spans="2:5" x14ac:dyDescent="0.2">
      <c r="B2467" s="159"/>
      <c r="C2467" s="160"/>
      <c r="D2467" s="159"/>
      <c r="E2467" s="159"/>
    </row>
    <row r="2468" spans="2:5" x14ac:dyDescent="0.2">
      <c r="B2468" s="159"/>
      <c r="C2468" s="160"/>
      <c r="D2468" s="159"/>
      <c r="E2468" s="159"/>
    </row>
    <row r="2469" spans="2:5" x14ac:dyDescent="0.2">
      <c r="B2469" s="159"/>
      <c r="C2469" s="160"/>
      <c r="D2469" s="159"/>
      <c r="E2469" s="159"/>
    </row>
    <row r="2470" spans="2:5" x14ac:dyDescent="0.2">
      <c r="B2470" s="159"/>
      <c r="C2470" s="160"/>
      <c r="D2470" s="159"/>
      <c r="E2470" s="159"/>
    </row>
    <row r="2471" spans="2:5" x14ac:dyDescent="0.2">
      <c r="B2471" s="159"/>
      <c r="C2471" s="160"/>
      <c r="D2471" s="159"/>
      <c r="E2471" s="159"/>
    </row>
    <row r="2472" spans="2:5" x14ac:dyDescent="0.2">
      <c r="B2472" s="159"/>
      <c r="C2472" s="160"/>
      <c r="D2472" s="159"/>
      <c r="E2472" s="159"/>
    </row>
    <row r="2473" spans="2:5" x14ac:dyDescent="0.2">
      <c r="B2473" s="159"/>
      <c r="C2473" s="160"/>
      <c r="D2473" s="159"/>
      <c r="E2473" s="159"/>
    </row>
    <row r="2474" spans="2:5" x14ac:dyDescent="0.2">
      <c r="B2474" s="159"/>
      <c r="C2474" s="160"/>
      <c r="D2474" s="159"/>
      <c r="E2474" s="159"/>
    </row>
    <row r="2475" spans="2:5" x14ac:dyDescent="0.2">
      <c r="B2475" s="159"/>
      <c r="C2475" s="160"/>
      <c r="D2475" s="159"/>
      <c r="E2475" s="159"/>
    </row>
    <row r="2476" spans="2:5" x14ac:dyDescent="0.2">
      <c r="B2476" s="159"/>
      <c r="C2476" s="160"/>
      <c r="D2476" s="159"/>
      <c r="E2476" s="159"/>
    </row>
    <row r="2477" spans="2:5" x14ac:dyDescent="0.2">
      <c r="B2477" s="159"/>
      <c r="C2477" s="160"/>
      <c r="D2477" s="159"/>
      <c r="E2477" s="159"/>
    </row>
    <row r="2478" spans="2:5" x14ac:dyDescent="0.2">
      <c r="B2478" s="159"/>
      <c r="C2478" s="160"/>
      <c r="D2478" s="159"/>
      <c r="E2478" s="159"/>
    </row>
    <row r="2479" spans="2:5" x14ac:dyDescent="0.2">
      <c r="B2479" s="159"/>
      <c r="C2479" s="160"/>
      <c r="D2479" s="159"/>
      <c r="E2479" s="159"/>
    </row>
    <row r="2480" spans="2:5" x14ac:dyDescent="0.2">
      <c r="B2480" s="159"/>
      <c r="C2480" s="160"/>
      <c r="D2480" s="159"/>
      <c r="E2480" s="159"/>
    </row>
    <row r="2481" spans="2:5" x14ac:dyDescent="0.2">
      <c r="B2481" s="159"/>
      <c r="C2481" s="160"/>
      <c r="D2481" s="159"/>
      <c r="E2481" s="159"/>
    </row>
    <row r="2482" spans="2:5" x14ac:dyDescent="0.2">
      <c r="B2482" s="159"/>
      <c r="C2482" s="160"/>
      <c r="D2482" s="159"/>
      <c r="E2482" s="159"/>
    </row>
    <row r="2483" spans="2:5" x14ac:dyDescent="0.2">
      <c r="B2483" s="159"/>
      <c r="C2483" s="160"/>
      <c r="D2483" s="159"/>
      <c r="E2483" s="159"/>
    </row>
    <row r="2484" spans="2:5" x14ac:dyDescent="0.2">
      <c r="B2484" s="159"/>
      <c r="C2484" s="160"/>
      <c r="D2484" s="159"/>
      <c r="E2484" s="159"/>
    </row>
    <row r="2485" spans="2:5" x14ac:dyDescent="0.2">
      <c r="B2485" s="159"/>
      <c r="C2485" s="160"/>
      <c r="D2485" s="159"/>
      <c r="E2485" s="159"/>
    </row>
    <row r="2486" spans="2:5" x14ac:dyDescent="0.2">
      <c r="B2486" s="159"/>
      <c r="C2486" s="160"/>
      <c r="D2486" s="159"/>
      <c r="E2486" s="159"/>
    </row>
    <row r="2487" spans="2:5" x14ac:dyDescent="0.2">
      <c r="B2487" s="159"/>
      <c r="C2487" s="160"/>
      <c r="D2487" s="159"/>
      <c r="E2487" s="159"/>
    </row>
    <row r="2488" spans="2:5" x14ac:dyDescent="0.2">
      <c r="B2488" s="159"/>
      <c r="C2488" s="160"/>
      <c r="D2488" s="159"/>
      <c r="E2488" s="159"/>
    </row>
    <row r="2489" spans="2:5" x14ac:dyDescent="0.2">
      <c r="B2489" s="159"/>
      <c r="C2489" s="160"/>
      <c r="D2489" s="159"/>
      <c r="E2489" s="159"/>
    </row>
    <row r="2490" spans="2:5" x14ac:dyDescent="0.2">
      <c r="B2490" s="159"/>
      <c r="C2490" s="160"/>
      <c r="D2490" s="159"/>
      <c r="E2490" s="159"/>
    </row>
    <row r="2491" spans="2:5" x14ac:dyDescent="0.2">
      <c r="B2491" s="159"/>
      <c r="C2491" s="160"/>
      <c r="D2491" s="159"/>
      <c r="E2491" s="159"/>
    </row>
    <row r="2492" spans="2:5" x14ac:dyDescent="0.2">
      <c r="B2492" s="159"/>
      <c r="C2492" s="160"/>
      <c r="D2492" s="159"/>
      <c r="E2492" s="159"/>
    </row>
    <row r="2493" spans="2:5" x14ac:dyDescent="0.2">
      <c r="B2493" s="159"/>
      <c r="C2493" s="160"/>
      <c r="D2493" s="159"/>
      <c r="E2493" s="159"/>
    </row>
    <row r="2494" spans="2:5" x14ac:dyDescent="0.2">
      <c r="B2494" s="159"/>
      <c r="C2494" s="160"/>
      <c r="D2494" s="159"/>
      <c r="E2494" s="159"/>
    </row>
    <row r="2495" spans="2:5" x14ac:dyDescent="0.2">
      <c r="B2495" s="159"/>
      <c r="C2495" s="160"/>
      <c r="D2495" s="159"/>
      <c r="E2495" s="159"/>
    </row>
    <row r="2496" spans="2:5" x14ac:dyDescent="0.2">
      <c r="B2496" s="159"/>
      <c r="C2496" s="160"/>
      <c r="D2496" s="159"/>
      <c r="E2496" s="159"/>
    </row>
    <row r="2497" spans="2:5" x14ac:dyDescent="0.2">
      <c r="B2497" s="159"/>
      <c r="C2497" s="160"/>
      <c r="D2497" s="159"/>
      <c r="E2497" s="159"/>
    </row>
    <row r="2498" spans="2:5" x14ac:dyDescent="0.2">
      <c r="B2498" s="159"/>
      <c r="C2498" s="160"/>
      <c r="D2498" s="159"/>
      <c r="E2498" s="159"/>
    </row>
    <row r="2499" spans="2:5" x14ac:dyDescent="0.2">
      <c r="B2499" s="159"/>
      <c r="C2499" s="160"/>
      <c r="D2499" s="159"/>
      <c r="E2499" s="159"/>
    </row>
    <row r="2500" spans="2:5" x14ac:dyDescent="0.2">
      <c r="B2500" s="159"/>
      <c r="C2500" s="160"/>
      <c r="D2500" s="159"/>
      <c r="E2500" s="159"/>
    </row>
    <row r="2501" spans="2:5" x14ac:dyDescent="0.2">
      <c r="B2501" s="159"/>
      <c r="C2501" s="160"/>
      <c r="D2501" s="159"/>
      <c r="E2501" s="159"/>
    </row>
    <row r="2502" spans="2:5" x14ac:dyDescent="0.2">
      <c r="B2502" s="159"/>
      <c r="C2502" s="160"/>
      <c r="D2502" s="159"/>
      <c r="E2502" s="159"/>
    </row>
    <row r="2503" spans="2:5" x14ac:dyDescent="0.2">
      <c r="B2503" s="159"/>
      <c r="C2503" s="160"/>
      <c r="D2503" s="159"/>
      <c r="E2503" s="159"/>
    </row>
    <row r="2504" spans="2:5" x14ac:dyDescent="0.2">
      <c r="B2504" s="159"/>
      <c r="C2504" s="160"/>
      <c r="D2504" s="159"/>
      <c r="E2504" s="159"/>
    </row>
    <row r="2505" spans="2:5" x14ac:dyDescent="0.2">
      <c r="B2505" s="159"/>
      <c r="C2505" s="160"/>
      <c r="D2505" s="159"/>
      <c r="E2505" s="159"/>
    </row>
    <row r="2506" spans="2:5" x14ac:dyDescent="0.2">
      <c r="B2506" s="159"/>
      <c r="C2506" s="160"/>
      <c r="D2506" s="159"/>
      <c r="E2506" s="159"/>
    </row>
    <row r="2507" spans="2:5" x14ac:dyDescent="0.2">
      <c r="B2507" s="159"/>
      <c r="C2507" s="160"/>
      <c r="D2507" s="159"/>
      <c r="E2507" s="159"/>
    </row>
    <row r="2508" spans="2:5" x14ac:dyDescent="0.2">
      <c r="B2508" s="159"/>
      <c r="C2508" s="160"/>
      <c r="D2508" s="159"/>
      <c r="E2508" s="159"/>
    </row>
    <row r="2509" spans="2:5" x14ac:dyDescent="0.2">
      <c r="B2509" s="159"/>
      <c r="C2509" s="160"/>
      <c r="D2509" s="159"/>
      <c r="E2509" s="159"/>
    </row>
    <row r="2510" spans="2:5" x14ac:dyDescent="0.2">
      <c r="B2510" s="159"/>
      <c r="C2510" s="160"/>
      <c r="D2510" s="159"/>
      <c r="E2510" s="159"/>
    </row>
    <row r="2511" spans="2:5" x14ac:dyDescent="0.2">
      <c r="B2511" s="159"/>
      <c r="C2511" s="160"/>
      <c r="D2511" s="159"/>
      <c r="E2511" s="159"/>
    </row>
    <row r="2512" spans="2:5" x14ac:dyDescent="0.2">
      <c r="B2512" s="159"/>
      <c r="C2512" s="160"/>
      <c r="D2512" s="159"/>
      <c r="E2512" s="159"/>
    </row>
    <row r="2513" spans="2:5" x14ac:dyDescent="0.2">
      <c r="B2513" s="159"/>
      <c r="C2513" s="160"/>
      <c r="D2513" s="159"/>
      <c r="E2513" s="159"/>
    </row>
    <row r="2514" spans="2:5" x14ac:dyDescent="0.2">
      <c r="B2514" s="159"/>
      <c r="C2514" s="160"/>
      <c r="D2514" s="159"/>
      <c r="E2514" s="159"/>
    </row>
    <row r="2515" spans="2:5" x14ac:dyDescent="0.2">
      <c r="B2515" s="159"/>
      <c r="C2515" s="160"/>
      <c r="D2515" s="159"/>
      <c r="E2515" s="159"/>
    </row>
    <row r="2516" spans="2:5" x14ac:dyDescent="0.2">
      <c r="B2516" s="159"/>
      <c r="C2516" s="160"/>
      <c r="D2516" s="159"/>
      <c r="E2516" s="159"/>
    </row>
    <row r="2517" spans="2:5" x14ac:dyDescent="0.2">
      <c r="B2517" s="159"/>
      <c r="C2517" s="160"/>
      <c r="D2517" s="159"/>
      <c r="E2517" s="159"/>
    </row>
    <row r="2518" spans="2:5" x14ac:dyDescent="0.2">
      <c r="B2518" s="159"/>
      <c r="C2518" s="160"/>
      <c r="D2518" s="159"/>
      <c r="E2518" s="159"/>
    </row>
    <row r="2519" spans="2:5" x14ac:dyDescent="0.2">
      <c r="B2519" s="159"/>
      <c r="C2519" s="160"/>
      <c r="D2519" s="159"/>
      <c r="E2519" s="159"/>
    </row>
    <row r="2520" spans="2:5" x14ac:dyDescent="0.2">
      <c r="B2520" s="159"/>
      <c r="C2520" s="160"/>
      <c r="D2520" s="159"/>
      <c r="E2520" s="159"/>
    </row>
    <row r="2521" spans="2:5" x14ac:dyDescent="0.2">
      <c r="B2521" s="159"/>
      <c r="C2521" s="160"/>
      <c r="D2521" s="159"/>
      <c r="E2521" s="159"/>
    </row>
    <row r="2522" spans="2:5" x14ac:dyDescent="0.2">
      <c r="B2522" s="159"/>
      <c r="C2522" s="160"/>
      <c r="D2522" s="159"/>
      <c r="E2522" s="159"/>
    </row>
    <row r="2523" spans="2:5" x14ac:dyDescent="0.2">
      <c r="B2523" s="159"/>
      <c r="C2523" s="160"/>
      <c r="D2523" s="159"/>
      <c r="E2523" s="159"/>
    </row>
    <row r="2524" spans="2:5" x14ac:dyDescent="0.2">
      <c r="B2524" s="159"/>
      <c r="C2524" s="160"/>
      <c r="D2524" s="159"/>
      <c r="E2524" s="159"/>
    </row>
    <row r="2525" spans="2:5" x14ac:dyDescent="0.2">
      <c r="B2525" s="159"/>
      <c r="C2525" s="160"/>
      <c r="D2525" s="159"/>
      <c r="E2525" s="159"/>
    </row>
    <row r="2526" spans="2:5" x14ac:dyDescent="0.2">
      <c r="B2526" s="159"/>
      <c r="C2526" s="160"/>
      <c r="D2526" s="159"/>
      <c r="E2526" s="159"/>
    </row>
    <row r="2527" spans="2:5" x14ac:dyDescent="0.2">
      <c r="B2527" s="159"/>
      <c r="C2527" s="160"/>
      <c r="D2527" s="159"/>
      <c r="E2527" s="159"/>
    </row>
    <row r="2528" spans="2:5" x14ac:dyDescent="0.2">
      <c r="B2528" s="159"/>
      <c r="C2528" s="160"/>
      <c r="D2528" s="159"/>
      <c r="E2528" s="159"/>
    </row>
    <row r="2529" spans="2:5" x14ac:dyDescent="0.2">
      <c r="B2529" s="159"/>
      <c r="C2529" s="160"/>
      <c r="D2529" s="159"/>
      <c r="E2529" s="159"/>
    </row>
    <row r="2530" spans="2:5" x14ac:dyDescent="0.2">
      <c r="B2530" s="159"/>
      <c r="C2530" s="160"/>
      <c r="D2530" s="159"/>
      <c r="E2530" s="159"/>
    </row>
    <row r="2531" spans="2:5" x14ac:dyDescent="0.2">
      <c r="B2531" s="159"/>
      <c r="C2531" s="160"/>
      <c r="D2531" s="159"/>
      <c r="E2531" s="159"/>
    </row>
    <row r="2532" spans="2:5" x14ac:dyDescent="0.2">
      <c r="B2532" s="159"/>
      <c r="C2532" s="160"/>
      <c r="D2532" s="159"/>
      <c r="E2532" s="159"/>
    </row>
    <row r="2533" spans="2:5" x14ac:dyDescent="0.2">
      <c r="B2533" s="159"/>
      <c r="C2533" s="160"/>
      <c r="D2533" s="159"/>
      <c r="E2533" s="159"/>
    </row>
    <row r="2534" spans="2:5" x14ac:dyDescent="0.2">
      <c r="B2534" s="159"/>
      <c r="C2534" s="160"/>
      <c r="D2534" s="159"/>
      <c r="E2534" s="159"/>
    </row>
    <row r="2535" spans="2:5" x14ac:dyDescent="0.2">
      <c r="B2535" s="159"/>
      <c r="C2535" s="160"/>
      <c r="D2535" s="159"/>
      <c r="E2535" s="159"/>
    </row>
    <row r="2536" spans="2:5" x14ac:dyDescent="0.2">
      <c r="B2536" s="159"/>
      <c r="C2536" s="160"/>
      <c r="D2536" s="159"/>
      <c r="E2536" s="159"/>
    </row>
    <row r="2537" spans="2:5" x14ac:dyDescent="0.2">
      <c r="B2537" s="159"/>
      <c r="C2537" s="160"/>
      <c r="D2537" s="159"/>
      <c r="E2537" s="159"/>
    </row>
    <row r="2538" spans="2:5" x14ac:dyDescent="0.2">
      <c r="B2538" s="159"/>
      <c r="C2538" s="160"/>
      <c r="D2538" s="159"/>
      <c r="E2538" s="159"/>
    </row>
    <row r="2539" spans="2:5" x14ac:dyDescent="0.2">
      <c r="B2539" s="159"/>
      <c r="C2539" s="160"/>
      <c r="D2539" s="159"/>
      <c r="E2539" s="159"/>
    </row>
    <row r="2540" spans="2:5" x14ac:dyDescent="0.2">
      <c r="B2540" s="159"/>
      <c r="C2540" s="160"/>
      <c r="D2540" s="159"/>
      <c r="E2540" s="159"/>
    </row>
    <row r="2541" spans="2:5" x14ac:dyDescent="0.2">
      <c r="B2541" s="159"/>
      <c r="C2541" s="160"/>
      <c r="D2541" s="159"/>
      <c r="E2541" s="159"/>
    </row>
    <row r="2542" spans="2:5" x14ac:dyDescent="0.2">
      <c r="B2542" s="159"/>
      <c r="C2542" s="160"/>
      <c r="D2542" s="159"/>
      <c r="E2542" s="159"/>
    </row>
    <row r="2543" spans="2:5" x14ac:dyDescent="0.2">
      <c r="B2543" s="159"/>
      <c r="C2543" s="160"/>
      <c r="D2543" s="159"/>
      <c r="E2543" s="159"/>
    </row>
    <row r="2544" spans="2:5" x14ac:dyDescent="0.2">
      <c r="B2544" s="159"/>
      <c r="C2544" s="160"/>
      <c r="D2544" s="159"/>
      <c r="E2544" s="159"/>
    </row>
    <row r="2545" spans="2:5" x14ac:dyDescent="0.2">
      <c r="B2545" s="159"/>
      <c r="C2545" s="160"/>
      <c r="D2545" s="159"/>
      <c r="E2545" s="159"/>
    </row>
    <row r="2546" spans="2:5" x14ac:dyDescent="0.2">
      <c r="B2546" s="159"/>
      <c r="C2546" s="160"/>
      <c r="D2546" s="159"/>
      <c r="E2546" s="159"/>
    </row>
    <row r="2547" spans="2:5" x14ac:dyDescent="0.2">
      <c r="B2547" s="159"/>
      <c r="C2547" s="160"/>
      <c r="D2547" s="159"/>
      <c r="E2547" s="159"/>
    </row>
    <row r="2548" spans="2:5" x14ac:dyDescent="0.2">
      <c r="B2548" s="159"/>
      <c r="C2548" s="160"/>
      <c r="D2548" s="159"/>
      <c r="E2548" s="159"/>
    </row>
    <row r="2549" spans="2:5" x14ac:dyDescent="0.2">
      <c r="B2549" s="159"/>
      <c r="C2549" s="160"/>
      <c r="D2549" s="159"/>
      <c r="E2549" s="159"/>
    </row>
    <row r="2550" spans="2:5" x14ac:dyDescent="0.2">
      <c r="B2550" s="159"/>
      <c r="C2550" s="160"/>
      <c r="D2550" s="159"/>
      <c r="E2550" s="159"/>
    </row>
    <row r="2551" spans="2:5" x14ac:dyDescent="0.2">
      <c r="B2551" s="159"/>
      <c r="C2551" s="160"/>
      <c r="D2551" s="159"/>
      <c r="E2551" s="159"/>
    </row>
    <row r="2552" spans="2:5" x14ac:dyDescent="0.2">
      <c r="B2552" s="159"/>
      <c r="C2552" s="160"/>
      <c r="D2552" s="159"/>
      <c r="E2552" s="159"/>
    </row>
    <row r="2553" spans="2:5" x14ac:dyDescent="0.2">
      <c r="B2553" s="159"/>
      <c r="C2553" s="160"/>
      <c r="D2553" s="159"/>
      <c r="E2553" s="159"/>
    </row>
    <row r="2554" spans="2:5" x14ac:dyDescent="0.2">
      <c r="B2554" s="159"/>
      <c r="C2554" s="160"/>
      <c r="D2554" s="159"/>
      <c r="E2554" s="159"/>
    </row>
    <row r="2555" spans="2:5" x14ac:dyDescent="0.2">
      <c r="B2555" s="159"/>
      <c r="C2555" s="160"/>
      <c r="D2555" s="159"/>
      <c r="E2555" s="159"/>
    </row>
    <row r="2556" spans="2:5" x14ac:dyDescent="0.2">
      <c r="B2556" s="159"/>
      <c r="C2556" s="160"/>
      <c r="D2556" s="159"/>
      <c r="E2556" s="159"/>
    </row>
    <row r="2557" spans="2:5" x14ac:dyDescent="0.2">
      <c r="B2557" s="159"/>
      <c r="C2557" s="160"/>
      <c r="D2557" s="159"/>
      <c r="E2557" s="159"/>
    </row>
    <row r="2558" spans="2:5" x14ac:dyDescent="0.2">
      <c r="B2558" s="159"/>
      <c r="C2558" s="160"/>
      <c r="D2558" s="159"/>
      <c r="E2558" s="159"/>
    </row>
    <row r="2559" spans="2:5" x14ac:dyDescent="0.2">
      <c r="B2559" s="159"/>
      <c r="C2559" s="160"/>
      <c r="D2559" s="159"/>
      <c r="E2559" s="159"/>
    </row>
    <row r="2560" spans="2:5" x14ac:dyDescent="0.2">
      <c r="B2560" s="159"/>
      <c r="C2560" s="160"/>
      <c r="D2560" s="159"/>
      <c r="E2560" s="159"/>
    </row>
    <row r="2561" spans="2:5" x14ac:dyDescent="0.2">
      <c r="B2561" s="159"/>
      <c r="C2561" s="160"/>
      <c r="D2561" s="159"/>
      <c r="E2561" s="159"/>
    </row>
    <row r="2562" spans="2:5" x14ac:dyDescent="0.2">
      <c r="B2562" s="159"/>
      <c r="C2562" s="160"/>
      <c r="D2562" s="159"/>
      <c r="E2562" s="159"/>
    </row>
    <row r="2563" spans="2:5" x14ac:dyDescent="0.2">
      <c r="B2563" s="159"/>
      <c r="C2563" s="160"/>
      <c r="D2563" s="159"/>
      <c r="E2563" s="159"/>
    </row>
    <row r="2564" spans="2:5" x14ac:dyDescent="0.2">
      <c r="B2564" s="159"/>
      <c r="C2564" s="160"/>
      <c r="D2564" s="159"/>
      <c r="E2564" s="159"/>
    </row>
    <row r="2565" spans="2:5" x14ac:dyDescent="0.2">
      <c r="B2565" s="159"/>
      <c r="C2565" s="160"/>
      <c r="D2565" s="159"/>
      <c r="E2565" s="159"/>
    </row>
    <row r="2566" spans="2:5" x14ac:dyDescent="0.2">
      <c r="B2566" s="159"/>
      <c r="C2566" s="160"/>
      <c r="D2566" s="159"/>
      <c r="E2566" s="159"/>
    </row>
    <row r="2567" spans="2:5" x14ac:dyDescent="0.2">
      <c r="B2567" s="159"/>
      <c r="C2567" s="160"/>
      <c r="D2567" s="159"/>
      <c r="E2567" s="159"/>
    </row>
    <row r="2568" spans="2:5" x14ac:dyDescent="0.2">
      <c r="B2568" s="159"/>
      <c r="C2568" s="160"/>
      <c r="D2568" s="159"/>
      <c r="E2568" s="159"/>
    </row>
    <row r="2569" spans="2:5" x14ac:dyDescent="0.2">
      <c r="B2569" s="159"/>
      <c r="C2569" s="160"/>
      <c r="D2569" s="159"/>
      <c r="E2569" s="159"/>
    </row>
    <row r="2570" spans="2:5" x14ac:dyDescent="0.2">
      <c r="B2570" s="159"/>
      <c r="C2570" s="160"/>
      <c r="D2570" s="159"/>
      <c r="E2570" s="159"/>
    </row>
    <row r="2571" spans="2:5" x14ac:dyDescent="0.2">
      <c r="B2571" s="159"/>
      <c r="C2571" s="160"/>
      <c r="D2571" s="159"/>
      <c r="E2571" s="159"/>
    </row>
    <row r="2572" spans="2:5" x14ac:dyDescent="0.2">
      <c r="B2572" s="159"/>
      <c r="C2572" s="160"/>
      <c r="D2572" s="159"/>
      <c r="E2572" s="159"/>
    </row>
    <row r="2573" spans="2:5" x14ac:dyDescent="0.2">
      <c r="B2573" s="159"/>
      <c r="C2573" s="160"/>
      <c r="D2573" s="159"/>
      <c r="E2573" s="159"/>
    </row>
    <row r="2574" spans="2:5" x14ac:dyDescent="0.2">
      <c r="B2574" s="159"/>
      <c r="C2574" s="160"/>
      <c r="D2574" s="159"/>
      <c r="E2574" s="159"/>
    </row>
    <row r="2575" spans="2:5" x14ac:dyDescent="0.2">
      <c r="B2575" s="159"/>
      <c r="C2575" s="160"/>
      <c r="D2575" s="159"/>
      <c r="E2575" s="159"/>
    </row>
    <row r="2576" spans="2:5" x14ac:dyDescent="0.2">
      <c r="B2576" s="159"/>
      <c r="C2576" s="160"/>
      <c r="D2576" s="159"/>
      <c r="E2576" s="159"/>
    </row>
    <row r="2577" spans="2:5" x14ac:dyDescent="0.2">
      <c r="B2577" s="159"/>
      <c r="C2577" s="160"/>
      <c r="D2577" s="159"/>
      <c r="E2577" s="159"/>
    </row>
    <row r="2578" spans="2:5" x14ac:dyDescent="0.2">
      <c r="B2578" s="159"/>
      <c r="C2578" s="160"/>
      <c r="D2578" s="159"/>
      <c r="E2578" s="159"/>
    </row>
    <row r="2579" spans="2:5" x14ac:dyDescent="0.2">
      <c r="B2579" s="159"/>
      <c r="C2579" s="160"/>
      <c r="D2579" s="159"/>
      <c r="E2579" s="159"/>
    </row>
    <row r="2580" spans="2:5" x14ac:dyDescent="0.2">
      <c r="B2580" s="159"/>
      <c r="C2580" s="160"/>
      <c r="D2580" s="159"/>
      <c r="E2580" s="159"/>
    </row>
    <row r="2581" spans="2:5" x14ac:dyDescent="0.2">
      <c r="B2581" s="159"/>
      <c r="C2581" s="160"/>
      <c r="D2581" s="159"/>
      <c r="E2581" s="159"/>
    </row>
    <row r="2582" spans="2:5" x14ac:dyDescent="0.2">
      <c r="B2582" s="159"/>
      <c r="C2582" s="160"/>
      <c r="D2582" s="159"/>
      <c r="E2582" s="159"/>
    </row>
    <row r="2583" spans="2:5" x14ac:dyDescent="0.2">
      <c r="B2583" s="159"/>
      <c r="C2583" s="160"/>
      <c r="D2583" s="159"/>
      <c r="E2583" s="159"/>
    </row>
    <row r="2584" spans="2:5" x14ac:dyDescent="0.2">
      <c r="B2584" s="159"/>
      <c r="C2584" s="160"/>
      <c r="D2584" s="159"/>
      <c r="E2584" s="159"/>
    </row>
    <row r="2585" spans="2:5" x14ac:dyDescent="0.2">
      <c r="B2585" s="159"/>
      <c r="C2585" s="160"/>
      <c r="D2585" s="159"/>
      <c r="E2585" s="159"/>
    </row>
    <row r="2586" spans="2:5" x14ac:dyDescent="0.2">
      <c r="B2586" s="159"/>
      <c r="C2586" s="160"/>
      <c r="D2586" s="159"/>
      <c r="E2586" s="159"/>
    </row>
    <row r="2587" spans="2:5" x14ac:dyDescent="0.2">
      <c r="B2587" s="159"/>
      <c r="C2587" s="160"/>
      <c r="D2587" s="159"/>
      <c r="E2587" s="159"/>
    </row>
    <row r="2588" spans="2:5" x14ac:dyDescent="0.2">
      <c r="B2588" s="159"/>
      <c r="C2588" s="160"/>
      <c r="D2588" s="159"/>
      <c r="E2588" s="159"/>
    </row>
    <row r="2589" spans="2:5" x14ac:dyDescent="0.2">
      <c r="B2589" s="159"/>
      <c r="C2589" s="160"/>
      <c r="D2589" s="159"/>
      <c r="E2589" s="159"/>
    </row>
    <row r="2590" spans="2:5" x14ac:dyDescent="0.2">
      <c r="B2590" s="159"/>
      <c r="C2590" s="160"/>
      <c r="D2590" s="159"/>
      <c r="E2590" s="159"/>
    </row>
    <row r="2591" spans="2:5" x14ac:dyDescent="0.2">
      <c r="B2591" s="159"/>
      <c r="C2591" s="160"/>
      <c r="D2591" s="159"/>
      <c r="E2591" s="159"/>
    </row>
    <row r="2592" spans="2:5" x14ac:dyDescent="0.2">
      <c r="B2592" s="159"/>
      <c r="C2592" s="160"/>
      <c r="D2592" s="159"/>
      <c r="E2592" s="159"/>
    </row>
    <row r="2593" spans="2:5" x14ac:dyDescent="0.2">
      <c r="B2593" s="159"/>
      <c r="C2593" s="160"/>
      <c r="D2593" s="159"/>
      <c r="E2593" s="159"/>
    </row>
    <row r="2594" spans="2:5" x14ac:dyDescent="0.2">
      <c r="B2594" s="159"/>
      <c r="C2594" s="160"/>
      <c r="D2594" s="159"/>
      <c r="E2594" s="159"/>
    </row>
    <row r="2595" spans="2:5" x14ac:dyDescent="0.2">
      <c r="B2595" s="159"/>
      <c r="C2595" s="160"/>
      <c r="D2595" s="159"/>
      <c r="E2595" s="159"/>
    </row>
    <row r="2596" spans="2:5" x14ac:dyDescent="0.2">
      <c r="B2596" s="159"/>
      <c r="C2596" s="160"/>
      <c r="D2596" s="159"/>
      <c r="E2596" s="159"/>
    </row>
    <row r="2597" spans="2:5" x14ac:dyDescent="0.2">
      <c r="B2597" s="159"/>
      <c r="C2597" s="160"/>
      <c r="D2597" s="159"/>
      <c r="E2597" s="159"/>
    </row>
    <row r="2598" spans="2:5" x14ac:dyDescent="0.2">
      <c r="B2598" s="159"/>
      <c r="C2598" s="160"/>
      <c r="D2598" s="159"/>
      <c r="E2598" s="159"/>
    </row>
    <row r="2599" spans="2:5" x14ac:dyDescent="0.2">
      <c r="B2599" s="159"/>
      <c r="C2599" s="160"/>
      <c r="D2599" s="159"/>
      <c r="E2599" s="159"/>
    </row>
    <row r="2600" spans="2:5" x14ac:dyDescent="0.2">
      <c r="B2600" s="159"/>
      <c r="C2600" s="160"/>
      <c r="D2600" s="159"/>
      <c r="E2600" s="159"/>
    </row>
    <row r="2601" spans="2:5" x14ac:dyDescent="0.2">
      <c r="B2601" s="159"/>
      <c r="C2601" s="160"/>
      <c r="D2601" s="159"/>
      <c r="E2601" s="159"/>
    </row>
    <row r="2602" spans="2:5" x14ac:dyDescent="0.2">
      <c r="B2602" s="159"/>
      <c r="C2602" s="160"/>
      <c r="D2602" s="159"/>
      <c r="E2602" s="159"/>
    </row>
    <row r="2603" spans="2:5" x14ac:dyDescent="0.2">
      <c r="B2603" s="159"/>
      <c r="C2603" s="160"/>
      <c r="D2603" s="159"/>
      <c r="E2603" s="159"/>
    </row>
    <row r="2604" spans="2:5" x14ac:dyDescent="0.2">
      <c r="B2604" s="159"/>
      <c r="C2604" s="160"/>
      <c r="D2604" s="159"/>
      <c r="E2604" s="159"/>
    </row>
    <row r="2605" spans="2:5" x14ac:dyDescent="0.2">
      <c r="B2605" s="159"/>
      <c r="C2605" s="160"/>
      <c r="D2605" s="159"/>
      <c r="E2605" s="159"/>
    </row>
    <row r="2606" spans="2:5" x14ac:dyDescent="0.2">
      <c r="B2606" s="159"/>
      <c r="C2606" s="160"/>
      <c r="D2606" s="159"/>
      <c r="E2606" s="159"/>
    </row>
    <row r="2607" spans="2:5" x14ac:dyDescent="0.2">
      <c r="B2607" s="159"/>
      <c r="C2607" s="160"/>
      <c r="D2607" s="159"/>
      <c r="E2607" s="159"/>
    </row>
    <row r="2608" spans="2:5" x14ac:dyDescent="0.2">
      <c r="B2608" s="159"/>
      <c r="C2608" s="160"/>
      <c r="D2608" s="159"/>
      <c r="E2608" s="159"/>
    </row>
    <row r="2609" spans="2:5" x14ac:dyDescent="0.2">
      <c r="B2609" s="159"/>
      <c r="C2609" s="160"/>
      <c r="D2609" s="159"/>
      <c r="E2609" s="159"/>
    </row>
    <row r="2610" spans="2:5" x14ac:dyDescent="0.2">
      <c r="B2610" s="159"/>
      <c r="C2610" s="160"/>
      <c r="D2610" s="159"/>
      <c r="E2610" s="159"/>
    </row>
    <row r="2611" spans="2:5" x14ac:dyDescent="0.2">
      <c r="B2611" s="159"/>
      <c r="C2611" s="160"/>
      <c r="D2611" s="159"/>
      <c r="E2611" s="159"/>
    </row>
    <row r="2612" spans="2:5" x14ac:dyDescent="0.2">
      <c r="B2612" s="159"/>
      <c r="C2612" s="160"/>
      <c r="D2612" s="159"/>
      <c r="E2612" s="159"/>
    </row>
    <row r="2613" spans="2:5" x14ac:dyDescent="0.2">
      <c r="B2613" s="159"/>
      <c r="C2613" s="160"/>
      <c r="D2613" s="159"/>
      <c r="E2613" s="159"/>
    </row>
    <row r="2614" spans="2:5" x14ac:dyDescent="0.2">
      <c r="B2614" s="159"/>
      <c r="C2614" s="160"/>
      <c r="D2614" s="159"/>
      <c r="E2614" s="159"/>
    </row>
    <row r="2615" spans="2:5" x14ac:dyDescent="0.2">
      <c r="B2615" s="159"/>
      <c r="C2615" s="160"/>
      <c r="D2615" s="159"/>
      <c r="E2615" s="159"/>
    </row>
    <row r="2616" spans="2:5" x14ac:dyDescent="0.2">
      <c r="B2616" s="159"/>
      <c r="C2616" s="160"/>
      <c r="D2616" s="159"/>
      <c r="E2616" s="159"/>
    </row>
    <row r="2617" spans="2:5" x14ac:dyDescent="0.2">
      <c r="B2617" s="159"/>
      <c r="C2617" s="160"/>
      <c r="D2617" s="159"/>
      <c r="E2617" s="159"/>
    </row>
    <row r="2618" spans="2:5" x14ac:dyDescent="0.2">
      <c r="B2618" s="159"/>
      <c r="C2618" s="160"/>
      <c r="D2618" s="159"/>
      <c r="E2618" s="159"/>
    </row>
    <row r="2619" spans="2:5" x14ac:dyDescent="0.2">
      <c r="B2619" s="159"/>
      <c r="C2619" s="160"/>
      <c r="D2619" s="159"/>
      <c r="E2619" s="159"/>
    </row>
    <row r="2620" spans="2:5" x14ac:dyDescent="0.2">
      <c r="B2620" s="159"/>
      <c r="C2620" s="160"/>
      <c r="D2620" s="159"/>
      <c r="E2620" s="159"/>
    </row>
    <row r="2621" spans="2:5" x14ac:dyDescent="0.2">
      <c r="B2621" s="159"/>
      <c r="C2621" s="160"/>
      <c r="D2621" s="159"/>
      <c r="E2621" s="159"/>
    </row>
    <row r="2622" spans="2:5" x14ac:dyDescent="0.2">
      <c r="B2622" s="159"/>
      <c r="C2622" s="160"/>
      <c r="D2622" s="159"/>
      <c r="E2622" s="159"/>
    </row>
    <row r="2623" spans="2:5" x14ac:dyDescent="0.2">
      <c r="B2623" s="159"/>
      <c r="C2623" s="160"/>
      <c r="D2623" s="159"/>
      <c r="E2623" s="159"/>
    </row>
    <row r="2624" spans="2:5" x14ac:dyDescent="0.2">
      <c r="B2624" s="159"/>
      <c r="C2624" s="160"/>
      <c r="D2624" s="159"/>
      <c r="E2624" s="159"/>
    </row>
    <row r="2625" spans="2:5" x14ac:dyDescent="0.2">
      <c r="B2625" s="159"/>
      <c r="C2625" s="160"/>
      <c r="D2625" s="159"/>
      <c r="E2625" s="159"/>
    </row>
    <row r="2626" spans="2:5" x14ac:dyDescent="0.2">
      <c r="B2626" s="159"/>
      <c r="C2626" s="160"/>
      <c r="D2626" s="159"/>
      <c r="E2626" s="159"/>
    </row>
    <row r="2627" spans="2:5" x14ac:dyDescent="0.2">
      <c r="B2627" s="159"/>
      <c r="C2627" s="160"/>
      <c r="D2627" s="159"/>
      <c r="E2627" s="159"/>
    </row>
    <row r="2628" spans="2:5" x14ac:dyDescent="0.2">
      <c r="B2628" s="159"/>
      <c r="C2628" s="160"/>
      <c r="D2628" s="159"/>
      <c r="E2628" s="159"/>
    </row>
    <row r="2629" spans="2:5" x14ac:dyDescent="0.2">
      <c r="B2629" s="159"/>
      <c r="C2629" s="160"/>
      <c r="D2629" s="159"/>
      <c r="E2629" s="159"/>
    </row>
    <row r="2630" spans="2:5" x14ac:dyDescent="0.2">
      <c r="B2630" s="159"/>
      <c r="C2630" s="160"/>
      <c r="D2630" s="159"/>
      <c r="E2630" s="159"/>
    </row>
    <row r="2631" spans="2:5" x14ac:dyDescent="0.2">
      <c r="B2631" s="159"/>
      <c r="C2631" s="160"/>
      <c r="D2631" s="159"/>
      <c r="E2631" s="159"/>
    </row>
    <row r="2632" spans="2:5" x14ac:dyDescent="0.2">
      <c r="B2632" s="159"/>
      <c r="C2632" s="160"/>
      <c r="D2632" s="159"/>
      <c r="E2632" s="159"/>
    </row>
    <row r="2633" spans="2:5" x14ac:dyDescent="0.2">
      <c r="B2633" s="159"/>
      <c r="C2633" s="160"/>
      <c r="D2633" s="159"/>
      <c r="E2633" s="159"/>
    </row>
    <row r="2634" spans="2:5" x14ac:dyDescent="0.2">
      <c r="B2634" s="159"/>
      <c r="C2634" s="160"/>
      <c r="D2634" s="159"/>
      <c r="E2634" s="159"/>
    </row>
    <row r="2635" spans="2:5" x14ac:dyDescent="0.2">
      <c r="B2635" s="159"/>
      <c r="C2635" s="160"/>
      <c r="D2635" s="159"/>
      <c r="E2635" s="159"/>
    </row>
    <row r="2636" spans="2:5" x14ac:dyDescent="0.2">
      <c r="B2636" s="159"/>
      <c r="C2636" s="160"/>
      <c r="D2636" s="159"/>
      <c r="E2636" s="159"/>
    </row>
    <row r="2637" spans="2:5" x14ac:dyDescent="0.2">
      <c r="B2637" s="159"/>
      <c r="C2637" s="160"/>
      <c r="D2637" s="159"/>
      <c r="E2637" s="159"/>
    </row>
    <row r="2638" spans="2:5" x14ac:dyDescent="0.2">
      <c r="B2638" s="159"/>
      <c r="C2638" s="160"/>
      <c r="D2638" s="159"/>
      <c r="E2638" s="159"/>
    </row>
    <row r="2639" spans="2:5" x14ac:dyDescent="0.2">
      <c r="B2639" s="159"/>
      <c r="C2639" s="160"/>
      <c r="D2639" s="159"/>
      <c r="E2639" s="159"/>
    </row>
    <row r="2640" spans="2:5" x14ac:dyDescent="0.2">
      <c r="B2640" s="159"/>
      <c r="C2640" s="160"/>
      <c r="D2640" s="159"/>
      <c r="E2640" s="159"/>
    </row>
    <row r="2641" spans="2:5" x14ac:dyDescent="0.2">
      <c r="B2641" s="159"/>
      <c r="C2641" s="160"/>
      <c r="D2641" s="159"/>
      <c r="E2641" s="159"/>
    </row>
    <row r="2642" spans="2:5" x14ac:dyDescent="0.2">
      <c r="B2642" s="159"/>
      <c r="C2642" s="160"/>
      <c r="D2642" s="159"/>
      <c r="E2642" s="159"/>
    </row>
    <row r="2643" spans="2:5" x14ac:dyDescent="0.2">
      <c r="B2643" s="159"/>
      <c r="C2643" s="160"/>
      <c r="D2643" s="159"/>
      <c r="E2643" s="159"/>
    </row>
    <row r="2644" spans="2:5" x14ac:dyDescent="0.2">
      <c r="B2644" s="159"/>
      <c r="C2644" s="160"/>
      <c r="D2644" s="159"/>
      <c r="E2644" s="159"/>
    </row>
    <row r="2645" spans="2:5" x14ac:dyDescent="0.2">
      <c r="B2645" s="159"/>
      <c r="C2645" s="160"/>
      <c r="D2645" s="159"/>
      <c r="E2645" s="159"/>
    </row>
    <row r="2646" spans="2:5" x14ac:dyDescent="0.2">
      <c r="B2646" s="159"/>
      <c r="C2646" s="160"/>
      <c r="D2646" s="159"/>
      <c r="E2646" s="159"/>
    </row>
    <row r="2647" spans="2:5" x14ac:dyDescent="0.2">
      <c r="B2647" s="159"/>
      <c r="C2647" s="160"/>
      <c r="D2647" s="159"/>
      <c r="E2647" s="159"/>
    </row>
    <row r="2648" spans="2:5" x14ac:dyDescent="0.2">
      <c r="B2648" s="159"/>
      <c r="C2648" s="160"/>
      <c r="D2648" s="159"/>
      <c r="E2648" s="159"/>
    </row>
    <row r="2649" spans="2:5" x14ac:dyDescent="0.2">
      <c r="B2649" s="159"/>
      <c r="C2649" s="160"/>
      <c r="D2649" s="159"/>
      <c r="E2649" s="159"/>
    </row>
    <row r="2650" spans="2:5" x14ac:dyDescent="0.2">
      <c r="B2650" s="159"/>
      <c r="C2650" s="160"/>
      <c r="D2650" s="159"/>
      <c r="E2650" s="159"/>
    </row>
    <row r="2651" spans="2:5" x14ac:dyDescent="0.2">
      <c r="B2651" s="159"/>
      <c r="C2651" s="160"/>
      <c r="D2651" s="159"/>
      <c r="E2651" s="159"/>
    </row>
    <row r="2652" spans="2:5" x14ac:dyDescent="0.2">
      <c r="B2652" s="159"/>
      <c r="C2652" s="160"/>
      <c r="D2652" s="159"/>
      <c r="E2652" s="159"/>
    </row>
    <row r="2653" spans="2:5" x14ac:dyDescent="0.2">
      <c r="B2653" s="159"/>
      <c r="C2653" s="160"/>
      <c r="D2653" s="159"/>
      <c r="E2653" s="159"/>
    </row>
    <row r="2654" spans="2:5" x14ac:dyDescent="0.2">
      <c r="B2654" s="159"/>
      <c r="C2654" s="160"/>
      <c r="D2654" s="159"/>
      <c r="E2654" s="159"/>
    </row>
    <row r="2655" spans="2:5" x14ac:dyDescent="0.2">
      <c r="B2655" s="159"/>
      <c r="C2655" s="160"/>
      <c r="D2655" s="159"/>
      <c r="E2655" s="159"/>
    </row>
    <row r="2656" spans="2:5" x14ac:dyDescent="0.2">
      <c r="B2656" s="159"/>
      <c r="C2656" s="160"/>
      <c r="D2656" s="159"/>
      <c r="E2656" s="159"/>
    </row>
    <row r="2657" spans="2:5" x14ac:dyDescent="0.2">
      <c r="B2657" s="159"/>
      <c r="C2657" s="160"/>
      <c r="D2657" s="159"/>
      <c r="E2657" s="159"/>
    </row>
    <row r="2658" spans="2:5" x14ac:dyDescent="0.2">
      <c r="B2658" s="159"/>
      <c r="C2658" s="160"/>
      <c r="D2658" s="159"/>
      <c r="E2658" s="159"/>
    </row>
    <row r="2659" spans="2:5" x14ac:dyDescent="0.2">
      <c r="B2659" s="159"/>
      <c r="C2659" s="160"/>
      <c r="D2659" s="159"/>
      <c r="E2659" s="159"/>
    </row>
    <row r="2660" spans="2:5" x14ac:dyDescent="0.2">
      <c r="B2660" s="159"/>
      <c r="C2660" s="160"/>
      <c r="D2660" s="159"/>
      <c r="E2660" s="159"/>
    </row>
    <row r="2661" spans="2:5" x14ac:dyDescent="0.2">
      <c r="B2661" s="159"/>
      <c r="C2661" s="160"/>
      <c r="D2661" s="159"/>
      <c r="E2661" s="159"/>
    </row>
    <row r="2662" spans="2:5" x14ac:dyDescent="0.2">
      <c r="B2662" s="159"/>
      <c r="C2662" s="160"/>
      <c r="D2662" s="159"/>
      <c r="E2662" s="159"/>
    </row>
    <row r="2663" spans="2:5" x14ac:dyDescent="0.2">
      <c r="B2663" s="159"/>
      <c r="C2663" s="160"/>
      <c r="D2663" s="159"/>
      <c r="E2663" s="159"/>
    </row>
    <row r="2664" spans="2:5" x14ac:dyDescent="0.2">
      <c r="B2664" s="159"/>
      <c r="C2664" s="160"/>
      <c r="D2664" s="159"/>
      <c r="E2664" s="159"/>
    </row>
    <row r="2665" spans="2:5" x14ac:dyDescent="0.2">
      <c r="B2665" s="159"/>
      <c r="C2665" s="160"/>
      <c r="D2665" s="159"/>
      <c r="E2665" s="159"/>
    </row>
    <row r="2666" spans="2:5" x14ac:dyDescent="0.2">
      <c r="B2666" s="159"/>
      <c r="C2666" s="160"/>
      <c r="D2666" s="159"/>
      <c r="E2666" s="159"/>
    </row>
    <row r="2667" spans="2:5" x14ac:dyDescent="0.2">
      <c r="B2667" s="159"/>
      <c r="C2667" s="160"/>
      <c r="D2667" s="159"/>
      <c r="E2667" s="159"/>
    </row>
    <row r="2668" spans="2:5" x14ac:dyDescent="0.2">
      <c r="B2668" s="159"/>
      <c r="C2668" s="160"/>
      <c r="D2668" s="159"/>
      <c r="E2668" s="159"/>
    </row>
    <row r="2669" spans="2:5" x14ac:dyDescent="0.2">
      <c r="B2669" s="159"/>
      <c r="C2669" s="160"/>
      <c r="D2669" s="159"/>
      <c r="E2669" s="159"/>
    </row>
    <row r="2670" spans="2:5" x14ac:dyDescent="0.2">
      <c r="B2670" s="159"/>
      <c r="C2670" s="160"/>
      <c r="D2670" s="159"/>
      <c r="E2670" s="159"/>
    </row>
    <row r="2671" spans="2:5" x14ac:dyDescent="0.2">
      <c r="B2671" s="159"/>
      <c r="C2671" s="160"/>
      <c r="D2671" s="159"/>
      <c r="E2671" s="159"/>
    </row>
    <row r="2672" spans="2:5" x14ac:dyDescent="0.2">
      <c r="B2672" s="159"/>
      <c r="C2672" s="160"/>
      <c r="D2672" s="159"/>
      <c r="E2672" s="159"/>
    </row>
    <row r="2673" spans="2:5" x14ac:dyDescent="0.2">
      <c r="B2673" s="159"/>
      <c r="C2673" s="160"/>
      <c r="D2673" s="159"/>
      <c r="E2673" s="159"/>
    </row>
    <row r="2674" spans="2:5" x14ac:dyDescent="0.2">
      <c r="B2674" s="159"/>
      <c r="C2674" s="160"/>
      <c r="D2674" s="159"/>
      <c r="E2674" s="159"/>
    </row>
    <row r="2675" spans="2:5" x14ac:dyDescent="0.2">
      <c r="B2675" s="159"/>
      <c r="C2675" s="160"/>
      <c r="D2675" s="159"/>
      <c r="E2675" s="159"/>
    </row>
    <row r="2676" spans="2:5" x14ac:dyDescent="0.2">
      <c r="B2676" s="159"/>
      <c r="C2676" s="160"/>
      <c r="D2676" s="159"/>
      <c r="E2676" s="159"/>
    </row>
    <row r="2677" spans="2:5" x14ac:dyDescent="0.2">
      <c r="B2677" s="159"/>
      <c r="C2677" s="160"/>
      <c r="D2677" s="159"/>
      <c r="E2677" s="159"/>
    </row>
    <row r="2678" spans="2:5" x14ac:dyDescent="0.2">
      <c r="B2678" s="159"/>
      <c r="C2678" s="160"/>
      <c r="D2678" s="159"/>
      <c r="E2678" s="159"/>
    </row>
    <row r="2679" spans="2:5" x14ac:dyDescent="0.2">
      <c r="B2679" s="159"/>
      <c r="C2679" s="160"/>
      <c r="D2679" s="159"/>
      <c r="E2679" s="159"/>
    </row>
    <row r="2680" spans="2:5" x14ac:dyDescent="0.2">
      <c r="B2680" s="159"/>
      <c r="C2680" s="160"/>
      <c r="D2680" s="159"/>
      <c r="E2680" s="159"/>
    </row>
    <row r="2681" spans="2:5" x14ac:dyDescent="0.2">
      <c r="B2681" s="159"/>
      <c r="C2681" s="160"/>
      <c r="D2681" s="159"/>
      <c r="E2681" s="159"/>
    </row>
    <row r="2682" spans="2:5" x14ac:dyDescent="0.2">
      <c r="B2682" s="159"/>
      <c r="C2682" s="160"/>
      <c r="D2682" s="159"/>
      <c r="E2682" s="159"/>
    </row>
    <row r="2683" spans="2:5" x14ac:dyDescent="0.2">
      <c r="B2683" s="159"/>
      <c r="C2683" s="160"/>
      <c r="D2683" s="159"/>
      <c r="E2683" s="159"/>
    </row>
    <row r="2684" spans="2:5" x14ac:dyDescent="0.2">
      <c r="B2684" s="159"/>
      <c r="C2684" s="160"/>
      <c r="D2684" s="159"/>
      <c r="E2684" s="159"/>
    </row>
    <row r="2685" spans="2:5" x14ac:dyDescent="0.2">
      <c r="B2685" s="159"/>
      <c r="C2685" s="160"/>
      <c r="D2685" s="159"/>
      <c r="E2685" s="159"/>
    </row>
    <row r="2686" spans="2:5" x14ac:dyDescent="0.2">
      <c r="B2686" s="159"/>
      <c r="C2686" s="160"/>
      <c r="D2686" s="159"/>
      <c r="E2686" s="159"/>
    </row>
    <row r="2687" spans="2:5" x14ac:dyDescent="0.2">
      <c r="B2687" s="159"/>
      <c r="C2687" s="160"/>
      <c r="D2687" s="159"/>
      <c r="E2687" s="159"/>
    </row>
    <row r="2688" spans="2:5" x14ac:dyDescent="0.2">
      <c r="B2688" s="159"/>
      <c r="C2688" s="160"/>
      <c r="D2688" s="159"/>
      <c r="E2688" s="159"/>
    </row>
    <row r="2689" spans="2:5" x14ac:dyDescent="0.2">
      <c r="B2689" s="159"/>
      <c r="C2689" s="160"/>
      <c r="D2689" s="159"/>
      <c r="E2689" s="159"/>
    </row>
    <row r="2690" spans="2:5" x14ac:dyDescent="0.2">
      <c r="B2690" s="159"/>
      <c r="C2690" s="160"/>
      <c r="D2690" s="159"/>
      <c r="E2690" s="159"/>
    </row>
    <row r="2691" spans="2:5" x14ac:dyDescent="0.2">
      <c r="B2691" s="159"/>
      <c r="C2691" s="160"/>
      <c r="D2691" s="159"/>
      <c r="E2691" s="159"/>
    </row>
    <row r="2692" spans="2:5" x14ac:dyDescent="0.2">
      <c r="B2692" s="159"/>
      <c r="C2692" s="160"/>
      <c r="D2692" s="159"/>
      <c r="E2692" s="159"/>
    </row>
    <row r="2693" spans="2:5" x14ac:dyDescent="0.2">
      <c r="B2693" s="159"/>
      <c r="C2693" s="160"/>
      <c r="D2693" s="159"/>
      <c r="E2693" s="159"/>
    </row>
    <row r="2694" spans="2:5" x14ac:dyDescent="0.2">
      <c r="B2694" s="159"/>
      <c r="C2694" s="160"/>
      <c r="D2694" s="159"/>
      <c r="E2694" s="159"/>
    </row>
    <row r="2695" spans="2:5" x14ac:dyDescent="0.2">
      <c r="B2695" s="159"/>
      <c r="C2695" s="160"/>
      <c r="D2695" s="159"/>
      <c r="E2695" s="159"/>
    </row>
    <row r="2696" spans="2:5" x14ac:dyDescent="0.2">
      <c r="B2696" s="159"/>
      <c r="C2696" s="160"/>
      <c r="D2696" s="159"/>
      <c r="E2696" s="159"/>
    </row>
    <row r="2697" spans="2:5" x14ac:dyDescent="0.2">
      <c r="B2697" s="159"/>
      <c r="C2697" s="160"/>
      <c r="D2697" s="159"/>
      <c r="E2697" s="159"/>
    </row>
    <row r="2698" spans="2:5" x14ac:dyDescent="0.2">
      <c r="B2698" s="159"/>
      <c r="C2698" s="160"/>
      <c r="D2698" s="159"/>
      <c r="E2698" s="159"/>
    </row>
    <row r="2699" spans="2:5" x14ac:dyDescent="0.2">
      <c r="B2699" s="159"/>
      <c r="C2699" s="160"/>
      <c r="D2699" s="159"/>
      <c r="E2699" s="159"/>
    </row>
    <row r="2700" spans="2:5" x14ac:dyDescent="0.2">
      <c r="B2700" s="159"/>
      <c r="C2700" s="160"/>
      <c r="D2700" s="159"/>
      <c r="E2700" s="159"/>
    </row>
    <row r="2701" spans="2:5" x14ac:dyDescent="0.2">
      <c r="B2701" s="159"/>
      <c r="C2701" s="160"/>
      <c r="D2701" s="159"/>
      <c r="E2701" s="159"/>
    </row>
    <row r="2702" spans="2:5" x14ac:dyDescent="0.2">
      <c r="B2702" s="159"/>
      <c r="C2702" s="160"/>
      <c r="D2702" s="159"/>
      <c r="E2702" s="159"/>
    </row>
    <row r="2703" spans="2:5" x14ac:dyDescent="0.2">
      <c r="B2703" s="159"/>
      <c r="C2703" s="160"/>
      <c r="D2703" s="159"/>
      <c r="E2703" s="159"/>
    </row>
    <row r="2704" spans="2:5" x14ac:dyDescent="0.2">
      <c r="B2704" s="159"/>
      <c r="C2704" s="160"/>
      <c r="D2704" s="159"/>
      <c r="E2704" s="159"/>
    </row>
    <row r="2705" spans="2:5" x14ac:dyDescent="0.2">
      <c r="B2705" s="159"/>
      <c r="C2705" s="160"/>
      <c r="D2705" s="159"/>
      <c r="E2705" s="159"/>
    </row>
    <row r="2706" spans="2:5" x14ac:dyDescent="0.2">
      <c r="B2706" s="159"/>
      <c r="C2706" s="160"/>
      <c r="D2706" s="159"/>
      <c r="E2706" s="159"/>
    </row>
    <row r="2707" spans="2:5" x14ac:dyDescent="0.2">
      <c r="B2707" s="159"/>
      <c r="C2707" s="160"/>
      <c r="D2707" s="159"/>
      <c r="E2707" s="159"/>
    </row>
    <row r="2708" spans="2:5" x14ac:dyDescent="0.2">
      <c r="B2708" s="159"/>
      <c r="C2708" s="160"/>
      <c r="D2708" s="159"/>
      <c r="E2708" s="159"/>
    </row>
    <row r="2709" spans="2:5" x14ac:dyDescent="0.2">
      <c r="B2709" s="159"/>
      <c r="C2709" s="160"/>
      <c r="D2709" s="159"/>
      <c r="E2709" s="159"/>
    </row>
    <row r="2710" spans="2:5" x14ac:dyDescent="0.2">
      <c r="B2710" s="159"/>
      <c r="C2710" s="160"/>
      <c r="D2710" s="159"/>
      <c r="E2710" s="159"/>
    </row>
    <row r="2711" spans="2:5" x14ac:dyDescent="0.2">
      <c r="B2711" s="159"/>
      <c r="C2711" s="160"/>
      <c r="D2711" s="159"/>
      <c r="E2711" s="159"/>
    </row>
    <row r="2712" spans="2:5" x14ac:dyDescent="0.2">
      <c r="B2712" s="159"/>
      <c r="C2712" s="160"/>
      <c r="D2712" s="159"/>
      <c r="E2712" s="159"/>
    </row>
    <row r="2713" spans="2:5" x14ac:dyDescent="0.2">
      <c r="B2713" s="159"/>
      <c r="C2713" s="160"/>
      <c r="D2713" s="159"/>
      <c r="E2713" s="159"/>
    </row>
    <row r="2714" spans="2:5" x14ac:dyDescent="0.2">
      <c r="B2714" s="159"/>
      <c r="C2714" s="160"/>
      <c r="D2714" s="159"/>
      <c r="E2714" s="159"/>
    </row>
    <row r="2715" spans="2:5" x14ac:dyDescent="0.2">
      <c r="B2715" s="159"/>
      <c r="C2715" s="160"/>
      <c r="D2715" s="159"/>
      <c r="E2715" s="159"/>
    </row>
    <row r="2716" spans="2:5" x14ac:dyDescent="0.2">
      <c r="B2716" s="159"/>
      <c r="C2716" s="160"/>
      <c r="D2716" s="159"/>
      <c r="E2716" s="159"/>
    </row>
    <row r="2717" spans="2:5" x14ac:dyDescent="0.2">
      <c r="B2717" s="159"/>
      <c r="C2717" s="160"/>
      <c r="D2717" s="159"/>
      <c r="E2717" s="159"/>
    </row>
    <row r="2718" spans="2:5" x14ac:dyDescent="0.2">
      <c r="B2718" s="159"/>
      <c r="C2718" s="160"/>
      <c r="D2718" s="159"/>
      <c r="E2718" s="159"/>
    </row>
    <row r="2719" spans="2:5" x14ac:dyDescent="0.2">
      <c r="B2719" s="159"/>
      <c r="C2719" s="160"/>
      <c r="D2719" s="159"/>
      <c r="E2719" s="159"/>
    </row>
    <row r="2720" spans="2:5" x14ac:dyDescent="0.2">
      <c r="B2720" s="159"/>
      <c r="C2720" s="160"/>
      <c r="D2720" s="159"/>
      <c r="E2720" s="159"/>
    </row>
    <row r="2721" spans="2:5" x14ac:dyDescent="0.2">
      <c r="B2721" s="159"/>
      <c r="C2721" s="160"/>
      <c r="D2721" s="159"/>
      <c r="E2721" s="159"/>
    </row>
    <row r="2722" spans="2:5" x14ac:dyDescent="0.2">
      <c r="B2722" s="159"/>
      <c r="C2722" s="160"/>
      <c r="D2722" s="159"/>
      <c r="E2722" s="159"/>
    </row>
    <row r="2723" spans="2:5" x14ac:dyDescent="0.2">
      <c r="B2723" s="159"/>
      <c r="C2723" s="160"/>
      <c r="D2723" s="159"/>
      <c r="E2723" s="159"/>
    </row>
    <row r="2724" spans="2:5" x14ac:dyDescent="0.2">
      <c r="B2724" s="159"/>
      <c r="C2724" s="160"/>
      <c r="D2724" s="159"/>
      <c r="E2724" s="159"/>
    </row>
    <row r="2725" spans="2:5" x14ac:dyDescent="0.2">
      <c r="B2725" s="159"/>
      <c r="C2725" s="160"/>
      <c r="D2725" s="159"/>
      <c r="E2725" s="159"/>
    </row>
    <row r="2726" spans="2:5" x14ac:dyDescent="0.2">
      <c r="B2726" s="159"/>
      <c r="C2726" s="160"/>
      <c r="D2726" s="159"/>
      <c r="E2726" s="159"/>
    </row>
    <row r="2727" spans="2:5" x14ac:dyDescent="0.2">
      <c r="B2727" s="159"/>
      <c r="C2727" s="160"/>
      <c r="D2727" s="159"/>
      <c r="E2727" s="159"/>
    </row>
    <row r="2728" spans="2:5" x14ac:dyDescent="0.2">
      <c r="B2728" s="159"/>
      <c r="C2728" s="160"/>
      <c r="D2728" s="159"/>
      <c r="E2728" s="159"/>
    </row>
    <row r="2729" spans="2:5" x14ac:dyDescent="0.2">
      <c r="B2729" s="159"/>
      <c r="C2729" s="160"/>
      <c r="D2729" s="159"/>
      <c r="E2729" s="159"/>
    </row>
    <row r="2730" spans="2:5" x14ac:dyDescent="0.2">
      <c r="B2730" s="159"/>
      <c r="C2730" s="160"/>
      <c r="D2730" s="159"/>
      <c r="E2730" s="159"/>
    </row>
    <row r="2731" spans="2:5" x14ac:dyDescent="0.2">
      <c r="B2731" s="159"/>
      <c r="C2731" s="160"/>
      <c r="D2731" s="159"/>
      <c r="E2731" s="159"/>
    </row>
    <row r="2732" spans="2:5" x14ac:dyDescent="0.2">
      <c r="B2732" s="159"/>
      <c r="C2732" s="160"/>
      <c r="D2732" s="159"/>
      <c r="E2732" s="159"/>
    </row>
    <row r="2733" spans="2:5" x14ac:dyDescent="0.2">
      <c r="B2733" s="159"/>
      <c r="C2733" s="160"/>
      <c r="D2733" s="159"/>
      <c r="E2733" s="159"/>
    </row>
    <row r="2734" spans="2:5" x14ac:dyDescent="0.2">
      <c r="B2734" s="159"/>
      <c r="C2734" s="160"/>
      <c r="D2734" s="159"/>
      <c r="E2734" s="159"/>
    </row>
    <row r="2735" spans="2:5" x14ac:dyDescent="0.2">
      <c r="B2735" s="159"/>
      <c r="C2735" s="160"/>
      <c r="D2735" s="159"/>
      <c r="E2735" s="159"/>
    </row>
    <row r="2736" spans="2:5" x14ac:dyDescent="0.2">
      <c r="B2736" s="159"/>
      <c r="C2736" s="160"/>
      <c r="D2736" s="159"/>
      <c r="E2736" s="159"/>
    </row>
    <row r="2737" spans="2:5" x14ac:dyDescent="0.2">
      <c r="B2737" s="159"/>
      <c r="C2737" s="160"/>
      <c r="D2737" s="159"/>
      <c r="E2737" s="159"/>
    </row>
    <row r="2738" spans="2:5" x14ac:dyDescent="0.2">
      <c r="B2738" s="159"/>
      <c r="C2738" s="160"/>
      <c r="D2738" s="159"/>
      <c r="E2738" s="159"/>
    </row>
    <row r="2739" spans="2:5" x14ac:dyDescent="0.2">
      <c r="B2739" s="159"/>
      <c r="C2739" s="160"/>
      <c r="D2739" s="159"/>
      <c r="E2739" s="159"/>
    </row>
    <row r="2740" spans="2:5" x14ac:dyDescent="0.2">
      <c r="B2740" s="159"/>
      <c r="C2740" s="160"/>
      <c r="D2740" s="159"/>
      <c r="E2740" s="159"/>
    </row>
    <row r="2741" spans="2:5" x14ac:dyDescent="0.2">
      <c r="B2741" s="159"/>
      <c r="C2741" s="160"/>
      <c r="D2741" s="159"/>
      <c r="E2741" s="159"/>
    </row>
    <row r="2742" spans="2:5" x14ac:dyDescent="0.2">
      <c r="B2742" s="159"/>
      <c r="C2742" s="160"/>
      <c r="D2742" s="159"/>
      <c r="E2742" s="159"/>
    </row>
    <row r="2743" spans="2:5" x14ac:dyDescent="0.2">
      <c r="B2743" s="159"/>
      <c r="C2743" s="160"/>
      <c r="D2743" s="159"/>
      <c r="E2743" s="159"/>
    </row>
    <row r="2744" spans="2:5" x14ac:dyDescent="0.2">
      <c r="B2744" s="159"/>
      <c r="C2744" s="160"/>
      <c r="D2744" s="159"/>
      <c r="E2744" s="159"/>
    </row>
    <row r="2745" spans="2:5" x14ac:dyDescent="0.2">
      <c r="B2745" s="159"/>
      <c r="C2745" s="160"/>
      <c r="D2745" s="159"/>
      <c r="E2745" s="159"/>
    </row>
    <row r="2746" spans="2:5" x14ac:dyDescent="0.2">
      <c r="B2746" s="159"/>
      <c r="C2746" s="160"/>
      <c r="D2746" s="159"/>
      <c r="E2746" s="159"/>
    </row>
    <row r="2747" spans="2:5" x14ac:dyDescent="0.2">
      <c r="B2747" s="159"/>
      <c r="C2747" s="160"/>
      <c r="D2747" s="159"/>
      <c r="E2747" s="159"/>
    </row>
    <row r="2748" spans="2:5" x14ac:dyDescent="0.2">
      <c r="B2748" s="159"/>
      <c r="C2748" s="160"/>
      <c r="D2748" s="159"/>
      <c r="E2748" s="159"/>
    </row>
    <row r="2749" spans="2:5" x14ac:dyDescent="0.2">
      <c r="B2749" s="159"/>
      <c r="C2749" s="160"/>
      <c r="D2749" s="159"/>
      <c r="E2749" s="159"/>
    </row>
    <row r="2750" spans="2:5" x14ac:dyDescent="0.2">
      <c r="B2750" s="159"/>
      <c r="C2750" s="160"/>
      <c r="D2750" s="159"/>
      <c r="E2750" s="159"/>
    </row>
    <row r="2751" spans="2:5" x14ac:dyDescent="0.2">
      <c r="B2751" s="159"/>
      <c r="C2751" s="160"/>
      <c r="D2751" s="159"/>
      <c r="E2751" s="159"/>
    </row>
    <row r="2752" spans="2:5" x14ac:dyDescent="0.2">
      <c r="B2752" s="159"/>
      <c r="C2752" s="160"/>
      <c r="D2752" s="159"/>
      <c r="E2752" s="159"/>
    </row>
    <row r="2753" spans="2:5" x14ac:dyDescent="0.2">
      <c r="B2753" s="159"/>
      <c r="C2753" s="160"/>
      <c r="D2753" s="159"/>
      <c r="E2753" s="159"/>
    </row>
    <row r="2754" spans="2:5" x14ac:dyDescent="0.2">
      <c r="B2754" s="159"/>
      <c r="C2754" s="160"/>
      <c r="D2754" s="159"/>
      <c r="E2754" s="159"/>
    </row>
    <row r="2755" spans="2:5" x14ac:dyDescent="0.2">
      <c r="B2755" s="159"/>
      <c r="C2755" s="160"/>
      <c r="D2755" s="159"/>
      <c r="E2755" s="159"/>
    </row>
    <row r="2756" spans="2:5" x14ac:dyDescent="0.2">
      <c r="B2756" s="159"/>
      <c r="C2756" s="160"/>
      <c r="D2756" s="159"/>
      <c r="E2756" s="159"/>
    </row>
    <row r="2757" spans="2:5" x14ac:dyDescent="0.2">
      <c r="B2757" s="159"/>
      <c r="C2757" s="160"/>
      <c r="D2757" s="159"/>
      <c r="E2757" s="159"/>
    </row>
    <row r="2758" spans="2:5" x14ac:dyDescent="0.2">
      <c r="B2758" s="159"/>
      <c r="C2758" s="160"/>
      <c r="D2758" s="159"/>
      <c r="E2758" s="159"/>
    </row>
    <row r="2759" spans="2:5" x14ac:dyDescent="0.2">
      <c r="B2759" s="159"/>
      <c r="C2759" s="160"/>
      <c r="D2759" s="159"/>
      <c r="E2759" s="159"/>
    </row>
    <row r="2760" spans="2:5" x14ac:dyDescent="0.2">
      <c r="B2760" s="159"/>
      <c r="C2760" s="160"/>
      <c r="D2760" s="159"/>
      <c r="E2760" s="159"/>
    </row>
    <row r="2761" spans="2:5" x14ac:dyDescent="0.2">
      <c r="B2761" s="159"/>
      <c r="C2761" s="160"/>
      <c r="D2761" s="159"/>
      <c r="E2761" s="159"/>
    </row>
    <row r="2762" spans="2:5" x14ac:dyDescent="0.2">
      <c r="B2762" s="159"/>
      <c r="C2762" s="160"/>
      <c r="D2762" s="159"/>
      <c r="E2762" s="159"/>
    </row>
    <row r="2763" spans="2:5" x14ac:dyDescent="0.2">
      <c r="B2763" s="159"/>
      <c r="C2763" s="160"/>
      <c r="D2763" s="159"/>
      <c r="E2763" s="159"/>
    </row>
    <row r="2764" spans="2:5" x14ac:dyDescent="0.2">
      <c r="B2764" s="159"/>
      <c r="C2764" s="160"/>
      <c r="D2764" s="159"/>
      <c r="E2764" s="159"/>
    </row>
    <row r="2765" spans="2:5" x14ac:dyDescent="0.2">
      <c r="B2765" s="159"/>
      <c r="C2765" s="160"/>
      <c r="D2765" s="159"/>
      <c r="E2765" s="159"/>
    </row>
    <row r="2766" spans="2:5" x14ac:dyDescent="0.2">
      <c r="B2766" s="159"/>
      <c r="C2766" s="160"/>
      <c r="D2766" s="159"/>
      <c r="E2766" s="159"/>
    </row>
    <row r="2767" spans="2:5" x14ac:dyDescent="0.2">
      <c r="B2767" s="159"/>
      <c r="C2767" s="160"/>
      <c r="D2767" s="159"/>
      <c r="E2767" s="159"/>
    </row>
    <row r="2768" spans="2:5" x14ac:dyDescent="0.2">
      <c r="B2768" s="159"/>
      <c r="C2768" s="160"/>
      <c r="D2768" s="159"/>
      <c r="E2768" s="159"/>
    </row>
    <row r="2769" spans="2:5" x14ac:dyDescent="0.2">
      <c r="B2769" s="159"/>
      <c r="C2769" s="160"/>
      <c r="D2769" s="159"/>
      <c r="E2769" s="159"/>
    </row>
    <row r="2770" spans="2:5" x14ac:dyDescent="0.2">
      <c r="B2770" s="159"/>
      <c r="C2770" s="160"/>
      <c r="D2770" s="159"/>
      <c r="E2770" s="159"/>
    </row>
    <row r="2771" spans="2:5" x14ac:dyDescent="0.2">
      <c r="B2771" s="159"/>
      <c r="C2771" s="160"/>
      <c r="D2771" s="159"/>
      <c r="E2771" s="159"/>
    </row>
    <row r="2772" spans="2:5" x14ac:dyDescent="0.2">
      <c r="B2772" s="159"/>
      <c r="C2772" s="160"/>
      <c r="D2772" s="159"/>
      <c r="E2772" s="159"/>
    </row>
    <row r="2773" spans="2:5" x14ac:dyDescent="0.2">
      <c r="B2773" s="159"/>
      <c r="C2773" s="160"/>
      <c r="D2773" s="159"/>
      <c r="E2773" s="159"/>
    </row>
    <row r="2774" spans="2:5" x14ac:dyDescent="0.2">
      <c r="B2774" s="159"/>
      <c r="C2774" s="160"/>
      <c r="D2774" s="159"/>
      <c r="E2774" s="159"/>
    </row>
    <row r="2775" spans="2:5" x14ac:dyDescent="0.2">
      <c r="B2775" s="159"/>
      <c r="C2775" s="160"/>
      <c r="D2775" s="159"/>
      <c r="E2775" s="159"/>
    </row>
    <row r="2776" spans="2:5" x14ac:dyDescent="0.2">
      <c r="B2776" s="159"/>
      <c r="C2776" s="160"/>
      <c r="D2776" s="159"/>
      <c r="E2776" s="159"/>
    </row>
    <row r="2777" spans="2:5" x14ac:dyDescent="0.2">
      <c r="B2777" s="159"/>
      <c r="C2777" s="160"/>
      <c r="D2777" s="159"/>
      <c r="E2777" s="159"/>
    </row>
    <row r="2778" spans="2:5" x14ac:dyDescent="0.2">
      <c r="B2778" s="159"/>
      <c r="C2778" s="160"/>
      <c r="D2778" s="159"/>
      <c r="E2778" s="159"/>
    </row>
    <row r="2779" spans="2:5" x14ac:dyDescent="0.2">
      <c r="B2779" s="159"/>
      <c r="C2779" s="160"/>
      <c r="D2779" s="159"/>
      <c r="E2779" s="159"/>
    </row>
    <row r="2780" spans="2:5" x14ac:dyDescent="0.2">
      <c r="B2780" s="159"/>
      <c r="C2780" s="160"/>
      <c r="D2780" s="159"/>
      <c r="E2780" s="159"/>
    </row>
    <row r="2781" spans="2:5" x14ac:dyDescent="0.2">
      <c r="B2781" s="159"/>
      <c r="C2781" s="160"/>
      <c r="D2781" s="159"/>
      <c r="E2781" s="159"/>
    </row>
    <row r="2782" spans="2:5" x14ac:dyDescent="0.2">
      <c r="B2782" s="159"/>
      <c r="C2782" s="160"/>
      <c r="D2782" s="159"/>
      <c r="E2782" s="159"/>
    </row>
    <row r="2783" spans="2:5" x14ac:dyDescent="0.2">
      <c r="B2783" s="159"/>
      <c r="C2783" s="160"/>
      <c r="D2783" s="159"/>
      <c r="E2783" s="159"/>
    </row>
    <row r="2784" spans="2:5" x14ac:dyDescent="0.2">
      <c r="B2784" s="159"/>
      <c r="C2784" s="160"/>
      <c r="D2784" s="159"/>
      <c r="E2784" s="159"/>
    </row>
    <row r="2785" spans="2:5" x14ac:dyDescent="0.2">
      <c r="B2785" s="159"/>
      <c r="C2785" s="160"/>
      <c r="D2785" s="159"/>
      <c r="E2785" s="159"/>
    </row>
    <row r="2786" spans="2:5" x14ac:dyDescent="0.2">
      <c r="B2786" s="159"/>
      <c r="C2786" s="160"/>
      <c r="D2786" s="159"/>
      <c r="E2786" s="159"/>
    </row>
    <row r="2787" spans="2:5" x14ac:dyDescent="0.2">
      <c r="B2787" s="159"/>
      <c r="C2787" s="160"/>
      <c r="D2787" s="159"/>
      <c r="E2787" s="159"/>
    </row>
    <row r="2788" spans="2:5" x14ac:dyDescent="0.2">
      <c r="B2788" s="159"/>
      <c r="C2788" s="160"/>
      <c r="D2788" s="159"/>
      <c r="E2788" s="159"/>
    </row>
    <row r="2789" spans="2:5" x14ac:dyDescent="0.2">
      <c r="B2789" s="159"/>
      <c r="C2789" s="160"/>
      <c r="D2789" s="159"/>
      <c r="E2789" s="159"/>
    </row>
    <row r="2790" spans="2:5" x14ac:dyDescent="0.2">
      <c r="B2790" s="159"/>
      <c r="C2790" s="160"/>
      <c r="D2790" s="159"/>
      <c r="E2790" s="159"/>
    </row>
    <row r="2791" spans="2:5" x14ac:dyDescent="0.2">
      <c r="B2791" s="159"/>
      <c r="C2791" s="160"/>
      <c r="D2791" s="159"/>
      <c r="E2791" s="159"/>
    </row>
    <row r="2792" spans="2:5" x14ac:dyDescent="0.2">
      <c r="B2792" s="159"/>
      <c r="C2792" s="160"/>
      <c r="D2792" s="159"/>
      <c r="E2792" s="159"/>
    </row>
    <row r="2793" spans="2:5" x14ac:dyDescent="0.2">
      <c r="B2793" s="159"/>
      <c r="C2793" s="160"/>
      <c r="D2793" s="159"/>
      <c r="E2793" s="159"/>
    </row>
    <row r="2794" spans="2:5" x14ac:dyDescent="0.2">
      <c r="B2794" s="159"/>
      <c r="C2794" s="160"/>
      <c r="D2794" s="159"/>
      <c r="E2794" s="159"/>
    </row>
    <row r="2795" spans="2:5" x14ac:dyDescent="0.2">
      <c r="B2795" s="159"/>
      <c r="C2795" s="160"/>
      <c r="D2795" s="159"/>
      <c r="E2795" s="159"/>
    </row>
    <row r="2796" spans="2:5" x14ac:dyDescent="0.2">
      <c r="B2796" s="159"/>
      <c r="C2796" s="160"/>
      <c r="D2796" s="159"/>
      <c r="E2796" s="159"/>
    </row>
    <row r="2797" spans="2:5" x14ac:dyDescent="0.2">
      <c r="B2797" s="159"/>
      <c r="C2797" s="160"/>
      <c r="D2797" s="159"/>
      <c r="E2797" s="159"/>
    </row>
    <row r="2798" spans="2:5" x14ac:dyDescent="0.2">
      <c r="B2798" s="159"/>
      <c r="C2798" s="160"/>
      <c r="D2798" s="159"/>
      <c r="E2798" s="159"/>
    </row>
    <row r="2799" spans="2:5" x14ac:dyDescent="0.2">
      <c r="B2799" s="159"/>
      <c r="C2799" s="160"/>
      <c r="D2799" s="159"/>
      <c r="E2799" s="159"/>
    </row>
    <row r="2800" spans="2:5" x14ac:dyDescent="0.2">
      <c r="B2800" s="159"/>
      <c r="C2800" s="160"/>
      <c r="D2800" s="159"/>
      <c r="E2800" s="159"/>
    </row>
    <row r="2801" spans="2:5" x14ac:dyDescent="0.2">
      <c r="B2801" s="159"/>
      <c r="C2801" s="160"/>
      <c r="D2801" s="159"/>
      <c r="E2801" s="159"/>
    </row>
    <row r="2802" spans="2:5" x14ac:dyDescent="0.2">
      <c r="B2802" s="159"/>
      <c r="C2802" s="160"/>
      <c r="D2802" s="159"/>
      <c r="E2802" s="159"/>
    </row>
    <row r="2803" spans="2:5" x14ac:dyDescent="0.2">
      <c r="B2803" s="159"/>
      <c r="C2803" s="160"/>
      <c r="D2803" s="159"/>
      <c r="E2803" s="159"/>
    </row>
    <row r="2804" spans="2:5" x14ac:dyDescent="0.2">
      <c r="B2804" s="159"/>
      <c r="C2804" s="160"/>
      <c r="D2804" s="159"/>
      <c r="E2804" s="159"/>
    </row>
    <row r="2805" spans="2:5" x14ac:dyDescent="0.2">
      <c r="B2805" s="159"/>
      <c r="C2805" s="160"/>
      <c r="D2805" s="159"/>
      <c r="E2805" s="159"/>
    </row>
    <row r="2806" spans="2:5" x14ac:dyDescent="0.2">
      <c r="B2806" s="159"/>
      <c r="C2806" s="160"/>
      <c r="D2806" s="159"/>
      <c r="E2806" s="159"/>
    </row>
    <row r="2807" spans="2:5" x14ac:dyDescent="0.2">
      <c r="B2807" s="159"/>
      <c r="C2807" s="160"/>
      <c r="D2807" s="159"/>
      <c r="E2807" s="159"/>
    </row>
    <row r="2808" spans="2:5" x14ac:dyDescent="0.2">
      <c r="B2808" s="159"/>
      <c r="C2808" s="160"/>
      <c r="D2808" s="159"/>
      <c r="E2808" s="159"/>
    </row>
    <row r="2809" spans="2:5" x14ac:dyDescent="0.2">
      <c r="B2809" s="159"/>
      <c r="C2809" s="160"/>
      <c r="D2809" s="159"/>
      <c r="E2809" s="159"/>
    </row>
    <row r="2810" spans="2:5" x14ac:dyDescent="0.2">
      <c r="B2810" s="159"/>
      <c r="C2810" s="160"/>
      <c r="D2810" s="159"/>
      <c r="E2810" s="159"/>
    </row>
    <row r="2811" spans="2:5" x14ac:dyDescent="0.2">
      <c r="B2811" s="159"/>
      <c r="C2811" s="160"/>
      <c r="D2811" s="159"/>
      <c r="E2811" s="159"/>
    </row>
    <row r="2812" spans="2:5" x14ac:dyDescent="0.2">
      <c r="B2812" s="159"/>
      <c r="C2812" s="160"/>
      <c r="D2812" s="159"/>
      <c r="E2812" s="159"/>
    </row>
    <row r="2813" spans="2:5" x14ac:dyDescent="0.2">
      <c r="B2813" s="159"/>
      <c r="C2813" s="160"/>
      <c r="D2813" s="159"/>
      <c r="E2813" s="159"/>
    </row>
    <row r="2814" spans="2:5" x14ac:dyDescent="0.2">
      <c r="B2814" s="159"/>
      <c r="C2814" s="160"/>
      <c r="D2814" s="159"/>
      <c r="E2814" s="159"/>
    </row>
    <row r="2815" spans="2:5" x14ac:dyDescent="0.2">
      <c r="B2815" s="159"/>
      <c r="C2815" s="160"/>
      <c r="D2815" s="159"/>
      <c r="E2815" s="159"/>
    </row>
    <row r="2816" spans="2:5" x14ac:dyDescent="0.2">
      <c r="B2816" s="159"/>
      <c r="C2816" s="160"/>
      <c r="D2816" s="159"/>
      <c r="E2816" s="159"/>
    </row>
    <row r="2817" spans="2:5" x14ac:dyDescent="0.2">
      <c r="B2817" s="159"/>
      <c r="C2817" s="160"/>
      <c r="D2817" s="159"/>
      <c r="E2817" s="159"/>
    </row>
    <row r="2818" spans="2:5" x14ac:dyDescent="0.2">
      <c r="B2818" s="159"/>
      <c r="C2818" s="160"/>
      <c r="D2818" s="159"/>
      <c r="E2818" s="159"/>
    </row>
    <row r="2819" spans="2:5" x14ac:dyDescent="0.2">
      <c r="B2819" s="159"/>
      <c r="C2819" s="160"/>
      <c r="D2819" s="159"/>
      <c r="E2819" s="159"/>
    </row>
    <row r="2820" spans="2:5" x14ac:dyDescent="0.2">
      <c r="B2820" s="159"/>
      <c r="C2820" s="160"/>
      <c r="D2820" s="159"/>
      <c r="E2820" s="159"/>
    </row>
    <row r="2821" spans="2:5" x14ac:dyDescent="0.2">
      <c r="B2821" s="159"/>
      <c r="C2821" s="160"/>
      <c r="D2821" s="159"/>
      <c r="E2821" s="159"/>
    </row>
    <row r="2822" spans="2:5" x14ac:dyDescent="0.2">
      <c r="B2822" s="159"/>
      <c r="C2822" s="160"/>
      <c r="D2822" s="159"/>
      <c r="E2822" s="159"/>
    </row>
    <row r="2823" spans="2:5" x14ac:dyDescent="0.2">
      <c r="B2823" s="159"/>
      <c r="C2823" s="160"/>
      <c r="D2823" s="159"/>
      <c r="E2823" s="159"/>
    </row>
    <row r="2824" spans="2:5" x14ac:dyDescent="0.2">
      <c r="B2824" s="159"/>
      <c r="C2824" s="160"/>
      <c r="D2824" s="159"/>
      <c r="E2824" s="159"/>
    </row>
    <row r="2825" spans="2:5" x14ac:dyDescent="0.2">
      <c r="B2825" s="159"/>
      <c r="C2825" s="160"/>
      <c r="D2825" s="159"/>
      <c r="E2825" s="159"/>
    </row>
    <row r="2826" spans="2:5" x14ac:dyDescent="0.2">
      <c r="B2826" s="159"/>
      <c r="C2826" s="160"/>
      <c r="D2826" s="159"/>
      <c r="E2826" s="159"/>
    </row>
    <row r="2827" spans="2:5" x14ac:dyDescent="0.2">
      <c r="B2827" s="159"/>
      <c r="C2827" s="160"/>
      <c r="D2827" s="159"/>
      <c r="E2827" s="159"/>
    </row>
    <row r="2828" spans="2:5" x14ac:dyDescent="0.2">
      <c r="B2828" s="159"/>
      <c r="C2828" s="160"/>
      <c r="D2828" s="159"/>
      <c r="E2828" s="159"/>
    </row>
    <row r="2829" spans="2:5" x14ac:dyDescent="0.2">
      <c r="B2829" s="159"/>
      <c r="C2829" s="160"/>
      <c r="D2829" s="159"/>
      <c r="E2829" s="159"/>
    </row>
    <row r="2830" spans="2:5" x14ac:dyDescent="0.2">
      <c r="B2830" s="159"/>
      <c r="C2830" s="160"/>
      <c r="D2830" s="159"/>
      <c r="E2830" s="159"/>
    </row>
    <row r="2831" spans="2:5" x14ac:dyDescent="0.2">
      <c r="B2831" s="159"/>
      <c r="C2831" s="160"/>
      <c r="D2831" s="159"/>
      <c r="E2831" s="159"/>
    </row>
    <row r="2832" spans="2:5" x14ac:dyDescent="0.2">
      <c r="B2832" s="159"/>
      <c r="C2832" s="160"/>
      <c r="D2832" s="159"/>
      <c r="E2832" s="159"/>
    </row>
    <row r="2833" spans="2:5" x14ac:dyDescent="0.2">
      <c r="B2833" s="159"/>
      <c r="C2833" s="160"/>
      <c r="D2833" s="159"/>
      <c r="E2833" s="159"/>
    </row>
    <row r="2834" spans="2:5" x14ac:dyDescent="0.2">
      <c r="B2834" s="159"/>
      <c r="C2834" s="160"/>
      <c r="D2834" s="159"/>
      <c r="E2834" s="159"/>
    </row>
    <row r="2835" spans="2:5" x14ac:dyDescent="0.2">
      <c r="B2835" s="159"/>
      <c r="C2835" s="160"/>
      <c r="D2835" s="159"/>
      <c r="E2835" s="159"/>
    </row>
    <row r="2836" spans="2:5" x14ac:dyDescent="0.2">
      <c r="B2836" s="159"/>
      <c r="C2836" s="160"/>
      <c r="D2836" s="159"/>
      <c r="E2836" s="159"/>
    </row>
    <row r="2837" spans="2:5" x14ac:dyDescent="0.2">
      <c r="B2837" s="159"/>
      <c r="C2837" s="160"/>
      <c r="D2837" s="159"/>
      <c r="E2837" s="159"/>
    </row>
    <row r="2838" spans="2:5" x14ac:dyDescent="0.2">
      <c r="B2838" s="159"/>
      <c r="C2838" s="160"/>
      <c r="D2838" s="159"/>
      <c r="E2838" s="159"/>
    </row>
    <row r="2839" spans="2:5" x14ac:dyDescent="0.2">
      <c r="B2839" s="159"/>
      <c r="C2839" s="160"/>
      <c r="D2839" s="159"/>
      <c r="E2839" s="159"/>
    </row>
    <row r="2840" spans="2:5" x14ac:dyDescent="0.2">
      <c r="B2840" s="159"/>
      <c r="C2840" s="160"/>
      <c r="D2840" s="159"/>
      <c r="E2840" s="159"/>
    </row>
    <row r="2841" spans="2:5" x14ac:dyDescent="0.2">
      <c r="B2841" s="159"/>
      <c r="C2841" s="160"/>
      <c r="D2841" s="159"/>
      <c r="E2841" s="159"/>
    </row>
    <row r="2842" spans="2:5" x14ac:dyDescent="0.2">
      <c r="B2842" s="159"/>
      <c r="C2842" s="160"/>
      <c r="D2842" s="159"/>
      <c r="E2842" s="159"/>
    </row>
    <row r="2843" spans="2:5" x14ac:dyDescent="0.2">
      <c r="B2843" s="159"/>
      <c r="C2843" s="160"/>
      <c r="D2843" s="159"/>
      <c r="E2843" s="159"/>
    </row>
    <row r="2844" spans="2:5" x14ac:dyDescent="0.2">
      <c r="B2844" s="159"/>
      <c r="C2844" s="160"/>
      <c r="D2844" s="159"/>
      <c r="E2844" s="159"/>
    </row>
    <row r="2845" spans="2:5" x14ac:dyDescent="0.2">
      <c r="B2845" s="159"/>
      <c r="C2845" s="160"/>
      <c r="D2845" s="159"/>
      <c r="E2845" s="159"/>
    </row>
    <row r="2846" spans="2:5" x14ac:dyDescent="0.2">
      <c r="B2846" s="159"/>
      <c r="C2846" s="160"/>
      <c r="D2846" s="159"/>
      <c r="E2846" s="159"/>
    </row>
    <row r="2847" spans="2:5" x14ac:dyDescent="0.2">
      <c r="B2847" s="159"/>
      <c r="C2847" s="160"/>
      <c r="D2847" s="159"/>
      <c r="E2847" s="159"/>
    </row>
    <row r="2848" spans="2:5" x14ac:dyDescent="0.2">
      <c r="B2848" s="159"/>
      <c r="C2848" s="160"/>
      <c r="D2848" s="159"/>
      <c r="E2848" s="159"/>
    </row>
    <row r="2849" spans="2:5" x14ac:dyDescent="0.2">
      <c r="B2849" s="159"/>
      <c r="C2849" s="160"/>
      <c r="D2849" s="159"/>
      <c r="E2849" s="159"/>
    </row>
    <row r="2850" spans="2:5" x14ac:dyDescent="0.2">
      <c r="B2850" s="159"/>
      <c r="C2850" s="160"/>
      <c r="D2850" s="159"/>
      <c r="E2850" s="159"/>
    </row>
    <row r="2851" spans="2:5" x14ac:dyDescent="0.2">
      <c r="B2851" s="159"/>
      <c r="C2851" s="160"/>
      <c r="D2851" s="159"/>
      <c r="E2851" s="159"/>
    </row>
    <row r="2852" spans="2:5" x14ac:dyDescent="0.2">
      <c r="B2852" s="159"/>
      <c r="C2852" s="160"/>
      <c r="D2852" s="159"/>
      <c r="E2852" s="159"/>
    </row>
    <row r="2853" spans="2:5" x14ac:dyDescent="0.2">
      <c r="B2853" s="159"/>
      <c r="C2853" s="160"/>
      <c r="D2853" s="159"/>
      <c r="E2853" s="159"/>
    </row>
    <row r="2854" spans="2:5" x14ac:dyDescent="0.2">
      <c r="B2854" s="159"/>
      <c r="C2854" s="160"/>
      <c r="D2854" s="159"/>
      <c r="E2854" s="159"/>
    </row>
    <row r="2855" spans="2:5" x14ac:dyDescent="0.2">
      <c r="B2855" s="159"/>
      <c r="C2855" s="160"/>
      <c r="D2855" s="159"/>
      <c r="E2855" s="159"/>
    </row>
    <row r="2856" spans="2:5" x14ac:dyDescent="0.2">
      <c r="B2856" s="159"/>
      <c r="C2856" s="160"/>
      <c r="D2856" s="159"/>
      <c r="E2856" s="159"/>
    </row>
    <row r="2857" spans="2:5" x14ac:dyDescent="0.2">
      <c r="B2857" s="159"/>
      <c r="C2857" s="160"/>
      <c r="D2857" s="159"/>
      <c r="E2857" s="159"/>
    </row>
    <row r="2858" spans="2:5" x14ac:dyDescent="0.2">
      <c r="B2858" s="159"/>
      <c r="C2858" s="160"/>
      <c r="D2858" s="159"/>
      <c r="E2858" s="159"/>
    </row>
    <row r="2859" spans="2:5" x14ac:dyDescent="0.2">
      <c r="B2859" s="159"/>
      <c r="C2859" s="160"/>
      <c r="D2859" s="159"/>
      <c r="E2859" s="159"/>
    </row>
    <row r="2860" spans="2:5" x14ac:dyDescent="0.2">
      <c r="B2860" s="159"/>
      <c r="C2860" s="160"/>
      <c r="D2860" s="159"/>
      <c r="E2860" s="159"/>
    </row>
    <row r="2861" spans="2:5" x14ac:dyDescent="0.2">
      <c r="B2861" s="159"/>
      <c r="C2861" s="160"/>
      <c r="D2861" s="159"/>
      <c r="E2861" s="159"/>
    </row>
    <row r="2862" spans="2:5" x14ac:dyDescent="0.2">
      <c r="B2862" s="159"/>
      <c r="C2862" s="160"/>
      <c r="D2862" s="159"/>
      <c r="E2862" s="159"/>
    </row>
    <row r="2863" spans="2:5" x14ac:dyDescent="0.2">
      <c r="B2863" s="159"/>
      <c r="C2863" s="160"/>
      <c r="D2863" s="159"/>
      <c r="E2863" s="159"/>
    </row>
    <row r="2864" spans="2:5" x14ac:dyDescent="0.2">
      <c r="B2864" s="159"/>
      <c r="C2864" s="160"/>
      <c r="D2864" s="159"/>
      <c r="E2864" s="159"/>
    </row>
    <row r="2865" spans="2:5" x14ac:dyDescent="0.2">
      <c r="B2865" s="159"/>
      <c r="C2865" s="160"/>
      <c r="D2865" s="159"/>
      <c r="E2865" s="159"/>
    </row>
    <row r="2866" spans="2:5" x14ac:dyDescent="0.2">
      <c r="B2866" s="159"/>
      <c r="C2866" s="160"/>
      <c r="D2866" s="159"/>
      <c r="E2866" s="159"/>
    </row>
    <row r="2867" spans="2:5" x14ac:dyDescent="0.2">
      <c r="B2867" s="159"/>
      <c r="C2867" s="160"/>
      <c r="D2867" s="159"/>
      <c r="E2867" s="159"/>
    </row>
    <row r="2868" spans="2:5" x14ac:dyDescent="0.2">
      <c r="B2868" s="159"/>
      <c r="C2868" s="160"/>
      <c r="D2868" s="159"/>
      <c r="E2868" s="159"/>
    </row>
    <row r="2869" spans="2:5" x14ac:dyDescent="0.2">
      <c r="B2869" s="159"/>
      <c r="C2869" s="160"/>
      <c r="D2869" s="159"/>
      <c r="E2869" s="159"/>
    </row>
    <row r="2870" spans="2:5" x14ac:dyDescent="0.2">
      <c r="B2870" s="159"/>
      <c r="C2870" s="160"/>
      <c r="D2870" s="159"/>
      <c r="E2870" s="159"/>
    </row>
    <row r="2871" spans="2:5" x14ac:dyDescent="0.2">
      <c r="B2871" s="159"/>
      <c r="C2871" s="160"/>
      <c r="D2871" s="159"/>
      <c r="E2871" s="159"/>
    </row>
    <row r="2872" spans="2:5" x14ac:dyDescent="0.2">
      <c r="B2872" s="159"/>
      <c r="C2872" s="160"/>
      <c r="D2872" s="159"/>
      <c r="E2872" s="159"/>
    </row>
    <row r="2873" spans="2:5" x14ac:dyDescent="0.2">
      <c r="B2873" s="159"/>
      <c r="C2873" s="160"/>
      <c r="D2873" s="159"/>
      <c r="E2873" s="159"/>
    </row>
    <row r="2874" spans="2:5" x14ac:dyDescent="0.2">
      <c r="B2874" s="159"/>
      <c r="C2874" s="160"/>
      <c r="D2874" s="159"/>
      <c r="E2874" s="159"/>
    </row>
    <row r="2875" spans="2:5" x14ac:dyDescent="0.2">
      <c r="B2875" s="159"/>
      <c r="C2875" s="160"/>
      <c r="D2875" s="159"/>
      <c r="E2875" s="159"/>
    </row>
    <row r="2876" spans="2:5" x14ac:dyDescent="0.2">
      <c r="B2876" s="159"/>
      <c r="C2876" s="160"/>
      <c r="D2876" s="159"/>
      <c r="E2876" s="159"/>
    </row>
    <row r="2877" spans="2:5" x14ac:dyDescent="0.2">
      <c r="B2877" s="159"/>
      <c r="C2877" s="160"/>
      <c r="D2877" s="159"/>
      <c r="E2877" s="159"/>
    </row>
    <row r="2878" spans="2:5" x14ac:dyDescent="0.2">
      <c r="B2878" s="159"/>
      <c r="C2878" s="160"/>
      <c r="D2878" s="159"/>
      <c r="E2878" s="159"/>
    </row>
    <row r="2879" spans="2:5" x14ac:dyDescent="0.2">
      <c r="B2879" s="159"/>
      <c r="C2879" s="160"/>
      <c r="D2879" s="159"/>
      <c r="E2879" s="159"/>
    </row>
    <row r="2880" spans="2:5" x14ac:dyDescent="0.2">
      <c r="B2880" s="159"/>
      <c r="C2880" s="160"/>
      <c r="D2880" s="159"/>
      <c r="E2880" s="159"/>
    </row>
    <row r="2881" spans="2:5" x14ac:dyDescent="0.2">
      <c r="B2881" s="159"/>
      <c r="C2881" s="160"/>
      <c r="D2881" s="159"/>
      <c r="E2881" s="159"/>
    </row>
    <row r="2882" spans="2:5" x14ac:dyDescent="0.2">
      <c r="B2882" s="159"/>
      <c r="C2882" s="160"/>
      <c r="D2882" s="159"/>
      <c r="E2882" s="159"/>
    </row>
    <row r="2883" spans="2:5" x14ac:dyDescent="0.2">
      <c r="B2883" s="159"/>
      <c r="C2883" s="160"/>
      <c r="D2883" s="159"/>
      <c r="E2883" s="159"/>
    </row>
    <row r="2884" spans="2:5" x14ac:dyDescent="0.2">
      <c r="B2884" s="159"/>
      <c r="C2884" s="160"/>
      <c r="D2884" s="159"/>
      <c r="E2884" s="159"/>
    </row>
    <row r="2885" spans="2:5" x14ac:dyDescent="0.2">
      <c r="B2885" s="159"/>
      <c r="C2885" s="160"/>
      <c r="D2885" s="159"/>
      <c r="E2885" s="159"/>
    </row>
    <row r="2886" spans="2:5" x14ac:dyDescent="0.2">
      <c r="B2886" s="159"/>
      <c r="C2886" s="160"/>
      <c r="D2886" s="159"/>
      <c r="E2886" s="159"/>
    </row>
    <row r="2887" spans="2:5" x14ac:dyDescent="0.2">
      <c r="B2887" s="159"/>
      <c r="C2887" s="160"/>
      <c r="D2887" s="159"/>
      <c r="E2887" s="159"/>
    </row>
    <row r="2888" spans="2:5" x14ac:dyDescent="0.2">
      <c r="B2888" s="159"/>
      <c r="C2888" s="160"/>
      <c r="D2888" s="159"/>
      <c r="E2888" s="159"/>
    </row>
    <row r="2889" spans="2:5" x14ac:dyDescent="0.2">
      <c r="B2889" s="159"/>
      <c r="C2889" s="160"/>
      <c r="D2889" s="159"/>
      <c r="E2889" s="159"/>
    </row>
    <row r="2890" spans="2:5" x14ac:dyDescent="0.2">
      <c r="B2890" s="159"/>
      <c r="C2890" s="160"/>
      <c r="D2890" s="159"/>
      <c r="E2890" s="159"/>
    </row>
    <row r="2891" spans="2:5" x14ac:dyDescent="0.2">
      <c r="B2891" s="159"/>
      <c r="C2891" s="160"/>
      <c r="D2891" s="159"/>
      <c r="E2891" s="159"/>
    </row>
    <row r="2892" spans="2:5" x14ac:dyDescent="0.2">
      <c r="B2892" s="159"/>
      <c r="C2892" s="160"/>
      <c r="D2892" s="159"/>
      <c r="E2892" s="159"/>
    </row>
    <row r="2893" spans="2:5" x14ac:dyDescent="0.2">
      <c r="B2893" s="159"/>
      <c r="C2893" s="160"/>
      <c r="D2893" s="159"/>
      <c r="E2893" s="159"/>
    </row>
    <row r="2894" spans="2:5" x14ac:dyDescent="0.2">
      <c r="B2894" s="159"/>
      <c r="C2894" s="160"/>
      <c r="D2894" s="159"/>
      <c r="E2894" s="159"/>
    </row>
    <row r="2895" spans="2:5" x14ac:dyDescent="0.2">
      <c r="B2895" s="159"/>
      <c r="C2895" s="160"/>
      <c r="D2895" s="159"/>
      <c r="E2895" s="159"/>
    </row>
    <row r="2896" spans="2:5" x14ac:dyDescent="0.2">
      <c r="B2896" s="159"/>
      <c r="C2896" s="160"/>
      <c r="D2896" s="159"/>
      <c r="E2896" s="159"/>
    </row>
    <row r="2897" spans="2:5" x14ac:dyDescent="0.2">
      <c r="B2897" s="159"/>
      <c r="C2897" s="160"/>
      <c r="D2897" s="159"/>
      <c r="E2897" s="159"/>
    </row>
    <row r="2898" spans="2:5" x14ac:dyDescent="0.2">
      <c r="B2898" s="159"/>
      <c r="C2898" s="160"/>
      <c r="D2898" s="159"/>
      <c r="E2898" s="159"/>
    </row>
    <row r="2899" spans="2:5" x14ac:dyDescent="0.2">
      <c r="B2899" s="159"/>
      <c r="C2899" s="160"/>
      <c r="D2899" s="159"/>
      <c r="E2899" s="159"/>
    </row>
    <row r="2900" spans="2:5" x14ac:dyDescent="0.2">
      <c r="B2900" s="159"/>
      <c r="C2900" s="160"/>
      <c r="D2900" s="159"/>
      <c r="E2900" s="159"/>
    </row>
    <row r="2901" spans="2:5" x14ac:dyDescent="0.2">
      <c r="B2901" s="159"/>
      <c r="C2901" s="160"/>
      <c r="D2901" s="159"/>
      <c r="E2901" s="159"/>
    </row>
    <row r="2902" spans="2:5" x14ac:dyDescent="0.2">
      <c r="B2902" s="159"/>
      <c r="C2902" s="160"/>
      <c r="D2902" s="159"/>
      <c r="E2902" s="159"/>
    </row>
    <row r="2903" spans="2:5" x14ac:dyDescent="0.2">
      <c r="B2903" s="159"/>
      <c r="C2903" s="160"/>
      <c r="D2903" s="159"/>
      <c r="E2903" s="159"/>
    </row>
    <row r="2904" spans="2:5" x14ac:dyDescent="0.2">
      <c r="B2904" s="159"/>
      <c r="C2904" s="160"/>
      <c r="D2904" s="159"/>
      <c r="E2904" s="159"/>
    </row>
    <row r="2905" spans="2:5" x14ac:dyDescent="0.2">
      <c r="B2905" s="159"/>
      <c r="C2905" s="160"/>
      <c r="D2905" s="159"/>
      <c r="E2905" s="159"/>
    </row>
    <row r="2906" spans="2:5" x14ac:dyDescent="0.2">
      <c r="B2906" s="159"/>
      <c r="C2906" s="160"/>
      <c r="D2906" s="159"/>
      <c r="E2906" s="159"/>
    </row>
    <row r="2907" spans="2:5" x14ac:dyDescent="0.2">
      <c r="B2907" s="159"/>
      <c r="C2907" s="160"/>
      <c r="D2907" s="159"/>
      <c r="E2907" s="159"/>
    </row>
    <row r="2908" spans="2:5" x14ac:dyDescent="0.2">
      <c r="B2908" s="159"/>
      <c r="C2908" s="160"/>
      <c r="D2908" s="159"/>
      <c r="E2908" s="159"/>
    </row>
    <row r="2909" spans="2:5" x14ac:dyDescent="0.2">
      <c r="B2909" s="159"/>
      <c r="C2909" s="160"/>
      <c r="D2909" s="159"/>
      <c r="E2909" s="159"/>
    </row>
    <row r="2910" spans="2:5" x14ac:dyDescent="0.2">
      <c r="B2910" s="159"/>
      <c r="C2910" s="160"/>
      <c r="D2910" s="159"/>
      <c r="E2910" s="159"/>
    </row>
    <row r="2911" spans="2:5" x14ac:dyDescent="0.2">
      <c r="B2911" s="159"/>
      <c r="C2911" s="160"/>
      <c r="D2911" s="159"/>
      <c r="E2911" s="159"/>
    </row>
    <row r="2912" spans="2:5" x14ac:dyDescent="0.2">
      <c r="B2912" s="159"/>
      <c r="C2912" s="160"/>
      <c r="D2912" s="159"/>
      <c r="E2912" s="159"/>
    </row>
    <row r="2913" spans="2:5" x14ac:dyDescent="0.2">
      <c r="B2913" s="159"/>
      <c r="C2913" s="160"/>
      <c r="D2913" s="159"/>
      <c r="E2913" s="159"/>
    </row>
    <row r="2914" spans="2:5" x14ac:dyDescent="0.2">
      <c r="B2914" s="159"/>
      <c r="C2914" s="160"/>
      <c r="D2914" s="159"/>
      <c r="E2914" s="159"/>
    </row>
    <row r="2915" spans="2:5" x14ac:dyDescent="0.2">
      <c r="B2915" s="159"/>
      <c r="C2915" s="160"/>
      <c r="D2915" s="159"/>
      <c r="E2915" s="159"/>
    </row>
    <row r="2916" spans="2:5" x14ac:dyDescent="0.2">
      <c r="B2916" s="159"/>
      <c r="C2916" s="160"/>
      <c r="D2916" s="159"/>
      <c r="E2916" s="159"/>
    </row>
    <row r="2917" spans="2:5" x14ac:dyDescent="0.2">
      <c r="B2917" s="159"/>
      <c r="C2917" s="160"/>
      <c r="D2917" s="159"/>
      <c r="E2917" s="159"/>
    </row>
    <row r="2918" spans="2:5" x14ac:dyDescent="0.2">
      <c r="B2918" s="159"/>
      <c r="C2918" s="160"/>
      <c r="D2918" s="159"/>
      <c r="E2918" s="159"/>
    </row>
    <row r="2919" spans="2:5" x14ac:dyDescent="0.2">
      <c r="B2919" s="159"/>
      <c r="C2919" s="160"/>
      <c r="D2919" s="159"/>
      <c r="E2919" s="159"/>
    </row>
    <row r="2920" spans="2:5" x14ac:dyDescent="0.2">
      <c r="B2920" s="159"/>
      <c r="C2920" s="160"/>
      <c r="D2920" s="159"/>
      <c r="E2920" s="159"/>
    </row>
    <row r="2921" spans="2:5" x14ac:dyDescent="0.2">
      <c r="B2921" s="159"/>
      <c r="C2921" s="160"/>
      <c r="D2921" s="159"/>
      <c r="E2921" s="159"/>
    </row>
    <row r="2922" spans="2:5" x14ac:dyDescent="0.2">
      <c r="B2922" s="159"/>
      <c r="C2922" s="160"/>
      <c r="D2922" s="159"/>
      <c r="E2922" s="159"/>
    </row>
    <row r="2923" spans="2:5" x14ac:dyDescent="0.2">
      <c r="B2923" s="159"/>
      <c r="C2923" s="160"/>
      <c r="D2923" s="159"/>
      <c r="E2923" s="159"/>
    </row>
    <row r="2924" spans="2:5" x14ac:dyDescent="0.2">
      <c r="B2924" s="159"/>
      <c r="C2924" s="160"/>
      <c r="D2924" s="159"/>
      <c r="E2924" s="159"/>
    </row>
    <row r="2925" spans="2:5" x14ac:dyDescent="0.2">
      <c r="B2925" s="159"/>
      <c r="C2925" s="160"/>
      <c r="D2925" s="159"/>
      <c r="E2925" s="159"/>
    </row>
    <row r="2926" spans="2:5" x14ac:dyDescent="0.2">
      <c r="B2926" s="159"/>
      <c r="C2926" s="160"/>
      <c r="D2926" s="159"/>
      <c r="E2926" s="159"/>
    </row>
    <row r="2927" spans="2:5" x14ac:dyDescent="0.2">
      <c r="B2927" s="159"/>
      <c r="C2927" s="160"/>
      <c r="D2927" s="159"/>
      <c r="E2927" s="159"/>
    </row>
    <row r="2928" spans="2:5" x14ac:dyDescent="0.2">
      <c r="B2928" s="159"/>
      <c r="C2928" s="160"/>
      <c r="D2928" s="159"/>
      <c r="E2928" s="159"/>
    </row>
    <row r="2929" spans="2:5" x14ac:dyDescent="0.2">
      <c r="B2929" s="159"/>
      <c r="C2929" s="160"/>
      <c r="D2929" s="159"/>
      <c r="E2929" s="159"/>
    </row>
    <row r="2930" spans="2:5" x14ac:dyDescent="0.2">
      <c r="B2930" s="159"/>
      <c r="C2930" s="160"/>
      <c r="D2930" s="159"/>
      <c r="E2930" s="159"/>
    </row>
    <row r="2931" spans="2:5" x14ac:dyDescent="0.2">
      <c r="B2931" s="159"/>
      <c r="C2931" s="160"/>
      <c r="D2931" s="159"/>
      <c r="E2931" s="159"/>
    </row>
    <row r="2932" spans="2:5" x14ac:dyDescent="0.2">
      <c r="B2932" s="159"/>
      <c r="C2932" s="160"/>
      <c r="D2932" s="159"/>
      <c r="E2932" s="159"/>
    </row>
    <row r="2933" spans="2:5" x14ac:dyDescent="0.2">
      <c r="B2933" s="159"/>
      <c r="C2933" s="160"/>
      <c r="D2933" s="159"/>
      <c r="E2933" s="159"/>
    </row>
    <row r="2934" spans="2:5" x14ac:dyDescent="0.2">
      <c r="B2934" s="159"/>
      <c r="C2934" s="160"/>
      <c r="D2934" s="159"/>
      <c r="E2934" s="159"/>
    </row>
    <row r="2935" spans="2:5" x14ac:dyDescent="0.2">
      <c r="B2935" s="159"/>
      <c r="C2935" s="160"/>
      <c r="D2935" s="159"/>
      <c r="E2935" s="159"/>
    </row>
    <row r="2936" spans="2:5" x14ac:dyDescent="0.2">
      <c r="B2936" s="159"/>
      <c r="C2936" s="160"/>
      <c r="D2936" s="159"/>
      <c r="E2936" s="159"/>
    </row>
    <row r="2937" spans="2:5" x14ac:dyDescent="0.2">
      <c r="B2937" s="159"/>
      <c r="C2937" s="160"/>
      <c r="D2937" s="159"/>
      <c r="E2937" s="159"/>
    </row>
    <row r="2938" spans="2:5" x14ac:dyDescent="0.2">
      <c r="B2938" s="159"/>
      <c r="C2938" s="160"/>
      <c r="D2938" s="159"/>
      <c r="E2938" s="159"/>
    </row>
    <row r="2939" spans="2:5" x14ac:dyDescent="0.2">
      <c r="B2939" s="159"/>
      <c r="C2939" s="160"/>
      <c r="D2939" s="159"/>
      <c r="E2939" s="159"/>
    </row>
    <row r="2940" spans="2:5" x14ac:dyDescent="0.2">
      <c r="B2940" s="159"/>
      <c r="C2940" s="160"/>
      <c r="D2940" s="159"/>
      <c r="E2940" s="159"/>
    </row>
    <row r="2941" spans="2:5" x14ac:dyDescent="0.2">
      <c r="B2941" s="159"/>
      <c r="C2941" s="160"/>
      <c r="D2941" s="159"/>
      <c r="E2941" s="159"/>
    </row>
    <row r="2942" spans="2:5" x14ac:dyDescent="0.2">
      <c r="B2942" s="159"/>
      <c r="C2942" s="160"/>
      <c r="D2942" s="159"/>
      <c r="E2942" s="159"/>
    </row>
    <row r="2943" spans="2:5" x14ac:dyDescent="0.2">
      <c r="B2943" s="159"/>
      <c r="C2943" s="160"/>
      <c r="D2943" s="159"/>
      <c r="E2943" s="159"/>
    </row>
    <row r="2944" spans="2:5" x14ac:dyDescent="0.2">
      <c r="B2944" s="159"/>
      <c r="C2944" s="160"/>
      <c r="D2944" s="159"/>
      <c r="E2944" s="159"/>
    </row>
    <row r="2945" spans="2:5" x14ac:dyDescent="0.2">
      <c r="B2945" s="159"/>
      <c r="C2945" s="160"/>
      <c r="D2945" s="159"/>
      <c r="E2945" s="159"/>
    </row>
    <row r="2946" spans="2:5" x14ac:dyDescent="0.2">
      <c r="B2946" s="159"/>
      <c r="C2946" s="160"/>
      <c r="D2946" s="159"/>
      <c r="E2946" s="159"/>
    </row>
    <row r="2947" spans="2:5" x14ac:dyDescent="0.2">
      <c r="B2947" s="159"/>
      <c r="C2947" s="160"/>
      <c r="D2947" s="159"/>
      <c r="E2947" s="159"/>
    </row>
    <row r="2948" spans="2:5" x14ac:dyDescent="0.2">
      <c r="B2948" s="159"/>
      <c r="C2948" s="160"/>
      <c r="D2948" s="159"/>
      <c r="E2948" s="159"/>
    </row>
    <row r="2949" spans="2:5" x14ac:dyDescent="0.2">
      <c r="B2949" s="159"/>
      <c r="C2949" s="160"/>
      <c r="D2949" s="159"/>
      <c r="E2949" s="159"/>
    </row>
    <row r="2950" spans="2:5" x14ac:dyDescent="0.2">
      <c r="B2950" s="159"/>
      <c r="C2950" s="160"/>
      <c r="D2950" s="159"/>
      <c r="E2950" s="159"/>
    </row>
    <row r="2951" spans="2:5" x14ac:dyDescent="0.2">
      <c r="B2951" s="159"/>
      <c r="C2951" s="160"/>
      <c r="D2951" s="159"/>
      <c r="E2951" s="159"/>
    </row>
    <row r="2952" spans="2:5" x14ac:dyDescent="0.2">
      <c r="B2952" s="159"/>
      <c r="C2952" s="160"/>
      <c r="D2952" s="159"/>
      <c r="E2952" s="159"/>
    </row>
    <row r="2953" spans="2:5" x14ac:dyDescent="0.2">
      <c r="B2953" s="159"/>
      <c r="C2953" s="160"/>
      <c r="D2953" s="159"/>
      <c r="E2953" s="159"/>
    </row>
    <row r="2954" spans="2:5" x14ac:dyDescent="0.2">
      <c r="B2954" s="159"/>
      <c r="C2954" s="160"/>
      <c r="D2954" s="159"/>
      <c r="E2954" s="159"/>
    </row>
    <row r="2955" spans="2:5" x14ac:dyDescent="0.2">
      <c r="B2955" s="159"/>
      <c r="C2955" s="160"/>
      <c r="D2955" s="159"/>
      <c r="E2955" s="159"/>
    </row>
    <row r="2956" spans="2:5" x14ac:dyDescent="0.2">
      <c r="B2956" s="159"/>
      <c r="C2956" s="160"/>
      <c r="D2956" s="159"/>
      <c r="E2956" s="159"/>
    </row>
    <row r="2957" spans="2:5" x14ac:dyDescent="0.2">
      <c r="B2957" s="159"/>
      <c r="C2957" s="160"/>
      <c r="D2957" s="159"/>
      <c r="E2957" s="159"/>
    </row>
    <row r="2958" spans="2:5" x14ac:dyDescent="0.2">
      <c r="B2958" s="159"/>
      <c r="C2958" s="160"/>
      <c r="D2958" s="159"/>
      <c r="E2958" s="159"/>
    </row>
    <row r="2959" spans="2:5" x14ac:dyDescent="0.2">
      <c r="B2959" s="159"/>
      <c r="C2959" s="160"/>
      <c r="D2959" s="159"/>
      <c r="E2959" s="159"/>
    </row>
    <row r="2960" spans="2:5" x14ac:dyDescent="0.2">
      <c r="B2960" s="159"/>
      <c r="C2960" s="160"/>
      <c r="D2960" s="159"/>
      <c r="E2960" s="159"/>
    </row>
    <row r="2961" spans="2:5" x14ac:dyDescent="0.2">
      <c r="B2961" s="159"/>
      <c r="C2961" s="160"/>
      <c r="D2961" s="159"/>
      <c r="E2961" s="159"/>
    </row>
    <row r="2962" spans="2:5" x14ac:dyDescent="0.2">
      <c r="B2962" s="159"/>
      <c r="C2962" s="160"/>
      <c r="D2962" s="159"/>
      <c r="E2962" s="159"/>
    </row>
    <row r="2963" spans="2:5" x14ac:dyDescent="0.2">
      <c r="B2963" s="159"/>
      <c r="C2963" s="160"/>
      <c r="D2963" s="159"/>
      <c r="E2963" s="159"/>
    </row>
    <row r="2964" spans="2:5" x14ac:dyDescent="0.2">
      <c r="B2964" s="159"/>
      <c r="C2964" s="160"/>
      <c r="D2964" s="159"/>
      <c r="E2964" s="159"/>
    </row>
    <row r="2965" spans="2:5" x14ac:dyDescent="0.2">
      <c r="B2965" s="159"/>
      <c r="C2965" s="160"/>
      <c r="D2965" s="159"/>
      <c r="E2965" s="159"/>
    </row>
    <row r="2966" spans="2:5" x14ac:dyDescent="0.2">
      <c r="B2966" s="159"/>
      <c r="C2966" s="160"/>
      <c r="D2966" s="159"/>
      <c r="E2966" s="159"/>
    </row>
    <row r="2967" spans="2:5" x14ac:dyDescent="0.2">
      <c r="B2967" s="159"/>
      <c r="C2967" s="160"/>
      <c r="D2967" s="159"/>
      <c r="E2967" s="159"/>
    </row>
    <row r="2968" spans="2:5" x14ac:dyDescent="0.2">
      <c r="B2968" s="159"/>
      <c r="C2968" s="160"/>
      <c r="D2968" s="159"/>
      <c r="E2968" s="159"/>
    </row>
    <row r="2969" spans="2:5" x14ac:dyDescent="0.2">
      <c r="B2969" s="159"/>
      <c r="C2969" s="160"/>
      <c r="D2969" s="159"/>
      <c r="E2969" s="159"/>
    </row>
    <row r="2970" spans="2:5" x14ac:dyDescent="0.2">
      <c r="B2970" s="159"/>
      <c r="C2970" s="160"/>
      <c r="D2970" s="159"/>
      <c r="E2970" s="159"/>
    </row>
    <row r="2971" spans="2:5" x14ac:dyDescent="0.2">
      <c r="B2971" s="159"/>
      <c r="C2971" s="160"/>
      <c r="D2971" s="159"/>
      <c r="E2971" s="159"/>
    </row>
    <row r="2972" spans="2:5" x14ac:dyDescent="0.2">
      <c r="B2972" s="159"/>
      <c r="C2972" s="160"/>
      <c r="D2972" s="159"/>
      <c r="E2972" s="159"/>
    </row>
    <row r="2973" spans="2:5" x14ac:dyDescent="0.2">
      <c r="B2973" s="159"/>
      <c r="C2973" s="160"/>
      <c r="D2973" s="159"/>
      <c r="E2973" s="159"/>
    </row>
    <row r="2974" spans="2:5" x14ac:dyDescent="0.2">
      <c r="B2974" s="159"/>
      <c r="C2974" s="160"/>
      <c r="D2974" s="159"/>
      <c r="E2974" s="159"/>
    </row>
    <row r="2975" spans="2:5" x14ac:dyDescent="0.2">
      <c r="B2975" s="159"/>
      <c r="C2975" s="160"/>
      <c r="D2975" s="159"/>
      <c r="E2975" s="159"/>
    </row>
    <row r="2976" spans="2:5" x14ac:dyDescent="0.2">
      <c r="B2976" s="159"/>
      <c r="C2976" s="160"/>
      <c r="D2976" s="159"/>
      <c r="E2976" s="159"/>
    </row>
    <row r="2977" spans="2:5" x14ac:dyDescent="0.2">
      <c r="B2977" s="159"/>
      <c r="C2977" s="160"/>
      <c r="D2977" s="159"/>
      <c r="E2977" s="159"/>
    </row>
    <row r="2978" spans="2:5" x14ac:dyDescent="0.2">
      <c r="B2978" s="159"/>
      <c r="C2978" s="160"/>
      <c r="D2978" s="159"/>
      <c r="E2978" s="159"/>
    </row>
    <row r="2979" spans="2:5" x14ac:dyDescent="0.2">
      <c r="B2979" s="159"/>
      <c r="C2979" s="160"/>
      <c r="D2979" s="159"/>
      <c r="E2979" s="159"/>
    </row>
    <row r="2980" spans="2:5" x14ac:dyDescent="0.2">
      <c r="B2980" s="159"/>
      <c r="C2980" s="160"/>
      <c r="D2980" s="159"/>
      <c r="E2980" s="159"/>
    </row>
    <row r="2981" spans="2:5" x14ac:dyDescent="0.2">
      <c r="B2981" s="159"/>
      <c r="C2981" s="160"/>
      <c r="D2981" s="159"/>
      <c r="E2981" s="159"/>
    </row>
    <row r="2982" spans="2:5" x14ac:dyDescent="0.2">
      <c r="B2982" s="159"/>
      <c r="C2982" s="160"/>
      <c r="D2982" s="159"/>
      <c r="E2982" s="159"/>
    </row>
    <row r="2983" spans="2:5" x14ac:dyDescent="0.2">
      <c r="B2983" s="159"/>
      <c r="C2983" s="160"/>
      <c r="D2983" s="159"/>
      <c r="E2983" s="159"/>
    </row>
    <row r="2984" spans="2:5" x14ac:dyDescent="0.2">
      <c r="B2984" s="159"/>
      <c r="C2984" s="160"/>
      <c r="D2984" s="159"/>
      <c r="E2984" s="159"/>
    </row>
    <row r="2985" spans="2:5" x14ac:dyDescent="0.2">
      <c r="B2985" s="159"/>
      <c r="C2985" s="160"/>
      <c r="D2985" s="159"/>
      <c r="E2985" s="159"/>
    </row>
    <row r="2986" spans="2:5" x14ac:dyDescent="0.2">
      <c r="B2986" s="159"/>
      <c r="C2986" s="160"/>
      <c r="D2986" s="159"/>
      <c r="E2986" s="159"/>
    </row>
    <row r="2987" spans="2:5" x14ac:dyDescent="0.2">
      <c r="B2987" s="159"/>
      <c r="C2987" s="160"/>
      <c r="D2987" s="159"/>
      <c r="E2987" s="159"/>
    </row>
    <row r="2988" spans="2:5" x14ac:dyDescent="0.2">
      <c r="B2988" s="159"/>
      <c r="C2988" s="160"/>
      <c r="D2988" s="159"/>
      <c r="E2988" s="159"/>
    </row>
    <row r="2989" spans="2:5" x14ac:dyDescent="0.2">
      <c r="B2989" s="159"/>
      <c r="C2989" s="160"/>
      <c r="D2989" s="159"/>
      <c r="E2989" s="159"/>
    </row>
    <row r="2990" spans="2:5" x14ac:dyDescent="0.2">
      <c r="B2990" s="159"/>
      <c r="C2990" s="160"/>
      <c r="D2990" s="159"/>
      <c r="E2990" s="159"/>
    </row>
    <row r="2991" spans="2:5" x14ac:dyDescent="0.2">
      <c r="B2991" s="159"/>
      <c r="C2991" s="160"/>
      <c r="D2991" s="159"/>
      <c r="E2991" s="159"/>
    </row>
    <row r="2992" spans="2:5" x14ac:dyDescent="0.2">
      <c r="B2992" s="159"/>
      <c r="C2992" s="160"/>
      <c r="D2992" s="159"/>
      <c r="E2992" s="159"/>
    </row>
    <row r="2993" spans="2:5" x14ac:dyDescent="0.2">
      <c r="B2993" s="159"/>
      <c r="C2993" s="160"/>
      <c r="D2993" s="159"/>
      <c r="E2993" s="159"/>
    </row>
    <row r="2994" spans="2:5" x14ac:dyDescent="0.2">
      <c r="B2994" s="159"/>
      <c r="C2994" s="160"/>
      <c r="D2994" s="159"/>
      <c r="E2994" s="159"/>
    </row>
    <row r="2995" spans="2:5" x14ac:dyDescent="0.2">
      <c r="B2995" s="159"/>
      <c r="C2995" s="160"/>
      <c r="D2995" s="159"/>
      <c r="E2995" s="159"/>
    </row>
    <row r="2996" spans="2:5" x14ac:dyDescent="0.2">
      <c r="B2996" s="159"/>
      <c r="C2996" s="160"/>
      <c r="D2996" s="159"/>
      <c r="E2996" s="159"/>
    </row>
    <row r="2997" spans="2:5" x14ac:dyDescent="0.2">
      <c r="B2997" s="159"/>
      <c r="C2997" s="160"/>
      <c r="D2997" s="159"/>
      <c r="E2997" s="159"/>
    </row>
    <row r="2998" spans="2:5" x14ac:dyDescent="0.2">
      <c r="B2998" s="159"/>
      <c r="C2998" s="160"/>
      <c r="D2998" s="159"/>
      <c r="E2998" s="159"/>
    </row>
    <row r="2999" spans="2:5" x14ac:dyDescent="0.2">
      <c r="B2999" s="159"/>
      <c r="C2999" s="160"/>
      <c r="D2999" s="159"/>
      <c r="E2999" s="159"/>
    </row>
    <row r="3000" spans="2:5" x14ac:dyDescent="0.2">
      <c r="B3000" s="159"/>
      <c r="C3000" s="160"/>
      <c r="D3000" s="159"/>
      <c r="E3000" s="159"/>
    </row>
    <row r="3001" spans="2:5" x14ac:dyDescent="0.2">
      <c r="B3001" s="159"/>
      <c r="C3001" s="160"/>
      <c r="D3001" s="159"/>
      <c r="E3001" s="159"/>
    </row>
    <row r="3002" spans="2:5" x14ac:dyDescent="0.2">
      <c r="B3002" s="159"/>
      <c r="C3002" s="160"/>
      <c r="D3002" s="159"/>
      <c r="E3002" s="159"/>
    </row>
    <row r="3003" spans="2:5" x14ac:dyDescent="0.2">
      <c r="B3003" s="159"/>
      <c r="C3003" s="160"/>
      <c r="D3003" s="159"/>
      <c r="E3003" s="159"/>
    </row>
    <row r="3004" spans="2:5" x14ac:dyDescent="0.2">
      <c r="B3004" s="159"/>
      <c r="C3004" s="160"/>
      <c r="D3004" s="159"/>
      <c r="E3004" s="159"/>
    </row>
    <row r="3005" spans="2:5" x14ac:dyDescent="0.2">
      <c r="B3005" s="159"/>
      <c r="C3005" s="160"/>
      <c r="D3005" s="159"/>
      <c r="E3005" s="159"/>
    </row>
    <row r="3006" spans="2:5" x14ac:dyDescent="0.2">
      <c r="B3006" s="159"/>
      <c r="C3006" s="160"/>
      <c r="D3006" s="159"/>
      <c r="E3006" s="159"/>
    </row>
    <row r="3007" spans="2:5" x14ac:dyDescent="0.2">
      <c r="B3007" s="159"/>
      <c r="C3007" s="160"/>
      <c r="D3007" s="159"/>
      <c r="E3007" s="159"/>
    </row>
    <row r="3008" spans="2:5" x14ac:dyDescent="0.2">
      <c r="B3008" s="159"/>
      <c r="C3008" s="160"/>
      <c r="D3008" s="159"/>
      <c r="E3008" s="159"/>
    </row>
    <row r="3009" spans="2:5" x14ac:dyDescent="0.2">
      <c r="B3009" s="159"/>
      <c r="C3009" s="160"/>
      <c r="D3009" s="159"/>
      <c r="E3009" s="159"/>
    </row>
    <row r="3010" spans="2:5" x14ac:dyDescent="0.2">
      <c r="B3010" s="159"/>
      <c r="C3010" s="160"/>
      <c r="D3010" s="159"/>
      <c r="E3010" s="159"/>
    </row>
    <row r="3011" spans="2:5" x14ac:dyDescent="0.2">
      <c r="B3011" s="159"/>
      <c r="C3011" s="160"/>
      <c r="D3011" s="159"/>
      <c r="E3011" s="159"/>
    </row>
    <row r="3012" spans="2:5" x14ac:dyDescent="0.2">
      <c r="B3012" s="159"/>
      <c r="C3012" s="160"/>
      <c r="D3012" s="159"/>
      <c r="E3012" s="159"/>
    </row>
    <row r="3013" spans="2:5" x14ac:dyDescent="0.2">
      <c r="B3013" s="159"/>
      <c r="C3013" s="160"/>
      <c r="D3013" s="159"/>
      <c r="E3013" s="159"/>
    </row>
    <row r="3014" spans="2:5" x14ac:dyDescent="0.2">
      <c r="B3014" s="159"/>
      <c r="C3014" s="160"/>
      <c r="D3014" s="159"/>
      <c r="E3014" s="159"/>
    </row>
    <row r="3015" spans="2:5" x14ac:dyDescent="0.2">
      <c r="B3015" s="159"/>
      <c r="C3015" s="160"/>
      <c r="D3015" s="159"/>
      <c r="E3015" s="159"/>
    </row>
    <row r="3016" spans="2:5" x14ac:dyDescent="0.2">
      <c r="B3016" s="159"/>
      <c r="C3016" s="160"/>
      <c r="D3016" s="159"/>
      <c r="E3016" s="159"/>
    </row>
    <row r="3017" spans="2:5" x14ac:dyDescent="0.2">
      <c r="B3017" s="159"/>
      <c r="C3017" s="160"/>
      <c r="D3017" s="159"/>
      <c r="E3017" s="159"/>
    </row>
    <row r="3018" spans="2:5" x14ac:dyDescent="0.2">
      <c r="B3018" s="159"/>
      <c r="C3018" s="160"/>
      <c r="D3018" s="159"/>
      <c r="E3018" s="159"/>
    </row>
    <row r="3019" spans="2:5" x14ac:dyDescent="0.2">
      <c r="B3019" s="159"/>
      <c r="C3019" s="160"/>
      <c r="D3019" s="159"/>
      <c r="E3019" s="159"/>
    </row>
    <row r="3020" spans="2:5" x14ac:dyDescent="0.2">
      <c r="B3020" s="159"/>
      <c r="C3020" s="160"/>
      <c r="D3020" s="159"/>
      <c r="E3020" s="159"/>
    </row>
    <row r="3021" spans="2:5" x14ac:dyDescent="0.2">
      <c r="B3021" s="159"/>
      <c r="C3021" s="160"/>
      <c r="D3021" s="159"/>
      <c r="E3021" s="159"/>
    </row>
    <row r="3022" spans="2:5" x14ac:dyDescent="0.2">
      <c r="B3022" s="159"/>
      <c r="C3022" s="160"/>
      <c r="D3022" s="159"/>
      <c r="E3022" s="159"/>
    </row>
    <row r="3023" spans="2:5" x14ac:dyDescent="0.2">
      <c r="B3023" s="159"/>
      <c r="C3023" s="160"/>
      <c r="D3023" s="159"/>
      <c r="E3023" s="159"/>
    </row>
    <row r="3024" spans="2:5" x14ac:dyDescent="0.2">
      <c r="B3024" s="159"/>
      <c r="C3024" s="160"/>
      <c r="D3024" s="159"/>
      <c r="E3024" s="159"/>
    </row>
    <row r="3025" spans="2:5" x14ac:dyDescent="0.2">
      <c r="B3025" s="159"/>
      <c r="C3025" s="160"/>
      <c r="D3025" s="159"/>
      <c r="E3025" s="159"/>
    </row>
    <row r="3026" spans="2:5" x14ac:dyDescent="0.2">
      <c r="B3026" s="159"/>
      <c r="C3026" s="160"/>
      <c r="D3026" s="159"/>
      <c r="E3026" s="159"/>
    </row>
    <row r="3027" spans="2:5" x14ac:dyDescent="0.2">
      <c r="B3027" s="159"/>
      <c r="C3027" s="160"/>
      <c r="D3027" s="159"/>
      <c r="E3027" s="159"/>
    </row>
    <row r="3028" spans="2:5" x14ac:dyDescent="0.2">
      <c r="B3028" s="159"/>
      <c r="C3028" s="160"/>
      <c r="D3028" s="159"/>
      <c r="E3028" s="159"/>
    </row>
    <row r="3029" spans="2:5" x14ac:dyDescent="0.2">
      <c r="B3029" s="159"/>
      <c r="C3029" s="160"/>
      <c r="D3029" s="159"/>
      <c r="E3029" s="159"/>
    </row>
    <row r="3030" spans="2:5" x14ac:dyDescent="0.2">
      <c r="B3030" s="159"/>
      <c r="C3030" s="160"/>
      <c r="D3030" s="159"/>
      <c r="E3030" s="159"/>
    </row>
    <row r="3031" spans="2:5" x14ac:dyDescent="0.2">
      <c r="B3031" s="159"/>
      <c r="C3031" s="160"/>
      <c r="D3031" s="159"/>
      <c r="E3031" s="159"/>
    </row>
    <row r="3032" spans="2:5" x14ac:dyDescent="0.2">
      <c r="B3032" s="159"/>
      <c r="C3032" s="160"/>
      <c r="D3032" s="159"/>
      <c r="E3032" s="159"/>
    </row>
    <row r="3033" spans="2:5" x14ac:dyDescent="0.2">
      <c r="B3033" s="159"/>
      <c r="C3033" s="160"/>
      <c r="D3033" s="159"/>
      <c r="E3033" s="159"/>
    </row>
    <row r="3034" spans="2:5" x14ac:dyDescent="0.2">
      <c r="B3034" s="159"/>
      <c r="C3034" s="160"/>
      <c r="D3034" s="159"/>
      <c r="E3034" s="159"/>
    </row>
    <row r="3035" spans="2:5" x14ac:dyDescent="0.2">
      <c r="B3035" s="159"/>
      <c r="C3035" s="160"/>
      <c r="D3035" s="159"/>
      <c r="E3035" s="159"/>
    </row>
    <row r="3036" spans="2:5" x14ac:dyDescent="0.2">
      <c r="B3036" s="159"/>
      <c r="C3036" s="160"/>
      <c r="D3036" s="159"/>
      <c r="E3036" s="159"/>
    </row>
    <row r="3037" spans="2:5" x14ac:dyDescent="0.2">
      <c r="B3037" s="159"/>
      <c r="C3037" s="160"/>
      <c r="D3037" s="159"/>
      <c r="E3037" s="159"/>
    </row>
    <row r="3038" spans="2:5" x14ac:dyDescent="0.2">
      <c r="B3038" s="159"/>
      <c r="C3038" s="160"/>
      <c r="D3038" s="159"/>
      <c r="E3038" s="159"/>
    </row>
    <row r="3039" spans="2:5" x14ac:dyDescent="0.2">
      <c r="B3039" s="159"/>
      <c r="C3039" s="160"/>
      <c r="D3039" s="159"/>
      <c r="E3039" s="159"/>
    </row>
    <row r="3040" spans="2:5" x14ac:dyDescent="0.2">
      <c r="B3040" s="159"/>
      <c r="C3040" s="160"/>
      <c r="D3040" s="159"/>
      <c r="E3040" s="159"/>
    </row>
    <row r="3041" spans="2:5" x14ac:dyDescent="0.2">
      <c r="B3041" s="159"/>
      <c r="C3041" s="160"/>
      <c r="D3041" s="159"/>
      <c r="E3041" s="159"/>
    </row>
    <row r="3042" spans="2:5" x14ac:dyDescent="0.2">
      <c r="B3042" s="159"/>
      <c r="C3042" s="160"/>
      <c r="D3042" s="159"/>
      <c r="E3042" s="159"/>
    </row>
    <row r="3043" spans="2:5" x14ac:dyDescent="0.2">
      <c r="B3043" s="159"/>
      <c r="C3043" s="160"/>
      <c r="D3043" s="159"/>
      <c r="E3043" s="159"/>
    </row>
    <row r="3044" spans="2:5" x14ac:dyDescent="0.2">
      <c r="B3044" s="159"/>
      <c r="C3044" s="160"/>
      <c r="D3044" s="159"/>
      <c r="E3044" s="159"/>
    </row>
    <row r="3045" spans="2:5" x14ac:dyDescent="0.2">
      <c r="B3045" s="159"/>
      <c r="C3045" s="160"/>
      <c r="D3045" s="159"/>
      <c r="E3045" s="159"/>
    </row>
    <row r="3046" spans="2:5" x14ac:dyDescent="0.2">
      <c r="B3046" s="159"/>
      <c r="C3046" s="160"/>
      <c r="D3046" s="159"/>
      <c r="E3046" s="159"/>
    </row>
    <row r="3047" spans="2:5" x14ac:dyDescent="0.2">
      <c r="B3047" s="159"/>
      <c r="C3047" s="160"/>
      <c r="D3047" s="159"/>
      <c r="E3047" s="159"/>
    </row>
    <row r="3048" spans="2:5" x14ac:dyDescent="0.2">
      <c r="B3048" s="159"/>
      <c r="C3048" s="160"/>
      <c r="D3048" s="159"/>
      <c r="E3048" s="159"/>
    </row>
    <row r="3049" spans="2:5" x14ac:dyDescent="0.2">
      <c r="B3049" s="159"/>
      <c r="C3049" s="160"/>
      <c r="D3049" s="159"/>
      <c r="E3049" s="159"/>
    </row>
    <row r="3050" spans="2:5" x14ac:dyDescent="0.2">
      <c r="B3050" s="159"/>
      <c r="C3050" s="160"/>
      <c r="D3050" s="159"/>
      <c r="E3050" s="159"/>
    </row>
    <row r="3051" spans="2:5" x14ac:dyDescent="0.2">
      <c r="B3051" s="159"/>
      <c r="C3051" s="160"/>
      <c r="D3051" s="159"/>
      <c r="E3051" s="159"/>
    </row>
    <row r="3052" spans="2:5" x14ac:dyDescent="0.2">
      <c r="B3052" s="159"/>
      <c r="C3052" s="160"/>
      <c r="D3052" s="159"/>
      <c r="E3052" s="159"/>
    </row>
    <row r="3053" spans="2:5" x14ac:dyDescent="0.2">
      <c r="B3053" s="159"/>
      <c r="C3053" s="160"/>
      <c r="D3053" s="159"/>
      <c r="E3053" s="159"/>
    </row>
    <row r="3054" spans="2:5" x14ac:dyDescent="0.2">
      <c r="B3054" s="159"/>
      <c r="C3054" s="160"/>
      <c r="D3054" s="159"/>
      <c r="E3054" s="159"/>
    </row>
    <row r="3055" spans="2:5" x14ac:dyDescent="0.2">
      <c r="B3055" s="159"/>
      <c r="C3055" s="160"/>
      <c r="D3055" s="159"/>
      <c r="E3055" s="159"/>
    </row>
    <row r="3056" spans="2:5" x14ac:dyDescent="0.2">
      <c r="B3056" s="159"/>
      <c r="C3056" s="160"/>
      <c r="D3056" s="159"/>
      <c r="E3056" s="159"/>
    </row>
    <row r="3057" spans="2:5" x14ac:dyDescent="0.2">
      <c r="B3057" s="159"/>
      <c r="C3057" s="160"/>
      <c r="D3057" s="159"/>
      <c r="E3057" s="159"/>
    </row>
    <row r="3058" spans="2:5" x14ac:dyDescent="0.2">
      <c r="B3058" s="159"/>
      <c r="C3058" s="160"/>
      <c r="D3058" s="159"/>
      <c r="E3058" s="159"/>
    </row>
    <row r="3059" spans="2:5" x14ac:dyDescent="0.2">
      <c r="B3059" s="159"/>
      <c r="C3059" s="160"/>
      <c r="D3059" s="159"/>
      <c r="E3059" s="159"/>
    </row>
    <row r="3060" spans="2:5" x14ac:dyDescent="0.2">
      <c r="B3060" s="159"/>
      <c r="C3060" s="160"/>
      <c r="D3060" s="159"/>
      <c r="E3060" s="159"/>
    </row>
  </sheetData>
  <mergeCells count="5">
    <mergeCell ref="F130:G130"/>
    <mergeCell ref="D132:D137"/>
    <mergeCell ref="D138:D142"/>
    <mergeCell ref="D144:E144"/>
    <mergeCell ref="D145:E145"/>
  </mergeCells>
  <pageMargins left="0.7" right="0.7" top="0.75" bottom="0.75" header="0.3" footer="0.3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485A-A153-4BAA-9948-BE40229A42B3}">
  <dimension ref="A1:J60"/>
  <sheetViews>
    <sheetView workbookViewId="0">
      <selection activeCell="K27" sqref="K27"/>
    </sheetView>
  </sheetViews>
  <sheetFormatPr baseColWidth="10" defaultColWidth="11.54296875" defaultRowHeight="15" x14ac:dyDescent="0.35"/>
  <cols>
    <col min="2" max="2" width="19" customWidth="1"/>
    <col min="5" max="5" width="18" customWidth="1"/>
  </cols>
  <sheetData>
    <row r="1" spans="1:10" x14ac:dyDescent="0.35">
      <c r="A1" s="69" t="s">
        <v>45</v>
      </c>
      <c r="B1" s="94">
        <v>2024</v>
      </c>
    </row>
    <row r="2" spans="1:10" x14ac:dyDescent="0.35">
      <c r="A2" s="95" t="s">
        <v>175</v>
      </c>
      <c r="B2" s="94">
        <v>1</v>
      </c>
    </row>
    <row r="4" spans="1:10" x14ac:dyDescent="0.35">
      <c r="A4" s="69" t="s">
        <v>92</v>
      </c>
      <c r="B4" s="69" t="s">
        <v>0</v>
      </c>
    </row>
    <row r="5" spans="1:10" ht="15.75" customHeight="1" x14ac:dyDescent="0.35">
      <c r="A5" s="7">
        <v>68.748150787999663</v>
      </c>
      <c r="B5" t="s">
        <v>9</v>
      </c>
      <c r="D5" s="393" t="s">
        <v>193</v>
      </c>
      <c r="E5" s="99" t="str">
        <f>PROPER(B18)</f>
        <v>Santander</v>
      </c>
      <c r="F5" s="100">
        <f>A18</f>
        <v>46.548663847397748</v>
      </c>
      <c r="H5" s="393"/>
      <c r="I5" s="99"/>
      <c r="J5" s="100"/>
    </row>
    <row r="6" spans="1:10" x14ac:dyDescent="0.35">
      <c r="A6" s="7">
        <v>61.84893636683325</v>
      </c>
      <c r="B6" t="s">
        <v>27</v>
      </c>
      <c r="D6" s="393"/>
      <c r="E6" s="99" t="str">
        <f>PROPER(B17)</f>
        <v>Norte De Santander</v>
      </c>
      <c r="F6" s="100">
        <f>A17</f>
        <v>49.750536717839175</v>
      </c>
      <c r="H6" s="393"/>
      <c r="I6" s="99"/>
      <c r="J6" s="100"/>
    </row>
    <row r="7" spans="1:10" x14ac:dyDescent="0.35">
      <c r="A7" s="7">
        <v>60.742783661202992</v>
      </c>
      <c r="B7" t="s">
        <v>11</v>
      </c>
      <c r="D7" s="393"/>
      <c r="E7" s="99" t="str">
        <f>PROPER(B16)</f>
        <v>Cundinamarca</v>
      </c>
      <c r="F7" s="100">
        <f>A16</f>
        <v>50.213012769362919</v>
      </c>
      <c r="H7" s="393"/>
      <c r="I7" s="99"/>
      <c r="J7" s="100"/>
    </row>
    <row r="8" spans="1:10" x14ac:dyDescent="0.35">
      <c r="A8" s="7">
        <v>60.525919514240925</v>
      </c>
      <c r="B8" t="s">
        <v>18</v>
      </c>
      <c r="D8" s="393"/>
      <c r="E8" s="99" t="str">
        <f>PROPER(B15)</f>
        <v>Boyaca</v>
      </c>
      <c r="F8" s="100">
        <f>A15</f>
        <v>50.830507842121456</v>
      </c>
      <c r="H8" s="393"/>
      <c r="I8" s="99"/>
      <c r="J8" s="100"/>
    </row>
    <row r="9" spans="1:10" x14ac:dyDescent="0.35">
      <c r="A9" s="7">
        <v>57.887935182259362</v>
      </c>
      <c r="B9" t="s">
        <v>6</v>
      </c>
      <c r="D9" s="393"/>
      <c r="E9" s="99" t="str">
        <f>PROPER(B14)</f>
        <v>Tolima</v>
      </c>
      <c r="F9" s="100">
        <f>A14</f>
        <v>51.019049352857991</v>
      </c>
      <c r="H9" s="393"/>
      <c r="I9" s="99"/>
      <c r="J9" s="100"/>
    </row>
    <row r="10" spans="1:10" x14ac:dyDescent="0.35">
      <c r="A10" s="7">
        <v>54.74197396775984</v>
      </c>
      <c r="B10" t="s">
        <v>7</v>
      </c>
      <c r="D10" s="393"/>
      <c r="E10" s="99" t="str">
        <f>PROPER(B13)</f>
        <v>Quindio</v>
      </c>
      <c r="F10" s="100">
        <f>A13</f>
        <v>51.266435649482084</v>
      </c>
      <c r="H10" s="380"/>
      <c r="I10" s="99"/>
      <c r="J10" s="100"/>
    </row>
    <row r="11" spans="1:10" x14ac:dyDescent="0.35">
      <c r="A11" s="7">
        <v>51.715650716131883</v>
      </c>
      <c r="B11" t="s">
        <v>2</v>
      </c>
      <c r="D11" s="393"/>
      <c r="E11" s="99" t="str">
        <f>PROPER(B12)</f>
        <v>Valle Del Cauca</v>
      </c>
      <c r="F11" s="100">
        <f>A12</f>
        <v>51.338436603757202</v>
      </c>
      <c r="H11" s="380"/>
      <c r="I11" s="99"/>
      <c r="J11" s="100"/>
    </row>
    <row r="12" spans="1:10" x14ac:dyDescent="0.35">
      <c r="A12" s="7">
        <v>51.338436603757202</v>
      </c>
      <c r="B12" t="s">
        <v>20</v>
      </c>
      <c r="D12" s="380" t="s">
        <v>194</v>
      </c>
      <c r="E12" s="99" t="str">
        <f>PROPER(B11)</f>
        <v>Antioquia</v>
      </c>
      <c r="F12" s="100">
        <f>A11</f>
        <v>51.715650716131883</v>
      </c>
      <c r="H12" s="380"/>
      <c r="I12" s="99"/>
      <c r="J12" s="100"/>
    </row>
    <row r="13" spans="1:10" x14ac:dyDescent="0.35">
      <c r="A13" s="7">
        <v>51.266435649482084</v>
      </c>
      <c r="B13" t="s">
        <v>16</v>
      </c>
      <c r="D13" s="380"/>
      <c r="E13" s="99" t="str">
        <f>PROPER(B10)</f>
        <v>Risaralda</v>
      </c>
      <c r="F13" s="100">
        <f>A10</f>
        <v>54.74197396775984</v>
      </c>
      <c r="H13" s="380"/>
      <c r="I13" s="99"/>
      <c r="J13" s="100"/>
    </row>
    <row r="14" spans="1:10" x14ac:dyDescent="0.35">
      <c r="A14" s="7">
        <v>51.019049352857991</v>
      </c>
      <c r="B14" t="s">
        <v>19</v>
      </c>
      <c r="D14" s="380"/>
      <c r="E14" s="99" t="str">
        <f>PROPER(B9)</f>
        <v>Caldas</v>
      </c>
      <c r="F14" s="100">
        <f>A9</f>
        <v>57.887935182259362</v>
      </c>
      <c r="H14" s="380"/>
      <c r="I14" s="99"/>
      <c r="J14" s="100"/>
    </row>
    <row r="15" spans="1:10" x14ac:dyDescent="0.35">
      <c r="A15" s="7">
        <v>50.830507842121456</v>
      </c>
      <c r="B15" t="s">
        <v>176</v>
      </c>
      <c r="D15" s="380"/>
      <c r="E15" s="99" t="str">
        <f>PROPER(B8)</f>
        <v>Sucre</v>
      </c>
      <c r="F15" s="100">
        <f>A8</f>
        <v>60.525919514240925</v>
      </c>
    </row>
    <row r="16" spans="1:10" x14ac:dyDescent="0.35">
      <c r="A16" s="7">
        <v>50.213012769362919</v>
      </c>
      <c r="B16" t="s">
        <v>10</v>
      </c>
      <c r="D16" s="380"/>
      <c r="E16" s="99" t="str">
        <f>PROPER(B7)</f>
        <v>Huila</v>
      </c>
      <c r="F16" s="100">
        <f>A7</f>
        <v>60.742783661202992</v>
      </c>
    </row>
    <row r="17" spans="1:6" x14ac:dyDescent="0.35">
      <c r="A17" s="7">
        <v>49.750536717839175</v>
      </c>
      <c r="B17" t="s">
        <v>15</v>
      </c>
      <c r="D17" s="380"/>
      <c r="E17" s="99" t="str">
        <f>PROPER(B6)</f>
        <v>Atlantico</v>
      </c>
      <c r="F17" s="100">
        <f>A6</f>
        <v>61.84893636683325</v>
      </c>
    </row>
    <row r="18" spans="1:6" x14ac:dyDescent="0.35">
      <c r="A18" s="7">
        <v>46.548663847397748</v>
      </c>
      <c r="B18" t="s">
        <v>17</v>
      </c>
      <c r="D18" s="380"/>
      <c r="E18" s="99" t="str">
        <f>PROPER(B5)</f>
        <v>Cesar</v>
      </c>
      <c r="F18" s="100">
        <f>A5</f>
        <v>68.748150787999663</v>
      </c>
    </row>
    <row r="19" spans="1:6" x14ac:dyDescent="0.35">
      <c r="A19" s="7" t="s">
        <v>53</v>
      </c>
      <c r="D19" s="102"/>
    </row>
    <row r="24" spans="1:6" x14ac:dyDescent="0.35">
      <c r="A24" s="69" t="s">
        <v>45</v>
      </c>
      <c r="B24" s="94">
        <v>2024</v>
      </c>
    </row>
    <row r="25" spans="1:6" x14ac:dyDescent="0.35">
      <c r="A25" s="95" t="s">
        <v>175</v>
      </c>
      <c r="B25" s="94">
        <v>2</v>
      </c>
    </row>
    <row r="27" spans="1:6" x14ac:dyDescent="0.35">
      <c r="A27" s="69" t="s">
        <v>92</v>
      </c>
      <c r="B27" s="69" t="s">
        <v>0</v>
      </c>
    </row>
    <row r="28" spans="1:6" ht="15.75" customHeight="1" x14ac:dyDescent="0.35">
      <c r="A28" s="7">
        <v>70.904287562117048</v>
      </c>
      <c r="B28" t="s">
        <v>22</v>
      </c>
    </row>
    <row r="29" spans="1:6" x14ac:dyDescent="0.35">
      <c r="A29" s="7">
        <v>57.419127374306115</v>
      </c>
      <c r="B29" t="s">
        <v>136</v>
      </c>
    </row>
    <row r="30" spans="1:6" x14ac:dyDescent="0.35">
      <c r="A30" s="7">
        <v>52.242421503037733</v>
      </c>
      <c r="B30" t="s">
        <v>8</v>
      </c>
    </row>
    <row r="31" spans="1:6" x14ac:dyDescent="0.35">
      <c r="A31" s="7">
        <v>50.456294378068634</v>
      </c>
      <c r="B31" t="s">
        <v>12</v>
      </c>
    </row>
    <row r="32" spans="1:6" x14ac:dyDescent="0.35">
      <c r="A32" s="7">
        <v>49.869589935637997</v>
      </c>
      <c r="B32" t="s">
        <v>13</v>
      </c>
      <c r="D32" s="393" t="s">
        <v>192</v>
      </c>
      <c r="E32" s="99" t="str">
        <f>PROPER(B36)</f>
        <v>San Andrés</v>
      </c>
      <c r="F32" s="100">
        <f>A36</f>
        <v>38.127030563454781</v>
      </c>
    </row>
    <row r="33" spans="1:6" ht="15.75" customHeight="1" x14ac:dyDescent="0.35">
      <c r="A33" s="7">
        <v>48.962741969314941</v>
      </c>
      <c r="B33" t="s">
        <v>14</v>
      </c>
      <c r="D33" s="393"/>
      <c r="E33" s="99" t="str">
        <f>PROPER(B35)</f>
        <v>Cordoba</v>
      </c>
      <c r="F33" s="100">
        <f>A35</f>
        <v>42.069691812357846</v>
      </c>
    </row>
    <row r="34" spans="1:6" x14ac:dyDescent="0.35">
      <c r="A34" s="7">
        <v>45.639067069388105</v>
      </c>
      <c r="B34" t="s">
        <v>133</v>
      </c>
      <c r="D34" s="393"/>
      <c r="E34" s="99" t="str">
        <f>PROPER(B34)</f>
        <v>Bolivar</v>
      </c>
      <c r="F34" s="100">
        <f>A34</f>
        <v>45.639067069388105</v>
      </c>
    </row>
    <row r="35" spans="1:6" x14ac:dyDescent="0.35">
      <c r="A35" s="7">
        <v>42.069691812357846</v>
      </c>
      <c r="B35" t="s">
        <v>130</v>
      </c>
      <c r="D35" s="393"/>
      <c r="E35" s="99" t="str">
        <f>PROPER(B33)</f>
        <v>Nariño</v>
      </c>
      <c r="F35" s="100">
        <f>A33</f>
        <v>48.962741969314941</v>
      </c>
    </row>
    <row r="36" spans="1:6" x14ac:dyDescent="0.35">
      <c r="A36" s="7">
        <v>38.127030563454781</v>
      </c>
      <c r="B36" t="s">
        <v>173</v>
      </c>
      <c r="D36" s="380" t="s">
        <v>191</v>
      </c>
      <c r="E36" s="99" t="str">
        <f>PROPER(B32)</f>
        <v>Meta</v>
      </c>
      <c r="F36" s="100">
        <f>A32</f>
        <v>49.869589935637997</v>
      </c>
    </row>
    <row r="37" spans="1:6" x14ac:dyDescent="0.35">
      <c r="A37" s="7" t="s">
        <v>53</v>
      </c>
      <c r="D37" s="380"/>
      <c r="E37" s="99" t="str">
        <f>PROPER(B31)</f>
        <v>Magdalena</v>
      </c>
      <c r="F37" s="100">
        <f>A31</f>
        <v>50.456294378068634</v>
      </c>
    </row>
    <row r="38" spans="1:6" x14ac:dyDescent="0.35">
      <c r="D38" s="380"/>
      <c r="E38" s="99" t="str">
        <f>PROPER(B30)</f>
        <v>Cauca</v>
      </c>
      <c r="F38" s="100">
        <f>A30</f>
        <v>52.242421503037733</v>
      </c>
    </row>
    <row r="39" spans="1:6" x14ac:dyDescent="0.35">
      <c r="D39" s="380"/>
      <c r="E39" s="99" t="str">
        <f>PROPER(B29)</f>
        <v>Guajira</v>
      </c>
      <c r="F39" s="100">
        <f>A29</f>
        <v>57.419127374306115</v>
      </c>
    </row>
    <row r="40" spans="1:6" x14ac:dyDescent="0.35">
      <c r="D40" s="380"/>
      <c r="E40" s="99" t="str">
        <f>PROPER(B28)</f>
        <v>Casanare</v>
      </c>
      <c r="F40" s="100">
        <f>A28</f>
        <v>70.904287562117048</v>
      </c>
    </row>
    <row r="41" spans="1:6" x14ac:dyDescent="0.35">
      <c r="D41" s="102"/>
    </row>
    <row r="43" spans="1:6" x14ac:dyDescent="0.35">
      <c r="A43" s="69" t="s">
        <v>45</v>
      </c>
      <c r="B43" s="94">
        <v>2024</v>
      </c>
    </row>
    <row r="44" spans="1:6" x14ac:dyDescent="0.35">
      <c r="A44" s="95" t="s">
        <v>175</v>
      </c>
      <c r="B44" s="94">
        <v>3</v>
      </c>
    </row>
    <row r="46" spans="1:6" x14ac:dyDescent="0.35">
      <c r="A46" s="69" t="s">
        <v>92</v>
      </c>
      <c r="B46" s="69" t="s">
        <v>0</v>
      </c>
    </row>
    <row r="47" spans="1:6" x14ac:dyDescent="0.35">
      <c r="A47" s="7">
        <v>59.190463853359461</v>
      </c>
      <c r="B47" t="s">
        <v>21</v>
      </c>
    </row>
    <row r="48" spans="1:6" x14ac:dyDescent="0.35">
      <c r="A48" s="7">
        <v>58.566767148313708</v>
      </c>
      <c r="B48" t="s">
        <v>25</v>
      </c>
    </row>
    <row r="49" spans="1:6" x14ac:dyDescent="0.35">
      <c r="A49" s="7">
        <v>58.223626018736937</v>
      </c>
      <c r="B49" t="s">
        <v>26</v>
      </c>
    </row>
    <row r="50" spans="1:6" x14ac:dyDescent="0.35">
      <c r="A50" s="7">
        <v>56.380107254116687</v>
      </c>
      <c r="B50" t="s">
        <v>23</v>
      </c>
    </row>
    <row r="51" spans="1:6" x14ac:dyDescent="0.35">
      <c r="A51" s="7">
        <v>55.457030868659032</v>
      </c>
      <c r="B51" t="s">
        <v>120</v>
      </c>
      <c r="D51" s="393" t="s">
        <v>192</v>
      </c>
      <c r="E51" s="99" t="str">
        <f>PROPER(B55)</f>
        <v>Caqueta</v>
      </c>
      <c r="F51" s="100">
        <f>A55</f>
        <v>47.389088088997127</v>
      </c>
    </row>
    <row r="52" spans="1:6" ht="15.75" customHeight="1" x14ac:dyDescent="0.35">
      <c r="A52" s="7">
        <v>52.785252102588885</v>
      </c>
      <c r="B52" t="s">
        <v>124</v>
      </c>
      <c r="D52" s="393"/>
      <c r="E52" s="99" t="str">
        <f>PROPER(B54)</f>
        <v>Amazonas</v>
      </c>
      <c r="F52" s="100">
        <f>A54</f>
        <v>47.48204325840198</v>
      </c>
    </row>
    <row r="53" spans="1:6" x14ac:dyDescent="0.35">
      <c r="A53" s="7">
        <v>52.449158484693996</v>
      </c>
      <c r="B53" t="s">
        <v>116</v>
      </c>
      <c r="D53" s="393"/>
      <c r="E53" s="99" t="str">
        <f>PROPER(B53)</f>
        <v>Choco</v>
      </c>
      <c r="F53" s="100">
        <f>A53</f>
        <v>52.449158484693996</v>
      </c>
    </row>
    <row r="54" spans="1:6" x14ac:dyDescent="0.35">
      <c r="A54" s="7">
        <v>47.48204325840198</v>
      </c>
      <c r="B54" t="s">
        <v>24</v>
      </c>
      <c r="D54" s="393"/>
      <c r="E54" s="99" t="str">
        <f>PROPER(B52)</f>
        <v>Vaupes</v>
      </c>
      <c r="F54" s="100">
        <f>A52</f>
        <v>52.785252102588885</v>
      </c>
    </row>
    <row r="55" spans="1:6" x14ac:dyDescent="0.35">
      <c r="A55" s="7">
        <v>47.389088088997127</v>
      </c>
      <c r="B55" t="s">
        <v>122</v>
      </c>
      <c r="D55" s="393" t="s">
        <v>191</v>
      </c>
      <c r="E55" s="99" t="str">
        <f>PROPER(B51)</f>
        <v>Guainia</v>
      </c>
      <c r="F55" s="100">
        <f>A51</f>
        <v>55.457030868659032</v>
      </c>
    </row>
    <row r="56" spans="1:6" x14ac:dyDescent="0.35">
      <c r="A56" s="7" t="s">
        <v>53</v>
      </c>
      <c r="D56" s="393"/>
      <c r="E56" s="99" t="str">
        <f>PROPER(B50)</f>
        <v>Putumayo</v>
      </c>
      <c r="F56" s="100">
        <f>A50</f>
        <v>56.380107254116687</v>
      </c>
    </row>
    <row r="57" spans="1:6" x14ac:dyDescent="0.35">
      <c r="D57" s="393"/>
      <c r="E57" s="99" t="str">
        <f>PROPER(B49)</f>
        <v>Vichada</v>
      </c>
      <c r="F57" s="100">
        <f>A49</f>
        <v>58.223626018736937</v>
      </c>
    </row>
    <row r="58" spans="1:6" x14ac:dyDescent="0.35">
      <c r="D58" s="393"/>
      <c r="E58" s="99" t="str">
        <f>PROPER(B48)</f>
        <v>Guaviare</v>
      </c>
      <c r="F58" s="100">
        <f>A48</f>
        <v>58.566767148313708</v>
      </c>
    </row>
    <row r="59" spans="1:6" x14ac:dyDescent="0.35">
      <c r="D59" s="393"/>
      <c r="E59" s="99" t="str">
        <f>PROPER(B47)</f>
        <v>Arauca</v>
      </c>
      <c r="F59" s="100">
        <f>A47</f>
        <v>59.190463853359461</v>
      </c>
    </row>
    <row r="60" spans="1:6" x14ac:dyDescent="0.35">
      <c r="D60" s="102"/>
    </row>
  </sheetData>
  <mergeCells count="8">
    <mergeCell ref="D55:D59"/>
    <mergeCell ref="H5:H9"/>
    <mergeCell ref="H10:H14"/>
    <mergeCell ref="D12:D18"/>
    <mergeCell ref="D5:D11"/>
    <mergeCell ref="D32:D35"/>
    <mergeCell ref="D36:D40"/>
    <mergeCell ref="D51:D54"/>
  </mergeCells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75EA-AD37-4A02-85DF-DE7D563E77A9}">
  <dimension ref="A1:AH40"/>
  <sheetViews>
    <sheetView zoomScale="80" zoomScaleNormal="80" workbookViewId="0">
      <selection activeCell="E21" sqref="E21"/>
    </sheetView>
  </sheetViews>
  <sheetFormatPr baseColWidth="10" defaultColWidth="11.54296875" defaultRowHeight="15" x14ac:dyDescent="0.35"/>
  <cols>
    <col min="3" max="3" width="13.36328125" customWidth="1"/>
    <col min="4" max="4" width="15" customWidth="1"/>
    <col min="5" max="5" width="13.90625" customWidth="1"/>
    <col min="6" max="6" width="14.6328125" customWidth="1"/>
    <col min="7" max="7" width="16.08984375" customWidth="1"/>
    <col min="8" max="8" width="13.453125" customWidth="1"/>
    <col min="9" max="9" width="14.54296875" customWidth="1"/>
    <col min="10" max="10" width="17.54296875" customWidth="1"/>
  </cols>
  <sheetData>
    <row r="1" spans="1:34" x14ac:dyDescent="0.35">
      <c r="A1" s="69" t="s">
        <v>45</v>
      </c>
      <c r="B1" s="94">
        <v>2024</v>
      </c>
      <c r="M1" s="69" t="s">
        <v>45</v>
      </c>
      <c r="N1" s="94">
        <v>2024</v>
      </c>
      <c r="Y1" s="69" t="s">
        <v>45</v>
      </c>
      <c r="Z1" s="94">
        <v>2024</v>
      </c>
    </row>
    <row r="2" spans="1:34" x14ac:dyDescent="0.35">
      <c r="A2" s="95" t="s">
        <v>175</v>
      </c>
      <c r="B2" s="94">
        <v>1</v>
      </c>
      <c r="M2" s="95" t="s">
        <v>175</v>
      </c>
      <c r="N2" s="94">
        <v>2</v>
      </c>
      <c r="Y2" s="95" t="s">
        <v>175</v>
      </c>
      <c r="Z2" s="94">
        <v>3</v>
      </c>
    </row>
    <row r="4" spans="1:34" ht="62.25" customHeight="1" x14ac:dyDescent="0.35">
      <c r="A4" s="69" t="s">
        <v>92</v>
      </c>
      <c r="B4" s="69" t="s">
        <v>0</v>
      </c>
      <c r="C4" s="96" t="s">
        <v>195</v>
      </c>
      <c r="D4" s="96" t="s">
        <v>196</v>
      </c>
      <c r="E4" s="96" t="s">
        <v>197</v>
      </c>
      <c r="F4" s="96" t="s">
        <v>198</v>
      </c>
      <c r="G4" s="96" t="s">
        <v>199</v>
      </c>
      <c r="H4" s="96" t="s">
        <v>200</v>
      </c>
      <c r="I4" s="96" t="s">
        <v>202</v>
      </c>
      <c r="J4" s="96" t="s">
        <v>201</v>
      </c>
      <c r="M4" s="69" t="s">
        <v>92</v>
      </c>
      <c r="N4" s="69" t="s">
        <v>0</v>
      </c>
      <c r="O4" s="96" t="s">
        <v>195</v>
      </c>
      <c r="P4" s="96" t="s">
        <v>196</v>
      </c>
      <c r="Q4" s="96" t="s">
        <v>197</v>
      </c>
      <c r="R4" s="96" t="s">
        <v>198</v>
      </c>
      <c r="S4" s="96" t="s">
        <v>199</v>
      </c>
      <c r="T4" s="96" t="s">
        <v>200</v>
      </c>
      <c r="U4" s="96" t="s">
        <v>202</v>
      </c>
      <c r="V4" s="96" t="s">
        <v>201</v>
      </c>
      <c r="Y4" s="69" t="s">
        <v>92</v>
      </c>
      <c r="Z4" s="69" t="s">
        <v>0</v>
      </c>
      <c r="AA4" s="96" t="s">
        <v>195</v>
      </c>
      <c r="AB4" s="96" t="s">
        <v>196</v>
      </c>
      <c r="AC4" s="96" t="s">
        <v>197</v>
      </c>
      <c r="AD4" s="96" t="s">
        <v>198</v>
      </c>
      <c r="AE4" s="96" t="s">
        <v>199</v>
      </c>
      <c r="AF4" s="96" t="s">
        <v>200</v>
      </c>
      <c r="AG4" s="96" t="s">
        <v>202</v>
      </c>
      <c r="AH4" s="96" t="s">
        <v>201</v>
      </c>
    </row>
    <row r="5" spans="1:34" x14ac:dyDescent="0.35">
      <c r="A5" s="7">
        <v>68.748150787999663</v>
      </c>
      <c r="B5" t="s">
        <v>9</v>
      </c>
      <c r="C5" s="97">
        <v>38.585599743413788</v>
      </c>
      <c r="D5" s="97">
        <v>100</v>
      </c>
      <c r="E5" s="97">
        <v>74.855263620135673</v>
      </c>
      <c r="F5" s="97">
        <v>70</v>
      </c>
      <c r="G5" s="97">
        <v>60</v>
      </c>
      <c r="H5" s="97">
        <v>26.964189747476148</v>
      </c>
      <c r="I5" s="97">
        <v>100</v>
      </c>
      <c r="J5" s="97">
        <v>80</v>
      </c>
      <c r="M5" s="7">
        <v>70.904287562117048</v>
      </c>
      <c r="N5" t="s">
        <v>22</v>
      </c>
      <c r="O5" s="97">
        <v>47.523051921661235</v>
      </c>
      <c r="P5" s="97">
        <v>100</v>
      </c>
      <c r="Q5" s="97">
        <v>77.295412008236909</v>
      </c>
      <c r="R5" s="97">
        <v>70</v>
      </c>
      <c r="S5" s="97">
        <v>40</v>
      </c>
      <c r="T5" s="97">
        <v>100</v>
      </c>
      <c r="U5" s="97">
        <v>60</v>
      </c>
      <c r="V5" s="97">
        <v>100</v>
      </c>
      <c r="Y5" s="7">
        <v>59.190463853359461</v>
      </c>
      <c r="Z5" t="s">
        <v>21</v>
      </c>
      <c r="AA5" s="97">
        <v>20.806254749134993</v>
      </c>
      <c r="AB5" s="97">
        <v>66.004741554158358</v>
      </c>
      <c r="AC5" s="97">
        <v>46.535690336528965</v>
      </c>
      <c r="AD5" s="97">
        <v>50</v>
      </c>
      <c r="AE5" s="97">
        <v>100</v>
      </c>
      <c r="AF5" s="97">
        <v>47.824909864818181</v>
      </c>
      <c r="AG5" s="97">
        <v>80</v>
      </c>
      <c r="AH5" s="97">
        <v>80</v>
      </c>
    </row>
    <row r="6" spans="1:34" x14ac:dyDescent="0.35">
      <c r="A6" s="7">
        <v>61.84893636683325</v>
      </c>
      <c r="B6" t="s">
        <v>27</v>
      </c>
      <c r="C6" s="97">
        <v>65.788998112721856</v>
      </c>
      <c r="D6" s="97">
        <v>10.310130823786015</v>
      </c>
      <c r="E6" s="97">
        <v>37.956723356199937</v>
      </c>
      <c r="F6" s="97">
        <v>100</v>
      </c>
      <c r="G6" s="97">
        <v>60</v>
      </c>
      <c r="H6" s="97">
        <v>100</v>
      </c>
      <c r="I6" s="97">
        <v>100</v>
      </c>
      <c r="J6" s="97">
        <v>70</v>
      </c>
      <c r="M6" s="7">
        <v>57.419127374306115</v>
      </c>
      <c r="N6" t="s">
        <v>136</v>
      </c>
      <c r="O6" s="97">
        <v>32.828159054060848</v>
      </c>
      <c r="P6" s="97">
        <v>16.089734868540713</v>
      </c>
      <c r="Q6" s="97">
        <v>51.132360450927258</v>
      </c>
      <c r="R6" s="97">
        <v>80</v>
      </c>
      <c r="S6" s="97">
        <v>60</v>
      </c>
      <c r="T6" s="97">
        <v>85.166300118122564</v>
      </c>
      <c r="U6" s="97">
        <v>100</v>
      </c>
      <c r="V6" s="97">
        <v>100</v>
      </c>
      <c r="Y6" s="7">
        <v>58.566767148313708</v>
      </c>
      <c r="Z6" t="s">
        <v>25</v>
      </c>
      <c r="AA6" s="97">
        <v>27.422796799300556</v>
      </c>
      <c r="AB6" s="97">
        <v>93.88309872878898</v>
      </c>
      <c r="AC6" s="97">
        <v>78.211798958576281</v>
      </c>
      <c r="AD6" s="97">
        <v>50</v>
      </c>
      <c r="AE6" s="97">
        <v>60</v>
      </c>
      <c r="AF6" s="97">
        <v>35.659040456707515</v>
      </c>
      <c r="AG6" s="97">
        <v>0</v>
      </c>
      <c r="AH6" s="97">
        <v>100</v>
      </c>
    </row>
    <row r="7" spans="1:34" x14ac:dyDescent="0.35">
      <c r="A7" s="7">
        <v>60.742783661202992</v>
      </c>
      <c r="B7" t="s">
        <v>11</v>
      </c>
      <c r="C7" s="97">
        <v>42.424570464281572</v>
      </c>
      <c r="D7" s="97">
        <v>42.666845886027183</v>
      </c>
      <c r="E7" s="97">
        <v>29.550981532209974</v>
      </c>
      <c r="F7" s="97">
        <v>80</v>
      </c>
      <c r="G7" s="97">
        <v>60</v>
      </c>
      <c r="H7" s="97">
        <v>100</v>
      </c>
      <c r="I7" s="97">
        <v>100</v>
      </c>
      <c r="J7" s="97">
        <v>100</v>
      </c>
      <c r="M7" s="7">
        <v>52.242421503037733</v>
      </c>
      <c r="N7" t="s">
        <v>8</v>
      </c>
      <c r="O7" s="97">
        <v>22.956240159655593</v>
      </c>
      <c r="P7" s="97">
        <v>2.3784260050571002</v>
      </c>
      <c r="Q7" s="97">
        <v>66.180468229273117</v>
      </c>
      <c r="R7" s="97">
        <v>70</v>
      </c>
      <c r="S7" s="97">
        <v>40</v>
      </c>
      <c r="T7" s="97">
        <v>100</v>
      </c>
      <c r="U7" s="97">
        <v>100</v>
      </c>
      <c r="V7" s="97">
        <v>100</v>
      </c>
      <c r="Y7" s="7">
        <v>58.223626018736937</v>
      </c>
      <c r="Z7" t="s">
        <v>26</v>
      </c>
      <c r="AA7" s="97">
        <v>31.592351527934142</v>
      </c>
      <c r="AB7" s="97">
        <v>99.999999999999986</v>
      </c>
      <c r="AC7" s="97">
        <v>76.998546591437204</v>
      </c>
      <c r="AD7" s="97">
        <v>80</v>
      </c>
      <c r="AE7" s="97">
        <v>0</v>
      </c>
      <c r="AF7" s="97">
        <v>100</v>
      </c>
      <c r="AG7" s="97">
        <v>0</v>
      </c>
      <c r="AH7" s="97">
        <v>80</v>
      </c>
    </row>
    <row r="8" spans="1:34" x14ac:dyDescent="0.35">
      <c r="A8" s="7">
        <v>60.525919514240925</v>
      </c>
      <c r="B8" t="s">
        <v>18</v>
      </c>
      <c r="C8" s="97">
        <v>29.158775882024784</v>
      </c>
      <c r="D8" s="97">
        <v>42.68964960365885</v>
      </c>
      <c r="E8" s="97">
        <v>65.605238144988789</v>
      </c>
      <c r="F8" s="97">
        <v>70</v>
      </c>
      <c r="G8" s="97">
        <v>100</v>
      </c>
      <c r="H8" s="97">
        <v>0</v>
      </c>
      <c r="I8" s="97">
        <v>100</v>
      </c>
      <c r="J8" s="97">
        <v>70</v>
      </c>
      <c r="M8" s="7">
        <v>50.456294378068634</v>
      </c>
      <c r="N8" t="s">
        <v>12</v>
      </c>
      <c r="O8" s="97">
        <v>43.379637504472861</v>
      </c>
      <c r="P8" s="97">
        <v>11.142670451637063</v>
      </c>
      <c r="Q8" s="97">
        <v>55.470920838684393</v>
      </c>
      <c r="R8" s="97">
        <v>80</v>
      </c>
      <c r="S8" s="97">
        <v>20</v>
      </c>
      <c r="T8" s="97">
        <v>52.860666563523161</v>
      </c>
      <c r="U8" s="97">
        <v>100</v>
      </c>
      <c r="V8" s="97">
        <v>100</v>
      </c>
      <c r="Y8" s="7">
        <v>56.380107254116687</v>
      </c>
      <c r="Z8" t="s">
        <v>23</v>
      </c>
      <c r="AA8" s="97">
        <v>23.308082391774718</v>
      </c>
      <c r="AB8" s="97">
        <v>26.494437005545308</v>
      </c>
      <c r="AC8" s="97">
        <v>72.724138144562374</v>
      </c>
      <c r="AD8" s="97">
        <v>40</v>
      </c>
      <c r="AE8" s="97">
        <v>80</v>
      </c>
      <c r="AF8" s="97">
        <v>63.637630711232461</v>
      </c>
      <c r="AG8" s="97">
        <v>100</v>
      </c>
      <c r="AH8" s="97">
        <v>100</v>
      </c>
    </row>
    <row r="9" spans="1:34" x14ac:dyDescent="0.35">
      <c r="A9" s="7">
        <v>57.887935182259362</v>
      </c>
      <c r="B9" t="s">
        <v>6</v>
      </c>
      <c r="C9" s="97">
        <v>50.590793397008348</v>
      </c>
      <c r="D9" s="97">
        <v>38.607747860675538</v>
      </c>
      <c r="E9" s="97">
        <v>37.601053631437139</v>
      </c>
      <c r="F9" s="97">
        <v>70</v>
      </c>
      <c r="G9" s="97">
        <v>40</v>
      </c>
      <c r="H9" s="97">
        <v>100</v>
      </c>
      <c r="I9" s="97">
        <v>100</v>
      </c>
      <c r="J9" s="97">
        <v>100</v>
      </c>
      <c r="M9" s="7">
        <v>49.869589935637997</v>
      </c>
      <c r="N9" t="s">
        <v>13</v>
      </c>
      <c r="O9" s="97">
        <v>59.125855489929179</v>
      </c>
      <c r="P9" s="97">
        <v>10.767809590328294</v>
      </c>
      <c r="Q9" s="97">
        <v>82.798582330345823</v>
      </c>
      <c r="R9" s="97">
        <v>70</v>
      </c>
      <c r="S9" s="97">
        <v>0</v>
      </c>
      <c r="T9" s="97">
        <v>13.447898032354962</v>
      </c>
      <c r="U9" s="97">
        <v>100</v>
      </c>
      <c r="V9" s="97">
        <v>100</v>
      </c>
      <c r="Y9" s="7">
        <v>55.457030868659032</v>
      </c>
      <c r="Z9" t="s">
        <v>120</v>
      </c>
      <c r="AA9" s="97">
        <v>36.370774427332464</v>
      </c>
      <c r="AB9" s="97">
        <v>12.764511372095031</v>
      </c>
      <c r="AC9" s="97">
        <v>84.971157129691449</v>
      </c>
      <c r="AD9" s="97">
        <v>100</v>
      </c>
      <c r="AE9" s="97">
        <v>0</v>
      </c>
      <c r="AF9" s="97">
        <v>100</v>
      </c>
      <c r="AG9" s="97">
        <v>100</v>
      </c>
      <c r="AH9" s="97">
        <v>70</v>
      </c>
    </row>
    <row r="10" spans="1:34" x14ac:dyDescent="0.35">
      <c r="A10" s="7">
        <v>54.74197396775984</v>
      </c>
      <c r="B10" t="s">
        <v>7</v>
      </c>
      <c r="C10" s="97">
        <v>63.420867981243909</v>
      </c>
      <c r="D10" s="97">
        <v>6.3919067046565985</v>
      </c>
      <c r="E10" s="97">
        <v>47.324562612598477</v>
      </c>
      <c r="F10" s="97">
        <v>100</v>
      </c>
      <c r="G10" s="97">
        <v>0</v>
      </c>
      <c r="H10" s="97">
        <v>100</v>
      </c>
      <c r="I10" s="97">
        <v>100</v>
      </c>
      <c r="J10" s="97">
        <v>100</v>
      </c>
      <c r="M10" s="7">
        <v>48.962741969314941</v>
      </c>
      <c r="N10" t="s">
        <v>14</v>
      </c>
      <c r="O10" s="97">
        <v>38.049477857748052</v>
      </c>
      <c r="P10" s="97">
        <v>7.5262594433879624</v>
      </c>
      <c r="Q10" s="97">
        <v>47.837746860953942</v>
      </c>
      <c r="R10" s="97">
        <v>70</v>
      </c>
      <c r="S10" s="97">
        <v>20</v>
      </c>
      <c r="T10" s="97">
        <v>94.248767550708152</v>
      </c>
      <c r="U10" s="97">
        <v>100</v>
      </c>
      <c r="V10" s="97">
        <v>100</v>
      </c>
      <c r="Y10" s="7">
        <v>52.785252102588885</v>
      </c>
      <c r="Z10" t="s">
        <v>124</v>
      </c>
      <c r="AA10" s="97">
        <v>30.081605070904544</v>
      </c>
      <c r="AB10" s="97">
        <v>20.366085795551029</v>
      </c>
      <c r="AC10" s="97">
        <v>82.79346810805832</v>
      </c>
      <c r="AD10" s="97">
        <v>80</v>
      </c>
      <c r="AE10" s="97">
        <v>0</v>
      </c>
      <c r="AF10" s="97">
        <v>100</v>
      </c>
      <c r="AG10" s="97">
        <v>100</v>
      </c>
      <c r="AH10" s="97">
        <v>80</v>
      </c>
    </row>
    <row r="11" spans="1:34" x14ac:dyDescent="0.35">
      <c r="A11" s="7">
        <v>51.715650716131883</v>
      </c>
      <c r="B11" t="s">
        <v>2</v>
      </c>
      <c r="C11" s="97">
        <v>65.644474388650778</v>
      </c>
      <c r="D11" s="97">
        <v>8.1237101944020793</v>
      </c>
      <c r="E11" s="97">
        <v>16.954632392771401</v>
      </c>
      <c r="F11" s="97">
        <v>80</v>
      </c>
      <c r="G11" s="97">
        <v>40</v>
      </c>
      <c r="H11" s="97">
        <v>100</v>
      </c>
      <c r="I11" s="97">
        <v>100</v>
      </c>
      <c r="J11" s="97">
        <v>70</v>
      </c>
      <c r="M11" s="7">
        <v>45.639067069388105</v>
      </c>
      <c r="N11" t="s">
        <v>133</v>
      </c>
      <c r="O11" s="97">
        <v>42.682978414205543</v>
      </c>
      <c r="P11" s="97">
        <v>13.545333917096823</v>
      </c>
      <c r="Q11" s="97">
        <v>21.505626767988247</v>
      </c>
      <c r="R11" s="97">
        <v>50</v>
      </c>
      <c r="S11" s="97">
        <v>80</v>
      </c>
      <c r="T11" s="97">
        <v>6.0245522025240197</v>
      </c>
      <c r="U11" s="97">
        <v>100</v>
      </c>
      <c r="V11" s="97">
        <v>80</v>
      </c>
      <c r="Y11" s="7">
        <v>52.449158484693996</v>
      </c>
      <c r="Z11" t="s">
        <v>116</v>
      </c>
      <c r="AA11" s="97">
        <v>21.174774768170636</v>
      </c>
      <c r="AB11" s="97">
        <v>7.8222538690917407</v>
      </c>
      <c r="AC11" s="97">
        <v>75.662154169245412</v>
      </c>
      <c r="AD11" s="97">
        <v>50</v>
      </c>
      <c r="AE11" s="97">
        <v>80</v>
      </c>
      <c r="AF11" s="97">
        <v>53.555338534791332</v>
      </c>
      <c r="AG11" s="97">
        <v>100</v>
      </c>
      <c r="AH11" s="97">
        <v>70</v>
      </c>
    </row>
    <row r="12" spans="1:34" x14ac:dyDescent="0.35">
      <c r="A12" s="7">
        <v>51.338436603757202</v>
      </c>
      <c r="B12" t="s">
        <v>20</v>
      </c>
      <c r="C12" s="97">
        <v>73.076039224358667</v>
      </c>
      <c r="D12" s="97">
        <v>10.244151531670949</v>
      </c>
      <c r="E12" s="97">
        <v>9.8802933485093263</v>
      </c>
      <c r="F12" s="97">
        <v>80</v>
      </c>
      <c r="G12" s="97">
        <v>40</v>
      </c>
      <c r="H12" s="97">
        <v>78.395387205464559</v>
      </c>
      <c r="I12" s="97">
        <v>100</v>
      </c>
      <c r="J12" s="97">
        <v>80</v>
      </c>
      <c r="M12" s="7">
        <v>42.069691812357846</v>
      </c>
      <c r="N12" t="s">
        <v>130</v>
      </c>
      <c r="O12" s="97">
        <v>24.929626303921879</v>
      </c>
      <c r="P12" s="97">
        <v>12.549922607473576</v>
      </c>
      <c r="Q12" s="97">
        <v>29.623705140668449</v>
      </c>
      <c r="R12" s="97">
        <v>40</v>
      </c>
      <c r="S12" s="97">
        <v>40</v>
      </c>
      <c r="T12" s="97">
        <v>77.997567460414288</v>
      </c>
      <c r="U12" s="97">
        <v>100</v>
      </c>
      <c r="V12" s="97">
        <v>100</v>
      </c>
      <c r="Y12" s="7">
        <v>47.48204325840198</v>
      </c>
      <c r="Z12" t="s">
        <v>24</v>
      </c>
      <c r="AA12" s="97">
        <v>40.845099933913936</v>
      </c>
      <c r="AB12" s="97">
        <v>0</v>
      </c>
      <c r="AC12" s="97">
        <v>69.251003764431772</v>
      </c>
      <c r="AD12" s="97">
        <v>70</v>
      </c>
      <c r="AE12" s="97">
        <v>0</v>
      </c>
      <c r="AF12" s="97">
        <v>100</v>
      </c>
      <c r="AG12" s="97">
        <v>100</v>
      </c>
      <c r="AH12" s="97">
        <v>80</v>
      </c>
    </row>
    <row r="13" spans="1:34" x14ac:dyDescent="0.35">
      <c r="A13" s="7">
        <v>51.266435649482084</v>
      </c>
      <c r="B13" t="s">
        <v>16</v>
      </c>
      <c r="C13" s="97">
        <v>56.551529523626066</v>
      </c>
      <c r="D13" s="97">
        <v>7.7993077334000596</v>
      </c>
      <c r="E13" s="97">
        <v>30.462469107718249</v>
      </c>
      <c r="F13" s="97">
        <v>70</v>
      </c>
      <c r="G13" s="97">
        <v>60</v>
      </c>
      <c r="H13" s="97">
        <v>49.282288859269791</v>
      </c>
      <c r="I13" s="97">
        <v>100</v>
      </c>
      <c r="J13" s="97">
        <v>80</v>
      </c>
      <c r="M13" s="7">
        <v>38.127030563454781</v>
      </c>
      <c r="N13" t="s">
        <v>173</v>
      </c>
      <c r="O13" s="97">
        <v>74.581917487104334</v>
      </c>
      <c r="P13" s="97">
        <v>31.026736588202823</v>
      </c>
      <c r="Q13" s="97">
        <v>83.51862027961856</v>
      </c>
      <c r="R13" s="97">
        <v>20</v>
      </c>
      <c r="S13" s="97">
        <v>0</v>
      </c>
      <c r="T13" s="97">
        <v>0</v>
      </c>
      <c r="U13" s="97">
        <v>0</v>
      </c>
      <c r="V13" s="97">
        <v>70</v>
      </c>
      <c r="Y13" s="7">
        <v>47.389088088997127</v>
      </c>
      <c r="Z13" t="s">
        <v>122</v>
      </c>
      <c r="AA13" s="97">
        <v>32.422195299621976</v>
      </c>
      <c r="AB13" s="97">
        <v>10.702848502805193</v>
      </c>
      <c r="AC13" s="97">
        <v>49.290159949165847</v>
      </c>
      <c r="AD13" s="97">
        <v>40</v>
      </c>
      <c r="AE13" s="97">
        <v>80</v>
      </c>
      <c r="AF13" s="97">
        <v>1.039832331133669</v>
      </c>
      <c r="AG13" s="97">
        <v>100</v>
      </c>
      <c r="AH13" s="97">
        <v>100</v>
      </c>
    </row>
    <row r="14" spans="1:34" x14ac:dyDescent="0.35">
      <c r="A14" s="7">
        <v>51.019049352857991</v>
      </c>
      <c r="B14" t="s">
        <v>19</v>
      </c>
      <c r="C14" s="97">
        <v>39.851239571091874</v>
      </c>
      <c r="D14" s="97">
        <v>18.816121015837414</v>
      </c>
      <c r="E14" s="97">
        <v>13.804618957759303</v>
      </c>
      <c r="F14" s="97">
        <v>50</v>
      </c>
      <c r="G14" s="97">
        <v>100</v>
      </c>
      <c r="H14" s="97">
        <v>51.352989385617136</v>
      </c>
      <c r="I14" s="97">
        <v>100</v>
      </c>
      <c r="J14" s="97">
        <v>80</v>
      </c>
      <c r="M14" s="7" t="s">
        <v>53</v>
      </c>
      <c r="O14" s="97">
        <v>42.895216021417724</v>
      </c>
      <c r="P14" s="97">
        <v>22.780765941302704</v>
      </c>
      <c r="Q14" s="97">
        <v>57.26260476741075</v>
      </c>
      <c r="R14" s="97">
        <v>61.111111111111114</v>
      </c>
      <c r="S14" s="97">
        <v>33.333333333333336</v>
      </c>
      <c r="T14" s="97">
        <v>58.860639103071904</v>
      </c>
      <c r="U14" s="97">
        <v>84.444444444444443</v>
      </c>
      <c r="V14" s="97">
        <v>94.444444444444443</v>
      </c>
      <c r="Y14" s="7" t="s">
        <v>53</v>
      </c>
      <c r="AA14" s="97">
        <v>29.335992774231993</v>
      </c>
      <c r="AB14" s="97">
        <v>37.559775203115073</v>
      </c>
      <c r="AC14" s="97">
        <v>70.715346350188639</v>
      </c>
      <c r="AD14" s="97">
        <v>62.222222222222221</v>
      </c>
      <c r="AE14" s="97">
        <v>44.444444444444443</v>
      </c>
      <c r="AF14" s="97">
        <v>66.857416877631465</v>
      </c>
      <c r="AG14" s="97">
        <v>75.555555555555557</v>
      </c>
      <c r="AH14" s="97">
        <v>84.444444444444443</v>
      </c>
    </row>
    <row r="15" spans="1:34" x14ac:dyDescent="0.35">
      <c r="A15" s="7">
        <v>50.830507842121456</v>
      </c>
      <c r="B15" t="s">
        <v>176</v>
      </c>
      <c r="C15" s="97">
        <v>39.620604936825174</v>
      </c>
      <c r="D15" s="97">
        <v>8.7220393568235579</v>
      </c>
      <c r="E15" s="97">
        <v>34.348029719610366</v>
      </c>
      <c r="F15" s="97">
        <v>50</v>
      </c>
      <c r="G15" s="97">
        <v>60</v>
      </c>
      <c r="H15" s="97">
        <v>100</v>
      </c>
      <c r="I15" s="97">
        <v>100</v>
      </c>
      <c r="J15" s="97">
        <v>100</v>
      </c>
    </row>
    <row r="16" spans="1:34" x14ac:dyDescent="0.35">
      <c r="A16" s="7">
        <v>50.213012769362919</v>
      </c>
      <c r="B16" t="s">
        <v>10</v>
      </c>
      <c r="C16" s="97">
        <v>68.677021940565893</v>
      </c>
      <c r="D16" s="97">
        <v>2.8658723088898701</v>
      </c>
      <c r="E16" s="97">
        <v>28.243866403895765</v>
      </c>
      <c r="F16" s="97">
        <v>80</v>
      </c>
      <c r="G16" s="97">
        <v>40</v>
      </c>
      <c r="H16" s="97">
        <v>55.706965972400049</v>
      </c>
      <c r="I16" s="97">
        <v>100</v>
      </c>
      <c r="J16" s="97">
        <v>70</v>
      </c>
    </row>
    <row r="17" spans="1:34" x14ac:dyDescent="0.35">
      <c r="A17" s="7">
        <v>49.750536717839175</v>
      </c>
      <c r="B17" t="s">
        <v>15</v>
      </c>
      <c r="C17" s="97">
        <v>45.057641531491072</v>
      </c>
      <c r="D17" s="97">
        <v>0.35372551760817611</v>
      </c>
      <c r="E17" s="97">
        <v>36.9068703586778</v>
      </c>
      <c r="F17" s="97">
        <v>70</v>
      </c>
      <c r="G17" s="97">
        <v>60</v>
      </c>
      <c r="H17" s="97">
        <v>86.399183234377247</v>
      </c>
      <c r="I17" s="97">
        <v>80</v>
      </c>
      <c r="J17" s="97">
        <v>70</v>
      </c>
    </row>
    <row r="18" spans="1:34" x14ac:dyDescent="0.35">
      <c r="A18" s="7">
        <v>46.548663847397748</v>
      </c>
      <c r="B18" t="s">
        <v>17</v>
      </c>
      <c r="C18" s="97">
        <v>54.757085953091334</v>
      </c>
      <c r="D18" s="97">
        <v>25.529859019563673</v>
      </c>
      <c r="E18" s="97">
        <v>23.975537406914228</v>
      </c>
      <c r="F18" s="97">
        <v>50</v>
      </c>
      <c r="G18" s="97">
        <v>20</v>
      </c>
      <c r="H18" s="97">
        <v>100</v>
      </c>
      <c r="I18" s="97">
        <v>100</v>
      </c>
      <c r="J18" s="97">
        <v>80</v>
      </c>
    </row>
    <row r="19" spans="1:34" x14ac:dyDescent="0.35">
      <c r="A19" s="7" t="s">
        <v>53</v>
      </c>
      <c r="C19" s="97">
        <v>52.371803046456797</v>
      </c>
      <c r="D19" s="97">
        <v>23.080076254071422</v>
      </c>
      <c r="E19" s="97">
        <v>34.819295756673313</v>
      </c>
      <c r="F19" s="97">
        <v>72.857142857142861</v>
      </c>
      <c r="G19" s="97">
        <v>52.857142857142854</v>
      </c>
      <c r="H19" s="97">
        <v>74.864357457471783</v>
      </c>
      <c r="I19" s="97">
        <v>98.571428571428569</v>
      </c>
      <c r="J19" s="97">
        <v>82.142857142857139</v>
      </c>
    </row>
    <row r="24" spans="1:34" ht="90" x14ac:dyDescent="0.35">
      <c r="A24" s="101"/>
      <c r="B24" s="101"/>
      <c r="C24" s="103" t="s">
        <v>195</v>
      </c>
      <c r="D24" s="103" t="s">
        <v>196</v>
      </c>
      <c r="E24" s="103" t="s">
        <v>197</v>
      </c>
      <c r="F24" s="103" t="s">
        <v>198</v>
      </c>
      <c r="G24" s="103" t="s">
        <v>199</v>
      </c>
      <c r="H24" s="103" t="s">
        <v>200</v>
      </c>
      <c r="I24" s="103" t="s">
        <v>202</v>
      </c>
      <c r="J24" s="103" t="s">
        <v>201</v>
      </c>
      <c r="M24" s="101"/>
      <c r="N24" s="101"/>
      <c r="O24" s="103" t="s">
        <v>195</v>
      </c>
      <c r="P24" s="103" t="s">
        <v>196</v>
      </c>
      <c r="Q24" s="103" t="s">
        <v>197</v>
      </c>
      <c r="R24" s="103" t="s">
        <v>198</v>
      </c>
      <c r="S24" s="103" t="s">
        <v>199</v>
      </c>
      <c r="T24" s="103" t="s">
        <v>200</v>
      </c>
      <c r="U24" s="103" t="s">
        <v>202</v>
      </c>
      <c r="V24" s="103" t="s">
        <v>201</v>
      </c>
      <c r="Y24" s="101"/>
      <c r="Z24" s="101"/>
      <c r="AA24" s="103" t="s">
        <v>195</v>
      </c>
      <c r="AB24" s="103" t="s">
        <v>196</v>
      </c>
      <c r="AC24" s="103" t="s">
        <v>197</v>
      </c>
      <c r="AD24" s="103" t="s">
        <v>198</v>
      </c>
      <c r="AE24" s="103" t="s">
        <v>199</v>
      </c>
      <c r="AF24" s="103" t="s">
        <v>200</v>
      </c>
      <c r="AG24" s="103" t="s">
        <v>202</v>
      </c>
      <c r="AH24" s="103" t="s">
        <v>201</v>
      </c>
    </row>
    <row r="25" spans="1:34" x14ac:dyDescent="0.35">
      <c r="A25" s="105">
        <v>68.748150787999663</v>
      </c>
      <c r="B25" s="106" t="s">
        <v>9</v>
      </c>
      <c r="C25" s="97">
        <v>38.585599743413788</v>
      </c>
      <c r="D25" s="97">
        <v>100</v>
      </c>
      <c r="E25" s="97">
        <v>74.855263620135673</v>
      </c>
      <c r="F25" s="97">
        <v>70</v>
      </c>
      <c r="G25" s="97">
        <v>60</v>
      </c>
      <c r="H25" s="97">
        <v>26.964189747476148</v>
      </c>
      <c r="I25" s="97">
        <v>100</v>
      </c>
      <c r="J25" s="97">
        <v>80</v>
      </c>
      <c r="M25" s="109">
        <v>70.904287562117048</v>
      </c>
      <c r="N25" s="110" t="s">
        <v>22</v>
      </c>
      <c r="O25" s="97">
        <v>47.523051921661235</v>
      </c>
      <c r="P25" s="97">
        <v>100</v>
      </c>
      <c r="Q25" s="97">
        <v>77.295412008236909</v>
      </c>
      <c r="R25" s="97">
        <v>70</v>
      </c>
      <c r="S25" s="97">
        <v>40</v>
      </c>
      <c r="T25" s="97">
        <v>100</v>
      </c>
      <c r="U25" s="97">
        <v>60</v>
      </c>
      <c r="V25" s="97">
        <v>100</v>
      </c>
      <c r="Y25" s="104">
        <v>59.190463853359461</v>
      </c>
      <c r="Z25" t="s">
        <v>21</v>
      </c>
      <c r="AA25" s="97">
        <v>20.806254749134993</v>
      </c>
      <c r="AB25" s="97">
        <v>66.004741554158358</v>
      </c>
      <c r="AC25" s="97">
        <v>46.535690336528965</v>
      </c>
      <c r="AD25" s="97">
        <v>50</v>
      </c>
      <c r="AE25" s="97">
        <v>100</v>
      </c>
      <c r="AF25" s="97">
        <v>47.824909864818181</v>
      </c>
      <c r="AG25" s="97">
        <v>80</v>
      </c>
      <c r="AH25" s="97">
        <v>80</v>
      </c>
    </row>
    <row r="26" spans="1:34" x14ac:dyDescent="0.35">
      <c r="A26" s="105">
        <v>61.84893636683325</v>
      </c>
      <c r="B26" s="106" t="s">
        <v>27</v>
      </c>
      <c r="C26" s="97">
        <v>65.788998112721856</v>
      </c>
      <c r="D26" s="97">
        <v>10.310130823786015</v>
      </c>
      <c r="E26" s="97">
        <v>37.956723356199937</v>
      </c>
      <c r="F26" s="97">
        <v>100</v>
      </c>
      <c r="G26" s="97">
        <v>60</v>
      </c>
      <c r="H26" s="97">
        <v>100</v>
      </c>
      <c r="I26" s="97">
        <v>100</v>
      </c>
      <c r="J26" s="97">
        <v>70</v>
      </c>
      <c r="M26" s="109">
        <v>57.419127374306115</v>
      </c>
      <c r="N26" s="110" t="s">
        <v>136</v>
      </c>
      <c r="O26" s="97">
        <v>32.828159054060848</v>
      </c>
      <c r="P26" s="97">
        <v>16.089734868540713</v>
      </c>
      <c r="Q26" s="97">
        <v>51.132360450927258</v>
      </c>
      <c r="R26" s="97">
        <v>80</v>
      </c>
      <c r="S26" s="97">
        <v>60</v>
      </c>
      <c r="T26" s="97">
        <v>85.166300118122564</v>
      </c>
      <c r="U26" s="97">
        <v>100</v>
      </c>
      <c r="V26" s="97">
        <v>100</v>
      </c>
      <c r="Y26" s="104">
        <v>58.566767148313708</v>
      </c>
      <c r="Z26" t="s">
        <v>25</v>
      </c>
      <c r="AA26" s="97">
        <v>27.422796799300556</v>
      </c>
      <c r="AB26" s="97">
        <v>93.88309872878898</v>
      </c>
      <c r="AC26" s="97">
        <v>78.211798958576281</v>
      </c>
      <c r="AD26" s="97">
        <v>50</v>
      </c>
      <c r="AE26" s="97">
        <v>60</v>
      </c>
      <c r="AF26" s="97">
        <v>35.659040456707515</v>
      </c>
      <c r="AG26" s="97">
        <v>0</v>
      </c>
      <c r="AH26" s="97">
        <v>100</v>
      </c>
    </row>
    <row r="27" spans="1:34" x14ac:dyDescent="0.35">
      <c r="A27" s="105">
        <v>60.742783661202992</v>
      </c>
      <c r="B27" s="106" t="s">
        <v>11</v>
      </c>
      <c r="C27" s="97">
        <v>42.424570464281572</v>
      </c>
      <c r="D27" s="97">
        <v>42.666845886027183</v>
      </c>
      <c r="E27" s="97">
        <v>29.550981532209974</v>
      </c>
      <c r="F27" s="97">
        <v>80</v>
      </c>
      <c r="G27" s="97">
        <v>60</v>
      </c>
      <c r="H27" s="97">
        <v>100</v>
      </c>
      <c r="I27" s="97">
        <v>100</v>
      </c>
      <c r="J27" s="97">
        <v>100</v>
      </c>
      <c r="M27" s="109">
        <v>52.242421503037733</v>
      </c>
      <c r="N27" s="110" t="s">
        <v>8</v>
      </c>
      <c r="O27" s="97">
        <v>22.956240159655593</v>
      </c>
      <c r="P27" s="97">
        <v>2.3784260050571002</v>
      </c>
      <c r="Q27" s="97">
        <v>66.180468229273117</v>
      </c>
      <c r="R27" s="97">
        <v>70</v>
      </c>
      <c r="S27" s="97">
        <v>40</v>
      </c>
      <c r="T27" s="97">
        <v>100</v>
      </c>
      <c r="U27" s="97">
        <v>100</v>
      </c>
      <c r="V27" s="97">
        <v>100</v>
      </c>
      <c r="Y27" s="104">
        <v>58.223626018736937</v>
      </c>
      <c r="Z27" t="s">
        <v>26</v>
      </c>
      <c r="AA27" s="97">
        <v>31.592351527934142</v>
      </c>
      <c r="AB27" s="97">
        <v>99.999999999999986</v>
      </c>
      <c r="AC27" s="97">
        <v>76.998546591437204</v>
      </c>
      <c r="AD27" s="97">
        <v>80</v>
      </c>
      <c r="AE27" s="97">
        <v>0</v>
      </c>
      <c r="AF27" s="97">
        <v>100</v>
      </c>
      <c r="AG27" s="97">
        <v>0</v>
      </c>
      <c r="AH27" s="97">
        <v>80</v>
      </c>
    </row>
    <row r="28" spans="1:34" x14ac:dyDescent="0.35">
      <c r="A28" s="105">
        <v>60.525919514240925</v>
      </c>
      <c r="B28" s="106" t="s">
        <v>18</v>
      </c>
      <c r="C28" s="97">
        <v>29.158775882024784</v>
      </c>
      <c r="D28" s="97">
        <v>42.68964960365885</v>
      </c>
      <c r="E28" s="97">
        <v>65.605238144988789</v>
      </c>
      <c r="F28" s="97">
        <v>70</v>
      </c>
      <c r="G28" s="97">
        <v>100</v>
      </c>
      <c r="H28" s="97">
        <v>0</v>
      </c>
      <c r="I28" s="97">
        <v>100</v>
      </c>
      <c r="J28" s="97">
        <v>70</v>
      </c>
      <c r="M28" s="109">
        <v>50.456294378068634</v>
      </c>
      <c r="N28" s="110" t="s">
        <v>12</v>
      </c>
      <c r="O28" s="97">
        <v>43.379637504472861</v>
      </c>
      <c r="P28" s="97">
        <v>11.142670451637063</v>
      </c>
      <c r="Q28" s="97">
        <v>55.470920838684393</v>
      </c>
      <c r="R28" s="97">
        <v>80</v>
      </c>
      <c r="S28" s="97">
        <v>20</v>
      </c>
      <c r="T28" s="97">
        <v>52.860666563523161</v>
      </c>
      <c r="U28" s="97">
        <v>100</v>
      </c>
      <c r="V28" s="97">
        <v>100</v>
      </c>
      <c r="Y28" s="104">
        <v>56.380107254116687</v>
      </c>
      <c r="Z28" t="s">
        <v>23</v>
      </c>
      <c r="AA28" s="97">
        <v>23.308082391774718</v>
      </c>
      <c r="AB28" s="97">
        <v>26.494437005545308</v>
      </c>
      <c r="AC28" s="97">
        <v>72.724138144562374</v>
      </c>
      <c r="AD28" s="97">
        <v>40</v>
      </c>
      <c r="AE28" s="97">
        <v>80</v>
      </c>
      <c r="AF28" s="97">
        <v>63.637630711232461</v>
      </c>
      <c r="AG28" s="97">
        <v>100</v>
      </c>
      <c r="AH28" s="97">
        <v>100</v>
      </c>
    </row>
    <row r="29" spans="1:34" x14ac:dyDescent="0.35">
      <c r="A29" s="105">
        <v>57.887935182259362</v>
      </c>
      <c r="B29" s="106" t="s">
        <v>6</v>
      </c>
      <c r="C29" s="97">
        <v>50.590793397008348</v>
      </c>
      <c r="D29" s="97">
        <v>38.607747860675538</v>
      </c>
      <c r="E29" s="97">
        <v>37.601053631437139</v>
      </c>
      <c r="F29" s="97">
        <v>70</v>
      </c>
      <c r="G29" s="97">
        <v>40</v>
      </c>
      <c r="H29" s="97">
        <v>100</v>
      </c>
      <c r="I29" s="97">
        <v>100</v>
      </c>
      <c r="J29" s="97">
        <v>100</v>
      </c>
      <c r="M29" s="109">
        <v>49.869589935637997</v>
      </c>
      <c r="N29" s="110" t="s">
        <v>13</v>
      </c>
      <c r="O29" s="97">
        <v>59.125855489929179</v>
      </c>
      <c r="P29" s="97">
        <v>10.767809590328294</v>
      </c>
      <c r="Q29" s="97">
        <v>82.798582330345823</v>
      </c>
      <c r="R29" s="97">
        <v>70</v>
      </c>
      <c r="S29" s="97">
        <v>0</v>
      </c>
      <c r="T29" s="97">
        <v>13.447898032354962</v>
      </c>
      <c r="U29" s="97">
        <v>100</v>
      </c>
      <c r="V29" s="97">
        <v>100</v>
      </c>
      <c r="Y29" s="104">
        <v>55.457030868659032</v>
      </c>
      <c r="Z29" t="s">
        <v>120</v>
      </c>
      <c r="AA29" s="97">
        <v>36.370774427332464</v>
      </c>
      <c r="AB29" s="97">
        <v>12.764511372095031</v>
      </c>
      <c r="AC29" s="97">
        <v>84.971157129691449</v>
      </c>
      <c r="AD29" s="97">
        <v>100</v>
      </c>
      <c r="AE29" s="97">
        <v>0</v>
      </c>
      <c r="AF29" s="97">
        <v>100</v>
      </c>
      <c r="AG29" s="97">
        <v>100</v>
      </c>
      <c r="AH29" s="97">
        <v>70</v>
      </c>
    </row>
    <row r="30" spans="1:34" x14ac:dyDescent="0.35">
      <c r="A30" s="105">
        <v>54.74197396775984</v>
      </c>
      <c r="B30" s="106" t="s">
        <v>7</v>
      </c>
      <c r="C30" s="97">
        <v>63.420867981243909</v>
      </c>
      <c r="D30" s="97">
        <v>6.3919067046565985</v>
      </c>
      <c r="E30" s="97">
        <v>47.324562612598477</v>
      </c>
      <c r="F30" s="97">
        <v>100</v>
      </c>
      <c r="G30" s="97">
        <v>0</v>
      </c>
      <c r="H30" s="97">
        <v>100</v>
      </c>
      <c r="I30" s="97">
        <v>100</v>
      </c>
      <c r="J30" s="97">
        <v>100</v>
      </c>
      <c r="M30" s="104"/>
      <c r="O30" s="97">
        <f>AVERAGE(O25:O29)</f>
        <v>41.16258882595595</v>
      </c>
      <c r="P30" s="97">
        <f t="shared" ref="P30:V30" si="0">AVERAGE(P25:P29)</f>
        <v>28.075728183112631</v>
      </c>
      <c r="Q30" s="97">
        <f t="shared" si="0"/>
        <v>66.575548771493501</v>
      </c>
      <c r="R30" s="97">
        <f t="shared" si="0"/>
        <v>74</v>
      </c>
      <c r="S30" s="97">
        <f t="shared" si="0"/>
        <v>32</v>
      </c>
      <c r="T30" s="97">
        <f t="shared" si="0"/>
        <v>70.294972942800129</v>
      </c>
      <c r="U30" s="97">
        <f t="shared" si="0"/>
        <v>92</v>
      </c>
      <c r="V30" s="97">
        <f t="shared" si="0"/>
        <v>100</v>
      </c>
      <c r="Y30" s="104"/>
      <c r="AA30" s="97">
        <f>AVERAGE(AA25:AA29)</f>
        <v>27.900051979095373</v>
      </c>
      <c r="AB30" s="97">
        <f t="shared" ref="AB30" si="1">AVERAGE(AB25:AB29)</f>
        <v>59.829357732117536</v>
      </c>
      <c r="AC30" s="97">
        <f t="shared" ref="AC30" si="2">AVERAGE(AC25:AC29)</f>
        <v>71.888266232159268</v>
      </c>
      <c r="AD30" s="97">
        <f t="shared" ref="AD30" si="3">AVERAGE(AD25:AD29)</f>
        <v>64</v>
      </c>
      <c r="AE30" s="97">
        <f t="shared" ref="AE30" si="4">AVERAGE(AE25:AE29)</f>
        <v>48</v>
      </c>
      <c r="AF30" s="97">
        <f t="shared" ref="AF30" si="5">AVERAGE(AF25:AF29)</f>
        <v>69.424316206551637</v>
      </c>
      <c r="AG30" s="97">
        <f t="shared" ref="AG30" si="6">AVERAGE(AG25:AG29)</f>
        <v>56</v>
      </c>
      <c r="AH30" s="97">
        <f t="shared" ref="AH30" si="7">AVERAGE(AH25:AH29)</f>
        <v>86</v>
      </c>
    </row>
    <row r="31" spans="1:34" x14ac:dyDescent="0.35">
      <c r="A31" s="105">
        <v>51.715650716131883</v>
      </c>
      <c r="B31" s="106" t="s">
        <v>2</v>
      </c>
      <c r="C31" s="97">
        <v>65.644474388650778</v>
      </c>
      <c r="D31" s="97">
        <v>8.1237101944020793</v>
      </c>
      <c r="E31" s="97">
        <v>16.954632392771401</v>
      </c>
      <c r="F31" s="97">
        <v>80</v>
      </c>
      <c r="G31" s="97">
        <v>40</v>
      </c>
      <c r="H31" s="97">
        <v>100</v>
      </c>
      <c r="I31" s="97">
        <v>100</v>
      </c>
      <c r="J31" s="97">
        <v>70</v>
      </c>
      <c r="M31" s="111">
        <v>48.962741969314941</v>
      </c>
      <c r="N31" s="112" t="s">
        <v>14</v>
      </c>
      <c r="O31" s="97">
        <v>38.049477857748052</v>
      </c>
      <c r="P31" s="97">
        <v>7.5262594433879624</v>
      </c>
      <c r="Q31" s="97">
        <v>47.837746860953942</v>
      </c>
      <c r="R31" s="97">
        <v>70</v>
      </c>
      <c r="S31" s="97">
        <v>20</v>
      </c>
      <c r="T31" s="97">
        <v>94.248767550708152</v>
      </c>
      <c r="U31" s="97">
        <v>100</v>
      </c>
      <c r="V31" s="97">
        <v>100</v>
      </c>
      <c r="Y31" s="104">
        <v>52.785252102588885</v>
      </c>
      <c r="Z31" t="s">
        <v>124</v>
      </c>
      <c r="AA31" s="97">
        <v>30.081605070904544</v>
      </c>
      <c r="AB31" s="97">
        <v>20.366085795551029</v>
      </c>
      <c r="AC31" s="97">
        <v>82.79346810805832</v>
      </c>
      <c r="AD31" s="97">
        <v>80</v>
      </c>
      <c r="AE31" s="97">
        <v>0</v>
      </c>
      <c r="AF31" s="97">
        <v>100</v>
      </c>
      <c r="AG31" s="97">
        <v>100</v>
      </c>
      <c r="AH31" s="97">
        <v>80</v>
      </c>
    </row>
    <row r="32" spans="1:34" x14ac:dyDescent="0.35">
      <c r="A32" s="105" t="s">
        <v>203</v>
      </c>
      <c r="B32" s="106"/>
      <c r="C32" s="97">
        <f>AVERAGE(C25:C31)</f>
        <v>50.802011424192145</v>
      </c>
      <c r="D32" s="97">
        <f t="shared" ref="D32:J32" si="8">AVERAGE(D25:D31)</f>
        <v>35.541427296172323</v>
      </c>
      <c r="E32" s="97">
        <f t="shared" si="8"/>
        <v>44.264065041477338</v>
      </c>
      <c r="F32" s="97">
        <f t="shared" si="8"/>
        <v>81.428571428571431</v>
      </c>
      <c r="G32" s="97">
        <f t="shared" si="8"/>
        <v>51.428571428571431</v>
      </c>
      <c r="H32" s="97">
        <f t="shared" si="8"/>
        <v>75.280598535353747</v>
      </c>
      <c r="I32" s="97">
        <f t="shared" si="8"/>
        <v>100</v>
      </c>
      <c r="J32" s="97">
        <f t="shared" si="8"/>
        <v>84.285714285714292</v>
      </c>
      <c r="M32" s="111">
        <v>45.639067069388105</v>
      </c>
      <c r="N32" s="112" t="s">
        <v>133</v>
      </c>
      <c r="O32" s="97">
        <v>42.682978414205543</v>
      </c>
      <c r="P32" s="97">
        <v>13.545333917096823</v>
      </c>
      <c r="Q32" s="97">
        <v>21.505626767988247</v>
      </c>
      <c r="R32" s="97">
        <v>50</v>
      </c>
      <c r="S32" s="97">
        <v>80</v>
      </c>
      <c r="T32" s="97">
        <v>6.0245522025240197</v>
      </c>
      <c r="U32" s="97">
        <v>100</v>
      </c>
      <c r="V32" s="97">
        <v>80</v>
      </c>
      <c r="Y32" s="104">
        <v>52.449158484693996</v>
      </c>
      <c r="Z32" t="s">
        <v>116</v>
      </c>
      <c r="AA32" s="97">
        <v>21.174774768170636</v>
      </c>
      <c r="AB32" s="97">
        <v>7.8222538690917407</v>
      </c>
      <c r="AC32" s="97">
        <v>75.662154169245412</v>
      </c>
      <c r="AD32" s="97">
        <v>50</v>
      </c>
      <c r="AE32" s="97">
        <v>80</v>
      </c>
      <c r="AF32" s="97">
        <v>53.555338534791332</v>
      </c>
      <c r="AG32" s="97">
        <v>100</v>
      </c>
      <c r="AH32" s="97">
        <v>70</v>
      </c>
    </row>
    <row r="33" spans="1:34" x14ac:dyDescent="0.35">
      <c r="A33" s="107">
        <v>51.338436603757202</v>
      </c>
      <c r="B33" s="108" t="s">
        <v>20</v>
      </c>
      <c r="C33" s="97">
        <v>73.076039224358667</v>
      </c>
      <c r="D33" s="97">
        <v>10.244151531670949</v>
      </c>
      <c r="E33" s="97">
        <v>9.8802933485093263</v>
      </c>
      <c r="F33" s="97">
        <v>80</v>
      </c>
      <c r="G33" s="97">
        <v>40</v>
      </c>
      <c r="H33" s="97">
        <v>78.395387205464559</v>
      </c>
      <c r="I33" s="97">
        <v>100</v>
      </c>
      <c r="J33" s="97">
        <v>80</v>
      </c>
      <c r="M33" s="111">
        <v>42.069691812357846</v>
      </c>
      <c r="N33" s="112" t="s">
        <v>130</v>
      </c>
      <c r="O33" s="97">
        <v>24.929626303921879</v>
      </c>
      <c r="P33" s="97">
        <v>12.549922607473576</v>
      </c>
      <c r="Q33" s="97">
        <v>29.623705140668449</v>
      </c>
      <c r="R33" s="97">
        <v>40</v>
      </c>
      <c r="S33" s="97">
        <v>40</v>
      </c>
      <c r="T33" s="97">
        <v>77.997567460414288</v>
      </c>
      <c r="U33" s="97">
        <v>100</v>
      </c>
      <c r="V33" s="97">
        <v>100</v>
      </c>
      <c r="Y33" s="104">
        <v>47.48204325840198</v>
      </c>
      <c r="Z33" t="s">
        <v>24</v>
      </c>
      <c r="AA33" s="97">
        <v>40.845099933913936</v>
      </c>
      <c r="AB33" s="97">
        <v>0</v>
      </c>
      <c r="AC33" s="97">
        <v>69.251003764431772</v>
      </c>
      <c r="AD33" s="97">
        <v>70</v>
      </c>
      <c r="AE33" s="97">
        <v>0</v>
      </c>
      <c r="AF33" s="97">
        <v>100</v>
      </c>
      <c r="AG33" s="97">
        <v>100</v>
      </c>
      <c r="AH33" s="97">
        <v>80</v>
      </c>
    </row>
    <row r="34" spans="1:34" x14ac:dyDescent="0.35">
      <c r="A34" s="107">
        <v>51.266435649482084</v>
      </c>
      <c r="B34" s="108" t="s">
        <v>16</v>
      </c>
      <c r="C34" s="97">
        <v>56.551529523626066</v>
      </c>
      <c r="D34" s="97">
        <v>7.7993077334000596</v>
      </c>
      <c r="E34" s="97">
        <v>30.462469107718249</v>
      </c>
      <c r="F34" s="97">
        <v>70</v>
      </c>
      <c r="G34" s="97">
        <v>60</v>
      </c>
      <c r="H34" s="97">
        <v>49.282288859269791</v>
      </c>
      <c r="I34" s="97">
        <v>100</v>
      </c>
      <c r="J34" s="97">
        <v>80</v>
      </c>
      <c r="M34" s="111">
        <v>38.127030563454781</v>
      </c>
      <c r="N34" s="112" t="s">
        <v>107</v>
      </c>
      <c r="O34" s="97">
        <v>74.581917487104334</v>
      </c>
      <c r="P34" s="97">
        <v>31.026736588202823</v>
      </c>
      <c r="Q34" s="97">
        <v>83.51862027961856</v>
      </c>
      <c r="R34" s="97">
        <v>20</v>
      </c>
      <c r="S34" s="97">
        <v>0</v>
      </c>
      <c r="T34" s="97">
        <v>0</v>
      </c>
      <c r="U34" s="97">
        <v>0</v>
      </c>
      <c r="V34" s="97">
        <v>70</v>
      </c>
      <c r="Y34" s="104">
        <v>47.389088088997127</v>
      </c>
      <c r="Z34" t="s">
        <v>122</v>
      </c>
      <c r="AA34" s="97">
        <v>32.422195299621976</v>
      </c>
      <c r="AB34" s="97">
        <v>10.702848502805193</v>
      </c>
      <c r="AC34" s="97">
        <v>49.290159949165847</v>
      </c>
      <c r="AD34" s="97">
        <v>40</v>
      </c>
      <c r="AE34" s="97">
        <v>80</v>
      </c>
      <c r="AF34" s="97">
        <v>1.039832331133669</v>
      </c>
      <c r="AG34" s="97">
        <v>100</v>
      </c>
      <c r="AH34" s="97">
        <v>100</v>
      </c>
    </row>
    <row r="35" spans="1:34" x14ac:dyDescent="0.35">
      <c r="A35" s="107">
        <v>51.019049352857991</v>
      </c>
      <c r="B35" s="108" t="s">
        <v>19</v>
      </c>
      <c r="C35" s="97">
        <v>39.851239571091874</v>
      </c>
      <c r="D35" s="97">
        <v>18.816121015837414</v>
      </c>
      <c r="E35" s="97">
        <v>13.804618957759303</v>
      </c>
      <c r="F35" s="97">
        <v>50</v>
      </c>
      <c r="G35" s="97">
        <v>100</v>
      </c>
      <c r="H35" s="97">
        <v>51.352989385617136</v>
      </c>
      <c r="I35" s="97">
        <v>100</v>
      </c>
      <c r="J35" s="97">
        <v>80</v>
      </c>
      <c r="O35" s="97">
        <f>AVERAGE(O31:O34)</f>
        <v>45.061000015744952</v>
      </c>
      <c r="P35" s="97">
        <f t="shared" ref="P35:V35" si="9">AVERAGE(P31:P34)</f>
        <v>16.162063139040296</v>
      </c>
      <c r="Q35" s="97">
        <f t="shared" si="9"/>
        <v>45.621424762307299</v>
      </c>
      <c r="R35" s="97">
        <f t="shared" si="9"/>
        <v>45</v>
      </c>
      <c r="S35" s="97">
        <f t="shared" si="9"/>
        <v>35</v>
      </c>
      <c r="T35" s="97">
        <f t="shared" si="9"/>
        <v>44.567721803411615</v>
      </c>
      <c r="U35" s="97">
        <f t="shared" si="9"/>
        <v>75</v>
      </c>
      <c r="V35" s="97">
        <f t="shared" si="9"/>
        <v>87.5</v>
      </c>
      <c r="AA35" s="97">
        <f>AVERAGE(AA31:AA34)</f>
        <v>31.130918768152771</v>
      </c>
      <c r="AB35" s="97">
        <f t="shared" ref="AB35" si="10">AVERAGE(AB31:AB34)</f>
        <v>9.7227970418619911</v>
      </c>
      <c r="AC35" s="97">
        <f t="shared" ref="AC35" si="11">AVERAGE(AC31:AC34)</f>
        <v>69.249196497725336</v>
      </c>
      <c r="AD35" s="97">
        <f t="shared" ref="AD35" si="12">AVERAGE(AD31:AD34)</f>
        <v>60</v>
      </c>
      <c r="AE35" s="97">
        <f t="shared" ref="AE35" si="13">AVERAGE(AE31:AE34)</f>
        <v>40</v>
      </c>
      <c r="AF35" s="97">
        <f t="shared" ref="AF35" si="14">AVERAGE(AF31:AF34)</f>
        <v>63.648792716481253</v>
      </c>
      <c r="AG35" s="97">
        <f t="shared" ref="AG35" si="15">AVERAGE(AG31:AG34)</f>
        <v>100</v>
      </c>
      <c r="AH35" s="97">
        <f t="shared" ref="AH35" si="16">AVERAGE(AH31:AH34)</f>
        <v>82.5</v>
      </c>
    </row>
    <row r="36" spans="1:34" x14ac:dyDescent="0.35">
      <c r="A36" s="107">
        <v>50.830507842121456</v>
      </c>
      <c r="B36" s="108" t="s">
        <v>176</v>
      </c>
      <c r="C36" s="97">
        <v>39.620604936825174</v>
      </c>
      <c r="D36" s="97">
        <v>8.7220393568235579</v>
      </c>
      <c r="E36" s="97">
        <v>34.348029719610366</v>
      </c>
      <c r="F36" s="97">
        <v>50</v>
      </c>
      <c r="G36" s="97">
        <v>60</v>
      </c>
      <c r="H36" s="97">
        <v>100</v>
      </c>
      <c r="I36" s="97">
        <v>100</v>
      </c>
      <c r="J36" s="97">
        <v>100</v>
      </c>
      <c r="Y36" s="7">
        <f>Y25-Y34</f>
        <v>11.801375764362334</v>
      </c>
    </row>
    <row r="37" spans="1:34" x14ac:dyDescent="0.35">
      <c r="A37" s="107">
        <v>50.213012769362919</v>
      </c>
      <c r="B37" s="108" t="s">
        <v>10</v>
      </c>
      <c r="C37" s="97">
        <v>68.677021940565893</v>
      </c>
      <c r="D37" s="97">
        <v>2.8658723088898701</v>
      </c>
      <c r="E37" s="97">
        <v>28.243866403895765</v>
      </c>
      <c r="F37" s="97">
        <v>80</v>
      </c>
      <c r="G37" s="97">
        <v>40</v>
      </c>
      <c r="H37" s="97">
        <v>55.706965972400049</v>
      </c>
      <c r="I37" s="97">
        <v>100</v>
      </c>
      <c r="J37" s="97">
        <v>70</v>
      </c>
      <c r="M37" s="7">
        <f>M25-M34</f>
        <v>32.777256998662267</v>
      </c>
    </row>
    <row r="38" spans="1:34" x14ac:dyDescent="0.35">
      <c r="A38" s="107">
        <v>49.750536717839175</v>
      </c>
      <c r="B38" s="108" t="s">
        <v>15</v>
      </c>
      <c r="C38" s="97">
        <v>45.057641531491072</v>
      </c>
      <c r="D38" s="97">
        <v>0.35372551760817611</v>
      </c>
      <c r="E38" s="97">
        <v>36.9068703586778</v>
      </c>
      <c r="F38" s="97">
        <v>70</v>
      </c>
      <c r="G38" s="97">
        <v>60</v>
      </c>
      <c r="H38" s="97">
        <v>86.399183234377247</v>
      </c>
      <c r="I38" s="97">
        <v>80</v>
      </c>
      <c r="J38" s="97">
        <v>70</v>
      </c>
    </row>
    <row r="39" spans="1:34" x14ac:dyDescent="0.35">
      <c r="A39" s="107">
        <v>46.548663847397748</v>
      </c>
      <c r="B39" s="108" t="s">
        <v>17</v>
      </c>
      <c r="C39" s="97">
        <v>54.757085953091334</v>
      </c>
      <c r="D39" s="97">
        <v>25.529859019563673</v>
      </c>
      <c r="E39" s="97">
        <v>23.975537406914228</v>
      </c>
      <c r="F39" s="97">
        <v>50</v>
      </c>
      <c r="G39" s="97">
        <v>20</v>
      </c>
      <c r="H39" s="97">
        <v>100</v>
      </c>
      <c r="I39" s="97">
        <v>100</v>
      </c>
      <c r="J39" s="97">
        <v>80</v>
      </c>
    </row>
    <row r="40" spans="1:34" x14ac:dyDescent="0.35">
      <c r="A40" s="379" t="s">
        <v>204</v>
      </c>
      <c r="B40" s="379"/>
      <c r="C40" s="97">
        <f>AVERAGE(C33:C39)</f>
        <v>53.941594668721443</v>
      </c>
      <c r="D40" s="97">
        <f t="shared" ref="D40:J40" si="17">AVERAGE(D33:D39)</f>
        <v>10.618725211970528</v>
      </c>
      <c r="E40" s="97">
        <f t="shared" si="17"/>
        <v>25.374526471869292</v>
      </c>
      <c r="F40" s="97">
        <f t="shared" si="17"/>
        <v>64.285714285714292</v>
      </c>
      <c r="G40" s="97">
        <f t="shared" si="17"/>
        <v>54.285714285714285</v>
      </c>
      <c r="H40" s="97">
        <f t="shared" si="17"/>
        <v>74.44811637958982</v>
      </c>
      <c r="I40" s="97">
        <f t="shared" si="17"/>
        <v>97.142857142857139</v>
      </c>
      <c r="J40" s="97">
        <f t="shared" si="17"/>
        <v>80</v>
      </c>
    </row>
  </sheetData>
  <mergeCells count="1">
    <mergeCell ref="A40:B40"/>
  </mergeCells>
  <conditionalFormatting sqref="C32:J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J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:V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5:V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0:AH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5:A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6D0D-9FBC-47E9-BC11-E0C44A8D8485}">
  <dimension ref="A2:F50"/>
  <sheetViews>
    <sheetView topLeftCell="A53" workbookViewId="0">
      <selection activeCell="E21" sqref="E21"/>
    </sheetView>
  </sheetViews>
  <sheetFormatPr baseColWidth="10" defaultColWidth="11.54296875" defaultRowHeight="15" x14ac:dyDescent="0.35"/>
  <cols>
    <col min="1" max="1" width="21.54296875" customWidth="1"/>
    <col min="2" max="2" width="8.08984375" customWidth="1"/>
    <col min="3" max="3" width="20" bestFit="1" customWidth="1"/>
    <col min="4" max="4" width="23.36328125" bestFit="1" customWidth="1"/>
    <col min="5" max="5" width="21.90625" bestFit="1" customWidth="1"/>
    <col min="6" max="6" width="11.54296875" bestFit="1" customWidth="1"/>
  </cols>
  <sheetData>
    <row r="2" spans="1:6" x14ac:dyDescent="0.35">
      <c r="A2" s="69" t="s">
        <v>45</v>
      </c>
      <c r="B2" s="94">
        <v>2024</v>
      </c>
    </row>
    <row r="4" spans="1:6" x14ac:dyDescent="0.35">
      <c r="A4" s="69" t="s">
        <v>206</v>
      </c>
      <c r="B4" s="69" t="s">
        <v>93</v>
      </c>
    </row>
    <row r="5" spans="1:6" x14ac:dyDescent="0.35">
      <c r="A5" s="95" t="s">
        <v>175</v>
      </c>
      <c r="B5" t="s">
        <v>177</v>
      </c>
      <c r="C5" t="s">
        <v>109</v>
      </c>
      <c r="D5" t="s">
        <v>98</v>
      </c>
      <c r="E5" t="s">
        <v>95</v>
      </c>
      <c r="F5" t="s">
        <v>53</v>
      </c>
    </row>
    <row r="6" spans="1:6" x14ac:dyDescent="0.35">
      <c r="A6">
        <v>1</v>
      </c>
      <c r="B6" s="70"/>
      <c r="C6" s="70">
        <v>10</v>
      </c>
      <c r="D6" s="70">
        <v>4</v>
      </c>
      <c r="E6" s="70"/>
      <c r="F6" s="70">
        <v>14</v>
      </c>
    </row>
    <row r="7" spans="1:6" x14ac:dyDescent="0.35">
      <c r="A7">
        <v>2</v>
      </c>
      <c r="B7" s="70">
        <v>1</v>
      </c>
      <c r="C7" s="70">
        <v>7</v>
      </c>
      <c r="D7" s="70"/>
      <c r="E7" s="70">
        <v>1</v>
      </c>
      <c r="F7" s="70">
        <v>9</v>
      </c>
    </row>
    <row r="8" spans="1:6" x14ac:dyDescent="0.35">
      <c r="A8">
        <v>3</v>
      </c>
      <c r="B8" s="70"/>
      <c r="C8" s="70">
        <v>9</v>
      </c>
      <c r="D8" s="70"/>
      <c r="E8" s="70"/>
      <c r="F8" s="70">
        <v>9</v>
      </c>
    </row>
    <row r="9" spans="1:6" x14ac:dyDescent="0.35">
      <c r="A9" t="s">
        <v>53</v>
      </c>
      <c r="B9" s="70">
        <v>1</v>
      </c>
      <c r="C9" s="70">
        <v>26</v>
      </c>
      <c r="D9" s="70">
        <v>4</v>
      </c>
      <c r="E9" s="70">
        <v>1</v>
      </c>
      <c r="F9" s="70">
        <v>32</v>
      </c>
    </row>
    <row r="11" spans="1:6" x14ac:dyDescent="0.35">
      <c r="A11" s="69" t="s">
        <v>45</v>
      </c>
      <c r="B11" s="94">
        <v>2024</v>
      </c>
    </row>
    <row r="13" spans="1:6" x14ac:dyDescent="0.35">
      <c r="A13" s="69" t="s">
        <v>206</v>
      </c>
      <c r="B13" s="69" t="s">
        <v>93</v>
      </c>
    </row>
    <row r="14" spans="1:6" x14ac:dyDescent="0.35">
      <c r="A14" s="95" t="s">
        <v>175</v>
      </c>
      <c r="B14" t="s">
        <v>177</v>
      </c>
      <c r="C14" t="s">
        <v>109</v>
      </c>
      <c r="D14" t="s">
        <v>98</v>
      </c>
      <c r="E14" t="s">
        <v>95</v>
      </c>
      <c r="F14" t="s">
        <v>53</v>
      </c>
    </row>
    <row r="15" spans="1:6" x14ac:dyDescent="0.35">
      <c r="A15" s="114">
        <v>1</v>
      </c>
      <c r="B15" s="116">
        <v>0</v>
      </c>
      <c r="C15" s="116">
        <v>0.7142857142857143</v>
      </c>
      <c r="D15" s="116">
        <v>0.2857142857142857</v>
      </c>
      <c r="E15" s="116">
        <v>0</v>
      </c>
      <c r="F15" s="116">
        <v>1</v>
      </c>
    </row>
    <row r="16" spans="1:6" x14ac:dyDescent="0.35">
      <c r="A16" s="114">
        <v>2</v>
      </c>
      <c r="B16" s="116">
        <v>0.1111111111111111</v>
      </c>
      <c r="C16" s="116">
        <v>0.77777777777777779</v>
      </c>
      <c r="D16" s="116">
        <v>0</v>
      </c>
      <c r="E16" s="116">
        <v>0.1111111111111111</v>
      </c>
      <c r="F16" s="116">
        <v>1</v>
      </c>
    </row>
    <row r="17" spans="1:6" x14ac:dyDescent="0.35">
      <c r="A17" s="114">
        <v>3</v>
      </c>
      <c r="B17" s="116">
        <v>0</v>
      </c>
      <c r="C17" s="116">
        <v>1</v>
      </c>
      <c r="D17" s="116">
        <v>0</v>
      </c>
      <c r="E17" s="116">
        <v>0</v>
      </c>
      <c r="F17" s="116">
        <v>1</v>
      </c>
    </row>
    <row r="18" spans="1:6" x14ac:dyDescent="0.35">
      <c r="A18" t="s">
        <v>53</v>
      </c>
      <c r="B18" s="113">
        <v>3.125E-2</v>
      </c>
      <c r="C18" s="113">
        <v>0.8125</v>
      </c>
      <c r="D18" s="113">
        <v>0.125</v>
      </c>
      <c r="E18" s="113">
        <v>3.125E-2</v>
      </c>
      <c r="F18" s="113">
        <v>1</v>
      </c>
    </row>
    <row r="24" spans="1:6" ht="35.25" customHeight="1" x14ac:dyDescent="0.35">
      <c r="B24" s="127" t="s">
        <v>216</v>
      </c>
      <c r="C24" s="128" t="s">
        <v>217</v>
      </c>
      <c r="D24" s="129" t="s">
        <v>218</v>
      </c>
      <c r="E24" s="130" t="s">
        <v>219</v>
      </c>
    </row>
    <row r="25" spans="1:6" x14ac:dyDescent="0.35">
      <c r="B25" s="131">
        <v>3.125E-2</v>
      </c>
      <c r="C25" s="131">
        <v>0.8125</v>
      </c>
      <c r="D25" s="131">
        <v>0.125</v>
      </c>
      <c r="E25" s="131">
        <v>3.125E-2</v>
      </c>
    </row>
    <row r="27" spans="1:6" x14ac:dyDescent="0.35">
      <c r="A27" s="69" t="s">
        <v>45</v>
      </c>
      <c r="B27" s="94">
        <v>2024</v>
      </c>
    </row>
    <row r="29" spans="1:6" x14ac:dyDescent="0.35">
      <c r="A29" s="69" t="s">
        <v>206</v>
      </c>
      <c r="B29" s="69" t="s">
        <v>221</v>
      </c>
    </row>
    <row r="30" spans="1:6" x14ac:dyDescent="0.35">
      <c r="A30" s="69" t="s">
        <v>220</v>
      </c>
      <c r="B30" t="s">
        <v>177</v>
      </c>
      <c r="C30" t="s">
        <v>109</v>
      </c>
      <c r="D30" t="s">
        <v>98</v>
      </c>
      <c r="E30" t="s">
        <v>95</v>
      </c>
      <c r="F30" t="s">
        <v>53</v>
      </c>
    </row>
    <row r="31" spans="1:6" x14ac:dyDescent="0.35">
      <c r="A31" s="94" t="s">
        <v>207</v>
      </c>
      <c r="B31">
        <v>1</v>
      </c>
      <c r="C31">
        <v>4</v>
      </c>
      <c r="D31">
        <v>3</v>
      </c>
      <c r="F31">
        <v>8</v>
      </c>
    </row>
    <row r="32" spans="1:6" x14ac:dyDescent="0.35">
      <c r="A32" s="94" t="s">
        <v>208</v>
      </c>
      <c r="C32">
        <v>4</v>
      </c>
      <c r="F32">
        <v>4</v>
      </c>
    </row>
    <row r="33" spans="1:6" x14ac:dyDescent="0.35">
      <c r="A33" s="94" t="s">
        <v>214</v>
      </c>
      <c r="C33">
        <v>4</v>
      </c>
      <c r="D33">
        <v>1</v>
      </c>
      <c r="F33">
        <v>5</v>
      </c>
    </row>
    <row r="34" spans="1:6" x14ac:dyDescent="0.35">
      <c r="A34" s="94" t="s">
        <v>210</v>
      </c>
      <c r="C34">
        <v>6</v>
      </c>
      <c r="E34">
        <v>1</v>
      </c>
      <c r="F34">
        <v>7</v>
      </c>
    </row>
    <row r="35" spans="1:6" x14ac:dyDescent="0.35">
      <c r="A35" s="94" t="s">
        <v>211</v>
      </c>
      <c r="C35">
        <v>4</v>
      </c>
      <c r="F35">
        <v>4</v>
      </c>
    </row>
    <row r="36" spans="1:6" x14ac:dyDescent="0.35">
      <c r="A36" s="94" t="s">
        <v>215</v>
      </c>
      <c r="C36">
        <v>4</v>
      </c>
      <c r="F36">
        <v>4</v>
      </c>
    </row>
    <row r="37" spans="1:6" x14ac:dyDescent="0.35">
      <c r="A37" s="94" t="s">
        <v>53</v>
      </c>
      <c r="B37">
        <v>1</v>
      </c>
      <c r="C37">
        <v>26</v>
      </c>
      <c r="D37">
        <v>4</v>
      </c>
      <c r="E37">
        <v>1</v>
      </c>
      <c r="F37">
        <v>32</v>
      </c>
    </row>
    <row r="40" spans="1:6" x14ac:dyDescent="0.35">
      <c r="A40" s="69" t="s">
        <v>45</v>
      </c>
      <c r="B40" s="94">
        <v>2024</v>
      </c>
    </row>
    <row r="42" spans="1:6" x14ac:dyDescent="0.35">
      <c r="A42" s="69" t="s">
        <v>206</v>
      </c>
      <c r="B42" s="69" t="s">
        <v>221</v>
      </c>
    </row>
    <row r="43" spans="1:6" x14ac:dyDescent="0.35">
      <c r="A43" s="69" t="s">
        <v>220</v>
      </c>
      <c r="B43" t="s">
        <v>177</v>
      </c>
      <c r="C43" t="s">
        <v>109</v>
      </c>
      <c r="D43" t="s">
        <v>98</v>
      </c>
      <c r="E43" t="s">
        <v>95</v>
      </c>
      <c r="F43" t="s">
        <v>53</v>
      </c>
    </row>
    <row r="44" spans="1:6" x14ac:dyDescent="0.35">
      <c r="A44" s="94" t="s">
        <v>207</v>
      </c>
      <c r="B44" s="115">
        <v>1</v>
      </c>
      <c r="C44" s="115">
        <v>0.15384615384615385</v>
      </c>
      <c r="D44" s="115">
        <v>0.75</v>
      </c>
      <c r="E44" s="115">
        <v>0</v>
      </c>
      <c r="F44" s="115">
        <v>0.25</v>
      </c>
    </row>
    <row r="45" spans="1:6" x14ac:dyDescent="0.35">
      <c r="A45" s="94" t="s">
        <v>208</v>
      </c>
      <c r="B45" s="115">
        <v>0</v>
      </c>
      <c r="C45" s="115">
        <v>0.15384615384615385</v>
      </c>
      <c r="D45" s="115">
        <v>0</v>
      </c>
      <c r="E45" s="115">
        <v>0</v>
      </c>
      <c r="F45" s="115">
        <v>0.125</v>
      </c>
    </row>
    <row r="46" spans="1:6" x14ac:dyDescent="0.35">
      <c r="A46" s="94" t="s">
        <v>214</v>
      </c>
      <c r="B46" s="115">
        <v>0</v>
      </c>
      <c r="C46" s="115">
        <v>0.15384615384615385</v>
      </c>
      <c r="D46" s="115">
        <v>0.25</v>
      </c>
      <c r="E46" s="115">
        <v>0</v>
      </c>
      <c r="F46" s="115">
        <v>0.15625</v>
      </c>
    </row>
    <row r="47" spans="1:6" x14ac:dyDescent="0.35">
      <c r="A47" s="94" t="s">
        <v>210</v>
      </c>
      <c r="B47" s="115">
        <v>0</v>
      </c>
      <c r="C47" s="115">
        <v>0.23076923076923078</v>
      </c>
      <c r="D47" s="115">
        <v>0</v>
      </c>
      <c r="E47" s="115">
        <v>1</v>
      </c>
      <c r="F47" s="115">
        <v>0.21875</v>
      </c>
    </row>
    <row r="48" spans="1:6" x14ac:dyDescent="0.35">
      <c r="A48" s="94" t="s">
        <v>211</v>
      </c>
      <c r="B48" s="115">
        <v>0</v>
      </c>
      <c r="C48" s="115">
        <v>0.15384615384615385</v>
      </c>
      <c r="D48" s="115">
        <v>0</v>
      </c>
      <c r="E48" s="115">
        <v>0</v>
      </c>
      <c r="F48" s="115">
        <v>0.125</v>
      </c>
    </row>
    <row r="49" spans="1:6" x14ac:dyDescent="0.35">
      <c r="A49" s="94" t="s">
        <v>215</v>
      </c>
      <c r="B49" s="115">
        <v>0</v>
      </c>
      <c r="C49" s="115">
        <v>0.15384615384615385</v>
      </c>
      <c r="D49" s="115">
        <v>0</v>
      </c>
      <c r="E49" s="115">
        <v>0</v>
      </c>
      <c r="F49" s="115">
        <v>0.125</v>
      </c>
    </row>
    <row r="50" spans="1:6" x14ac:dyDescent="0.35">
      <c r="A50" s="94" t="s">
        <v>53</v>
      </c>
      <c r="B50" s="115">
        <v>1</v>
      </c>
      <c r="C50" s="115">
        <v>1</v>
      </c>
      <c r="D50" s="115">
        <v>1</v>
      </c>
      <c r="E50" s="115">
        <v>1</v>
      </c>
      <c r="F50" s="115">
        <v>1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34</vt:i4>
      </vt:variant>
    </vt:vector>
  </HeadingPairs>
  <TitlesOfParts>
    <vt:vector size="44" baseType="lpstr">
      <vt:lpstr>Pivot prom 2020-2024</vt:lpstr>
      <vt:lpstr>Dashboard IDF</vt:lpstr>
      <vt:lpstr>Ejemplo Cálculo IDF</vt:lpstr>
      <vt:lpstr>IDF 20-24 con variables</vt:lpstr>
      <vt:lpstr>IDF 20-24 Sin variables</vt:lpstr>
      <vt:lpstr>Tendencias</vt:lpstr>
      <vt:lpstr>Gráficas</vt:lpstr>
      <vt:lpstr>Mejores-Peores</vt:lpstr>
      <vt:lpstr>Análisis de Brechas</vt:lpstr>
      <vt:lpstr>Analisis rangos desempeño</vt:lpstr>
      <vt:lpstr>AMAZONAS</vt:lpstr>
      <vt:lpstr>ANTIOQUIA</vt:lpstr>
      <vt:lpstr>ARAUCA</vt:lpstr>
      <vt:lpstr>ATLÁNTICO</vt:lpstr>
      <vt:lpstr>BOGOTÁ</vt:lpstr>
      <vt:lpstr>BOLÍVAR</vt:lpstr>
      <vt:lpstr>BOYACÁ</vt:lpstr>
      <vt:lpstr>CALDAS</vt:lpstr>
      <vt:lpstr>CAQUETÁ</vt:lpstr>
      <vt:lpstr>CASANARE</vt:lpstr>
      <vt:lpstr>CAUCA</vt:lpstr>
      <vt:lpstr>CESAR</vt:lpstr>
      <vt:lpstr>CHOCÓ</vt:lpstr>
      <vt:lpstr>CÓRDOBA</vt:lpstr>
      <vt:lpstr>CUNDINAMARCA</vt:lpstr>
      <vt:lpstr>DEPARTAMENTO</vt:lpstr>
      <vt:lpstr>GUAINÍA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RISARALDA</vt:lpstr>
      <vt:lpstr>SAN_ANDRÉS</vt:lpstr>
      <vt:lpstr>SANTANDER</vt:lpstr>
      <vt:lpstr>SUCRE</vt:lpstr>
      <vt:lpstr>TOLIMA</vt:lpstr>
      <vt:lpstr>VALLE_DEL_CAUCA</vt:lpstr>
      <vt:lpstr>VAUPÉS</vt:lpstr>
      <vt:lpstr>VICHADA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glaverde</dc:creator>
  <cp:keywords/>
  <dc:description/>
  <cp:lastModifiedBy>Susana Ordonez Garzon</cp:lastModifiedBy>
  <cp:revision/>
  <dcterms:created xsi:type="dcterms:W3CDTF">2023-05-08T18:09:20Z</dcterms:created>
  <dcterms:modified xsi:type="dcterms:W3CDTF">2026-07-10T00:20:49Z</dcterms:modified>
  <cp:category/>
  <cp:contentStatus/>
</cp:coreProperties>
</file>