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glio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P2">
      <text>
        <t xml:space="preserve">+pllngl96e21d122b@studenti.unical.it che vuol dire HTTP?
_Assegnato a pllngl96e21d122b@studenti.unical.it_
	-Giovanni Grasso
Intendevo il caso in cui l'URL si trovi  tramite il traffico di rete
	-Angelo Pollinzi
Ok metti HTTP Log
Inoltre aggiungi una colonna con Javascript (nel caso l'url e' da qualche
parte come variabile javascript)
	-Giovanni Grasso
Va bene prof allora adesso effettuo le modifiche e poi non appena mi manderete i siti mi metterò a lavoro.
	-Angelo Pollinzi
ok ho messo un file nella cartella con i files. Se qualche sito non e'
raggiungibile non ti preoccupare, segnalo e vai avanti
	-Giovanni Grasso
Benissimo, grazie mille
	-Angelo Pollinzi</t>
      </text>
    </comment>
    <comment authorId="0" ref="I2">
      <text>
        <t xml:space="preserve">&lt;object data="blur.swf" width="400px" height="200px"&gt;&lt;/object&gt;
	-Giovanni Grasso</t>
      </text>
    </comment>
    <comment authorId="0" ref="C2">
      <text>
        <t xml:space="preserve">Qui mettiamo l'ulr del video che ci aspettiamo di trovare
	-Giovanni Grasso</t>
      </text>
    </comment>
  </commentList>
</comments>
</file>

<file path=xl/sharedStrings.xml><?xml version="1.0" encoding="utf-8"?>
<sst xmlns="http://schemas.openxmlformats.org/spreadsheetml/2006/main" count="736" uniqueCount="326">
  <si>
    <t>L'url e' presente in:</t>
  </si>
  <si>
    <t>Altri Attributi Presenti:</t>
  </si>
  <si>
    <t>SITO</t>
  </si>
  <si>
    <t>PAGINA VIDEO</t>
  </si>
  <si>
    <t>URL del video</t>
  </si>
  <si>
    <t>Risultato Diffbot</t>
  </si>
  <si>
    <t>Don't Know</t>
  </si>
  <si>
    <t>&lt;video@src&gt;</t>
  </si>
  <si>
    <t>&lt;video.source&gt;</t>
  </si>
  <si>
    <t>data-attr</t>
  </si>
  <si>
    <t>&lt;object&gt;</t>
  </si>
  <si>
    <t>&lt;embed@src&gt;</t>
  </si>
  <si>
    <t>&lt;iframe&gt;</t>
  </si>
  <si>
    <t>Facebook Open Graph</t>
  </si>
  <si>
    <t>Youtube</t>
  </si>
  <si>
    <t>Twitter player stream</t>
  </si>
  <si>
    <t>Javascript</t>
  </si>
  <si>
    <t>HTTP log</t>
  </si>
  <si>
    <t>json-ld</t>
  </si>
  <si>
    <t>json-ld redirect</t>
  </si>
  <si>
    <t>Microdata</t>
  </si>
  <si>
    <t>RDFa</t>
  </si>
  <si>
    <t>Dimensione</t>
  </si>
  <si>
    <t>Durata</t>
  </si>
  <si>
    <t>Mime</t>
  </si>
  <si>
    <t>Data Upload</t>
  </si>
  <si>
    <t>Lingua</t>
  </si>
  <si>
    <t>Titolo</t>
  </si>
  <si>
    <t>http://www.nytimes.com/</t>
  </si>
  <si>
    <t>NON TROVATO</t>
  </si>
  <si>
    <t>NO</t>
  </si>
  <si>
    <t>X</t>
  </si>
  <si>
    <t>1050x951</t>
  </si>
  <si>
    <t>536s</t>
  </si>
  <si>
    <t>inglese</t>
  </si>
  <si>
    <t>Jair Bolsonaro’s Been Called a Misogynist and Fascist. Here’s Why Women Still Back Him.</t>
  </si>
  <si>
    <t>http://www.espn.com/</t>
  </si>
  <si>
    <t>SI</t>
  </si>
  <si>
    <t>1280x720</t>
  </si>
  <si>
    <t>39s</t>
  </si>
  <si>
    <t>video/mp4</t>
  </si>
  <si>
    <t>Gronk's big play sets up winning field goal</t>
  </si>
  <si>
    <t>http://www.wkow.com/</t>
  </si>
  <si>
    <t>Rodney Atkins to put on "intimate" show in Madison - WKOW</t>
  </si>
  <si>
    <t>http://www.wokv.com/</t>
  </si>
  <si>
    <t>Toddler Mauled to Death By Family Dog | Depend On WOKV - Jacksonville's News, Weather, and Traffic | www.wokv.com</t>
  </si>
  <si>
    <t>https://www.wsj.com/europe</t>
  </si>
  <si>
    <t>193s</t>
  </si>
  <si>
    <t>What the Election of Jair Bolsonaro Means for Brazil</t>
  </si>
  <si>
    <t>https://www.myrtlebeachonline.com/</t>
  </si>
  <si>
    <t>71s</t>
  </si>
  <si>
    <t>Klocker's, Remedies cleaned up, owner says</t>
  </si>
  <si>
    <t>http://mynorthwest.com/</t>
  </si>
  <si>
    <t>150s</t>
  </si>
  <si>
    <t>First Man - Official Trailer (HD)</t>
  </si>
  <si>
    <t>https://nypost.com/</t>
  </si>
  <si>
    <t>Goldman Sachs CEO David Solomon moonlights as a DJ</t>
  </si>
  <si>
    <t>http://www.bostonherald.com/</t>
  </si>
  <si>
    <t>Sports | Boston Herald</t>
  </si>
  <si>
    <t>https://www.ilmessaggero.it/</t>
  </si>
  <si>
    <t>70s</t>
  </si>
  <si>
    <t>italiano</t>
  </si>
  <si>
    <t>Dl Sicurezza, Salvini: «Sta viaggiando spedito al Senato, basta polemiche»</t>
  </si>
  <si>
    <t>http://www.journalgazette.net/</t>
  </si>
  <si>
    <t>Boilers think big against Buckeyes | Purdue | The Journal Gazette</t>
  </si>
  <si>
    <t>https://www.lanazione.it/</t>
  </si>
  <si>
    <t>630x380</t>
  </si>
  <si>
    <t>video/webm</t>
  </si>
  <si>
    <t>Di Maio: "Giorni difficili, dobbiamo essere compatti"</t>
  </si>
  <si>
    <t>http://triblive.com/</t>
  </si>
  <si>
    <t>Trib Videos | TribLIVE</t>
  </si>
  <si>
    <t>https://www.channel3000.com/</t>
  </si>
  <si>
    <t>Wednesday Morning Sprint - WISC</t>
  </si>
  <si>
    <t>http://www.vindy.com/</t>
  </si>
  <si>
    <t>The All-Alumni Team - Carl Peterson Part 3</t>
  </si>
  <si>
    <t>https://chicago.suntimes.com/</t>
  </si>
  <si>
    <t>3 hurt in shooting on Dan Ryan</t>
  </si>
  <si>
    <t>https://www.news8000.com/</t>
  </si>
  <si>
    <t>New Horizons advocates explain importance of Domestic Violence Awareness Month</t>
  </si>
  <si>
    <t>https://www.si.com/</t>
  </si>
  <si>
    <t>94s</t>
  </si>
  <si>
    <t>Just How Far Can Aaron Rodgers Carry the Packers?</t>
  </si>
  <si>
    <t>http://www.ilgiornale.it/</t>
  </si>
  <si>
    <t>Leicester, il video choc: così precipita l'elicottero</t>
  </si>
  <si>
    <t>https://wnyt.com/</t>
  </si>
  <si>
    <t>173s</t>
  </si>
  <si>
    <t>Fear continues in St. Johnsville after missing woman is found dead</t>
  </si>
  <si>
    <t>https://abc7news.com/</t>
  </si>
  <si>
    <t>Top stories update: Wednesday</t>
  </si>
  <si>
    <t>https://www.washingtonpost.com/</t>
  </si>
  <si>
    <t>854x480</t>
  </si>
  <si>
    <t>Reporting on fashion in the Instagram age with Robin Givhan | How to be a journalist</t>
  </si>
  <si>
    <t>http://www.kwwl.com/</t>
  </si>
  <si>
    <t>2 Iowa coaches up for national award - KWWL</t>
  </si>
  <si>
    <t>http://www.seattletimes.com/</t>
  </si>
  <si>
    <t>640x360</t>
  </si>
  <si>
    <t>117s</t>
  </si>
  <si>
    <t>High School senior wants to 'leave a legacy' with her Newport football team</t>
  </si>
  <si>
    <t>https://edition.cnn.com/</t>
  </si>
  <si>
    <t>243s</t>
  </si>
  <si>
    <t>The untold story of Dubai</t>
  </si>
  <si>
    <t>https://www.cbssports.com/</t>
  </si>
  <si>
    <t>3481s</t>
  </si>
  <si>
    <t xml:space="preserve">Home run controversy in Houston </t>
  </si>
  <si>
    <t>http://wsls.com/</t>
  </si>
  <si>
    <t>Mexico Beach residents begin returning after Michael</t>
  </si>
  <si>
    <t>https://www.georgianewsday.com/</t>
  </si>
  <si>
    <t>Busted! Package thief caught after her getaway driver flees</t>
  </si>
  <si>
    <t>http://www.aol.com/</t>
  </si>
  <si>
    <t>http://www.tuttosport.com/</t>
  </si>
  <si>
    <t>Copa Libertadores, Gremio-River Plate 1-2</t>
  </si>
  <si>
    <t>https://www.nebraska.tv/</t>
  </si>
  <si>
    <t>https://www.huffingtonpost.com/</t>
  </si>
  <si>
    <t>Il quadro doveva distruggersi completamente. Il meccanismo si è inceppato</t>
  </si>
  <si>
    <t>http://www.startribune.com/</t>
  </si>
  <si>
    <t>Videos from Minneapolis, St. Paul, the Twin Cities area and Minnesota I StarTribune.com</t>
  </si>
  <si>
    <t>http://www.philly.com/</t>
  </si>
  <si>
    <t>Water main break closes Girard Avenue in Fishtown</t>
  </si>
  <si>
    <t>https://www.denverpost.com/</t>
  </si>
  <si>
    <t>￼Top trending videos from The Denver Post - Top Trending Video</t>
  </si>
  <si>
    <t>https://www.hollywoodreporter.com/</t>
  </si>
  <si>
    <t>Claire Foy Talks 'First Man,' Ryan Gosling and 'Crown' Co-Star Matt Smith | Fishing for Answers</t>
  </si>
  <si>
    <t>https://www.ilmattino.it/</t>
  </si>
  <si>
    <t>78s</t>
  </si>
  <si>
    <t>«Da sei anni non faccio il biglietto  della Circumvesuviana»</t>
  </si>
  <si>
    <t>https://siouxlandnews.com/</t>
  </si>
  <si>
    <t>Sioux City Watch | News, Weather, Sports, Breaking News | KMEG</t>
  </si>
  <si>
    <t>http://www.nbcsports.com/</t>
  </si>
  <si>
    <t>773s</t>
  </si>
  <si>
    <t>application/smil+xml</t>
  </si>
  <si>
    <t>Dak Prescott, Jaguars defense have most to prove in Week 7</t>
  </si>
  <si>
    <t>http://www.ibtimes.com/</t>
  </si>
  <si>
    <t>Who Was Dennis Hof? Nevada Brothel Owner, GOP Candidate Dies After Rally</t>
  </si>
  <si>
    <t>https://www.italiaoggi.it/</t>
  </si>
  <si>
    <t>Indici positivi in avvio di seduta a Wall Street</t>
  </si>
  <si>
    <t>https://www.thesun.co.uk/</t>
  </si>
  <si>
    <t>46s</t>
  </si>
  <si>
    <t>CCTV of moment Leicester owner, Vichai Srivaddhanaprabha's helicopter plummets towards the ground</t>
  </si>
  <si>
    <t>https://www.dailymail.co.uk/home/index.html</t>
  </si>
  <si>
    <t>1024x576</t>
  </si>
  <si>
    <t>22s</t>
  </si>
  <si>
    <t>What did Nicole Scherzinger mutter to Tess Daly on Strictly?</t>
  </si>
  <si>
    <t>https://www.wpr.org/</t>
  </si>
  <si>
    <t>435s</t>
  </si>
  <si>
    <t>John Waters on the art of shocking audiences</t>
  </si>
  <si>
    <t>http://fox56.com/</t>
  </si>
  <si>
    <t>Wilkes-Barre Watch | News, Weather, Sports, Breaking News | WOLF</t>
  </si>
  <si>
    <t>https://www.10tv.com/</t>
  </si>
  <si>
    <t>336s</t>
  </si>
  <si>
    <t>No. 2 Ohio State stumbles at Purdue, gets beat 49-20</t>
  </si>
  <si>
    <t>https://www.thetimes.co.uk/?sunday</t>
  </si>
  <si>
    <t>58s</t>
  </si>
  <si>
    <t>The widow and son of Vichai Srivaddhanaprabha visit crash site at stadium</t>
  </si>
  <si>
    <t>http://www.masslive.com/</t>
  </si>
  <si>
    <t>716x414</t>
  </si>
  <si>
    <t>5s</t>
  </si>
  <si>
    <t>Josh Gordon continues to reward New England Patriots' faith with 100-yard outing against Chicago Bears</t>
  </si>
  <si>
    <t>http://www.heraldtribune.com/</t>
  </si>
  <si>
    <t>18s</t>
  </si>
  <si>
    <t>Nurse shark lobster trap study</t>
  </si>
  <si>
    <t>http://dailycaller.com/</t>
  </si>
  <si>
    <t>Lindsey Graham Turns On Saudi Crown Prince: ‘I Never Felt More Used’</t>
  </si>
  <si>
    <t>http://www.945theanswer.com/</t>
  </si>
  <si>
    <t>60s</t>
  </si>
  <si>
    <t>Disney's The Nutcracker and The Four Realms - "On Set with Misty Copeland" Featurette</t>
  </si>
  <si>
    <t>http://brainerddispatch.com/</t>
  </si>
  <si>
    <t>56s</t>
  </si>
  <si>
    <t>video/jwplayer</t>
  </si>
  <si>
    <t>Northland Arboretum Haunted Trail</t>
  </si>
  <si>
    <t>https://www.capegazette.com/</t>
  </si>
  <si>
    <t>169s</t>
  </si>
  <si>
    <t>Palmapalooza</t>
  </si>
  <si>
    <t>https://www.ilfattoquotidiano.it/</t>
  </si>
  <si>
    <t>720x404</t>
  </si>
  <si>
    <t>274s</t>
  </si>
  <si>
    <t>Ragusa, auto come ariete per svaligiare negozi: sgominata banda delle spaccate. Ecco come agivano</t>
  </si>
  <si>
    <t>https://www.today.com/</t>
  </si>
  <si>
    <t>Heard it on TODAY? - TODAY.com | TODAY</t>
  </si>
  <si>
    <t>https://www.theepochtimes.com/</t>
  </si>
  <si>
    <t>Videos of the Day: Migrant Caravan Swells to 5,000, Resumes March Toward US</t>
  </si>
  <si>
    <t>https://www.mymotherlode.com/</t>
  </si>
  <si>
    <t>1144s</t>
  </si>
  <si>
    <t>2017 Mother Lode Roundup Arial Footage</t>
  </si>
  <si>
    <t>https://www.liberoquotidiano.it/</t>
  </si>
  <si>
    <t>Anni dopo, la bomba di Eleonora Giorgi: "Cosa mi chiese Giulio Andreotti"</t>
  </si>
  <si>
    <t>http://www.goal.com/en-US/</t>
  </si>
  <si>
    <t>Will Paul Pogba leave Man Utd? Roberto Pereyra says his ex-colleague is happy at Old Trafford | Goal.com</t>
  </si>
  <si>
    <t>https://www.popsugar.com/</t>
  </si>
  <si>
    <t>728x410</t>
  </si>
  <si>
    <t>1183s</t>
  </si>
  <si>
    <t>Advanced Full-Body HIIT Workout | POPSUGAR Fitness UK</t>
  </si>
  <si>
    <t>http://www.thevalleydispatch.com/</t>
  </si>
  <si>
    <t>Initiative for a Competitive Inner City CEO Steve Grossman speaks at Kronos Wednesday</t>
  </si>
  <si>
    <t>https://phys.org/</t>
  </si>
  <si>
    <t>249s</t>
  </si>
  <si>
    <t>How Do You Catch Fruit Flies?</t>
  </si>
  <si>
    <t>http://www.bendbulletin.com/</t>
  </si>
  <si>
    <t>154s</t>
  </si>
  <si>
    <t>Cook Like a Chef: Hazelnut Brittle</t>
  </si>
  <si>
    <t>http://www.theindychannel.com/</t>
  </si>
  <si>
    <t>Video | RTV6 TheIndyChannel.com</t>
  </si>
  <si>
    <t>https://www.iltempo.it/</t>
  </si>
  <si>
    <t>http://en.people.cn/</t>
  </si>
  <si>
    <t>application/x-shockwave-flash</t>
  </si>
  <si>
    <t>Ningxia in One Minute - People's Daily Online</t>
  </si>
  <si>
    <t>https://www.corriere.it/index.shtml</t>
  </si>
  <si>
    <t>33s</t>
  </si>
  <si>
    <t>Rapallo, crolla la diga foranea spazzata via da una mareggiata</t>
  </si>
  <si>
    <t>https://www.charlotteobserver.com/</t>
  </si>
  <si>
    <t>Serving strangers food with love</t>
  </si>
  <si>
    <t>http://www.cbr.com/</t>
  </si>
  <si>
    <t>Daredevil's Bullseye Actor Reflects on When He Was Almost Captain America</t>
  </si>
  <si>
    <t>https://www.aspendailynews.com/</t>
  </si>
  <si>
    <t>Video: 64th Annual Aspen Ski Swap</t>
  </si>
  <si>
    <t>http://deadline.com/</t>
  </si>
  <si>
    <t>‘Venom’ Review: Tom Hardy Channels His Inner Alien, But This Comic Book Movie Is Less Than Marvelous</t>
  </si>
  <si>
    <t>http://www.contactmusic.com/</t>
  </si>
  <si>
    <t>242s</t>
  </si>
  <si>
    <t>Nothing But Thieves - Take This Lonely Heart (Lyric Video)</t>
  </si>
  <si>
    <t>http://www.westkentuckystar.com/</t>
  </si>
  <si>
    <t>389s</t>
  </si>
  <si>
    <t>Wall That Heals Edited MR</t>
  </si>
  <si>
    <t>https://www.repubblica.it/</t>
  </si>
  <si>
    <t>100s</t>
  </si>
  <si>
    <t>Maltempo, acqua alta a Venezia: nel ristorante si mangia con i piedi a mollo</t>
  </si>
  <si>
    <t>https://www.gazzetta.it/</t>
  </si>
  <si>
    <t>66s</t>
  </si>
  <si>
    <t>Liga, parla il presidente Javier Tebas: "Noi, più amati senza CR7..."</t>
  </si>
  <si>
    <t>http://www.wqow.com/</t>
  </si>
  <si>
    <t>Volunteers search for evidence in Barron County. We will have multiple views,...</t>
  </si>
  <si>
    <t>https://www.mlssoccer.com/</t>
  </si>
  <si>
    <t>364s</t>
  </si>
  <si>
    <t>Decision Day Presented by AT&amp;T Preview: Games to Watch</t>
  </si>
  <si>
    <t>http://www.pinkvilla.com/</t>
  </si>
  <si>
    <t>236s</t>
  </si>
  <si>
    <t>Kaashi: When a brother meets his sister after a LONG time! | Sharman Joshi | Betahasha</t>
  </si>
  <si>
    <t>http://www.chattanoogan.com/Breaking-News/</t>
  </si>
  <si>
    <t>42s</t>
  </si>
  <si>
    <t>UTC's Kareem Orr's Interception - 10/13/2018</t>
  </si>
  <si>
    <t>https://www.cnet.com/news/</t>
  </si>
  <si>
    <t>255s</t>
  </si>
  <si>
    <t>5 reasons not to buy the Pixel 3 or 3 XL</t>
  </si>
  <si>
    <t>http://www.cjonline.com/</t>
  </si>
  <si>
    <t>144s</t>
  </si>
  <si>
    <t>Throwback Thursday with the History Guy: Reporter Donald Moore</t>
  </si>
  <si>
    <t>https://www.ilsole24ore.com/</t>
  </si>
  <si>
    <t>480x270</t>
  </si>
  <si>
    <t>334s</t>
  </si>
  <si>
    <t>Open Innovation Days 2018, l'innovazione si progetta insieme</t>
  </si>
  <si>
    <t>https://www.thedailybeast.com/</t>
  </si>
  <si>
    <t>177s</t>
  </si>
  <si>
    <t>Shredding the Girl and Balloon - The Director’s half cut</t>
  </si>
  <si>
    <t>http://www.uticaod.com/</t>
  </si>
  <si>
    <t>1087s</t>
  </si>
  <si>
    <t>Part 2: Mohawk Valley Health System shares exterior renderings for new Utica hospital</t>
  </si>
  <si>
    <t>http://www.cinemablend.com/</t>
  </si>
  <si>
    <t>168s</t>
  </si>
  <si>
    <t>7 Cancelled Shows That Are Definitely Not Coming Back To TV This Fall</t>
  </si>
  <si>
    <t>http://www.chinadaily.com.cn/</t>
  </si>
  <si>
    <t>https://www.clickondetroit.com/</t>
  </si>
  <si>
    <t>Former President Obama campaigns for Michigan Democrats in Detroit</t>
  </si>
  <si>
    <t>http://www.raycomnewsnetwork.com/</t>
  </si>
  <si>
    <t>Video shows Domino's self-driving delivery car in action</t>
  </si>
  <si>
    <t>https://timesofindia.indiatimes.com/</t>
  </si>
  <si>
    <t>593s</t>
  </si>
  <si>
    <t>Ease of doing business: India jumps 23 spots, now ranks 77</t>
  </si>
  <si>
    <t>http://www.hotnewhiphop.com/</t>
  </si>
  <si>
    <t>690s</t>
  </si>
  <si>
    <t>Mick Jenkins - Understood  (HNHH Between the Lines)</t>
  </si>
  <si>
    <t>http://www.pireport.org/</t>
  </si>
  <si>
    <t>856x480</t>
  </si>
  <si>
    <t>3613s</t>
  </si>
  <si>
    <t>Grappling With The Bomb: Britain’s Nuclear Testing In Kiribati</t>
  </si>
  <si>
    <t>http://www.advertisernewsnorth.com/</t>
  </si>
  <si>
    <t>96s</t>
  </si>
  <si>
    <t xml:space="preserve"> Orange County government center tour</t>
  </si>
  <si>
    <t>https://www.ft.com/</t>
  </si>
  <si>
    <t>1920x1080</t>
  </si>
  <si>
    <t>391s</t>
  </si>
  <si>
    <t>2018's spookiest charts. Warning: may contain graphs</t>
  </si>
  <si>
    <t>https://www.keyt.com/</t>
  </si>
  <si>
    <t>Local artists work sells at Storyteller fundraiser gala for -100000</t>
  </si>
  <si>
    <t>https://www.ktvz.com/</t>
  </si>
  <si>
    <t>Bernie Sanders stumps for Democrat in San Diego</t>
  </si>
  <si>
    <t>http://www.advertisernewssouth.com/</t>
  </si>
  <si>
    <t>https://www.telegraph.co.uk/</t>
  </si>
  <si>
    <t>Duchess of Sussex receives Maori cloak for strength during pregnancy on final day in New Zealand</t>
  </si>
  <si>
    <t>http://wamc.org/</t>
  </si>
  <si>
    <t>77s</t>
  </si>
  <si>
    <t>Woman harassed and hit by a man in the streets of Paris [Eng/Fr]</t>
  </si>
  <si>
    <t>http://www.channel4000.com/</t>
  </si>
  <si>
    <t>Suspected mail bomber caught: Who is Cesar Sayoc?</t>
  </si>
  <si>
    <t>https://www.ilrestodelcarlino.it/</t>
  </si>
  <si>
    <t>Maltempo a Venezia, "transformer" su una vasca da bagno naviga in città</t>
  </si>
  <si>
    <t>SEZIONE</t>
  </si>
  <si>
    <t>PAGINE ANALIZZATE</t>
  </si>
  <si>
    <t>URL TROVATI</t>
  </si>
  <si>
    <t>TROVATI DA DIFFBOT</t>
  </si>
  <si>
    <t>&lt;embed&gt;</t>
  </si>
  <si>
    <t>RISULTATO</t>
  </si>
  <si>
    <t>Questo attributo nella maggior parte dei casi sono riuscito a trovarlo tramite i metadati presenti nella pagina, oppure grazie a uno script contenente un json in cui erano presenti.</t>
  </si>
  <si>
    <r>
      <t xml:space="preserve">La durata di un video,non sempre è facile da trovare, infatti i modi con cui sono riuscito a individuare tale attributo sono : andare a controllare nei </t>
    </r>
    <r>
      <rPr>
        <b/>
      </rPr>
      <t>metadati strutturati(json ld,Microdata,RDFa)</t>
    </r>
    <r>
      <t xml:space="preserve"> cercando la voce</t>
    </r>
    <r>
      <rPr>
        <b/>
      </rPr>
      <t xml:space="preserve"> VideoObject</t>
    </r>
    <r>
      <t xml:space="preserve">; un altro modo è stato quello di ndare a ispezionare i vari script presenti nell'html in cui vi potrebbe essere un json contenent tale campo, infine in taluni casi sono riuscito a trovare la durata all'interno dei file </t>
    </r>
    <r>
      <rPr>
        <b/>
      </rPr>
      <t>json</t>
    </r>
    <r>
      <t xml:space="preserve"> che trafficavano nella rete.</t>
    </r>
  </si>
  <si>
    <r>
      <t>L'attributo MIME che indica il formato standard dei file multimediali a cui si riferisce, nella maggior parte dei casi l'ho estrapolato direttamente dal link della risorsa(es: htts//www.blabla</t>
    </r>
    <r>
      <rPr>
        <b/>
      </rPr>
      <t>.mp4</t>
    </r>
    <r>
      <t>), ma in alcuni casi era disponibile in chiaro nei metadati strutturati che si riferivano al VideoObject, oppure come in altri casi tramite il controllo nei file Json presenti negli script oppure presenti nel traffico di rete.</t>
    </r>
  </si>
  <si>
    <r>
      <t>Questo attributo si riferisce alla data in cui il video è stato pubblicato. Molto spesso lo si poteva trovare direttamente tramite i metadati strutturati che si riferivano al VideoObject per esempio nel seguente formato:</t>
    </r>
    <r>
      <rPr>
        <b/>
      </rPr>
      <t>"datePublished:20/10/2018"</t>
    </r>
    <r>
      <t xml:space="preserve"> oppure </t>
    </r>
    <r>
      <rPr>
        <b/>
      </rPr>
      <t>"uploadDate:20/10/2018"</t>
    </r>
    <r>
      <t xml:space="preserve">.Ma è stato possibile trovarlo pure in altri modi, come ad esempio cercando nei json presenti negli script della pagina o nel traffico di rete. Molte volte, nel caso in cui non si potesse trovare nei modi già citati,la data di pubblicazione la si poteva in un certo senso 'dedurre'  dai metadati strutturati o non strutturati che si riferiscono non tanto al VideoObject ma a tutto/a l'articolo/pagina, </t>
    </r>
    <r>
      <rPr>
        <b/>
      </rPr>
      <t xml:space="preserve">poichè il video è pubblicato insieme all'articolo </t>
    </r>
    <r>
      <t>. Questo non è sempre vero, ma in casi estremi fornisce una data indicativa o di default.</t>
    </r>
  </si>
  <si>
    <r>
      <t xml:space="preserve">La lingua associata al video solitamente è possibile trovarla con l'ausilio sia dei metadati strutturati e sia con quelli non strutturati. Utilizzando quelli stritturati basta controllare nella sezione VideoObject in cui potrebbe esserci il campo che contiene questo attributo. Quando non si riesce a trovare nei metadati si può anche qui impostare come lingua di dafault la lingua del documento/articolo andando a controllare la voce </t>
    </r>
    <r>
      <rPr>
        <b/>
      </rPr>
      <t>&lt;html lang="it"&gt;</t>
    </r>
  </si>
  <si>
    <r>
      <t>Il titolo di un video molto spesso è semplice da trovare, infatti così come per gli altri attributi di cui abbiamo parlato, anche questo è possibile identificarlo grazie ai metadati strutturati presenti nell'html controllando i campi "</t>
    </r>
    <r>
      <rPr>
        <b/>
      </rPr>
      <t>name:","title:",ecc..</t>
    </r>
    <r>
      <t xml:space="preserve"> ,i quali potevano inoltre essere trovati nei file json presenti nell'html o nel traffico HTTP. Quando non si trovano con i metodi descritti sopra, si assegna un titolo di default il quale corrisponde a quello dell'artico o a quello della pagina stessa.</t>
    </r>
  </si>
  <si>
    <t>DESCRIZIONE:</t>
  </si>
  <si>
    <t>Dall'analisi effettuata sui vari url presenti sopra, ho potuto notare come i casi più frequenti in cui sono riuscito a trovare l'url della risorsa video sono 3: Embedding Youtube; HTTP Log e &lt;video&gt;. In particolare ho capito come nel caso dell'embedding youtube, l'url del video non è facile da trovare a mano, infatti cercandolo sia sulla pagina del giornale , sia direttamente sulla pagina youtube associata,nell'html e nel javascript sorgente non vi è traccia, mentre analizzando il traffico di rete si riescono a trovare solamente gli url dell'audio senza parte video o viceversa. Dunque per trovare le info su un video youtube ho utilizzato un'api detta "youtube-dl" con la quale si riescono ad ottenere tutte le informazioni necessarie su un video youtube esclusivamente passandole il link alla pagina youtube associata. Per quanto riguarda i casi problematici, quest'ultimi sono quelli che rientrano nella categoria "Don't know", sono appunto quei casi in cui non vie è traccia dell'url del video di interesse in nessun'altra delle categorie presenti. Alcune delle categorie segnate non trovano mai dei riscontri, come ad esempio &lt;object&gt;,&lt;embed&gt;,ecc.</t>
  </si>
  <si>
    <t>Tutti gli url dei video che sono riuscito ad individuare da solo</t>
  </si>
  <si>
    <t>Tutti gli url che Diffbot ha trovato</t>
  </si>
  <si>
    <t xml:space="preserve">Il numero di url che non sono riuscito a trovare </t>
  </si>
  <si>
    <t>Caso in cui l'url è presente nell'attibuto "src" di un tag &lt;video&gt;</t>
  </si>
  <si>
    <t>Caso in cui l'url lo si trova nell'attributo "src" del tag &lt;source&gt; figlio del tag &lt;video&gt;</t>
  </si>
  <si>
    <t>Caso in cui l'url del video lo si può trovare in un data attribute.</t>
  </si>
  <si>
    <t>Caso in cui si presenta un esempio del genere: &lt;object width="400" height="400" data="helloworld.swf"&gt;&lt;/object&gt; , in cui come si può vedere l'url è presente nell'attributo "data".</t>
  </si>
  <si>
    <t>Caso in cui l'url del video è presente nell'attributo "src" del tag &lt;embed&gt;</t>
  </si>
  <si>
    <t>Caso in cui l'url del video sia nell'attributo "src" del tag &lt;iframe&gt;</t>
  </si>
  <si>
    <t xml:space="preserve">Caso in cui l'url del video si può trovare nel metadato che si riferische ad un Facebook Open Graph come mostrato in questo esempio: &lt;meta property="og:video:url" content="https://www.blabla.mp4"&gt; oppure &lt;meta property="og:video:secure_url" content="https://www.blabla.mp4"&gt; oppure &lt;meta property='og:video' content='https://www.blabla.mp4' /&gt; </t>
  </si>
  <si>
    <t>Caso in cui il video presente nella pagina sia linkato tramite un embedding Youtube come questo &lt;iframe width="420" height="315"
src="https://www.youtube.com/embed/tgbNymZ7vqY"&gt;
&lt;/iframe&gt;, il cui url diretto del video lo riusciamo a trovare grazie all'API "youtube-dl", alla quale passeremo in input l'url della pagina youtube presente nell'&lt;iframe&gt; e a sua volta ci restituirà tutte le informazioni relative al video, tra cui anche l'url.</t>
  </si>
  <si>
    <t>Caso in cui è possibile trovare l'url della risorsa video nel campo "twitter:player" di un metadato.</t>
  </si>
  <si>
    <t>Quando l'url è presente in uno o più dei vari script presenti nell'html sottoforma di variabile o di campo in un file json.</t>
  </si>
  <si>
    <t>Caso in cui l'url del video lo si riesce a trovare ispezionando il traffico HTTP, intercettando richieste e risposte che contengono url che si riferiscono a file multimediali con estensione .mp4 oppure .m3u8,un file che in generale può contenere playlist audio o video, possiamo immaginarlo come un contenitore di url che si riferiscono ai vari segmenti di video da riprodurre in sequenza.Molto spesso tra le intercettazioni si può trovare un file json che contiene tutte le informazioni relative al video</t>
  </si>
  <si>
    <t>Quando l'url del video lo riusciamo a trovare in uno script del tipo "application/ld+json" che rappresenta un metadato il quale potrebbe contenere a sua volta un oggetto del tipo VideoObject{info...info...info} in cui si può trovare anche l'url del video.</t>
  </si>
  <si>
    <t>Caso in cui nel metadato del tipo json ld non vi è l'url diretto del video che ci interessa ma l'url che ci reindirizza a una pagina web che come contenuto ha solo il video. Effettuando un'ispezione dell'html di questa nuova pagina, aprendo uno degli url presenti nell'attributo src del tag &lt;link&gt; con questo formato &lt;link type="application/smil+xml ... &gt; si viene reidirizzati all'url del video che stiamo cercando.</t>
  </si>
  <si>
    <t>Caso in cui l'url si riesce a trovare tramite i metadati strutturati di un VideoObject tramite la definizione di un itemscope al quale si riferiscono vari itemprop. Esempio:&lt;div itemprop="video" itemscope itemtype="http://schema.org/VideoObject"&gt;
  &lt;h2&gt;Video: &lt;span itemprop="name"&gt;Interview with the Foo Fighters&lt;/span&gt;&lt;/h2&gt;
  &lt;meta itemprop="duration" content="T1M33S" /&gt;
  &lt;meta itemprop="thumbnail" content="foo-fighters-interview-thumb.jpg" /&gt;
  &lt;object ...&gt;
    &lt;param ...&gt;
    &lt;embed type="application/x-shockwave-flash" ...&gt;
  &lt;/object&gt;
  &lt;span itemprop="description"&gt;Catch this exclusive interview with
    Dave Grohl and the Foo Fighters about their new album, Rope.&lt;/span&gt;
&lt;/div&gt;</t>
  </si>
  <si>
    <t>Caso identico a Microdata, cambia solo qualche cosa nella sintassi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</si>
</sst>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9">
    <font>
      <sz val="10.0"/>
      <color rgb="FF000000"/>
      <name val="Arial"/>
    </font>
    <font>
      <b/>
    </font>
    <font/>
    <font>
      <u/>
      <color rgb="FF1155CC"/>
      <name val="Arial"/>
    </font>
    <font>
      <u/>
      <color rgb="FF1155CC"/>
      <name val="Arial"/>
    </font>
    <font>
      <name val="Arial"/>
    </font>
    <font>
      <b/>
      <name val="Arial"/>
    </font>
    <font>
      <sz val="10.0"/>
      <color rgb="FF333333"/>
      <name val="Arial"/>
    </font>
    <font>
      <u/>
      <color rgb="FF1155CC"/>
      <name val="Arial"/>
    </font>
    <font>
      <u/>
      <color rgb="FF0000FF"/>
      <name val="Arial"/>
    </font>
    <font>
      <sz val="9.0"/>
      <color rgb="FF333333"/>
      <name val="Arial"/>
    </font>
    <font>
      <color rgb="FF000000"/>
      <name val="Arial"/>
    </font>
    <font>
      <u/>
      <color rgb="FF0000FF"/>
      <name val="Arial"/>
    </font>
    <font>
      <u/>
      <color rgb="FF1155CC"/>
      <name val="Arial"/>
    </font>
    <font>
      <sz val="10.0"/>
      <color rgb="FF000000"/>
      <name val="Monospace"/>
    </font>
    <font>
      <color rgb="FF333333"/>
      <name val="Arial"/>
    </font>
    <font>
      <sz val="11.0"/>
      <color rgb="FF000000"/>
      <name val="Inconsolata"/>
    </font>
    <font>
      <i/>
      <sz val="11.0"/>
      <color rgb="FF000000"/>
      <name val="Arial"/>
    </font>
    <font>
      <i/>
    </font>
  </fonts>
  <fills count="7">
    <fill>
      <patternFill patternType="none"/>
    </fill>
    <fill>
      <patternFill patternType="lightGray"/>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5F5F5"/>
        <bgColor rgb="FFF5F5F5"/>
      </patternFill>
    </fill>
    <fill>
      <patternFill patternType="solid">
        <fgColor rgb="FF00FF00"/>
        <bgColor rgb="FF00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1" fillId="3"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horizontal="center" readingOrder="0"/>
    </xf>
    <xf borderId="4" fillId="0" fontId="3" numFmtId="0" xfId="0" applyAlignment="1" applyBorder="1" applyFont="1">
      <alignment readingOrder="0" shrinkToFit="0" vertical="bottom" wrapText="0"/>
    </xf>
    <xf borderId="0" fillId="4" fontId="4" numFmtId="0" xfId="0" applyAlignment="1" applyFill="1" applyFont="1">
      <alignment horizontal="center" readingOrder="0"/>
    </xf>
    <xf borderId="4" fillId="0" fontId="5" numFmtId="0" xfId="0" applyAlignment="1" applyBorder="1" applyFont="1">
      <alignment horizontal="center" readingOrder="0" vertical="bottom"/>
    </xf>
    <xf borderId="4" fillId="0" fontId="6" numFmtId="0" xfId="0" applyAlignment="1" applyBorder="1" applyFont="1">
      <alignment horizontal="center" readingOrder="0" vertical="bottom"/>
    </xf>
    <xf borderId="4" fillId="0" fontId="2" numFmtId="0" xfId="0" applyAlignment="1" applyBorder="1" applyFont="1">
      <alignment horizontal="center" readingOrder="0"/>
    </xf>
    <xf borderId="4" fillId="0" fontId="2" numFmtId="0" xfId="0" applyAlignment="1" applyBorder="1" applyFont="1">
      <alignment horizontal="center"/>
    </xf>
    <xf borderId="4" fillId="4" fontId="7" numFmtId="0" xfId="0" applyAlignment="1" applyBorder="1" applyFont="1">
      <alignment horizontal="left" readingOrder="0"/>
    </xf>
    <xf borderId="4" fillId="0" fontId="8" numFmtId="0" xfId="0" applyAlignment="1" applyBorder="1" applyFont="1">
      <alignment shrinkToFit="0" vertical="bottom" wrapText="0"/>
    </xf>
    <xf borderId="4" fillId="0" fontId="9" numFmtId="0" xfId="0" applyAlignment="1" applyBorder="1" applyFont="1">
      <alignment horizontal="center" readingOrder="0" vertical="bottom"/>
    </xf>
    <xf borderId="0" fillId="0" fontId="1" numFmtId="0" xfId="0" applyAlignment="1" applyFont="1">
      <alignment horizontal="center"/>
    </xf>
    <xf borderId="4" fillId="0" fontId="1" numFmtId="0" xfId="0" applyAlignment="1" applyBorder="1" applyFont="1">
      <alignment horizontal="center"/>
    </xf>
    <xf borderId="4" fillId="0" fontId="2" numFmtId="164" xfId="0" applyAlignment="1" applyBorder="1" applyFont="1" applyNumberFormat="1">
      <alignment horizontal="center" readingOrder="0"/>
    </xf>
    <xf borderId="4" fillId="4" fontId="10" numFmtId="0" xfId="0" applyAlignment="1" applyBorder="1" applyFont="1">
      <alignment horizontal="left" readingOrder="0"/>
    </xf>
    <xf borderId="4" fillId="4" fontId="11" numFmtId="0" xfId="0" applyAlignment="1" applyBorder="1" applyFont="1">
      <alignment horizontal="center" readingOrder="0"/>
    </xf>
    <xf borderId="4" fillId="4" fontId="7" numFmtId="0" xfId="0" applyAlignment="1" applyBorder="1" applyFont="1">
      <alignment readingOrder="0"/>
    </xf>
    <xf borderId="0" fillId="4" fontId="11" numFmtId="0" xfId="0" applyAlignment="1" applyFont="1">
      <alignment horizontal="center" readingOrder="0"/>
    </xf>
    <xf borderId="4" fillId="0" fontId="5" numFmtId="0" xfId="0" applyAlignment="1" applyBorder="1" applyFont="1">
      <alignment readingOrder="0"/>
    </xf>
    <xf borderId="4" fillId="0" fontId="12" numFmtId="0" xfId="0" applyAlignment="1" applyBorder="1" applyFont="1">
      <alignment horizontal="center" vertical="bottom"/>
    </xf>
    <xf borderId="4" fillId="0" fontId="2" numFmtId="165" xfId="0" applyAlignment="1" applyBorder="1" applyFont="1" applyNumberFormat="1">
      <alignment horizontal="center" readingOrder="0"/>
    </xf>
    <xf borderId="4" fillId="0" fontId="13" numFmtId="0" xfId="0" applyAlignment="1" applyBorder="1" applyFont="1">
      <alignment vertical="bottom"/>
    </xf>
    <xf borderId="4" fillId="0" fontId="5" numFmtId="0" xfId="0" applyBorder="1" applyFont="1"/>
    <xf borderId="4" fillId="4" fontId="11" numFmtId="0" xfId="0" applyAlignment="1" applyBorder="1" applyFont="1">
      <alignment readingOrder="0"/>
    </xf>
    <xf borderId="0" fillId="0" fontId="14" numFmtId="0" xfId="0" applyAlignment="1" applyFont="1">
      <alignment horizontal="center" readingOrder="0"/>
    </xf>
    <xf borderId="4" fillId="0" fontId="5" numFmtId="0" xfId="0" applyAlignment="1" applyBorder="1" applyFont="1">
      <alignment horizontal="left" readingOrder="0"/>
    </xf>
    <xf borderId="4" fillId="4" fontId="5" numFmtId="0" xfId="0" applyAlignment="1" applyBorder="1" applyFont="1">
      <alignment horizontal="left" readingOrder="0"/>
    </xf>
    <xf borderId="4" fillId="4" fontId="5" numFmtId="0" xfId="0" applyAlignment="1" applyBorder="1" applyFont="1">
      <alignment readingOrder="0"/>
    </xf>
    <xf borderId="4" fillId="4" fontId="11" numFmtId="0" xfId="0" applyAlignment="1" applyBorder="1" applyFont="1">
      <alignment horizontal="left" readingOrder="0"/>
    </xf>
    <xf borderId="4" fillId="5" fontId="15" numFmtId="0" xfId="0" applyAlignment="1" applyBorder="1" applyFill="1" applyFont="1">
      <alignment readingOrder="0" shrinkToFit="0" wrapText="0"/>
    </xf>
    <xf borderId="4" fillId="2" fontId="1" numFmtId="0" xfId="0" applyAlignment="1" applyBorder="1" applyFont="1">
      <alignment horizontal="center" readingOrder="0"/>
    </xf>
    <xf borderId="4" fillId="3" fontId="1" numFmtId="0" xfId="0" applyAlignment="1" applyBorder="1" applyFont="1">
      <alignment horizontal="center" readingOrder="0"/>
    </xf>
    <xf borderId="4" fillId="6" fontId="1" numFmtId="0" xfId="0" applyAlignment="1" applyBorder="1" applyFill="1" applyFont="1">
      <alignment horizontal="center" readingOrder="0"/>
    </xf>
    <xf borderId="4" fillId="6" fontId="2" numFmtId="0" xfId="0" applyAlignment="1" applyBorder="1" applyFont="1">
      <alignment horizontal="center"/>
    </xf>
    <xf borderId="4" fillId="6" fontId="2" numFmtId="0" xfId="0" applyAlignment="1" applyBorder="1" applyFont="1">
      <alignment horizontal="center" readingOrder="0"/>
    </xf>
    <xf borderId="4" fillId="6" fontId="16" numFmtId="0" xfId="0" applyAlignment="1" applyBorder="1" applyFont="1">
      <alignment horizontal="center"/>
    </xf>
    <xf borderId="1" fillId="6" fontId="2" numFmtId="0" xfId="0" applyAlignment="1" applyBorder="1" applyFont="1">
      <alignment horizontal="center"/>
    </xf>
    <xf borderId="0" fillId="4" fontId="17" numFmtId="0" xfId="0" applyAlignment="1" applyFont="1">
      <alignment readingOrder="0" shrinkToFit="0" vertical="top" wrapText="1"/>
    </xf>
    <xf borderId="5" fillId="0" fontId="18" numFmtId="0" xfId="0" applyAlignment="1" applyBorder="1" applyFont="1">
      <alignment horizontal="left" readingOrder="0" shrinkToFit="0" vertical="top" wrapText="1"/>
    </xf>
    <xf borderId="4" fillId="0" fontId="1" numFmtId="0" xfId="0" applyAlignment="1" applyBorder="1" applyFont="1">
      <alignment horizontal="right" readingOrder="0" vertical="top"/>
    </xf>
    <xf borderId="4" fillId="0" fontId="2" numFmtId="0" xfId="0" applyAlignment="1" applyBorder="1" applyFont="1">
      <alignment horizontal="left" readingOrder="0" shrinkToFit="0" vertical="top" wrapText="1"/>
    </xf>
    <xf borderId="0" fillId="4" fontId="0" numFmtId="0" xfId="0" applyAlignment="1" applyFont="1">
      <alignment readingOrder="0" shrinkToFit="0" vertical="top" wrapText="1"/>
    </xf>
    <xf borderId="4" fillId="0" fontId="2" numFmtId="0" xfId="0" applyAlignment="1" applyBorder="1" applyFont="1">
      <alignment readingOrder="0" shrinkToFit="0" vertical="top" wrapText="1"/>
    </xf>
    <xf borderId="6" fillId="0" fontId="2" numFmtId="0" xfId="0" applyBorder="1" applyFont="1"/>
    <xf borderId="0" fillId="0" fontId="2"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nbcsports.com/" TargetMode="External"/><Relationship Id="rId42" Type="http://schemas.openxmlformats.org/officeDocument/2006/relationships/hyperlink" Target="https://www.italiaoggi.it/" TargetMode="External"/><Relationship Id="rId41" Type="http://schemas.openxmlformats.org/officeDocument/2006/relationships/hyperlink" Target="http://www.ibtimes.com/" TargetMode="External"/><Relationship Id="rId44" Type="http://schemas.openxmlformats.org/officeDocument/2006/relationships/hyperlink" Target="https://www.dailymail.co.uk/home/index.html" TargetMode="External"/><Relationship Id="rId43" Type="http://schemas.openxmlformats.org/officeDocument/2006/relationships/hyperlink" Target="https://www.thesun.co.uk/" TargetMode="External"/><Relationship Id="rId46" Type="http://schemas.openxmlformats.org/officeDocument/2006/relationships/hyperlink" Target="http://fox56.com/" TargetMode="External"/><Relationship Id="rId45" Type="http://schemas.openxmlformats.org/officeDocument/2006/relationships/hyperlink" Target="https://www.wpr.org/" TargetMode="External"/><Relationship Id="rId48" Type="http://schemas.openxmlformats.org/officeDocument/2006/relationships/hyperlink" Target="https://www.thetimes.co.uk/?sunday" TargetMode="External"/><Relationship Id="rId47" Type="http://schemas.openxmlformats.org/officeDocument/2006/relationships/hyperlink" Target="https://www.10tv.com/" TargetMode="External"/><Relationship Id="rId49" Type="http://schemas.openxmlformats.org/officeDocument/2006/relationships/hyperlink" Target="http://www.masslive.com/" TargetMode="External"/><Relationship Id="rId103" Type="http://schemas.openxmlformats.org/officeDocument/2006/relationships/vmlDrawing" Target="../drawings/vmlDrawing1.vml"/><Relationship Id="rId102" Type="http://schemas.openxmlformats.org/officeDocument/2006/relationships/drawing" Target="../drawings/drawing1.xml"/><Relationship Id="rId101" Type="http://schemas.openxmlformats.org/officeDocument/2006/relationships/hyperlink" Target="https://www.ilrestodelcarlino.it/" TargetMode="External"/><Relationship Id="rId100" Type="http://schemas.openxmlformats.org/officeDocument/2006/relationships/hyperlink" Target="http://www.channel4000.com/" TargetMode="External"/><Relationship Id="rId31" Type="http://schemas.openxmlformats.org/officeDocument/2006/relationships/hyperlink" Target="http://www.tuttosport.com/" TargetMode="External"/><Relationship Id="rId30" Type="http://schemas.openxmlformats.org/officeDocument/2006/relationships/hyperlink" Target="http://www.aol.com/" TargetMode="External"/><Relationship Id="rId33" Type="http://schemas.openxmlformats.org/officeDocument/2006/relationships/hyperlink" Target="https://www.huffingtonpost.com/" TargetMode="External"/><Relationship Id="rId32" Type="http://schemas.openxmlformats.org/officeDocument/2006/relationships/hyperlink" Target="https://www.nebraska.tv/" TargetMode="External"/><Relationship Id="rId35" Type="http://schemas.openxmlformats.org/officeDocument/2006/relationships/hyperlink" Target="http://www.philly.com/" TargetMode="External"/><Relationship Id="rId34" Type="http://schemas.openxmlformats.org/officeDocument/2006/relationships/hyperlink" Target="http://www.startribune.com/" TargetMode="External"/><Relationship Id="rId37" Type="http://schemas.openxmlformats.org/officeDocument/2006/relationships/hyperlink" Target="https://www.hollywoodreporter.com/" TargetMode="External"/><Relationship Id="rId36" Type="http://schemas.openxmlformats.org/officeDocument/2006/relationships/hyperlink" Target="https://www.denverpost.com/" TargetMode="External"/><Relationship Id="rId39" Type="http://schemas.openxmlformats.org/officeDocument/2006/relationships/hyperlink" Target="https://siouxlandnews.com/" TargetMode="External"/><Relationship Id="rId38" Type="http://schemas.openxmlformats.org/officeDocument/2006/relationships/hyperlink" Target="https://www.ilmattino.it/" TargetMode="External"/><Relationship Id="rId20" Type="http://schemas.openxmlformats.org/officeDocument/2006/relationships/hyperlink" Target="http://www.ilgiornale.it/" TargetMode="External"/><Relationship Id="rId22" Type="http://schemas.openxmlformats.org/officeDocument/2006/relationships/hyperlink" Target="https://abc7news.com/" TargetMode="External"/><Relationship Id="rId21" Type="http://schemas.openxmlformats.org/officeDocument/2006/relationships/hyperlink" Target="https://wnyt.com/" TargetMode="External"/><Relationship Id="rId24" Type="http://schemas.openxmlformats.org/officeDocument/2006/relationships/hyperlink" Target="http://www.kwwl.com/" TargetMode="External"/><Relationship Id="rId23" Type="http://schemas.openxmlformats.org/officeDocument/2006/relationships/hyperlink" Target="https://www.washingtonpost.com/" TargetMode="External"/><Relationship Id="rId26" Type="http://schemas.openxmlformats.org/officeDocument/2006/relationships/hyperlink" Target="https://edition.cnn.com/" TargetMode="External"/><Relationship Id="rId25" Type="http://schemas.openxmlformats.org/officeDocument/2006/relationships/hyperlink" Target="http://www.seattletimes.com/" TargetMode="External"/><Relationship Id="rId28" Type="http://schemas.openxmlformats.org/officeDocument/2006/relationships/hyperlink" Target="http://wsls.com/" TargetMode="External"/><Relationship Id="rId27" Type="http://schemas.openxmlformats.org/officeDocument/2006/relationships/hyperlink" Target="https://www.cbssports.com/" TargetMode="External"/><Relationship Id="rId29" Type="http://schemas.openxmlformats.org/officeDocument/2006/relationships/hyperlink" Target="https://www.georgianewsday.com/" TargetMode="External"/><Relationship Id="rId95" Type="http://schemas.openxmlformats.org/officeDocument/2006/relationships/hyperlink" Target="https://www.keyt.com/" TargetMode="External"/><Relationship Id="rId94" Type="http://schemas.openxmlformats.org/officeDocument/2006/relationships/hyperlink" Target="https://www.ft.com/" TargetMode="External"/><Relationship Id="rId97" Type="http://schemas.openxmlformats.org/officeDocument/2006/relationships/hyperlink" Target="http://www.advertisernewssouth.com/" TargetMode="External"/><Relationship Id="rId96" Type="http://schemas.openxmlformats.org/officeDocument/2006/relationships/hyperlink" Target="https://www.ktvz.com/" TargetMode="External"/><Relationship Id="rId11" Type="http://schemas.openxmlformats.org/officeDocument/2006/relationships/hyperlink" Target="https://www.ilmessaggero.it/" TargetMode="External"/><Relationship Id="rId99" Type="http://schemas.openxmlformats.org/officeDocument/2006/relationships/hyperlink" Target="http://wamc.org/" TargetMode="External"/><Relationship Id="rId10" Type="http://schemas.openxmlformats.org/officeDocument/2006/relationships/hyperlink" Target="http://www.bostonherald.com/" TargetMode="External"/><Relationship Id="rId98" Type="http://schemas.openxmlformats.org/officeDocument/2006/relationships/hyperlink" Target="https://www.telegraph.co.uk/" TargetMode="External"/><Relationship Id="rId13" Type="http://schemas.openxmlformats.org/officeDocument/2006/relationships/hyperlink" Target="https://www.lanazione.it/" TargetMode="External"/><Relationship Id="rId12" Type="http://schemas.openxmlformats.org/officeDocument/2006/relationships/hyperlink" Target="http://www.journalgazette.net/" TargetMode="External"/><Relationship Id="rId91" Type="http://schemas.openxmlformats.org/officeDocument/2006/relationships/hyperlink" Target="http://www.hotnewhiphop.com/" TargetMode="External"/><Relationship Id="rId90" Type="http://schemas.openxmlformats.org/officeDocument/2006/relationships/hyperlink" Target="https://timesofindia.indiatimes.com/" TargetMode="External"/><Relationship Id="rId93" Type="http://schemas.openxmlformats.org/officeDocument/2006/relationships/hyperlink" Target="http://www.advertisernewsnorth.com/" TargetMode="External"/><Relationship Id="rId92" Type="http://schemas.openxmlformats.org/officeDocument/2006/relationships/hyperlink" Target="http://www.pireport.org/" TargetMode="External"/><Relationship Id="rId15" Type="http://schemas.openxmlformats.org/officeDocument/2006/relationships/hyperlink" Target="https://www.channel3000.com/" TargetMode="External"/><Relationship Id="rId14" Type="http://schemas.openxmlformats.org/officeDocument/2006/relationships/hyperlink" Target="http://triblive.com/" TargetMode="External"/><Relationship Id="rId17" Type="http://schemas.openxmlformats.org/officeDocument/2006/relationships/hyperlink" Target="https://chicago.suntimes.com/" TargetMode="External"/><Relationship Id="rId16" Type="http://schemas.openxmlformats.org/officeDocument/2006/relationships/hyperlink" Target="http://www.vindy.com/" TargetMode="External"/><Relationship Id="rId19" Type="http://schemas.openxmlformats.org/officeDocument/2006/relationships/hyperlink" Target="https://www.si.com/" TargetMode="External"/><Relationship Id="rId18" Type="http://schemas.openxmlformats.org/officeDocument/2006/relationships/hyperlink" Target="https://www.news8000.com/" TargetMode="External"/><Relationship Id="rId84" Type="http://schemas.openxmlformats.org/officeDocument/2006/relationships/hyperlink" Target="https://www.thedailybeast.com/" TargetMode="External"/><Relationship Id="rId83" Type="http://schemas.openxmlformats.org/officeDocument/2006/relationships/hyperlink" Target="https://www.ilsole24ore.com/" TargetMode="External"/><Relationship Id="rId86" Type="http://schemas.openxmlformats.org/officeDocument/2006/relationships/hyperlink" Target="http://www.cinemablend.com/" TargetMode="External"/><Relationship Id="rId85" Type="http://schemas.openxmlformats.org/officeDocument/2006/relationships/hyperlink" Target="http://www.uticaod.com/" TargetMode="External"/><Relationship Id="rId88" Type="http://schemas.openxmlformats.org/officeDocument/2006/relationships/hyperlink" Target="https://www.clickondetroit.com/" TargetMode="External"/><Relationship Id="rId87" Type="http://schemas.openxmlformats.org/officeDocument/2006/relationships/hyperlink" Target="http://www.chinadaily.com.cn/" TargetMode="External"/><Relationship Id="rId89" Type="http://schemas.openxmlformats.org/officeDocument/2006/relationships/hyperlink" Target="http://www.raycomnewsnetwork.com/" TargetMode="External"/><Relationship Id="rId80" Type="http://schemas.openxmlformats.org/officeDocument/2006/relationships/hyperlink" Target="http://www.chattanoogan.com/Breaking-News/" TargetMode="External"/><Relationship Id="rId82" Type="http://schemas.openxmlformats.org/officeDocument/2006/relationships/hyperlink" Target="http://www.cjonline.com/" TargetMode="External"/><Relationship Id="rId81" Type="http://schemas.openxmlformats.org/officeDocument/2006/relationships/hyperlink" Target="https://www.cnet.com/news/" TargetMode="External"/><Relationship Id="rId1" Type="http://schemas.openxmlformats.org/officeDocument/2006/relationships/comments" Target="../comments1.xml"/><Relationship Id="rId2" Type="http://schemas.openxmlformats.org/officeDocument/2006/relationships/hyperlink" Target="http://www.nytimes.com/" TargetMode="External"/><Relationship Id="rId3" Type="http://schemas.openxmlformats.org/officeDocument/2006/relationships/hyperlink" Target="http://www.espn.com/" TargetMode="External"/><Relationship Id="rId4" Type="http://schemas.openxmlformats.org/officeDocument/2006/relationships/hyperlink" Target="http://www.wkow.com/" TargetMode="External"/><Relationship Id="rId9" Type="http://schemas.openxmlformats.org/officeDocument/2006/relationships/hyperlink" Target="https://nypost.com/" TargetMode="External"/><Relationship Id="rId5" Type="http://schemas.openxmlformats.org/officeDocument/2006/relationships/hyperlink" Target="http://www.wokv.com/" TargetMode="External"/><Relationship Id="rId6" Type="http://schemas.openxmlformats.org/officeDocument/2006/relationships/hyperlink" Target="https://www.wsj.com/europe" TargetMode="External"/><Relationship Id="rId7" Type="http://schemas.openxmlformats.org/officeDocument/2006/relationships/hyperlink" Target="https://www.myrtlebeachonline.com/" TargetMode="External"/><Relationship Id="rId8" Type="http://schemas.openxmlformats.org/officeDocument/2006/relationships/hyperlink" Target="http://mynorthwest.com/" TargetMode="External"/><Relationship Id="rId73" Type="http://schemas.openxmlformats.org/officeDocument/2006/relationships/hyperlink" Target="http://www.contactmusic.com/" TargetMode="External"/><Relationship Id="rId72" Type="http://schemas.openxmlformats.org/officeDocument/2006/relationships/hyperlink" Target="http://deadline.com/" TargetMode="External"/><Relationship Id="rId75" Type="http://schemas.openxmlformats.org/officeDocument/2006/relationships/hyperlink" Target="https://www.repubblica.it/" TargetMode="External"/><Relationship Id="rId74" Type="http://schemas.openxmlformats.org/officeDocument/2006/relationships/hyperlink" Target="http://www.westkentuckystar.com/" TargetMode="External"/><Relationship Id="rId77" Type="http://schemas.openxmlformats.org/officeDocument/2006/relationships/hyperlink" Target="http://www.wqow.com/" TargetMode="External"/><Relationship Id="rId76" Type="http://schemas.openxmlformats.org/officeDocument/2006/relationships/hyperlink" Target="https://www.gazzetta.it/" TargetMode="External"/><Relationship Id="rId79" Type="http://schemas.openxmlformats.org/officeDocument/2006/relationships/hyperlink" Target="http://www.pinkvilla.com/" TargetMode="External"/><Relationship Id="rId78" Type="http://schemas.openxmlformats.org/officeDocument/2006/relationships/hyperlink" Target="https://www.mlssoccer.com/" TargetMode="External"/><Relationship Id="rId71" Type="http://schemas.openxmlformats.org/officeDocument/2006/relationships/hyperlink" Target="https://www.aspendailynews.com/" TargetMode="External"/><Relationship Id="rId70" Type="http://schemas.openxmlformats.org/officeDocument/2006/relationships/hyperlink" Target="http://www.cbr.com/" TargetMode="External"/><Relationship Id="rId62" Type="http://schemas.openxmlformats.org/officeDocument/2006/relationships/hyperlink" Target="http://www.thevalleydispatch.com/" TargetMode="External"/><Relationship Id="rId61" Type="http://schemas.openxmlformats.org/officeDocument/2006/relationships/hyperlink" Target="https://www.popsugar.com/" TargetMode="External"/><Relationship Id="rId64" Type="http://schemas.openxmlformats.org/officeDocument/2006/relationships/hyperlink" Target="http://www.bendbulletin.com/" TargetMode="External"/><Relationship Id="rId63" Type="http://schemas.openxmlformats.org/officeDocument/2006/relationships/hyperlink" Target="https://phys.org/" TargetMode="External"/><Relationship Id="rId66" Type="http://schemas.openxmlformats.org/officeDocument/2006/relationships/hyperlink" Target="https://www.iltempo.it/" TargetMode="External"/><Relationship Id="rId65" Type="http://schemas.openxmlformats.org/officeDocument/2006/relationships/hyperlink" Target="http://www.theindychannel.com/" TargetMode="External"/><Relationship Id="rId68" Type="http://schemas.openxmlformats.org/officeDocument/2006/relationships/hyperlink" Target="https://www.corriere.it/index.shtml" TargetMode="External"/><Relationship Id="rId67" Type="http://schemas.openxmlformats.org/officeDocument/2006/relationships/hyperlink" Target="http://en.people.cn/" TargetMode="External"/><Relationship Id="rId60" Type="http://schemas.openxmlformats.org/officeDocument/2006/relationships/hyperlink" Target="http://www.goal.com/en-US/" TargetMode="External"/><Relationship Id="rId69" Type="http://schemas.openxmlformats.org/officeDocument/2006/relationships/hyperlink" Target="https://www.charlotteobserver.com/" TargetMode="External"/><Relationship Id="rId51" Type="http://schemas.openxmlformats.org/officeDocument/2006/relationships/hyperlink" Target="http://dailycaller.com/" TargetMode="External"/><Relationship Id="rId50" Type="http://schemas.openxmlformats.org/officeDocument/2006/relationships/hyperlink" Target="http://www.heraldtribune.com/" TargetMode="External"/><Relationship Id="rId53" Type="http://schemas.openxmlformats.org/officeDocument/2006/relationships/hyperlink" Target="http://brainerddispatch.com/" TargetMode="External"/><Relationship Id="rId52" Type="http://schemas.openxmlformats.org/officeDocument/2006/relationships/hyperlink" Target="http://www.945theanswer.com/" TargetMode="External"/><Relationship Id="rId55" Type="http://schemas.openxmlformats.org/officeDocument/2006/relationships/hyperlink" Target="https://www.ilfattoquotidiano.it/" TargetMode="External"/><Relationship Id="rId54" Type="http://schemas.openxmlformats.org/officeDocument/2006/relationships/hyperlink" Target="https://www.capegazette.com/" TargetMode="External"/><Relationship Id="rId57" Type="http://schemas.openxmlformats.org/officeDocument/2006/relationships/hyperlink" Target="https://www.theepochtimes.com/" TargetMode="External"/><Relationship Id="rId56" Type="http://schemas.openxmlformats.org/officeDocument/2006/relationships/hyperlink" Target="https://www.today.com/" TargetMode="External"/><Relationship Id="rId59" Type="http://schemas.openxmlformats.org/officeDocument/2006/relationships/hyperlink" Target="https://www.liberoquotidiano.it/" TargetMode="External"/><Relationship Id="rId58" Type="http://schemas.openxmlformats.org/officeDocument/2006/relationships/hyperlink" Target="https://www.mymotherlod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2" width="23.43"/>
    <col customWidth="1" min="3" max="3" width="18.71"/>
    <col customWidth="1" min="4" max="4" width="20.0"/>
    <col customWidth="1" min="5" max="5" width="11.57"/>
    <col customWidth="1" min="6" max="6" width="18.14"/>
    <col customWidth="1" min="7" max="7" width="14.71"/>
    <col customWidth="1" min="8" max="8" width="11.86"/>
    <col customWidth="1" min="9" max="9" width="8.14"/>
    <col customWidth="1" min="10" max="10" width="15.0"/>
    <col customWidth="1" min="11" max="11" width="9.86"/>
    <col customWidth="1" min="12" max="12" width="21.0"/>
    <col customWidth="1" min="13" max="13" width="9.14"/>
    <col customWidth="1" min="14" max="14" width="21.71"/>
    <col customWidth="1" min="15" max="15" width="11.86"/>
    <col customWidth="1" min="16" max="16" width="10.29"/>
    <col customWidth="1" min="17" max="17" width="8.29"/>
    <col customWidth="1" min="19" max="19" width="10.71"/>
    <col customWidth="1" min="20" max="20" width="8.14"/>
    <col customWidth="1" min="21" max="21" width="13.14"/>
    <col customWidth="1" min="22" max="22" width="9.57"/>
    <col customWidth="1" min="23" max="23" width="26.29"/>
    <col customWidth="1" min="25" max="25" width="11.43"/>
    <col customWidth="1" min="26" max="26" width="103.0"/>
    <col customWidth="1" min="27" max="27" width="14.57"/>
  </cols>
  <sheetData>
    <row r="1">
      <c r="A1" s="1"/>
      <c r="B1" s="1"/>
      <c r="C1" s="1"/>
      <c r="D1" s="1"/>
      <c r="E1" s="2" t="s">
        <v>0</v>
      </c>
      <c r="U1" s="3" t="s">
        <v>1</v>
      </c>
      <c r="V1" s="4"/>
      <c r="W1" s="4"/>
      <c r="X1" s="4"/>
      <c r="Y1" s="4"/>
      <c r="Z1" s="5"/>
      <c r="AA1" s="1"/>
      <c r="AB1" s="1"/>
      <c r="AC1" s="1"/>
      <c r="AD1" s="1"/>
    </row>
    <row r="2">
      <c r="A2" s="6" t="s">
        <v>2</v>
      </c>
      <c r="B2" s="6" t="s">
        <v>3</v>
      </c>
      <c r="C2" s="6" t="s">
        <v>4</v>
      </c>
      <c r="D2" s="6" t="s">
        <v>5</v>
      </c>
      <c r="E2" s="6" t="s">
        <v>6</v>
      </c>
      <c r="F2" s="6" t="s">
        <v>7</v>
      </c>
      <c r="G2" s="6" t="s">
        <v>8</v>
      </c>
      <c r="H2" s="6" t="s">
        <v>9</v>
      </c>
      <c r="I2" s="6" t="s">
        <v>10</v>
      </c>
      <c r="J2" s="6" t="s">
        <v>11</v>
      </c>
      <c r="K2" s="6" t="s">
        <v>12</v>
      </c>
      <c r="L2" s="6" t="s">
        <v>13</v>
      </c>
      <c r="M2" s="6" t="s">
        <v>14</v>
      </c>
      <c r="N2" s="6" t="s">
        <v>15</v>
      </c>
      <c r="O2" s="6" t="s">
        <v>16</v>
      </c>
      <c r="P2" s="6" t="s">
        <v>17</v>
      </c>
      <c r="Q2" s="6" t="s">
        <v>18</v>
      </c>
      <c r="R2" s="6" t="s">
        <v>19</v>
      </c>
      <c r="S2" s="6" t="s">
        <v>20</v>
      </c>
      <c r="T2" s="6" t="s">
        <v>21</v>
      </c>
      <c r="U2" s="6" t="s">
        <v>22</v>
      </c>
      <c r="V2" s="6" t="s">
        <v>23</v>
      </c>
      <c r="W2" s="6" t="s">
        <v>24</v>
      </c>
      <c r="X2" s="6" t="s">
        <v>25</v>
      </c>
      <c r="Y2" s="6" t="s">
        <v>26</v>
      </c>
      <c r="Z2" s="6" t="s">
        <v>27</v>
      </c>
      <c r="AA2" s="1"/>
    </row>
    <row r="3">
      <c r="A3" s="7" t="s">
        <v>28</v>
      </c>
      <c r="B3" s="8" t="str">
        <f>HYPERLINK("https://www.nytimes.com/video","link pagina")</f>
        <v>link pagina</v>
      </c>
      <c r="C3" s="9" t="s">
        <v>29</v>
      </c>
      <c r="D3" s="9" t="s">
        <v>30</v>
      </c>
      <c r="E3" s="10" t="s">
        <v>31</v>
      </c>
      <c r="F3" s="10"/>
      <c r="G3" s="10"/>
      <c r="H3" s="10"/>
      <c r="I3" s="10"/>
      <c r="J3" s="10"/>
      <c r="K3" s="10"/>
      <c r="L3" s="10"/>
      <c r="M3" s="10"/>
      <c r="N3" s="10"/>
      <c r="O3" s="10"/>
      <c r="P3" s="10"/>
      <c r="Q3" s="10"/>
      <c r="R3" s="10"/>
      <c r="S3" s="10"/>
      <c r="T3" s="10"/>
      <c r="U3" s="11" t="s">
        <v>32</v>
      </c>
      <c r="V3" s="11" t="s">
        <v>33</v>
      </c>
      <c r="W3" s="12"/>
      <c r="X3" s="12"/>
      <c r="Y3" s="11" t="s">
        <v>34</v>
      </c>
      <c r="Z3" s="13" t="s">
        <v>35</v>
      </c>
      <c r="AA3" s="1"/>
    </row>
    <row r="4">
      <c r="A4" s="14" t="s">
        <v>36</v>
      </c>
      <c r="B4" s="15" t="str">
        <f>HYPERLINK("http://www.espn.com/video/clip/_/id/24985835","link pagina")</f>
        <v>link pagina</v>
      </c>
      <c r="C4" s="15" t="str">
        <f>HYPERLINK("http://media.video-cdn.espn.com/motion/2018/1014/dm_181014_NFL_PATS_GRONK_CATCH_AND_FG/dm_181014_NFL_PATS_GRONK_CATCH_AND_FG_720p30_2896k.mp4","link video")</f>
        <v>link video</v>
      </c>
      <c r="D4" s="11" t="s">
        <v>37</v>
      </c>
      <c r="E4" s="16"/>
      <c r="F4" s="17"/>
      <c r="G4" s="17"/>
      <c r="H4" s="17"/>
      <c r="I4" s="17"/>
      <c r="J4" s="17"/>
      <c r="K4" s="17"/>
      <c r="L4" s="17"/>
      <c r="M4" s="17"/>
      <c r="N4" s="6"/>
      <c r="O4" s="6" t="s">
        <v>31</v>
      </c>
      <c r="P4" s="17"/>
      <c r="Q4" s="17"/>
      <c r="R4" s="17"/>
      <c r="S4" s="17"/>
      <c r="T4" s="17"/>
      <c r="U4" s="9" t="s">
        <v>38</v>
      </c>
      <c r="V4" s="9" t="s">
        <v>39</v>
      </c>
      <c r="W4" s="9" t="s">
        <v>40</v>
      </c>
      <c r="X4" s="18">
        <v>43388.0</v>
      </c>
      <c r="Y4" s="11" t="s">
        <v>34</v>
      </c>
      <c r="Z4" s="19" t="s">
        <v>41</v>
      </c>
      <c r="AA4" s="1"/>
    </row>
    <row r="5">
      <c r="A5" s="14" t="s">
        <v>42</v>
      </c>
      <c r="B5" s="15" t="str">
        <f>HYPERLINK("https://wkow.com/news/2018/10/15/rodney-atkins-to-put-on-intimate-show-in-madison/","link pagina")</f>
        <v>link pagina</v>
      </c>
      <c r="C5" s="20" t="s">
        <v>29</v>
      </c>
      <c r="D5" s="11" t="s">
        <v>30</v>
      </c>
      <c r="E5" s="6" t="s">
        <v>31</v>
      </c>
      <c r="F5" s="6"/>
      <c r="G5" s="17"/>
      <c r="H5" s="17"/>
      <c r="I5" s="17"/>
      <c r="J5" s="17"/>
      <c r="K5" s="17"/>
      <c r="L5" s="17"/>
      <c r="M5" s="17"/>
      <c r="N5" s="17"/>
      <c r="O5" s="17"/>
      <c r="P5" s="17"/>
      <c r="Q5" s="17"/>
      <c r="R5" s="17"/>
      <c r="S5" s="17"/>
      <c r="T5" s="17"/>
      <c r="U5" s="12"/>
      <c r="V5" s="12"/>
      <c r="W5" s="12"/>
      <c r="X5" s="12"/>
      <c r="Y5" s="11" t="s">
        <v>34</v>
      </c>
      <c r="Z5" s="21" t="s">
        <v>43</v>
      </c>
      <c r="AA5" s="1"/>
    </row>
    <row r="6">
      <c r="A6" s="14" t="s">
        <v>44</v>
      </c>
      <c r="B6" s="15" t="str">
        <f>HYPERLINK("https://www.wokv.com/video/hot-video/toddler-mauled-death-family-dog/VZMxmoAhUSw4ofNRkiBJII/","link pagina")</f>
        <v>link pagina</v>
      </c>
      <c r="C6" s="22" t="s">
        <v>29</v>
      </c>
      <c r="D6" s="11" t="s">
        <v>30</v>
      </c>
      <c r="E6" s="6" t="s">
        <v>31</v>
      </c>
      <c r="F6" s="6"/>
      <c r="G6" s="17"/>
      <c r="H6" s="17"/>
      <c r="I6" s="17"/>
      <c r="J6" s="17"/>
      <c r="K6" s="17"/>
      <c r="L6" s="17"/>
      <c r="M6" s="17"/>
      <c r="N6" s="17"/>
      <c r="O6" s="17"/>
      <c r="P6" s="17"/>
      <c r="Q6" s="17"/>
      <c r="R6" s="17"/>
      <c r="S6" s="17"/>
      <c r="T6" s="17"/>
      <c r="U6" s="12"/>
      <c r="V6" s="12"/>
      <c r="W6" s="12"/>
      <c r="X6" s="12"/>
      <c r="Y6" s="11" t="s">
        <v>34</v>
      </c>
      <c r="Z6" s="23" t="s">
        <v>45</v>
      </c>
      <c r="AA6" s="1"/>
    </row>
    <row r="7">
      <c r="A7" s="7" t="s">
        <v>46</v>
      </c>
      <c r="B7" s="8" t="str">
        <f>HYPERLINK("https://www.wsj.com/video/what-the-election-of-jair-bolsonaro-means-for-brazil/4F79BD86-F2D4-4DB6-A105-10AE9255C5F3.html","link pagina")</f>
        <v>link pagina</v>
      </c>
      <c r="C7" s="15" t="str">
        <f>HYPERLINK("https://m.wsj.net//video//20181029//102918brafuture//102918brafuture_v2_ec664k.mp4","link video")</f>
        <v>link video</v>
      </c>
      <c r="D7" s="11" t="s">
        <v>30</v>
      </c>
      <c r="E7" s="17"/>
      <c r="F7" s="17"/>
      <c r="G7" s="17"/>
      <c r="H7" s="17"/>
      <c r="I7" s="17"/>
      <c r="J7" s="17"/>
      <c r="K7" s="17"/>
      <c r="L7" s="17"/>
      <c r="M7" s="17"/>
      <c r="N7" s="17"/>
      <c r="O7" s="17"/>
      <c r="P7" s="6" t="s">
        <v>31</v>
      </c>
      <c r="Q7" s="17"/>
      <c r="R7" s="17"/>
      <c r="S7" s="17"/>
      <c r="T7" s="17"/>
      <c r="U7" s="11" t="s">
        <v>38</v>
      </c>
      <c r="V7" s="11" t="s">
        <v>47</v>
      </c>
      <c r="W7" s="12"/>
      <c r="X7" s="18">
        <v>43402.0</v>
      </c>
      <c r="Y7" s="11" t="s">
        <v>34</v>
      </c>
      <c r="Z7" s="23" t="s">
        <v>48</v>
      </c>
      <c r="AA7" s="1"/>
    </row>
    <row r="8">
      <c r="A8" s="14" t="s">
        <v>49</v>
      </c>
      <c r="B8" s="24" t="str">
        <f>HYPERLINK("https://www.myrtlebeachonline.com/news/local/article217455180.html#storylink=mainstage","link pagina")</f>
        <v>link pagina</v>
      </c>
      <c r="C8" s="15" t="str">
        <f>HYPERLINK("https://bcbolt446c5271-a.akamaihd.net/media/v1/pmp4/static/clear/5618154290001/92dda24d-b594-4e23-8ead-a58558602565/high.mp4?akamai_token=exp=1542036221~acl=/media/v1/pmp4/static/clear/5618154290001/92dda24d-b594-4e23-8ead-a58558602565/high.mp4*~hmac=56f7"&amp;"0306ab2490d41a6da5a11228d79601954a82dba2f1b6a65070cd8851306f","link video")</f>
        <v>link video</v>
      </c>
      <c r="D8" s="11" t="s">
        <v>37</v>
      </c>
      <c r="E8" s="17"/>
      <c r="F8" s="17"/>
      <c r="G8" s="17"/>
      <c r="H8" s="17"/>
      <c r="I8" s="17"/>
      <c r="J8" s="17"/>
      <c r="K8" s="17"/>
      <c r="L8" s="17"/>
      <c r="M8" s="17"/>
      <c r="N8" s="17"/>
      <c r="O8" s="17"/>
      <c r="P8" s="6" t="s">
        <v>31</v>
      </c>
      <c r="Q8" s="17"/>
      <c r="R8" s="17"/>
      <c r="S8" s="17"/>
      <c r="T8" s="17"/>
      <c r="U8" s="9" t="s">
        <v>38</v>
      </c>
      <c r="V8" s="11" t="s">
        <v>50</v>
      </c>
      <c r="W8" s="9" t="s">
        <v>40</v>
      </c>
      <c r="X8" s="25">
        <v>43350.0</v>
      </c>
      <c r="Y8" s="11" t="s">
        <v>34</v>
      </c>
      <c r="Z8" s="21" t="s">
        <v>51</v>
      </c>
      <c r="AA8" s="1"/>
    </row>
    <row r="9">
      <c r="A9" s="14" t="s">
        <v>52</v>
      </c>
      <c r="B9" s="24" t="str">
        <f>HYPERLINK("http://mynorthwest.com/1144863/medved-first-man-review/","link pagina")</f>
        <v>link pagina</v>
      </c>
      <c r="C9" s="24" t="str">
        <f>HYPERLINK("https://r3---sn-vgqskn7z.googlevideo.com/videoplayback?mt=1539618487&amp;mv=m&amp;id=o-APKKz2zi_19szPkF2fDEZN3cceUvCR-jKGQxf3EUUpWG&amp;ms=au%2Crdu&amp;source=youtube&amp;expire=1539640240&amp;mime=video%2Fmp4&amp;ip=35.224.195.86&amp;requiressl=yes&amp;mm=31%2C29&amp;signature=5020F91580379BF6"&amp;"B701D0F834713E5D27D2E773.ACE41320F46F4D9E8556B4D1BAD98E8B97C52D2D&amp;pl=20&amp;mn=sn-vgqskn7z%2Csn-vgqsrnes&amp;dur=150.163&amp;fvip=3&amp;itag=22&amp;ei=T7fEW9uqN4LIDeKRkdAL&amp;c=WEB&amp;key=yt6&amp;sparams=dur%2Cei%2Cid%2Cip%2Cipbits%2Citag%2Clmt%2Cmime%2Cmm%2Cmn%2Cms%2Cmv%2Cpl%2Crateby"&amp;"pass%2Crequiressl%2Csource%2Cexpire&amp;txp=5531332&amp;lmt=1537902068749311&amp;ratebypass=yes&amp;ipbits=0","link video")</f>
        <v>link video</v>
      </c>
      <c r="D9" s="11" t="s">
        <v>37</v>
      </c>
      <c r="E9" s="17"/>
      <c r="F9" s="17"/>
      <c r="G9" s="17"/>
      <c r="H9" s="17"/>
      <c r="I9" s="17"/>
      <c r="J9" s="17"/>
      <c r="K9" s="17"/>
      <c r="L9" s="17"/>
      <c r="M9" s="6" t="s">
        <v>31</v>
      </c>
      <c r="N9" s="17"/>
      <c r="O9" s="17"/>
      <c r="P9" s="6"/>
      <c r="Q9" s="17"/>
      <c r="R9" s="17"/>
      <c r="S9" s="17"/>
      <c r="T9" s="17"/>
      <c r="U9" s="9" t="s">
        <v>38</v>
      </c>
      <c r="V9" s="11" t="s">
        <v>53</v>
      </c>
      <c r="W9" s="11" t="s">
        <v>40</v>
      </c>
      <c r="X9" s="25">
        <v>43263.0</v>
      </c>
      <c r="Y9" s="11" t="s">
        <v>34</v>
      </c>
      <c r="Z9" s="21" t="s">
        <v>54</v>
      </c>
      <c r="AA9" s="1"/>
    </row>
    <row r="10">
      <c r="A10" s="14" t="s">
        <v>55</v>
      </c>
      <c r="B10" s="24" t="str">
        <f>HYPERLINK("https://nypost.com/video/the-ceo-of-goldman-sachs-is-a-secret-dj/","link pagina")</f>
        <v>link pagina</v>
      </c>
      <c r="C10" s="22" t="s">
        <v>29</v>
      </c>
      <c r="D10" s="11" t="s">
        <v>30</v>
      </c>
      <c r="E10" s="6" t="s">
        <v>31</v>
      </c>
      <c r="F10" s="17"/>
      <c r="G10" s="17"/>
      <c r="H10" s="17"/>
      <c r="I10" s="17"/>
      <c r="J10" s="17"/>
      <c r="K10" s="17"/>
      <c r="L10" s="17"/>
      <c r="M10" s="17"/>
      <c r="N10" s="17"/>
      <c r="O10" s="17"/>
      <c r="P10" s="6"/>
      <c r="Q10" s="17"/>
      <c r="R10" s="17"/>
      <c r="S10" s="17"/>
      <c r="T10" s="17"/>
      <c r="U10" s="12"/>
      <c r="V10" s="12"/>
      <c r="W10" s="12"/>
      <c r="X10" s="12"/>
      <c r="Y10" s="11" t="s">
        <v>34</v>
      </c>
      <c r="Z10" s="21" t="s">
        <v>56</v>
      </c>
      <c r="AA10" s="1"/>
    </row>
    <row r="11">
      <c r="A11" s="14" t="s">
        <v>57</v>
      </c>
      <c r="B11" s="24" t="str">
        <f>HYPERLINK("http://www.bostonherald.com/sports","link pagina")</f>
        <v>link pagina</v>
      </c>
      <c r="C11" s="9" t="s">
        <v>29</v>
      </c>
      <c r="D11" s="11" t="s">
        <v>30</v>
      </c>
      <c r="E11" s="6" t="s">
        <v>31</v>
      </c>
      <c r="F11" s="17"/>
      <c r="G11" s="17"/>
      <c r="H11" s="17"/>
      <c r="I11" s="17"/>
      <c r="J11" s="17"/>
      <c r="K11" s="17"/>
      <c r="L11" s="17"/>
      <c r="M11" s="17"/>
      <c r="N11" s="17"/>
      <c r="O11" s="17"/>
      <c r="P11" s="17"/>
      <c r="Q11" s="17"/>
      <c r="R11" s="17"/>
      <c r="S11" s="17"/>
      <c r="T11" s="17"/>
      <c r="U11" s="12"/>
      <c r="V11" s="12"/>
      <c r="W11" s="12"/>
      <c r="X11" s="12"/>
      <c r="Y11" s="11" t="s">
        <v>34</v>
      </c>
      <c r="Z11" s="21" t="s">
        <v>58</v>
      </c>
      <c r="AA11" s="1"/>
    </row>
    <row r="12">
      <c r="A12" s="7" t="s">
        <v>59</v>
      </c>
      <c r="B12" s="15" t="str">
        <f>HYPERLINK("https://www.ilmessaggero.it/politica/m5s_decreto_sicurezza_nugnes_m5s_di_maio-4074284.html","link pagina")</f>
        <v>link pagina</v>
      </c>
      <c r="C12" s="24" t="str">
        <f>HYPERLINK("https://videomp4.cedscdn.it/80c3739c-c222-43b5-aec1-1b4b8fa85964/617632_811kbits852x480.mp4","link video")</f>
        <v>link video</v>
      </c>
      <c r="D12" s="11" t="s">
        <v>30</v>
      </c>
      <c r="E12" s="17"/>
      <c r="F12" s="17"/>
      <c r="G12" s="17"/>
      <c r="H12" s="17"/>
      <c r="I12" s="17"/>
      <c r="J12" s="17"/>
      <c r="K12" s="17"/>
      <c r="L12" s="17"/>
      <c r="M12" s="17"/>
      <c r="N12" s="17"/>
      <c r="O12" s="17"/>
      <c r="P12" s="6" t="s">
        <v>31</v>
      </c>
      <c r="Q12" s="17"/>
      <c r="R12" s="17"/>
      <c r="S12" s="17"/>
      <c r="T12" s="17"/>
      <c r="U12" s="12"/>
      <c r="V12" s="11" t="s">
        <v>60</v>
      </c>
      <c r="W12" s="11" t="s">
        <v>40</v>
      </c>
      <c r="X12" s="18">
        <v>43403.0</v>
      </c>
      <c r="Y12" s="11" t="s">
        <v>61</v>
      </c>
      <c r="Z12" s="23" t="s">
        <v>62</v>
      </c>
      <c r="AA12" s="1"/>
    </row>
    <row r="13">
      <c r="A13" s="14" t="s">
        <v>63</v>
      </c>
      <c r="B13" s="24" t="str">
        <f>HYPERLINK("http://www.journalgazette.net/sports/colleges/purdue/20181017/boilers-think-big-against-buckeyes","link pagina")</f>
        <v>link pagina</v>
      </c>
      <c r="C13" s="24" t="str">
        <f>HYPERLINK("https://player.vimeo.com/video/295511346","link video")</f>
        <v>link video</v>
      </c>
      <c r="D13" s="11" t="s">
        <v>37</v>
      </c>
      <c r="E13" s="17"/>
      <c r="F13" s="17"/>
      <c r="G13" s="17"/>
      <c r="H13" s="17"/>
      <c r="I13" s="17"/>
      <c r="J13" s="17"/>
      <c r="K13" s="17"/>
      <c r="L13" s="17"/>
      <c r="M13" s="17"/>
      <c r="N13" s="17"/>
      <c r="O13" s="17"/>
      <c r="P13" s="6" t="s">
        <v>31</v>
      </c>
      <c r="Q13" s="17"/>
      <c r="R13" s="17"/>
      <c r="S13" s="17"/>
      <c r="T13" s="17"/>
      <c r="U13" s="12"/>
      <c r="V13" s="12"/>
      <c r="W13" s="12"/>
      <c r="X13" s="12"/>
      <c r="Y13" s="11" t="s">
        <v>34</v>
      </c>
      <c r="Z13" s="21" t="s">
        <v>64</v>
      </c>
      <c r="AA13" s="1"/>
    </row>
    <row r="14">
      <c r="A14" s="7" t="s">
        <v>65</v>
      </c>
      <c r="B14" s="15" t="str">
        <f>HYPERLINK("https://www.quotidiano.net/politica/video/di-maio-giorni-difficili-dobbiamo-essere-compatti-1.4266930","link pagina")</f>
        <v>link pagina</v>
      </c>
      <c r="C14" s="24" t="str">
        <f>HYPERLINK("https://cdn.viralize.tv/v2video/cre_80/encoded/83bb85a8-40ed-497e-83ba-b72c45ed81bd.webm","link video")</f>
        <v>link video</v>
      </c>
      <c r="D14" s="11" t="s">
        <v>37</v>
      </c>
      <c r="E14" s="17"/>
      <c r="F14" s="6" t="s">
        <v>31</v>
      </c>
      <c r="G14" s="17"/>
      <c r="H14" s="17"/>
      <c r="I14" s="17"/>
      <c r="J14" s="17"/>
      <c r="K14" s="17"/>
      <c r="L14" s="17"/>
      <c r="M14" s="17"/>
      <c r="N14" s="17"/>
      <c r="O14" s="17"/>
      <c r="P14" s="6"/>
      <c r="Q14" s="17"/>
      <c r="R14" s="17"/>
      <c r="S14" s="17"/>
      <c r="T14" s="17"/>
      <c r="U14" s="11" t="s">
        <v>66</v>
      </c>
      <c r="V14" s="12"/>
      <c r="W14" s="11" t="s">
        <v>67</v>
      </c>
      <c r="X14" s="18">
        <v>43402.0</v>
      </c>
      <c r="Y14" s="11" t="s">
        <v>61</v>
      </c>
      <c r="Z14" s="23" t="s">
        <v>68</v>
      </c>
      <c r="AA14" s="1"/>
    </row>
    <row r="15">
      <c r="A15" s="14" t="s">
        <v>69</v>
      </c>
      <c r="B15" s="24" t="str">
        <f>HYPERLINK("https://triblive.com/home/video/","link pagina")</f>
        <v>link pagina</v>
      </c>
      <c r="C15" s="24" t="str">
        <f>HYPERLINK("https://ljsp.lwcdn.com/api/video/embed.jsp?id=d5a0afb9-889c-40c3-86a4-66c362bea2aa&amp;pi=fd73db78-9c6c-47b3-8f6a-45b75e826890&amp;apiOn=1&amp;playerId=player-1","link video")</f>
        <v>link video</v>
      </c>
      <c r="D15" s="11" t="s">
        <v>30</v>
      </c>
      <c r="E15" s="17"/>
      <c r="F15" s="17"/>
      <c r="G15" s="17"/>
      <c r="H15" s="17"/>
      <c r="I15" s="17"/>
      <c r="J15" s="17"/>
      <c r="K15" s="17"/>
      <c r="L15" s="17"/>
      <c r="M15" s="17"/>
      <c r="N15" s="17"/>
      <c r="O15" s="17"/>
      <c r="P15" s="6" t="s">
        <v>31</v>
      </c>
      <c r="Q15" s="17"/>
      <c r="R15" s="17"/>
      <c r="S15" s="17"/>
      <c r="T15" s="17"/>
      <c r="U15" s="12"/>
      <c r="V15" s="12"/>
      <c r="W15" s="12"/>
      <c r="X15" s="12"/>
      <c r="Y15" s="12"/>
      <c r="Z15" s="21" t="s">
        <v>70</v>
      </c>
      <c r="AA15" s="1"/>
    </row>
    <row r="16">
      <c r="A16" s="14" t="s">
        <v>71</v>
      </c>
      <c r="B16" s="24" t="str">
        <f>HYPERLINK("https://www.channel3000.com/news/wednesday-morning-sprint-70/808620380","link pagina")</f>
        <v>link pagina</v>
      </c>
      <c r="C16" s="24" t="str">
        <f>HYPERLINK("https://media.syndicaster.tv/videos/63ec9fe0-34e3-0135-9caa-0242ac11000a/7427010/sd.mp4?strict=0&amp;amp;t=2018101714204820181017152048de4a6e9bb1bce19a2960ca791f3e3ea04e664405&amp;amp;d=www.channel3000.com","link video")</f>
        <v>link video</v>
      </c>
      <c r="D16" s="11" t="s">
        <v>30</v>
      </c>
      <c r="E16" s="17"/>
      <c r="F16" s="6" t="s">
        <v>31</v>
      </c>
      <c r="G16" s="17"/>
      <c r="H16" s="17"/>
      <c r="I16" s="17"/>
      <c r="J16" s="17"/>
      <c r="K16" s="17"/>
      <c r="L16" s="17"/>
      <c r="M16" s="17"/>
      <c r="N16" s="17"/>
      <c r="O16" s="17"/>
      <c r="P16" s="6"/>
      <c r="Q16" s="17"/>
      <c r="R16" s="17"/>
      <c r="S16" s="17"/>
      <c r="T16" s="17"/>
      <c r="U16" s="12"/>
      <c r="V16" s="12"/>
      <c r="W16" s="11" t="s">
        <v>40</v>
      </c>
      <c r="X16" s="18">
        <v>43390.0</v>
      </c>
      <c r="Y16" s="11" t="s">
        <v>34</v>
      </c>
      <c r="Z16" s="21" t="s">
        <v>72</v>
      </c>
      <c r="AA16" s="1"/>
    </row>
    <row r="17">
      <c r="A17" s="14" t="s">
        <v>73</v>
      </c>
      <c r="B17" s="24" t="str">
        <f>HYPERLINK("http://www.vindy.com/videos/2018/oct/12/4827/","link pagina")</f>
        <v>link pagina</v>
      </c>
      <c r="C17" s="24" t="str">
        <f>HYPERLINK("https://vindy.media.clients.ellingtoncms.com/video/2018/10/11/Carl_Peterson_-_Life_After_Football.mp4","link video")</f>
        <v>link video</v>
      </c>
      <c r="D17" s="11" t="s">
        <v>37</v>
      </c>
      <c r="E17" s="17"/>
      <c r="F17" s="6"/>
      <c r="G17" s="6" t="s">
        <v>31</v>
      </c>
      <c r="H17" s="17"/>
      <c r="I17" s="17"/>
      <c r="J17" s="17"/>
      <c r="K17" s="17"/>
      <c r="L17" s="17"/>
      <c r="M17" s="17"/>
      <c r="N17" s="17"/>
      <c r="O17" s="17"/>
      <c r="P17" s="17"/>
      <c r="Q17" s="17"/>
      <c r="R17" s="17"/>
      <c r="S17" s="17"/>
      <c r="T17" s="17"/>
      <c r="U17" s="12"/>
      <c r="V17" s="12"/>
      <c r="W17" s="11" t="s">
        <v>40</v>
      </c>
      <c r="X17" s="12"/>
      <c r="Y17" s="11" t="s">
        <v>34</v>
      </c>
      <c r="Z17" s="23" t="s">
        <v>74</v>
      </c>
      <c r="AA17" s="1"/>
    </row>
    <row r="18">
      <c r="A18" s="7" t="s">
        <v>75</v>
      </c>
      <c r="B18" s="15" t="str">
        <f>HYPERLINK("https://chicago.suntimes.com/news/inbound-dan-ryan-shooting/","link pagina")</f>
        <v>link pagina</v>
      </c>
      <c r="C18" s="24" t="str">
        <f>HYPERLINK("https://content.jwplatform.com/manifests/qKArDMtp.m3u8","link video")</f>
        <v>link video</v>
      </c>
      <c r="D18" s="11" t="s">
        <v>30</v>
      </c>
      <c r="E18" s="17"/>
      <c r="F18" s="17"/>
      <c r="G18" s="17"/>
      <c r="H18" s="17"/>
      <c r="I18" s="17"/>
      <c r="J18" s="17"/>
      <c r="K18" s="17"/>
      <c r="L18" s="17"/>
      <c r="M18" s="17"/>
      <c r="N18" s="17"/>
      <c r="O18" s="17"/>
      <c r="P18" s="6" t="s">
        <v>31</v>
      </c>
      <c r="Q18" s="17"/>
      <c r="R18" s="17"/>
      <c r="S18" s="17"/>
      <c r="T18" s="17"/>
      <c r="U18" s="12"/>
      <c r="V18" s="12"/>
      <c r="W18" s="12"/>
      <c r="X18" s="18">
        <v>43402.0</v>
      </c>
      <c r="Y18" s="11" t="s">
        <v>34</v>
      </c>
      <c r="Z18" s="23" t="s">
        <v>76</v>
      </c>
      <c r="AA18" s="1"/>
    </row>
    <row r="19">
      <c r="A19" s="14" t="s">
        <v>77</v>
      </c>
      <c r="B19" s="24" t="str">
        <f>HYPERLINK("https://www.news8000.com/news/new-horizons-advocates-explain-importance-of-domestic-violence-awareness-month/808364336","link pagina")</f>
        <v>link pagina</v>
      </c>
      <c r="C19" s="24" t="str">
        <f>HYPERLINK("https://media.syndicaster.tv/videos/79b63450-34e3-0135-44b4-0242ac11000b/7426814/sd.mp4?strict=0&amp;amp;t=201810171455462018101715554652230bd1fd16e8f1de922fdbff5e2945db12bf89&amp;amp;d=www.news8000.com","link video")</f>
        <v>link video</v>
      </c>
      <c r="D19" s="11" t="s">
        <v>30</v>
      </c>
      <c r="E19" s="17"/>
      <c r="F19" s="6" t="s">
        <v>31</v>
      </c>
      <c r="G19" s="17"/>
      <c r="H19" s="17"/>
      <c r="I19" s="17"/>
      <c r="J19" s="17"/>
      <c r="K19" s="17"/>
      <c r="L19" s="17"/>
      <c r="M19" s="17"/>
      <c r="N19" s="17"/>
      <c r="O19" s="17"/>
      <c r="P19" s="17"/>
      <c r="Q19" s="17"/>
      <c r="R19" s="17"/>
      <c r="S19" s="17"/>
      <c r="T19" s="17"/>
      <c r="U19" s="12"/>
      <c r="V19" s="11"/>
      <c r="W19" s="11" t="s">
        <v>40</v>
      </c>
      <c r="X19" s="18">
        <v>43389.0</v>
      </c>
      <c r="Y19" s="11" t="s">
        <v>34</v>
      </c>
      <c r="Z19" s="23" t="s">
        <v>78</v>
      </c>
      <c r="AA19" s="1"/>
    </row>
    <row r="20">
      <c r="A20" s="14" t="s">
        <v>79</v>
      </c>
      <c r="B20" s="24" t="str">
        <f>HYPERLINK("https://www.si.com/nfl/video/2018/10/16/how-far-can-aaron-rodgers-carry-green-bay-packers","link pagina")</f>
        <v>link pagina</v>
      </c>
      <c r="C20" s="24" t="str">
        <f>HYPERLINK("https://timeincsecure-a.akamaihd.net/rtmp_uds/2157889318001/201810/3088/2157889318001_5848057537001_5848050480001.mp4?pubId=2157889318001&amp;videoId=5848050480001","link video")</f>
        <v>link video</v>
      </c>
      <c r="D20" s="11" t="s">
        <v>30</v>
      </c>
      <c r="E20" s="17"/>
      <c r="F20" s="17"/>
      <c r="G20" s="17"/>
      <c r="H20" s="17"/>
      <c r="I20" s="17"/>
      <c r="J20" s="17"/>
      <c r="K20" s="17"/>
      <c r="L20" s="17"/>
      <c r="M20" s="17"/>
      <c r="N20" s="17"/>
      <c r="O20" s="17"/>
      <c r="P20" s="6" t="s">
        <v>31</v>
      </c>
      <c r="Q20" s="17"/>
      <c r="R20" s="17"/>
      <c r="S20" s="17"/>
      <c r="T20" s="17"/>
      <c r="U20" s="12"/>
      <c r="V20" s="11" t="s">
        <v>80</v>
      </c>
      <c r="W20" s="12"/>
      <c r="X20" s="18">
        <v>43389.0</v>
      </c>
      <c r="Y20" s="11" t="s">
        <v>34</v>
      </c>
      <c r="Z20" s="23" t="s">
        <v>81</v>
      </c>
      <c r="AA20" s="1"/>
    </row>
    <row r="21">
      <c r="A21" s="7" t="s">
        <v>82</v>
      </c>
      <c r="B21" s="15" t="str">
        <f>HYPERLINK("http://www.ilgiornale.it/news/sport/leicester-video-choc-cos-precipita-lelicottero-1595341.html","link pagina")</f>
        <v>link pagina</v>
      </c>
      <c r="C21" s="24" t="str">
        <f>HYPERLINK("http://video.ilgiornale.it/sites/default/files/videos/original/elicotteroLeicesternew_20181031113153_900k.mp4","link video")</f>
        <v>link video</v>
      </c>
      <c r="D21" s="11" t="s">
        <v>30</v>
      </c>
      <c r="E21" s="6"/>
      <c r="F21" s="6" t="s">
        <v>31</v>
      </c>
      <c r="G21" s="17"/>
      <c r="H21" s="17"/>
      <c r="I21" s="17"/>
      <c r="J21" s="17"/>
      <c r="K21" s="17"/>
      <c r="L21" s="17"/>
      <c r="M21" s="17"/>
      <c r="N21" s="17"/>
      <c r="O21" s="17"/>
      <c r="P21" s="17"/>
      <c r="Q21" s="17"/>
      <c r="R21" s="17"/>
      <c r="S21" s="17"/>
      <c r="T21" s="17"/>
      <c r="U21" s="12"/>
      <c r="V21" s="12"/>
      <c r="W21" s="12"/>
      <c r="X21" s="12"/>
      <c r="Y21" s="11" t="s">
        <v>61</v>
      </c>
      <c r="Z21" s="23" t="s">
        <v>83</v>
      </c>
      <c r="AA21" s="1"/>
    </row>
    <row r="22">
      <c r="A22" s="14" t="s">
        <v>84</v>
      </c>
      <c r="B22" s="24" t="str">
        <f>HYPERLINK("https://wnyt.com/news/st-johnsville-michaela-macvilla-missing-woman-found-dead/5110737/","link pagina")</f>
        <v>link pagina</v>
      </c>
      <c r="C22" s="24" t="str">
        <f>HYPERLINK("https://mcp-media-hubbard.storage.googleapis.com/anv-pvw/3F4/500/3F4500BBE18E4D3DADC68F9F546531B7.mp4","link video")</f>
        <v>link video</v>
      </c>
      <c r="D22" s="11" t="s">
        <v>30</v>
      </c>
      <c r="E22" s="17"/>
      <c r="F22" s="17"/>
      <c r="G22" s="17"/>
      <c r="H22" s="17"/>
      <c r="I22" s="17"/>
      <c r="J22" s="17"/>
      <c r="K22" s="17"/>
      <c r="L22" s="17"/>
      <c r="M22" s="17"/>
      <c r="N22" s="17"/>
      <c r="O22" s="17"/>
      <c r="P22" s="17"/>
      <c r="Q22" s="6" t="s">
        <v>31</v>
      </c>
      <c r="R22" s="17"/>
      <c r="S22" s="17"/>
      <c r="T22" s="17"/>
      <c r="U22" s="12"/>
      <c r="V22" s="11" t="s">
        <v>85</v>
      </c>
      <c r="W22" s="11" t="s">
        <v>40</v>
      </c>
      <c r="X22" s="18">
        <v>43389.0</v>
      </c>
      <c r="Y22" s="11" t="s">
        <v>34</v>
      </c>
      <c r="Z22" s="23" t="s">
        <v>86</v>
      </c>
      <c r="AA22" s="1"/>
    </row>
    <row r="23">
      <c r="A23" s="14" t="s">
        <v>87</v>
      </c>
      <c r="B23" s="24" t="str">
        <f>HYPERLINK("https://abc7news.com/video/","link pagina")</f>
        <v>link pagina</v>
      </c>
      <c r="C23" s="24" t="str">
        <f>HYPERLINK("https://content.uplynk.com/ext/4413701bf5a1488db55b767f8ae9d4fa/101718-tri-7amupdate-vid.m3u8?ad._v=2&amp;ad=kgo_video&amp;ad.preroll=&amp;ad.fill_slate=1&amp;ad.ametr=1","link video")</f>
        <v>link video</v>
      </c>
      <c r="D23" s="11" t="s">
        <v>30</v>
      </c>
      <c r="E23" s="17"/>
      <c r="F23" s="17"/>
      <c r="G23" s="17"/>
      <c r="H23" s="17"/>
      <c r="I23" s="17"/>
      <c r="J23" s="17"/>
      <c r="K23" s="17"/>
      <c r="L23" s="17"/>
      <c r="M23" s="17"/>
      <c r="N23" s="17"/>
      <c r="O23" s="17"/>
      <c r="P23" s="17"/>
      <c r="Q23" s="17"/>
      <c r="R23" s="6"/>
      <c r="S23" s="6" t="s">
        <v>31</v>
      </c>
      <c r="T23" s="17"/>
      <c r="U23" s="12"/>
      <c r="V23" s="12"/>
      <c r="W23" s="12"/>
      <c r="X23" s="18">
        <v>43390.0</v>
      </c>
      <c r="Y23" s="11" t="s">
        <v>34</v>
      </c>
      <c r="Z23" s="23" t="s">
        <v>88</v>
      </c>
      <c r="AA23" s="1"/>
    </row>
    <row r="24">
      <c r="A24" s="7" t="s">
        <v>89</v>
      </c>
      <c r="B24" s="15" t="str">
        <f>HYPERLINK("https://www.washingtonpost.com/video/entertainment/how-to-be-a-journalist/reporting-on-fashion-in-the-instagram-age-with-robin-givhan--how-to-be-a-journalist/2018/09/14/b984aa80-b83f-11e8-ae4f-2c1439c96d79_video.html?utm_term=.dbe0408d678f","link pagina")</f>
        <v>link pagina</v>
      </c>
      <c r="C24" s="24" t="str">
        <f>HYPERLINK("https://videos.posttv.com/washpost-production/The_Washington_Post/20180914/5b9be93de4b062f493dec9a0/5b9c194ae4b0d10e1c53995d_1439412357318-vhunw0_t_1536956772799_854_480_1200.mp4","link video")</f>
        <v>link video</v>
      </c>
      <c r="D24" s="11" t="s">
        <v>30</v>
      </c>
      <c r="E24" s="17"/>
      <c r="F24" s="17"/>
      <c r="G24" s="17"/>
      <c r="H24" s="17"/>
      <c r="I24" s="17"/>
      <c r="J24" s="17"/>
      <c r="K24" s="17"/>
      <c r="L24" s="17"/>
      <c r="M24" s="17"/>
      <c r="N24" s="17"/>
      <c r="O24" s="6" t="s">
        <v>31</v>
      </c>
      <c r="P24" s="17"/>
      <c r="Q24" s="17"/>
      <c r="R24" s="17"/>
      <c r="S24" s="17"/>
      <c r="T24" s="17"/>
      <c r="U24" s="11" t="s">
        <v>90</v>
      </c>
      <c r="V24" s="12"/>
      <c r="W24" s="11" t="s">
        <v>40</v>
      </c>
      <c r="X24" s="12"/>
      <c r="Y24" s="11" t="s">
        <v>34</v>
      </c>
      <c r="Z24" s="23" t="s">
        <v>91</v>
      </c>
      <c r="AA24" s="1"/>
    </row>
    <row r="25">
      <c r="A25" s="14" t="s">
        <v>92</v>
      </c>
      <c r="B25" s="24" t="str">
        <f>HYPERLINK("https://kwwl.com/sport/2018/10/16/2-iowa-coaches-up-for-national-award/","link pagina")</f>
        <v>link pagina</v>
      </c>
      <c r="C25" s="9" t="s">
        <v>29</v>
      </c>
      <c r="D25" s="11" t="s">
        <v>30</v>
      </c>
      <c r="E25" s="6" t="s">
        <v>31</v>
      </c>
      <c r="F25" s="17"/>
      <c r="G25" s="17"/>
      <c r="H25" s="17"/>
      <c r="I25" s="17"/>
      <c r="J25" s="17"/>
      <c r="K25" s="17"/>
      <c r="L25" s="17"/>
      <c r="M25" s="17"/>
      <c r="N25" s="17"/>
      <c r="O25" s="17"/>
      <c r="P25" s="17"/>
      <c r="Q25" s="17"/>
      <c r="R25" s="17"/>
      <c r="S25" s="17"/>
      <c r="T25" s="17"/>
      <c r="U25" s="12"/>
      <c r="V25" s="12"/>
      <c r="W25" s="12"/>
      <c r="X25" s="12"/>
      <c r="Y25" s="11" t="s">
        <v>34</v>
      </c>
      <c r="Z25" s="21" t="s">
        <v>93</v>
      </c>
      <c r="AA25" s="1"/>
    </row>
    <row r="26">
      <c r="A26" s="7" t="s">
        <v>94</v>
      </c>
      <c r="B26" s="15" t="str">
        <f>HYPERLINK("https://www.seattletimes.com/video/5853495039001/high-school-senior-wants-to-leave-a-legacy-with-her-newport-football-team","link pagina")</f>
        <v>link pagina</v>
      </c>
      <c r="C26" s="24" t="str">
        <f>HYPERLINK("http://brightcove.vo.llnwd.net/v1/uds/pd/1509317113/201810/217/1509317113_5853558009001_5853495039001.mp4?pubId=1509317113&amp;videoId=5853495039001","link video")</f>
        <v>link video</v>
      </c>
      <c r="D26" s="11" t="s">
        <v>37</v>
      </c>
      <c r="E26" s="17"/>
      <c r="F26" s="17"/>
      <c r="G26" s="17"/>
      <c r="H26" s="17"/>
      <c r="I26" s="17"/>
      <c r="J26" s="17"/>
      <c r="K26" s="17"/>
      <c r="L26" s="17"/>
      <c r="M26" s="17"/>
      <c r="N26" s="17"/>
      <c r="O26" s="17"/>
      <c r="P26" s="6" t="s">
        <v>31</v>
      </c>
      <c r="Q26" s="17"/>
      <c r="R26" s="17"/>
      <c r="S26" s="17"/>
      <c r="T26" s="17"/>
      <c r="U26" s="11" t="s">
        <v>95</v>
      </c>
      <c r="V26" s="11" t="s">
        <v>96</v>
      </c>
      <c r="W26" s="12"/>
      <c r="X26" s="18">
        <v>43398.0</v>
      </c>
      <c r="Y26" s="11" t="s">
        <v>34</v>
      </c>
      <c r="Z26" s="23" t="s">
        <v>97</v>
      </c>
      <c r="AA26" s="1"/>
    </row>
    <row r="27">
      <c r="A27" s="14" t="s">
        <v>98</v>
      </c>
      <c r="B27" s="24" t="str">
        <f>HYPERLINK("https://edition.cnn.com/videos","link pagina")</f>
        <v>link pagina</v>
      </c>
      <c r="C27" s="15" t="str">
        <f>HYPERLINK("http://pmd.cdn.turner.com/cnn/big/style/2018/09/21/caption/dubais-first-skyscraper-lon-orig.cnn_ios_5500.mp4","link video")</f>
        <v>link video</v>
      </c>
      <c r="D27" s="11" t="s">
        <v>37</v>
      </c>
      <c r="E27" s="6"/>
      <c r="F27" s="17"/>
      <c r="G27" s="17"/>
      <c r="H27" s="17"/>
      <c r="I27" s="17"/>
      <c r="J27" s="17"/>
      <c r="K27" s="17"/>
      <c r="L27" s="17"/>
      <c r="M27" s="17"/>
      <c r="N27" s="17"/>
      <c r="O27" s="17"/>
      <c r="P27" s="17"/>
      <c r="Q27" s="6"/>
      <c r="R27" s="6" t="s">
        <v>31</v>
      </c>
      <c r="S27" s="17"/>
      <c r="T27" s="17"/>
      <c r="U27" s="12"/>
      <c r="V27" s="11" t="s">
        <v>99</v>
      </c>
      <c r="W27" s="12"/>
      <c r="X27" s="25">
        <v>43367.0</v>
      </c>
      <c r="Y27" s="11" t="s">
        <v>34</v>
      </c>
      <c r="Z27" s="23" t="s">
        <v>100</v>
      </c>
      <c r="AA27" s="1"/>
    </row>
    <row r="28">
      <c r="A28" s="14" t="s">
        <v>101</v>
      </c>
      <c r="B28" s="15" t="str">
        <f>HYPERLINK("https://www.cbssports.com/live/should-jose-altuve-been-called-out-due-to-fan-interference/1332758/?ftag=SHQ-16-10aaa0c/","link pagina")</f>
        <v>link pagina</v>
      </c>
      <c r="C28" s="24" t="str">
        <f>HYPERLINK("https://sportshq-mediapackage-cedexis.cbsaavideo.com//out//v1//be87d7783e5c4270a5830ea5d1164850//start//1539866666//end//1539866783//desktop.m3u8","link video")</f>
        <v>link video</v>
      </c>
      <c r="D28" s="11" t="s">
        <v>37</v>
      </c>
      <c r="E28" s="17"/>
      <c r="F28" s="17"/>
      <c r="G28" s="17"/>
      <c r="H28" s="17"/>
      <c r="I28" s="17"/>
      <c r="J28" s="17"/>
      <c r="K28" s="17"/>
      <c r="L28" s="17"/>
      <c r="M28" s="17"/>
      <c r="N28" s="17"/>
      <c r="O28" s="17"/>
      <c r="P28" s="17"/>
      <c r="Q28" s="6" t="s">
        <v>31</v>
      </c>
      <c r="R28" s="17"/>
      <c r="S28" s="17"/>
      <c r="T28" s="17"/>
      <c r="U28" s="12"/>
      <c r="V28" s="11" t="s">
        <v>102</v>
      </c>
      <c r="W28" s="12"/>
      <c r="X28" s="18">
        <v>43391.0</v>
      </c>
      <c r="Y28" s="11" t="s">
        <v>34</v>
      </c>
      <c r="Z28" s="23" t="s">
        <v>103</v>
      </c>
      <c r="AA28" s="1"/>
    </row>
    <row r="29">
      <c r="A29" s="26" t="s">
        <v>104</v>
      </c>
      <c r="B29" s="24" t="str">
        <f>HYPERLINK("https://www.wsls.com/news/national/mexico-beach-residents-begin-returning-after-michael","link pagina")</f>
        <v>link pagina</v>
      </c>
      <c r="C29" s="24" t="str">
        <f>HYPERLINK("https://lakvod-508179.freetls.fastly.net/pd/p/2050311/sp/205031100/serveFlavor/entryId/1_bqmfc664/v/1/ev/2/flavorId/1_vjkc3875/name/a.mp4","link video")</f>
        <v>link video</v>
      </c>
      <c r="D29" s="11" t="s">
        <v>30</v>
      </c>
      <c r="E29" s="17"/>
      <c r="F29" s="6" t="s">
        <v>31</v>
      </c>
      <c r="G29" s="17"/>
      <c r="H29" s="17"/>
      <c r="I29" s="17"/>
      <c r="J29" s="17"/>
      <c r="K29" s="17"/>
      <c r="L29" s="17"/>
      <c r="M29" s="17"/>
      <c r="N29" s="17"/>
      <c r="O29" s="17"/>
      <c r="P29" s="17"/>
      <c r="Q29" s="17"/>
      <c r="R29" s="17"/>
      <c r="S29" s="17"/>
      <c r="T29" s="17"/>
      <c r="U29" s="12"/>
      <c r="V29" s="12"/>
      <c r="W29" s="11" t="s">
        <v>40</v>
      </c>
      <c r="X29" s="18">
        <v>43391.0</v>
      </c>
      <c r="Y29" s="11" t="s">
        <v>34</v>
      </c>
      <c r="Z29" s="23" t="s">
        <v>105</v>
      </c>
      <c r="AA29" s="1"/>
    </row>
    <row r="30">
      <c r="A30" s="14" t="s">
        <v>106</v>
      </c>
      <c r="B30" s="24" t="str">
        <f>HYPERLINK("https://www.georgianewsday.com/video/460067-busted-package-thief-caught-after-her-getaway-driver-flees.html","link pagina")</f>
        <v>link pagina</v>
      </c>
      <c r="C30" s="24" t="str">
        <f>HYPERLINK("https://www.georgianewsday.com/files/video/640x360_MP4_4167213335089690176_871384730.mp4","link video")</f>
        <v>link video</v>
      </c>
      <c r="D30" s="11" t="s">
        <v>37</v>
      </c>
      <c r="E30" s="17"/>
      <c r="F30" s="6" t="s">
        <v>31</v>
      </c>
      <c r="G30" s="17"/>
      <c r="H30" s="17"/>
      <c r="I30" s="17"/>
      <c r="J30" s="17"/>
      <c r="K30" s="17"/>
      <c r="L30" s="17"/>
      <c r="M30" s="17"/>
      <c r="N30" s="17"/>
      <c r="O30" s="17"/>
      <c r="P30" s="17"/>
      <c r="Q30" s="17"/>
      <c r="R30" s="17"/>
      <c r="S30" s="17"/>
      <c r="T30" s="17"/>
      <c r="U30" s="12"/>
      <c r="V30" s="12"/>
      <c r="W30" s="11" t="s">
        <v>40</v>
      </c>
      <c r="X30" s="25">
        <v>42806.0</v>
      </c>
      <c r="Y30" s="11" t="s">
        <v>34</v>
      </c>
      <c r="Z30" s="23" t="s">
        <v>107</v>
      </c>
      <c r="AA30" s="1"/>
    </row>
    <row r="31">
      <c r="A31" s="14" t="s">
        <v>108</v>
      </c>
      <c r="B31" s="24" t="str">
        <f>HYPERLINK("https://www.aol.com/video/?icid=aol.com-nav","link pagina")</f>
        <v>link pagina</v>
      </c>
      <c r="C31" s="9" t="s">
        <v>29</v>
      </c>
      <c r="D31" s="11" t="s">
        <v>30</v>
      </c>
      <c r="E31" s="6" t="s">
        <v>31</v>
      </c>
      <c r="F31" s="17"/>
      <c r="G31" s="17"/>
      <c r="H31" s="17"/>
      <c r="I31" s="17"/>
      <c r="J31" s="17"/>
      <c r="K31" s="17"/>
      <c r="L31" s="17"/>
      <c r="M31" s="17"/>
      <c r="N31" s="17"/>
      <c r="O31" s="17"/>
      <c r="P31" s="17"/>
      <c r="Q31" s="17"/>
      <c r="R31" s="17"/>
      <c r="S31" s="17"/>
      <c r="T31" s="17"/>
      <c r="U31" s="12"/>
      <c r="V31" s="12"/>
      <c r="W31" s="12"/>
      <c r="X31" s="12"/>
      <c r="Y31" s="12"/>
      <c r="Z31" s="27"/>
      <c r="AA31" s="1"/>
    </row>
    <row r="32">
      <c r="A32" s="7" t="s">
        <v>109</v>
      </c>
      <c r="B32" s="15" t="str">
        <f>HYPERLINK("http://www.tuttosport.com/video/calcio/2018/10/31-49408121/copa_libertadores_gremio-river_plate_1-2/","link pagina")</f>
        <v>link pagina</v>
      </c>
      <c r="C32" s="24" t="str">
        <f>HYPERLINK("http://media.tuttosport.com/omnisport/2018/10/31/311018-IT-PERFORM-RIVERPLATE-HL-2_1540980707887_1065.mp4","link video")</f>
        <v>link video</v>
      </c>
      <c r="D32" s="11" t="s">
        <v>30</v>
      </c>
      <c r="E32" s="17"/>
      <c r="F32" s="6" t="s">
        <v>31</v>
      </c>
      <c r="G32" s="17"/>
      <c r="H32" s="17"/>
      <c r="I32" s="17"/>
      <c r="J32" s="17"/>
      <c r="K32" s="17"/>
      <c r="L32" s="17"/>
      <c r="M32" s="17"/>
      <c r="N32" s="17"/>
      <c r="O32" s="17"/>
      <c r="P32" s="17"/>
      <c r="Q32" s="17"/>
      <c r="R32" s="17"/>
      <c r="S32" s="17"/>
      <c r="T32" s="17"/>
      <c r="U32" s="12"/>
      <c r="V32" s="12"/>
      <c r="W32" s="12"/>
      <c r="X32" s="12"/>
      <c r="Y32" s="11" t="s">
        <v>61</v>
      </c>
      <c r="Z32" s="23" t="s">
        <v>110</v>
      </c>
      <c r="AA32" s="1"/>
    </row>
    <row r="33">
      <c r="A33" s="14" t="s">
        <v>111</v>
      </c>
      <c r="B33" s="24" t="str">
        <f>HYPERLINK("https://nebraska.tv/watch","link pagina")</f>
        <v>link pagina</v>
      </c>
      <c r="C33" s="9" t="s">
        <v>29</v>
      </c>
      <c r="D33" s="11" t="s">
        <v>30</v>
      </c>
      <c r="E33" s="6" t="s">
        <v>31</v>
      </c>
      <c r="F33" s="17"/>
      <c r="G33" s="17"/>
      <c r="H33" s="17"/>
      <c r="I33" s="17"/>
      <c r="J33" s="17"/>
      <c r="K33" s="17"/>
      <c r="L33" s="17"/>
      <c r="M33" s="17"/>
      <c r="N33" s="17"/>
      <c r="O33" s="17"/>
      <c r="P33" s="17"/>
      <c r="Q33" s="17"/>
      <c r="R33" s="17"/>
      <c r="S33" s="17"/>
      <c r="T33" s="17"/>
      <c r="U33" s="12"/>
      <c r="V33" s="12"/>
      <c r="W33" s="12"/>
      <c r="X33" s="12"/>
      <c r="Y33" s="12"/>
      <c r="Z33" s="27"/>
      <c r="AA33" s="1"/>
    </row>
    <row r="34">
      <c r="A34" s="14" t="s">
        <v>112</v>
      </c>
      <c r="B34" s="24" t="str">
        <f>HYPERLINK("https://www.huffingtonpost.it/2018/10/18/banksy-il-quadro-doveva-distruggersi-completamente-il-meccanismo-si-e-inceppato_a_23564671/?ncid=other_popularvid_jd03nraiz40&amp;utm_campaign=popular_videos","link pagina")</f>
        <v>link pagina</v>
      </c>
      <c r="C34" s="9" t="s">
        <v>29</v>
      </c>
      <c r="D34" s="11" t="s">
        <v>30</v>
      </c>
      <c r="E34" s="6" t="s">
        <v>31</v>
      </c>
      <c r="F34" s="17"/>
      <c r="G34" s="17"/>
      <c r="H34" s="17"/>
      <c r="I34" s="17"/>
      <c r="J34" s="17"/>
      <c r="K34" s="17"/>
      <c r="L34" s="17"/>
      <c r="M34" s="17"/>
      <c r="N34" s="17"/>
      <c r="O34" s="17"/>
      <c r="P34" s="17"/>
      <c r="Q34" s="17"/>
      <c r="R34" s="17"/>
      <c r="S34" s="17"/>
      <c r="T34" s="17"/>
      <c r="U34" s="11" t="s">
        <v>95</v>
      </c>
      <c r="V34" s="12"/>
      <c r="W34" s="11"/>
      <c r="X34" s="12"/>
      <c r="Y34" s="11" t="s">
        <v>61</v>
      </c>
      <c r="Z34" s="23" t="s">
        <v>113</v>
      </c>
      <c r="AA34" s="1"/>
    </row>
    <row r="35">
      <c r="A35" s="7" t="s">
        <v>114</v>
      </c>
      <c r="B35" s="15" t="str">
        <f>HYPERLINK("http://video.startribune.com/","link pagina")</f>
        <v>link pagina</v>
      </c>
      <c r="C35" s="24" t="str">
        <f>HYPERLINK("http://s1.content.video.llnw.net/smedia/4b773a92c4b24316b389b031392a24e6/W1/eYHlVs5C4LQ3ptMBPAh_MEL1-ORGpDe5DoxxPSV-E/d32a0d64-8602-4000-93f8-2c52267bf4fa.mp4","link video")</f>
        <v>link video</v>
      </c>
      <c r="D35" s="11" t="s">
        <v>30</v>
      </c>
      <c r="E35" s="17"/>
      <c r="F35" s="6" t="s">
        <v>31</v>
      </c>
      <c r="G35" s="17"/>
      <c r="H35" s="17"/>
      <c r="I35" s="17"/>
      <c r="J35" s="17"/>
      <c r="K35" s="17"/>
      <c r="L35" s="17"/>
      <c r="M35" s="17"/>
      <c r="N35" s="17"/>
      <c r="O35" s="17"/>
      <c r="P35" s="17"/>
      <c r="Q35" s="17"/>
      <c r="R35" s="17"/>
      <c r="S35" s="17"/>
      <c r="T35" s="17"/>
      <c r="U35" s="12"/>
      <c r="V35" s="12"/>
      <c r="W35" s="12"/>
      <c r="X35" s="12"/>
      <c r="Y35" s="11" t="s">
        <v>34</v>
      </c>
      <c r="Z35" s="23" t="s">
        <v>115</v>
      </c>
      <c r="AA35" s="1"/>
    </row>
    <row r="36">
      <c r="A36" s="14" t="s">
        <v>116</v>
      </c>
      <c r="B36" s="24" t="str">
        <f>HYPERLINK("http://www2.philly.com/philly/news/pennsylvania/philadelphia/fishtown-water-main-break-girard-avenue-20181018.html","link pagina")</f>
        <v>link pagina</v>
      </c>
      <c r="C36" s="9" t="s">
        <v>29</v>
      </c>
      <c r="D36" s="11" t="s">
        <v>30</v>
      </c>
      <c r="E36" s="6" t="s">
        <v>31</v>
      </c>
      <c r="F36" s="17"/>
      <c r="G36" s="17"/>
      <c r="H36" s="17"/>
      <c r="I36" s="17"/>
      <c r="J36" s="17"/>
      <c r="K36" s="17"/>
      <c r="L36" s="17"/>
      <c r="M36" s="17"/>
      <c r="N36" s="17"/>
      <c r="O36" s="17"/>
      <c r="P36" s="17"/>
      <c r="Q36" s="17"/>
      <c r="R36" s="17"/>
      <c r="S36" s="17"/>
      <c r="T36" s="17"/>
      <c r="U36" s="12"/>
      <c r="V36" s="12"/>
      <c r="W36" s="12"/>
      <c r="X36" s="12"/>
      <c r="Y36" s="11" t="s">
        <v>34</v>
      </c>
      <c r="Z36" s="23" t="s">
        <v>117</v>
      </c>
      <c r="AA36" s="1"/>
    </row>
    <row r="37">
      <c r="A37" s="7" t="s">
        <v>118</v>
      </c>
      <c r="B37" s="15" t="str">
        <f>HYPERLINK("http://video.denverpost.com/","link pagina")</f>
        <v>link pagina</v>
      </c>
      <c r="C37" s="24" t="str">
        <f>HYPERLINK("https://informmediap-a.akamaihd.net/delivery/d4/a9/d4a97e76-4d18-44f9-afe9-fa3a8ce57a32/vid52ec8c96-f137-44c1-bed1-a976b0f1a087Fire_030718_972k.mp4","link video")</f>
        <v>link video</v>
      </c>
      <c r="D37" s="11" t="s">
        <v>30</v>
      </c>
      <c r="E37" s="17"/>
      <c r="F37" s="6" t="s">
        <v>31</v>
      </c>
      <c r="G37" s="17"/>
      <c r="H37" s="17"/>
      <c r="I37" s="17"/>
      <c r="J37" s="17"/>
      <c r="K37" s="17"/>
      <c r="L37" s="17"/>
      <c r="M37" s="17"/>
      <c r="N37" s="17"/>
      <c r="O37" s="17"/>
      <c r="P37" s="17"/>
      <c r="Q37" s="17"/>
      <c r="R37" s="17"/>
      <c r="S37" s="17"/>
      <c r="T37" s="17"/>
      <c r="U37" s="12"/>
      <c r="V37" s="12"/>
      <c r="W37" s="12"/>
      <c r="X37" s="12"/>
      <c r="Y37" s="11" t="s">
        <v>34</v>
      </c>
      <c r="Z37" s="23" t="s">
        <v>119</v>
      </c>
      <c r="AA37" s="1"/>
    </row>
    <row r="38">
      <c r="A38" s="14" t="s">
        <v>120</v>
      </c>
      <c r="B38" s="24" t="str">
        <f>HYPERLINK("https://www.hollywoodreporter.com/video/claire-foy-talks-first-man-ryan-gosling-crown-matt-smith-watch-1152871","link pagina")</f>
        <v>link pagina</v>
      </c>
      <c r="C38" s="15" t="str">
        <f>HYPERLINK("https://house-fastly-signed-us-east-1-prod.brightcovecdn.com/media/v1/pmp4/static/clear/769341148/d1021607-19ea-457c-b134-1b10504d9887/dbc84a02-218d-4d48-999b-f5f175fdfb5c/main.mp4?fastly_token=NWRiOWRiZWVfYjI0MDk0MWI1Y2Y1OGY0NjFiNjI4MjFlMjRjOTU3OGM0ZTU0Z"&amp;"GYzOTRhMTg4MzJkYWU2YWRhZDVlY2ZmNWM4YV8vL2hvdXNlLWZhc3RseS1zaWduZWQtdXMtZWFzdC0xLXByb2QuYnJpZ2h0Y292ZWNkbi5jb20vbWVkaWEvdjEvcG1wNC9zdGF0aWMvY2xlYXIvNzY5MzQxMTQ4L2QxMDIxNjA3LTE5ZWEtNDU3Yy1iMTM0LTFiMTA1MDRkOTg4Ny9kYmM4NGEwMi0yMThkLTRkNDgtOTk5Yi1mNWYxNzVmZGZi"&amp;"NWMvbWFpbi5tcDQ%3D","link video")</f>
        <v>link video</v>
      </c>
      <c r="D38" s="11" t="s">
        <v>37</v>
      </c>
      <c r="E38" s="6" t="s">
        <v>31</v>
      </c>
      <c r="F38" s="17"/>
      <c r="G38" s="17"/>
      <c r="H38" s="17"/>
      <c r="I38" s="17"/>
      <c r="J38" s="17"/>
      <c r="K38" s="17"/>
      <c r="L38" s="17"/>
      <c r="M38" s="17"/>
      <c r="N38" s="17"/>
      <c r="O38" s="17"/>
      <c r="P38" s="17"/>
      <c r="Q38" s="17"/>
      <c r="R38" s="17"/>
      <c r="S38" s="17"/>
      <c r="T38" s="17"/>
      <c r="U38" s="12"/>
      <c r="V38" s="12"/>
      <c r="W38" s="12"/>
      <c r="X38" s="18">
        <v>43390.0</v>
      </c>
      <c r="Y38" s="11" t="s">
        <v>34</v>
      </c>
      <c r="Z38" s="28" t="s">
        <v>121</v>
      </c>
      <c r="AA38" s="1"/>
    </row>
    <row r="39">
      <c r="A39" s="7" t="s">
        <v>122</v>
      </c>
      <c r="B39" s="15" t="str">
        <f>HYPERLINK("https://video.ilmattino.it/","link pagina")</f>
        <v>link pagina</v>
      </c>
      <c r="C39" s="24" t="str">
        <f>HYPERLINK("https://videomp4.cedscdn.it/485d8f58-d2b8-4573-abb9-a757894f315d/618102_811kbits852x480.mp4","link video")</f>
        <v>link video</v>
      </c>
      <c r="D39" s="11" t="s">
        <v>30</v>
      </c>
      <c r="E39" s="17"/>
      <c r="F39" s="17"/>
      <c r="G39" s="17"/>
      <c r="H39" s="17"/>
      <c r="I39" s="17"/>
      <c r="J39" s="17"/>
      <c r="K39" s="17"/>
      <c r="L39" s="17"/>
      <c r="M39" s="17"/>
      <c r="N39" s="17"/>
      <c r="O39" s="17"/>
      <c r="P39" s="6" t="s">
        <v>31</v>
      </c>
      <c r="Q39" s="17"/>
      <c r="R39" s="17"/>
      <c r="S39" s="17"/>
      <c r="T39" s="17"/>
      <c r="U39" s="12"/>
      <c r="V39" s="11" t="s">
        <v>123</v>
      </c>
      <c r="W39" s="12"/>
      <c r="X39" s="18">
        <v>43404.0</v>
      </c>
      <c r="Y39" s="11" t="s">
        <v>61</v>
      </c>
      <c r="Z39" s="23" t="s">
        <v>124</v>
      </c>
      <c r="AA39" s="1"/>
    </row>
    <row r="40">
      <c r="A40" s="14" t="s">
        <v>125</v>
      </c>
      <c r="B40" s="24" t="str">
        <f>HYPERLINK("https://siouxlandnews.com/watch","link pagina")</f>
        <v>link pagina</v>
      </c>
      <c r="C40" s="9" t="s">
        <v>29</v>
      </c>
      <c r="D40" s="11" t="s">
        <v>30</v>
      </c>
      <c r="E40" s="6" t="s">
        <v>31</v>
      </c>
      <c r="F40" s="17"/>
      <c r="G40" s="17"/>
      <c r="H40" s="17"/>
      <c r="I40" s="17"/>
      <c r="J40" s="17"/>
      <c r="K40" s="17"/>
      <c r="L40" s="17"/>
      <c r="M40" s="17"/>
      <c r="N40" s="17"/>
      <c r="O40" s="17"/>
      <c r="P40" s="17"/>
      <c r="Q40" s="17"/>
      <c r="R40" s="17"/>
      <c r="S40" s="17"/>
      <c r="T40" s="17"/>
      <c r="U40" s="12"/>
      <c r="V40" s="12"/>
      <c r="W40" s="12"/>
      <c r="X40" s="12"/>
      <c r="Y40" s="11" t="s">
        <v>34</v>
      </c>
      <c r="Z40" s="21" t="s">
        <v>126</v>
      </c>
      <c r="AA40" s="1"/>
    </row>
    <row r="41">
      <c r="A41" s="14" t="s">
        <v>127</v>
      </c>
      <c r="B41" s="24" t="str">
        <f>HYPERLINK("https://www.nbcsports.com/video/dak-prescott-jaguars-defense-have-most-prove-week-7","link pagina")</f>
        <v>link pagina</v>
      </c>
      <c r="C41" s="24" t="str">
        <f>HYPERLINK("https://hdliveextra-a.akamaihd.net/HD/video_sports/NBCU_Sports_Group_-_nbcsports/694/631/nbc_pft_livedraftshowmesomething_1810181539870070062_2200k.mp4","link video")</f>
        <v>link video</v>
      </c>
      <c r="D41" s="11" t="s">
        <v>37</v>
      </c>
      <c r="E41" s="17"/>
      <c r="F41" s="17"/>
      <c r="G41" s="17"/>
      <c r="H41" s="17"/>
      <c r="I41" s="17"/>
      <c r="J41" s="17"/>
      <c r="K41" s="17"/>
      <c r="L41" s="17"/>
      <c r="M41" s="17"/>
      <c r="N41" s="17"/>
      <c r="O41" s="17"/>
      <c r="P41" s="17"/>
      <c r="Q41" s="17"/>
      <c r="R41" s="6" t="s">
        <v>31</v>
      </c>
      <c r="S41" s="17"/>
      <c r="T41" s="17"/>
      <c r="U41" s="12"/>
      <c r="V41" s="11" t="s">
        <v>128</v>
      </c>
      <c r="W41" s="29" t="s">
        <v>129</v>
      </c>
      <c r="X41" s="18">
        <v>43391.0</v>
      </c>
      <c r="Y41" s="11" t="s">
        <v>34</v>
      </c>
      <c r="Z41" s="30" t="s">
        <v>130</v>
      </c>
      <c r="AA41" s="1"/>
    </row>
    <row r="42">
      <c r="A42" s="14" t="s">
        <v>131</v>
      </c>
      <c r="B42" s="24" t="str">
        <f>HYPERLINK("https://www.ibtimes.com/who-was-dennis-hof-nevada-brothel-owner-gop-candidate-dies-after-rally-2725462","link pagina")</f>
        <v>link pagina</v>
      </c>
      <c r="C42" s="9" t="s">
        <v>29</v>
      </c>
      <c r="D42" s="11" t="s">
        <v>30</v>
      </c>
      <c r="E42" s="6" t="s">
        <v>31</v>
      </c>
      <c r="F42" s="17"/>
      <c r="G42" s="17"/>
      <c r="H42" s="17"/>
      <c r="I42" s="17"/>
      <c r="J42" s="17"/>
      <c r="K42" s="17"/>
      <c r="L42" s="17"/>
      <c r="M42" s="17"/>
      <c r="N42" s="17"/>
      <c r="O42" s="17"/>
      <c r="P42" s="17"/>
      <c r="Q42" s="17"/>
      <c r="R42" s="17"/>
      <c r="S42" s="17"/>
      <c r="T42" s="17"/>
      <c r="U42" s="12"/>
      <c r="V42" s="12"/>
      <c r="W42" s="12"/>
      <c r="X42" s="12"/>
      <c r="Y42" s="11" t="s">
        <v>34</v>
      </c>
      <c r="Z42" s="23" t="s">
        <v>132</v>
      </c>
      <c r="AA42" s="1"/>
    </row>
    <row r="43">
      <c r="A43" s="7" t="s">
        <v>133</v>
      </c>
      <c r="B43" s="15" t="str">
        <f>HYPERLINK("http://video.italiaoggi.it/classcnbc/tg-flash/Indici-positivi-in-avvio-di-seduta-a-Wall-Street-81542/","link pagina")</f>
        <v>link pagina</v>
      </c>
      <c r="C43" s="24" t="str">
        <f>HYPERLINK("http://mfsto11.streamup.eu/milanofinanza/CLASSCNBC/0002_201810311448/0002_201810311448.mp4","link video")</f>
        <v>link video</v>
      </c>
      <c r="D43" s="11" t="s">
        <v>37</v>
      </c>
      <c r="E43" s="17"/>
      <c r="F43" s="6" t="s">
        <v>31</v>
      </c>
      <c r="G43" s="17"/>
      <c r="H43" s="17"/>
      <c r="I43" s="17"/>
      <c r="J43" s="17"/>
      <c r="K43" s="17"/>
      <c r="L43" s="17"/>
      <c r="M43" s="17"/>
      <c r="N43" s="17"/>
      <c r="O43" s="17"/>
      <c r="P43" s="17"/>
      <c r="Q43" s="17"/>
      <c r="R43" s="17"/>
      <c r="S43" s="17"/>
      <c r="T43" s="17"/>
      <c r="U43" s="12"/>
      <c r="V43" s="12"/>
      <c r="W43" s="12"/>
      <c r="X43" s="12"/>
      <c r="Y43" s="11" t="s">
        <v>61</v>
      </c>
      <c r="Z43" s="23" t="s">
        <v>134</v>
      </c>
      <c r="AA43" s="1"/>
    </row>
    <row r="44">
      <c r="A44" s="7" t="s">
        <v>135</v>
      </c>
      <c r="B44" s="15" t="str">
        <f>HYPERLINK("https://www.thesun.co.uk/video/news/horrifying-cctv-of-moment-leicester-city-owner-vichai-srivaddhanaprabhas-helicopter-spirals-out-of-control-and-crashes/","link pagina")</f>
        <v>link pagina</v>
      </c>
      <c r="C44" s="24" t="str">
        <f>HYPERLINK("http://manifest.prod.boltdns.net/manifest/v1/hls/v4/aes128/5067014667001/d421a927-60d6-4389-83c3-a6f52b0f2ace/10s/master.m3u8?fastly_token=NWJmYzI5OTBfZmMzM2NkM2JhYWIwNGM0NWYxNDFiOTI1NjIyMDEyNmNiYjI4MGI5YjZkYTlkZjg2NGVhMzk2M2M5Mjk2OTc4MA%3D%3D","link video")</f>
        <v>link video</v>
      </c>
      <c r="D44" s="11" t="s">
        <v>30</v>
      </c>
      <c r="E44" s="17"/>
      <c r="F44" s="17"/>
      <c r="G44" s="17"/>
      <c r="H44" s="17"/>
      <c r="I44" s="17"/>
      <c r="J44" s="17"/>
      <c r="K44" s="17"/>
      <c r="L44" s="17"/>
      <c r="M44" s="17"/>
      <c r="N44" s="17"/>
      <c r="O44" s="17"/>
      <c r="P44" s="6" t="s">
        <v>31</v>
      </c>
      <c r="Q44" s="17"/>
      <c r="R44" s="17"/>
      <c r="S44" s="17"/>
      <c r="T44" s="17"/>
      <c r="U44" s="12"/>
      <c r="V44" s="11" t="s">
        <v>136</v>
      </c>
      <c r="W44" s="12"/>
      <c r="X44" s="18">
        <v>43402.0</v>
      </c>
      <c r="Y44" s="11" t="s">
        <v>34</v>
      </c>
      <c r="Z44" s="23" t="s">
        <v>137</v>
      </c>
      <c r="AA44" s="1"/>
    </row>
    <row r="45">
      <c r="A45" s="7" t="s">
        <v>138</v>
      </c>
      <c r="B45" s="15" t="str">
        <f>HYPERLINK("https://www.dailymail.co.uk/video/index.html","link pagina")</f>
        <v>link pagina</v>
      </c>
      <c r="C45" s="24" t="str">
        <f>HYPERLINK("https://videos.dailymail.co.uk/video/mol/2018/10/28/6363501923713372039/1024x576_MP4_6363501923713372039.mp4","link video")</f>
        <v>link video</v>
      </c>
      <c r="D45" s="11" t="s">
        <v>37</v>
      </c>
      <c r="E45" s="17"/>
      <c r="F45" s="6"/>
      <c r="G45" s="17"/>
      <c r="H45" s="17"/>
      <c r="I45" s="17"/>
      <c r="J45" s="17"/>
      <c r="K45" s="17"/>
      <c r="L45" s="17"/>
      <c r="M45" s="17"/>
      <c r="N45" s="17"/>
      <c r="O45" s="17"/>
      <c r="P45" s="17"/>
      <c r="Q45" s="17"/>
      <c r="R45" s="17"/>
      <c r="S45" s="6" t="s">
        <v>31</v>
      </c>
      <c r="T45" s="17"/>
      <c r="U45" s="11" t="s">
        <v>139</v>
      </c>
      <c r="V45" s="11" t="s">
        <v>140</v>
      </c>
      <c r="W45" s="11" t="s">
        <v>40</v>
      </c>
      <c r="X45" s="18">
        <v>43401.0</v>
      </c>
      <c r="Y45" s="11" t="s">
        <v>34</v>
      </c>
      <c r="Z45" s="23" t="s">
        <v>141</v>
      </c>
      <c r="AA45" s="1"/>
    </row>
    <row r="46">
      <c r="A46" s="14" t="s">
        <v>142</v>
      </c>
      <c r="B46" s="24" t="str">
        <f>HYPERLINK("https://www.wpr.org/director-john-waters-takes-his-demented-imagination-art-gallery","link pagina")</f>
        <v>link pagina</v>
      </c>
      <c r="C46" s="24" t="str">
        <f>HYPERLINK("https://r4---sn-vgqskn7e.googlevideo.com/videoplayback?ms=au%2Conr&amp;ei=hVLLW5jUC5G-iwSyrbb4Dg&amp;id=o-AKcO6vBWPRPaZmQJNkcCgttaVHVhXyJL5QbQj20J2RI0&amp;mime=video%2Fmp4&amp;mt=1540050972&amp;expire=1540073189&amp;dur=455.854&amp;lmt=1538963527517536&amp;source=youtube&amp;requiressl=yes&amp;"&amp;"key=yt6&amp;ip=104.197.246.240&amp;ratebypass=yes&amp;ipbits=0&amp;mn=sn-vgqskn7e%2Csn-qxo7rn7s&amp;sparams=dur%2Cei%2Cid%2Cip%2Cipbits%2Citag%2Clmt%2Cmime%2Cmm%2Cmn%2Cms%2Cmv%2Cpl%2Cratebypass%2Crequiressl%2Csource%2Cexpire&amp;signature=94B657FF04BB0CDA72E8E6987849DCF98116E8FD"&amp;".5941488522156FF170EA80E7872CD706D9D6182A&amp;itag=22&amp;mm=31%2C26&amp;pl=20&amp;fvip=4&amp;mv=u&amp;c=WEB&amp;txp=5431432","link video")</f>
        <v>link video</v>
      </c>
      <c r="D46" s="11" t="s">
        <v>37</v>
      </c>
      <c r="E46" s="17"/>
      <c r="F46" s="17"/>
      <c r="G46" s="17"/>
      <c r="H46" s="17"/>
      <c r="I46" s="17"/>
      <c r="J46" s="17"/>
      <c r="K46" s="17"/>
      <c r="L46" s="17"/>
      <c r="M46" s="6" t="s">
        <v>31</v>
      </c>
      <c r="N46" s="17"/>
      <c r="O46" s="17"/>
      <c r="P46" s="17"/>
      <c r="Q46" s="17"/>
      <c r="R46" s="17"/>
      <c r="S46" s="17"/>
      <c r="T46" s="17"/>
      <c r="U46" s="11" t="s">
        <v>38</v>
      </c>
      <c r="V46" s="11" t="s">
        <v>143</v>
      </c>
      <c r="W46" s="11" t="s">
        <v>40</v>
      </c>
      <c r="X46" s="18">
        <v>43380.0</v>
      </c>
      <c r="Y46" s="11" t="s">
        <v>34</v>
      </c>
      <c r="Z46" s="31" t="s">
        <v>144</v>
      </c>
      <c r="AA46" s="1"/>
    </row>
    <row r="47">
      <c r="A47" s="26" t="s">
        <v>145</v>
      </c>
      <c r="B47" s="24" t="str">
        <f>HYPERLINK("https://fox56.com/watch","link pagina")</f>
        <v>link pagina</v>
      </c>
      <c r="C47" s="9" t="s">
        <v>29</v>
      </c>
      <c r="D47" s="11" t="s">
        <v>30</v>
      </c>
      <c r="E47" s="6" t="s">
        <v>31</v>
      </c>
      <c r="F47" s="17"/>
      <c r="G47" s="17"/>
      <c r="H47" s="17"/>
      <c r="I47" s="17"/>
      <c r="J47" s="17"/>
      <c r="K47" s="17"/>
      <c r="L47" s="17"/>
      <c r="M47" s="17"/>
      <c r="N47" s="17"/>
      <c r="O47" s="17"/>
      <c r="P47" s="17"/>
      <c r="Q47" s="17"/>
      <c r="R47" s="17"/>
      <c r="S47" s="17"/>
      <c r="T47" s="17"/>
      <c r="U47" s="12"/>
      <c r="V47" s="12"/>
      <c r="W47" s="12"/>
      <c r="X47" s="12"/>
      <c r="Y47" s="11" t="s">
        <v>34</v>
      </c>
      <c r="Z47" s="23" t="s">
        <v>146</v>
      </c>
      <c r="AA47" s="1"/>
    </row>
    <row r="48">
      <c r="A48" s="14" t="s">
        <v>147</v>
      </c>
      <c r="B48" s="24" t="str">
        <f>HYPERLINK("https://www.10tv.com/article/no-2-ohio-state-stumbles-purdue-gets-beat-49-20","link pagina")</f>
        <v>link pagina</v>
      </c>
      <c r="C48" s="15" t="str">
        <f>HYPERLINK("https://secure.brightcove.com/services/mobile/streaming/index/rendition.m3u8?assetId=5851452789001&amp;secure=true&amp;pubId=5359769197001&amp;videoId=5851446864001","link video")</f>
        <v>link video</v>
      </c>
      <c r="D48" s="11" t="s">
        <v>37</v>
      </c>
      <c r="E48" s="17"/>
      <c r="F48" s="17"/>
      <c r="G48" s="17"/>
      <c r="H48" s="17"/>
      <c r="I48" s="17"/>
      <c r="J48" s="17"/>
      <c r="K48" s="17"/>
      <c r="L48" s="17"/>
      <c r="M48" s="17"/>
      <c r="N48" s="17"/>
      <c r="O48" s="17"/>
      <c r="P48" s="6" t="s">
        <v>31</v>
      </c>
      <c r="Q48" s="17"/>
      <c r="R48" s="17"/>
      <c r="S48" s="17"/>
      <c r="T48" s="17"/>
      <c r="U48" s="12"/>
      <c r="V48" s="11" t="s">
        <v>148</v>
      </c>
      <c r="W48" s="11" t="s">
        <v>40</v>
      </c>
      <c r="X48" s="18">
        <v>43393.0</v>
      </c>
      <c r="Y48" s="11" t="s">
        <v>34</v>
      </c>
      <c r="Z48" s="23" t="s">
        <v>149</v>
      </c>
      <c r="AA48" s="1"/>
    </row>
    <row r="49">
      <c r="A49" s="7" t="s">
        <v>150</v>
      </c>
      <c r="B49" s="15" t="str">
        <f>HYPERLINK("https://www.thetimes.co.uk/edition/news/i-was-lucky-to-have-known-leicester-city-owner-says-duke-of-cambridge-sz97v2ckb","link pagina")</f>
        <v>link pagina</v>
      </c>
      <c r="C49" s="15" t="str">
        <f>HYPERLINK("https://manifest.prod.boltdns.net/manifest/v1/hls/v4/aes128/5436121856001/4e9a5595-1e25-407c-b863-9f8e311f18ac/10s/master.m3u8?fastly_token=NWJmYzMyOTRfYjQ4NzQxMzQ2ZDgxY2JiZDk5MGJiNDc2YzgxMWY2MWQxNzQwOGNiOTZmNjEyNTQ3NTdmYzY4NmQwMmIyYzBmYQ%3D%3D","link video")</f>
        <v>link video</v>
      </c>
      <c r="D49" s="11" t="s">
        <v>30</v>
      </c>
      <c r="E49" s="6"/>
      <c r="F49" s="17"/>
      <c r="G49" s="17"/>
      <c r="H49" s="17"/>
      <c r="I49" s="17"/>
      <c r="J49" s="17"/>
      <c r="K49" s="17"/>
      <c r="L49" s="17"/>
      <c r="M49" s="17"/>
      <c r="N49" s="17"/>
      <c r="O49" s="17"/>
      <c r="P49" s="6" t="s">
        <v>31</v>
      </c>
      <c r="Q49" s="17"/>
      <c r="R49" s="17"/>
      <c r="S49" s="17"/>
      <c r="T49" s="17"/>
      <c r="U49" s="12"/>
      <c r="V49" s="11" t="s">
        <v>151</v>
      </c>
      <c r="W49" s="12"/>
      <c r="X49" s="18">
        <v>43402.0</v>
      </c>
      <c r="Y49" s="11" t="s">
        <v>34</v>
      </c>
      <c r="Z49" s="23" t="s">
        <v>152</v>
      </c>
      <c r="AA49" s="1"/>
    </row>
    <row r="50">
      <c r="A50" s="14" t="s">
        <v>153</v>
      </c>
      <c r="B50" s="24" t="str">
        <f>HYPERLINK("http://blog.masslive.com/patriots/2018/10/josh_gordon_rewards_new_englan.html","link pagina")</f>
        <v>link pagina</v>
      </c>
      <c r="C50" s="24" t="str">
        <f>HYPERLINK("https://thumbs.gfycat.com/BouncyCalculatingFruitbat-mobile.mp4","link video")</f>
        <v>link video</v>
      </c>
      <c r="D50" s="11" t="s">
        <v>37</v>
      </c>
      <c r="E50" s="17"/>
      <c r="F50" s="17"/>
      <c r="G50" s="6" t="s">
        <v>31</v>
      </c>
      <c r="H50" s="17"/>
      <c r="I50" s="17"/>
      <c r="J50" s="17"/>
      <c r="K50" s="17"/>
      <c r="L50" s="17"/>
      <c r="M50" s="17"/>
      <c r="N50" s="17"/>
      <c r="O50" s="17"/>
      <c r="P50" s="17"/>
      <c r="Q50" s="17"/>
      <c r="R50" s="17"/>
      <c r="S50" s="17"/>
      <c r="T50" s="17"/>
      <c r="U50" s="11" t="s">
        <v>154</v>
      </c>
      <c r="V50" s="11" t="s">
        <v>155</v>
      </c>
      <c r="W50" s="11" t="s">
        <v>40</v>
      </c>
      <c r="X50" s="18">
        <v>43395.0</v>
      </c>
      <c r="Y50" s="11" t="s">
        <v>34</v>
      </c>
      <c r="Z50" s="23" t="s">
        <v>156</v>
      </c>
      <c r="AA50" s="1"/>
    </row>
    <row r="51">
      <c r="A51" s="14" t="s">
        <v>157</v>
      </c>
      <c r="B51" s="24" t="str">
        <f>HYPERLINK("https://www.heraldtribune.com/videos","link pagina")</f>
        <v>link pagina</v>
      </c>
      <c r="C51" s="24" t="str">
        <f>HYPERLINK("https://r2---sn-apo3xh-4jvl.googlevideo.com/videoplayback?expire=1540223040&amp;dur=17.972&amp;pl=24&amp;mm=31%2C29&amp;source=youtube&amp;ms=au%2Crdu&amp;ei=4JvNW9SyIYXe1wL37bCoAw&amp;id=o-AFq2lHhhuzhdn4qWuN4OaTt9uss05X34ReJeUgEicsnE&amp;mv=m&amp;mt=1540201340&amp;ratebypass=yes&amp;ipbits=0&amp;mn=sn"&amp;"-apo3xh-4jvl%2Csn-hpa7znsz&amp;sparams=dur%2Cei%2Cid%2Cinitcwndbps%2Cip%2Cipbits%2Citag%2Clmt%2Cmime%2Cmm%2Cmn%2Cms%2Cmv%2Cpl%2Cratebypass%2Crequiressl%2Csource%2Cexpire&amp;signature=BE1C3AD4CDB84A9855A822125F90E5DB0CE95E89.28D61D651A9733EB29E8021482156808A20A1F"&amp;"DB&amp;requiressl=yes&amp;key=yt6&amp;ip=37.77.123.132&amp;fvip=2&amp;c=WEB&amp;initcwndbps=535000&amp;itag=22&amp;lmt=1540186398240362&amp;txp=2311222&amp;mime=video%2Fmp4&amp;beids=9466586","link video")</f>
        <v>link video</v>
      </c>
      <c r="D51" s="11" t="s">
        <v>30</v>
      </c>
      <c r="E51" s="17"/>
      <c r="F51" s="17"/>
      <c r="G51" s="17"/>
      <c r="H51" s="17"/>
      <c r="I51" s="17"/>
      <c r="J51" s="17"/>
      <c r="K51" s="17"/>
      <c r="L51" s="17"/>
      <c r="M51" s="6" t="s">
        <v>31</v>
      </c>
      <c r="N51" s="17"/>
      <c r="O51" s="17"/>
      <c r="P51" s="17"/>
      <c r="Q51" s="17"/>
      <c r="R51" s="17"/>
      <c r="S51" s="17"/>
      <c r="T51" s="17"/>
      <c r="U51" s="11" t="s">
        <v>38</v>
      </c>
      <c r="V51" s="11" t="s">
        <v>158</v>
      </c>
      <c r="W51" s="11" t="s">
        <v>40</v>
      </c>
      <c r="X51" s="18">
        <v>43394.0</v>
      </c>
      <c r="Y51" s="11" t="s">
        <v>34</v>
      </c>
      <c r="Z51" s="23" t="s">
        <v>159</v>
      </c>
      <c r="AA51" s="1"/>
    </row>
    <row r="52">
      <c r="A52" s="14" t="s">
        <v>160</v>
      </c>
      <c r="B52" s="24" t="str">
        <f>HYPERLINK("https://dailycaller.com/2018/10/21/lindsey-graham-saudi-crown-prince/","link pagina")</f>
        <v>link pagina</v>
      </c>
      <c r="C52" s="9" t="s">
        <v>29</v>
      </c>
      <c r="D52" s="11" t="s">
        <v>30</v>
      </c>
      <c r="E52" s="6" t="s">
        <v>31</v>
      </c>
      <c r="F52" s="17"/>
      <c r="G52" s="17"/>
      <c r="H52" s="17"/>
      <c r="I52" s="17"/>
      <c r="J52" s="17"/>
      <c r="K52" s="17"/>
      <c r="L52" s="17"/>
      <c r="M52" s="17"/>
      <c r="N52" s="17"/>
      <c r="O52" s="17"/>
      <c r="P52" s="17"/>
      <c r="Q52" s="17"/>
      <c r="R52" s="17"/>
      <c r="S52" s="17"/>
      <c r="T52" s="17"/>
      <c r="U52" s="12"/>
      <c r="V52" s="12"/>
      <c r="W52" s="12"/>
      <c r="X52" s="12"/>
      <c r="Y52" s="11" t="s">
        <v>34</v>
      </c>
      <c r="Z52" s="23" t="s">
        <v>161</v>
      </c>
      <c r="AA52" s="1"/>
    </row>
    <row r="53">
      <c r="A53" s="14" t="s">
        <v>162</v>
      </c>
      <c r="B53" s="24" t="str">
        <f>HYPERLINK("https://townhall.com/video//misty-copeland-on-her-role-in-nutcracker-and-the-four-realms-n2528657","link pagina")</f>
        <v>link pagina</v>
      </c>
      <c r="C53" s="24" t="str">
        <f>HYPERLINK("https://r3---sn-apo3xh-4jvl.googlevideo.com/videoplayback?lmt=1538764574541327&amp;mm=31%2C29&amp;signature=17103434EFF7605303403E23B9C8C58FC493FE4C.AA7DC85F3BB7812149E5056AB343B217B7871E4B&amp;fvip=3&amp;ratebypass=yes&amp;txp=5431432&amp;ipbits=0&amp;requiressl=yes&amp;mt=1540203046&amp;i"&amp;"nitcwndbps=518750&amp;pl=24&amp;itag=22&amp;dur=60.116&amp;key=yt6&amp;ip=37.77.123.132&amp;ms=au%2Crdu&amp;mv=m&amp;source=youtube&amp;expire=1540224770&amp;id=o-ALeV4j8QBEjy7JV1jEvDcV9HtqpWizCmMVWknZRG24FJ&amp;mn=sn-apo3xh-4jvl%2Csn-hpa7zn76&amp;sparams=dur%2Cei%2Cid%2Cinitcwndbps%2Cip%2Cipbits%2Cita"&amp;"g%2Clmt%2Cmime%2Cmm%2Cmn%2Cms%2Cmv%2Cpl%2Cratebypass%2Crequiressl%2Csource%2Cexpire&amp;c=WEB&amp;mime=video%2Fmp4&amp;ei=oqLNW_vpJcb41gLRrrWoDQ","link video")</f>
        <v>link video</v>
      </c>
      <c r="D53" s="11" t="s">
        <v>37</v>
      </c>
      <c r="E53" s="17"/>
      <c r="F53" s="17"/>
      <c r="G53" s="17"/>
      <c r="H53" s="17"/>
      <c r="I53" s="17"/>
      <c r="J53" s="17"/>
      <c r="K53" s="17"/>
      <c r="L53" s="17"/>
      <c r="M53" s="6" t="s">
        <v>31</v>
      </c>
      <c r="N53" s="17"/>
      <c r="O53" s="17"/>
      <c r="P53" s="17"/>
      <c r="Q53" s="17"/>
      <c r="R53" s="17"/>
      <c r="S53" s="17"/>
      <c r="T53" s="17"/>
      <c r="U53" s="11" t="s">
        <v>38</v>
      </c>
      <c r="V53" s="11" t="s">
        <v>163</v>
      </c>
      <c r="W53" s="11" t="s">
        <v>40</v>
      </c>
      <c r="X53" s="18">
        <v>43393.0</v>
      </c>
      <c r="Y53" s="11" t="s">
        <v>34</v>
      </c>
      <c r="Z53" s="23" t="s">
        <v>164</v>
      </c>
      <c r="AA53" s="1"/>
    </row>
    <row r="54">
      <c r="A54" s="14" t="s">
        <v>165</v>
      </c>
      <c r="B54" s="24" t="str">
        <f>HYPERLINK("http://brainerddispatch.com/video/Tr3SJXNe","link pagina")</f>
        <v>link pagina</v>
      </c>
      <c r="C54" s="24" t="str">
        <f>HYPERLINK("http://content.jwplatform.com/videos/Tr3SJXNe.mp4""&gt;","link video")</f>
        <v>link video</v>
      </c>
      <c r="D54" s="11" t="s">
        <v>37</v>
      </c>
      <c r="E54" s="17"/>
      <c r="F54" s="17"/>
      <c r="G54" s="17"/>
      <c r="H54" s="17"/>
      <c r="I54" s="17"/>
      <c r="J54" s="17"/>
      <c r="K54" s="17"/>
      <c r="L54" s="6" t="s">
        <v>31</v>
      </c>
      <c r="M54" s="17"/>
      <c r="N54" s="17"/>
      <c r="O54" s="17"/>
      <c r="P54" s="17"/>
      <c r="Q54" s="17"/>
      <c r="R54" s="17"/>
      <c r="S54" s="17"/>
      <c r="T54" s="17"/>
      <c r="U54" s="12"/>
      <c r="V54" s="11" t="s">
        <v>166</v>
      </c>
      <c r="W54" s="11" t="s">
        <v>167</v>
      </c>
      <c r="X54" s="12"/>
      <c r="Y54" s="11" t="s">
        <v>34</v>
      </c>
      <c r="Z54" s="23" t="s">
        <v>168</v>
      </c>
      <c r="AA54" s="1"/>
    </row>
    <row r="55">
      <c r="A55" s="14" t="s">
        <v>169</v>
      </c>
      <c r="B55" s="24" t="str">
        <f>HYPERLINK("https://www.capegazette.com/article/video-inaugural-palmapalooza-celebrates-life-palma-salerno/167044","link pagina")</f>
        <v>link pagina</v>
      </c>
      <c r="C55" s="24" t="str">
        <f>HYPERLINK("https://r6---sn-hpa7zne6.googlevideo.com/videoplayback?id=o-APBF2hz2rNuAob1XspBchuqGj7eWZXFlEV6_t_B-cu_y&amp;mm=31%2C29&amp;mn=sn-hpa7zne6%2Csn-nx5cvox-hpay&amp;initcwndbps=871250&amp;c=WEB&amp;txp=2211222&amp;ip=80.117.251.41&amp;signature=0FA1275BB90E68646E19AAFA0F2B6FA9F03662D9.B"&amp;"2ACA76AAF9F0379E907BB0D3E1C787E66A3822D&amp;ms=au%2Crdu&amp;mt=1540214601&amp;mv=m&amp;dur=168.855&amp;lmt=1539701424296328&amp;sparams=dur%2Cei%2Cid%2Cinitcwndbps%2Cip%2Cipbits%2Citag%2Clmt%2Cmime%2Cmm%2Cmn%2Cms%2Cmv%2Cnh%2Cpl%2Cratebypass%2Crequiressl%2Csource%2Cexpire&amp;mime=vi"&amp;"deo%2Fmp4&amp;key=yt6&amp;nh=%2CEAI&amp;fvip=6&amp;expire=1540236340&amp;requiressl=yes&amp;itag=22&amp;ratebypass=yes&amp;pl=24&amp;ei=08_NW-C8M46sgAfGm5zQAw&amp;ipbits=0&amp;source=youtube","link video")</f>
        <v>link video</v>
      </c>
      <c r="D55" s="11" t="s">
        <v>37</v>
      </c>
      <c r="E55" s="17"/>
      <c r="F55" s="17"/>
      <c r="G55" s="17"/>
      <c r="H55" s="17"/>
      <c r="I55" s="17"/>
      <c r="J55" s="17"/>
      <c r="K55" s="17"/>
      <c r="L55" s="17"/>
      <c r="M55" s="6" t="s">
        <v>31</v>
      </c>
      <c r="N55" s="17"/>
      <c r="O55" s="17"/>
      <c r="P55" s="17"/>
      <c r="Q55" s="17"/>
      <c r="R55" s="17"/>
      <c r="S55" s="17"/>
      <c r="T55" s="17"/>
      <c r="U55" s="11" t="s">
        <v>38</v>
      </c>
      <c r="V55" s="11" t="s">
        <v>170</v>
      </c>
      <c r="W55" s="11" t="s">
        <v>40</v>
      </c>
      <c r="X55" s="18">
        <v>43389.0</v>
      </c>
      <c r="Y55" s="11" t="s">
        <v>34</v>
      </c>
      <c r="Z55" s="23" t="s">
        <v>171</v>
      </c>
      <c r="AA55" s="1"/>
    </row>
    <row r="56">
      <c r="A56" s="7" t="s">
        <v>172</v>
      </c>
      <c r="B56" s="15" t="str">
        <f>HYPERLINK("https://www.ilfattoquotidiano.it/2018/10/31/savona-incendio-nel-porto-il-parcheggio-diventa-un-cimitero-di-auto-piu-di-1000-veicoli-tra-cui-molte-maserati-distrutte/4733636/","link pagina")</f>
        <v>link pagina</v>
      </c>
      <c r="C56" s="24" t="str">
        <f>HYPERLINK("https://cdn.jwplayer.com/videos/a4lbLjKB-00rmffRE.mp4","link video")</f>
        <v>link video</v>
      </c>
      <c r="D56" s="11" t="s">
        <v>30</v>
      </c>
      <c r="E56" s="17"/>
      <c r="F56" s="17"/>
      <c r="G56" s="17"/>
      <c r="H56" s="17"/>
      <c r="I56" s="17"/>
      <c r="J56" s="17"/>
      <c r="K56" s="17"/>
      <c r="L56" s="17"/>
      <c r="M56" s="17"/>
      <c r="N56" s="17"/>
      <c r="O56" s="6" t="s">
        <v>31</v>
      </c>
      <c r="P56" s="17"/>
      <c r="Q56" s="17"/>
      <c r="R56" s="17"/>
      <c r="S56" s="17"/>
      <c r="T56" s="17"/>
      <c r="U56" s="11" t="s">
        <v>173</v>
      </c>
      <c r="V56" s="11" t="s">
        <v>174</v>
      </c>
      <c r="W56" s="11" t="s">
        <v>40</v>
      </c>
      <c r="X56" s="18">
        <v>43404.0</v>
      </c>
      <c r="Y56" s="11" t="s">
        <v>61</v>
      </c>
      <c r="Z56" s="23" t="s">
        <v>175</v>
      </c>
      <c r="AA56" s="1"/>
    </row>
    <row r="57">
      <c r="A57" s="14" t="s">
        <v>176</v>
      </c>
      <c r="B57" s="24" t="str">
        <f>HYPERLINK("https://www.today.com/on-the-show","link pagina")</f>
        <v>link pagina</v>
      </c>
      <c r="C57" s="9" t="s">
        <v>29</v>
      </c>
      <c r="D57" s="11" t="s">
        <v>30</v>
      </c>
      <c r="E57" s="6" t="s">
        <v>31</v>
      </c>
      <c r="F57" s="17"/>
      <c r="G57" s="17"/>
      <c r="H57" s="17"/>
      <c r="I57" s="17"/>
      <c r="J57" s="17"/>
      <c r="K57" s="17"/>
      <c r="L57" s="17"/>
      <c r="M57" s="17"/>
      <c r="N57" s="17"/>
      <c r="O57" s="17"/>
      <c r="P57" s="17"/>
      <c r="Q57" s="17"/>
      <c r="R57" s="17"/>
      <c r="S57" s="17"/>
      <c r="T57" s="17"/>
      <c r="U57" s="12"/>
      <c r="V57" s="12"/>
      <c r="W57" s="12"/>
      <c r="X57" s="12"/>
      <c r="Y57" s="11" t="s">
        <v>34</v>
      </c>
      <c r="Z57" s="23" t="s">
        <v>177</v>
      </c>
      <c r="AA57" s="1"/>
    </row>
    <row r="58">
      <c r="A58" s="14" t="s">
        <v>178</v>
      </c>
      <c r="B58" s="24" t="str">
        <f>HYPERLINK("https://www.theepochtimes.com/videos-of-the-day-migrant-caravan-swells-to-5000-resumes-march-toward-us_2695953.html","link pagina")</f>
        <v>link pagina</v>
      </c>
      <c r="C58" s="9" t="s">
        <v>29</v>
      </c>
      <c r="D58" s="11" t="s">
        <v>30</v>
      </c>
      <c r="E58" s="6" t="s">
        <v>31</v>
      </c>
      <c r="F58" s="17"/>
      <c r="G58" s="17"/>
      <c r="H58" s="17"/>
      <c r="I58" s="17"/>
      <c r="J58" s="17"/>
      <c r="K58" s="17"/>
      <c r="L58" s="17"/>
      <c r="M58" s="17"/>
      <c r="N58" s="17"/>
      <c r="O58" s="17"/>
      <c r="P58" s="17"/>
      <c r="Q58" s="17"/>
      <c r="R58" s="17"/>
      <c r="S58" s="17"/>
      <c r="T58" s="17"/>
      <c r="U58" s="12"/>
      <c r="V58" s="12"/>
      <c r="W58" s="12"/>
      <c r="X58" s="12"/>
      <c r="Y58" s="11" t="s">
        <v>34</v>
      </c>
      <c r="Z58" s="23" t="s">
        <v>179</v>
      </c>
      <c r="AA58" s="1"/>
    </row>
    <row r="59">
      <c r="A59" s="14" t="s">
        <v>180</v>
      </c>
      <c r="B59" s="24" t="str">
        <f>HYPERLINK("https://www.mymotherlode.com/multimedia","link pagina")</f>
        <v>link pagina</v>
      </c>
      <c r="C59" s="24" t="str">
        <f>HYPERLINK("https://r5---sn-hpa7znse.googlevideo.com/videoplayback?itag=22&amp;pl=24&amp;dur=1144.163&amp;sparams=dur%2Cei%2Cid%2Cinitcwndbps%2Cip%2Cipbits%2Citag%2Clmt%2Cmime%2Cmm%2Cmn%2Cms%2Cmv%2Cnh%2Cpl%2Cratebypass%2Crequiressl%2Csource%2Cexpire&amp;source=youtube&amp;expire=1540239"&amp;"504&amp;c=WEB&amp;mime=video%2Fmp4&amp;nh=%2CEAI&amp;lmt=1494726172226220&amp;fvip=5&amp;ei=MNzNW8XrHYmwgQePgaLoDw&amp;requiressl=yes&amp;ip=80.117.251.41&amp;key=yt6&amp;ms=au%2Crdu&amp;beids=9466586&amp;mv=m&amp;mt=1540217809&amp;id=o-AAMMYpDpc6jNMprrk7a0O5D0ZFlgzJ5VUG_v14e-Zix2&amp;mn=sn-hpa7znse%2Csn-nx5cvox-h"&amp;"pae7&amp;mm=31%2C29&amp;signature=DCC5D09121992F2D06A13573C7DB5952DB167455.CFC4560EB0AAC51295248BC4C61E3CAA1B2DE388&amp;ratebypass=yes&amp;ipbits=0&amp;initcwndbps=885000","link video")</f>
        <v>link video</v>
      </c>
      <c r="D59" s="11" t="s">
        <v>37</v>
      </c>
      <c r="E59" s="17"/>
      <c r="F59" s="17"/>
      <c r="G59" s="17"/>
      <c r="H59" s="17"/>
      <c r="I59" s="17"/>
      <c r="J59" s="17"/>
      <c r="K59" s="17"/>
      <c r="L59" s="17"/>
      <c r="M59" s="6" t="s">
        <v>31</v>
      </c>
      <c r="N59" s="17"/>
      <c r="O59" s="17"/>
      <c r="P59" s="17"/>
      <c r="Q59" s="17"/>
      <c r="R59" s="17"/>
      <c r="S59" s="17"/>
      <c r="T59" s="17"/>
      <c r="U59" s="11" t="s">
        <v>38</v>
      </c>
      <c r="V59" s="11" t="s">
        <v>181</v>
      </c>
      <c r="W59" s="11" t="s">
        <v>40</v>
      </c>
      <c r="X59" s="25">
        <v>42868.0</v>
      </c>
      <c r="Y59" s="11" t="s">
        <v>34</v>
      </c>
      <c r="Z59" s="32" t="s">
        <v>182</v>
      </c>
      <c r="AA59" s="1"/>
    </row>
    <row r="60">
      <c r="A60" s="7" t="s">
        <v>183</v>
      </c>
      <c r="B60" s="15" t="str">
        <f>HYPERLINK("https://tv.liberoquotidiano.it/video/politica/13313985/anni-dopo-la-bomba-di-eleonora-giorgi-cosa-mi-chiese-giulio-andreotti.html","link pagina")</f>
        <v>link pagina</v>
      </c>
      <c r="C60" s="24" t="str">
        <f>HYPERLINK("https://tv.liberoquotidiano.it/upload/60215116-LP_89199mp4.mp4","link video")</f>
        <v>link video</v>
      </c>
      <c r="D60" s="11" t="s">
        <v>37</v>
      </c>
      <c r="E60" s="17"/>
      <c r="F60" s="6" t="s">
        <v>31</v>
      </c>
      <c r="G60" s="17"/>
      <c r="H60" s="17"/>
      <c r="I60" s="17"/>
      <c r="J60" s="17"/>
      <c r="K60" s="17"/>
      <c r="L60" s="17"/>
      <c r="M60" s="17"/>
      <c r="N60" s="17"/>
      <c r="O60" s="17"/>
      <c r="P60" s="17"/>
      <c r="Q60" s="17"/>
      <c r="R60" s="17"/>
      <c r="S60" s="17"/>
      <c r="T60" s="17"/>
      <c r="U60" s="12"/>
      <c r="V60" s="12"/>
      <c r="W60" s="12"/>
      <c r="X60" s="25">
        <v>43159.0</v>
      </c>
      <c r="Y60" s="11" t="s">
        <v>61</v>
      </c>
      <c r="Z60" s="23" t="s">
        <v>184</v>
      </c>
      <c r="AA60" s="1"/>
    </row>
    <row r="61">
      <c r="A61" s="14" t="s">
        <v>185</v>
      </c>
      <c r="B61" s="24" t="str">
        <f>HYPERLINK("https://www.goal.com/en-us/news/pogba-happy-at-man-utd-and-will-make-history-just-as-he-did/1uhcgsxpm0ig217yb8p3tmd0dl","link pagina")</f>
        <v>link pagina</v>
      </c>
      <c r="C61" s="24" t="str">
        <f>HYPERLINK("https://eplayer2sp-vh.akamaihd.net/i/ePlayer2/1qruuowk83f261ecrpbpkpb56w_,280000,484000,800000,1200000,1800000,2400000,.mp4.csmil/master.m3u8","link video")</f>
        <v>link video</v>
      </c>
      <c r="D61" s="11" t="s">
        <v>30</v>
      </c>
      <c r="E61" s="17"/>
      <c r="F61" s="17"/>
      <c r="G61" s="17"/>
      <c r="H61" s="17"/>
      <c r="I61" s="17"/>
      <c r="J61" s="17"/>
      <c r="K61" s="17"/>
      <c r="L61" s="17"/>
      <c r="M61" s="17"/>
      <c r="N61" s="17"/>
      <c r="O61" s="17"/>
      <c r="P61" s="6" t="s">
        <v>31</v>
      </c>
      <c r="Q61" s="17"/>
      <c r="R61" s="17"/>
      <c r="S61" s="17"/>
      <c r="T61" s="17"/>
      <c r="U61" s="12"/>
      <c r="V61" s="12"/>
      <c r="W61" s="12"/>
      <c r="X61" s="18">
        <v>43395.0</v>
      </c>
      <c r="Y61" s="11" t="s">
        <v>34</v>
      </c>
      <c r="Z61" s="23" t="s">
        <v>186</v>
      </c>
      <c r="AA61" s="1"/>
    </row>
    <row r="62">
      <c r="A62" s="14" t="s">
        <v>187</v>
      </c>
      <c r="B62" s="24" t="str">
        <f>HYPERLINK("https://www.popsugar.co.uk/fitness/Advanced-Full-Body-HIIT-Workout-44952188","link pagina")</f>
        <v>link pagina</v>
      </c>
      <c r="C62" s="24" t="str">
        <f>HYPERLINK("https://media1.popsugar-assets.com/vid/bd8b1ad5f48c2bbe0a999c349425dc39/Video-720p.mp4","link video")</f>
        <v>link video</v>
      </c>
      <c r="D62" s="11" t="s">
        <v>30</v>
      </c>
      <c r="E62" s="17"/>
      <c r="F62" s="17"/>
      <c r="G62" s="17"/>
      <c r="H62" s="17"/>
      <c r="I62" s="17"/>
      <c r="J62" s="17"/>
      <c r="K62" s="17"/>
      <c r="L62" s="17"/>
      <c r="M62" s="17"/>
      <c r="N62" s="6"/>
      <c r="O62" s="17"/>
      <c r="P62" s="17"/>
      <c r="Q62" s="6" t="s">
        <v>31</v>
      </c>
      <c r="R62" s="17"/>
      <c r="S62" s="17"/>
      <c r="T62" s="17"/>
      <c r="U62" s="11" t="s">
        <v>188</v>
      </c>
      <c r="V62" s="11" t="s">
        <v>189</v>
      </c>
      <c r="W62" s="11" t="s">
        <v>40</v>
      </c>
      <c r="X62" s="25">
        <v>43268.0</v>
      </c>
      <c r="Y62" s="11" t="s">
        <v>34</v>
      </c>
      <c r="Z62" s="23" t="s">
        <v>190</v>
      </c>
      <c r="AA62" s="1"/>
    </row>
    <row r="63">
      <c r="A63" s="14" t="s">
        <v>191</v>
      </c>
      <c r="B63" s="24" t="str">
        <f>HYPERLINK("http://www.thevalleydispatch.com/","link pagina")</f>
        <v>link pagina</v>
      </c>
      <c r="C63" s="24" t="str">
        <f>HYPERLINK("https://informmediap-a.akamaihd.net/delivery/6a/34/6a34d225-d218-4842-86da-0515ecc56de3/8373258377a6e4fb45a2a5a62c81da618f45ad2d_972k.mp4","link video")</f>
        <v>link video</v>
      </c>
      <c r="D63" s="11" t="s">
        <v>37</v>
      </c>
      <c r="E63" s="17"/>
      <c r="F63" s="6"/>
      <c r="G63" s="17"/>
      <c r="H63" s="17"/>
      <c r="I63" s="17"/>
      <c r="J63" s="17"/>
      <c r="K63" s="17"/>
      <c r="L63" s="17"/>
      <c r="M63" s="17"/>
      <c r="N63" s="17"/>
      <c r="O63" s="6" t="s">
        <v>31</v>
      </c>
      <c r="P63" s="17"/>
      <c r="Q63" s="17"/>
      <c r="R63" s="17"/>
      <c r="S63" s="17"/>
      <c r="T63" s="17"/>
      <c r="U63" s="12"/>
      <c r="V63" s="12"/>
      <c r="W63" s="12"/>
      <c r="X63" s="12"/>
      <c r="Y63" s="11" t="s">
        <v>34</v>
      </c>
      <c r="Z63" s="33" t="s">
        <v>192</v>
      </c>
      <c r="AA63" s="1"/>
    </row>
    <row r="64">
      <c r="A64" s="26" t="s">
        <v>193</v>
      </c>
      <c r="B64" s="24" t="str">
        <f>HYPERLINK("https://phys.org/news/2018-10-video-fruit-flies.html","link pagina")</f>
        <v>link pagina</v>
      </c>
      <c r="C64" s="24" t="str">
        <f>HYPERLINK("https://r5---sn-hpa7znsk.googlevideo.com/videoplayback?signature=E4575395E343F3E09FD3CB528A8CE25B1E053C56.D02A9D118760E1686D13583B74F425FED1FB5FC0&amp;lmt=1539762473454730&amp;dur=249.150&amp;ip=80.117.251.41&amp;key=yt6&amp;itag=22&amp;id=o-ABrQsmi8r9xLrRLiEjcr07H8-SdWLZtXXHNly"&amp;"OQr10bO&amp;mm=31%2C29&amp;mn=sn-hpa7znsk%2Csn-nx5cvox-hpae7&amp;ipbits=0&amp;requiressl=yes&amp;expire=1540244525&amp;mt=1540222707&amp;mv=m&amp;ei=ze_NW5P8IMrIxwL5kKjABw&amp;ms=au%2Crdu&amp;source=youtube&amp;pl=24&amp;ratebypass=yes&amp;initcwndbps=867500&amp;c=WEB&amp;nh=%2CEAI&amp;txp=5431432&amp;sparams=dur%2Cei%2Ci"&amp;"d%2Cinitcwndbps%2Cip%2Cipbits%2Citag%2Clmt%2Cmime%2Cmm%2Cmn%2Cms%2Cmv%2Cnh%2Cpl%2Cratebypass%2Crequiressl%2Csource%2Cexpire&amp;fvip=5&amp;mime=video%2Fmp4","link video")</f>
        <v>link video</v>
      </c>
      <c r="D64" s="11" t="s">
        <v>37</v>
      </c>
      <c r="E64" s="17"/>
      <c r="F64" s="17"/>
      <c r="G64" s="17"/>
      <c r="H64" s="17"/>
      <c r="I64" s="17"/>
      <c r="J64" s="17"/>
      <c r="K64" s="17"/>
      <c r="L64" s="17"/>
      <c r="M64" s="6" t="s">
        <v>31</v>
      </c>
      <c r="N64" s="17"/>
      <c r="O64" s="17"/>
      <c r="P64" s="17"/>
      <c r="Q64" s="17"/>
      <c r="R64" s="17"/>
      <c r="S64" s="17"/>
      <c r="T64" s="17"/>
      <c r="U64" s="11" t="s">
        <v>38</v>
      </c>
      <c r="V64" s="11" t="s">
        <v>194</v>
      </c>
      <c r="W64" s="11" t="s">
        <v>40</v>
      </c>
      <c r="X64" s="18">
        <v>43389.0</v>
      </c>
      <c r="Y64" s="11" t="s">
        <v>34</v>
      </c>
      <c r="Z64" s="33" t="s">
        <v>195</v>
      </c>
      <c r="AA64" s="1"/>
    </row>
    <row r="65">
      <c r="A65" s="14" t="s">
        <v>196</v>
      </c>
      <c r="B65" s="24" t="str">
        <f>HYPERLINK("https://www.bendbulletin.com/lifestyle/cooklikeachef/4825308-151/cook-like-a-chef-hazelnut-brittle-and-spicy-sweet","link pagina")</f>
        <v>link pagina</v>
      </c>
      <c r="C65" s="24" t="str">
        <f>HYPERLINK("https://r1---sn-hpa7znsd.googlevideo.com/videoplayback?signature=9111E7C497BE9B22A8B5E24FE8318EF5506E2CBD.DDF1931EF0B186BB2F01274A9104F17EAEE535CD&amp;source=youtube&amp;requiressl=yes&amp;nh=%2CEAI&amp;mime=video%2Fmp4&amp;itag=22&amp;mn=sn-hpa7znsd%2Csn-nx5cvox-hpae7&amp;mm=31%2C2"&amp;"9&amp;pl=24&amp;mv=m&amp;mt=1540223401&amp;ms=au%2Crdu&amp;ei=APLNW4mNIsaTgQfuireIBw&amp;ip=80.117.251.41&amp;sparams=dur%2Cei%2Cid%2Cinitcwndbps%2Cip%2Cipbits%2Citag%2Clmt%2Cmime%2Cmm%2Cmn%2Cms%2Cmv%2Cnh%2Cpl%2Cratebypass%2Crequiressl%2Csource%2Cexpire&amp;ratebypass=yes&amp;c=WEB&amp;fvip=1&amp;i"&amp;"d=o-AGweA6RvrYGAHFGUpY5ces4KwuIdh-8Dt8aFqGCBlQJe&amp;initcwndbps=862500&amp;ipbits=0&amp;expire=1540245088&amp;key=yt6&amp;lmt=1520535581580835&amp;dur=154.505","link video")</f>
        <v>link video</v>
      </c>
      <c r="D65" s="11" t="s">
        <v>30</v>
      </c>
      <c r="E65" s="17"/>
      <c r="F65" s="17"/>
      <c r="G65" s="17"/>
      <c r="H65" s="17"/>
      <c r="I65" s="17"/>
      <c r="J65" s="17"/>
      <c r="K65" s="17"/>
      <c r="L65" s="17"/>
      <c r="M65" s="6" t="s">
        <v>31</v>
      </c>
      <c r="N65" s="17"/>
      <c r="O65" s="17"/>
      <c r="P65" s="17"/>
      <c r="Q65" s="17"/>
      <c r="R65" s="17"/>
      <c r="S65" s="17"/>
      <c r="T65" s="17"/>
      <c r="U65" s="11" t="s">
        <v>38</v>
      </c>
      <c r="V65" s="11" t="s">
        <v>197</v>
      </c>
      <c r="W65" s="11" t="s">
        <v>40</v>
      </c>
      <c r="X65" s="18">
        <v>42703.0</v>
      </c>
      <c r="Y65" s="11" t="s">
        <v>34</v>
      </c>
      <c r="Z65" s="23" t="s">
        <v>198</v>
      </c>
      <c r="AA65" s="1"/>
    </row>
    <row r="66">
      <c r="A66" s="14" t="s">
        <v>199</v>
      </c>
      <c r="B66" s="24" t="str">
        <f>HYPERLINK("https://www.theindychannel.com/video","link pagina")</f>
        <v>link pagina</v>
      </c>
      <c r="C66" s="24" t="str">
        <f>HYPERLINK("http://x-default-stgec.uplynk.com/ausw/slices/a00/53c3dfd52290407986694c1471cfa82a/a00d823a25a74c48af636050795c6116/a00d823a25a74c48af636050795c6116_g.mp4","link video")</f>
        <v>link video</v>
      </c>
      <c r="D66" s="11" t="s">
        <v>30</v>
      </c>
      <c r="E66" s="17"/>
      <c r="F66" s="17"/>
      <c r="G66" s="17"/>
      <c r="H66" s="17"/>
      <c r="I66" s="17"/>
      <c r="J66" s="17"/>
      <c r="K66" s="17"/>
      <c r="L66" s="17"/>
      <c r="M66" s="17"/>
      <c r="N66" s="17"/>
      <c r="O66" s="17"/>
      <c r="P66" s="6" t="s">
        <v>31</v>
      </c>
      <c r="Q66" s="17"/>
      <c r="R66" s="17"/>
      <c r="S66" s="17"/>
      <c r="T66" s="17"/>
      <c r="U66" s="12"/>
      <c r="V66" s="12"/>
      <c r="W66" s="11" t="s">
        <v>40</v>
      </c>
      <c r="X66" s="12"/>
      <c r="Y66" s="11" t="s">
        <v>34</v>
      </c>
      <c r="Z66" s="23" t="s">
        <v>200</v>
      </c>
      <c r="AA66" s="1"/>
    </row>
    <row r="67">
      <c r="A67" s="7" t="s">
        <v>201</v>
      </c>
      <c r="B67" s="15" t="str">
        <f>HYPERLINK("https://tv.iltempo.it/home-tv/2018/10/29/video/giampiero-mughini-desiree-domenica-in-mara-venier-sfogo-predestinata-1094583/","link pagina")</f>
        <v>link pagina</v>
      </c>
      <c r="C67" s="9" t="s">
        <v>29</v>
      </c>
      <c r="D67" s="11" t="s">
        <v>30</v>
      </c>
      <c r="E67" s="6" t="s">
        <v>31</v>
      </c>
      <c r="F67" s="17"/>
      <c r="G67" s="17"/>
      <c r="H67" s="17"/>
      <c r="I67" s="17"/>
      <c r="J67" s="17"/>
      <c r="K67" s="17"/>
      <c r="L67" s="17"/>
      <c r="M67" s="17"/>
      <c r="N67" s="17"/>
      <c r="O67" s="17"/>
      <c r="P67" s="17"/>
      <c r="Q67" s="17"/>
      <c r="R67" s="17"/>
      <c r="S67" s="17"/>
      <c r="T67" s="17"/>
      <c r="U67" s="12"/>
      <c r="V67" s="12"/>
      <c r="W67" s="12"/>
      <c r="X67" s="12"/>
      <c r="Y67" s="12"/>
      <c r="Z67" s="27"/>
      <c r="AA67" s="1"/>
    </row>
    <row r="68">
      <c r="A68" s="7" t="s">
        <v>202</v>
      </c>
      <c r="B68" s="15" t="str">
        <f>HYPERLINK("http://en.people.cn/n3/2018/1031/c90000-9513595.html","link pagina")</f>
        <v>link pagina</v>
      </c>
      <c r="C68" s="24" t="str">
        <f>HYPERLINK("http://tv.people.com.cn/img/2011ptv2/playerByOsmf.swf","link video")</f>
        <v>link video</v>
      </c>
      <c r="D68" s="11" t="s">
        <v>30</v>
      </c>
      <c r="E68" s="17"/>
      <c r="F68" s="17"/>
      <c r="G68" s="17"/>
      <c r="H68" s="17"/>
      <c r="I68" s="17"/>
      <c r="J68" s="6" t="s">
        <v>31</v>
      </c>
      <c r="K68" s="17"/>
      <c r="L68" s="17"/>
      <c r="M68" s="17"/>
      <c r="N68" s="17"/>
      <c r="O68" s="17"/>
      <c r="P68" s="17"/>
      <c r="Q68" s="17"/>
      <c r="R68" s="17"/>
      <c r="S68" s="17"/>
      <c r="T68" s="17"/>
      <c r="U68" s="12"/>
      <c r="V68" s="12"/>
      <c r="W68" s="11" t="s">
        <v>203</v>
      </c>
      <c r="X68" s="12"/>
      <c r="Y68" s="12"/>
      <c r="Z68" s="23" t="s">
        <v>204</v>
      </c>
      <c r="AA68" s="1"/>
    </row>
    <row r="69">
      <c r="A69" s="7" t="s">
        <v>205</v>
      </c>
      <c r="B69" s="15" t="str">
        <f>HYPERLINK("https://video.corriere.it/rapallo-crolla-diga-foranea-spazzata-via-una-mareggiata/e2e47248-dba3-11e8-a9c5-62cf8efd543f?intcmp=pastiglione_lato_hp&amp;vclk=pastiglione_lato|rapallo-crolla-diga-foranea-spazzata-via-una-mareggiata","link pagina")</f>
        <v>link pagina</v>
      </c>
      <c r="C69" s="24" t="str">
        <f>HYPERLINK("http://media2vam.corriere.it.edgesuite.net/fcs.quotidiani/VAM/2018/10/29/rapallocrollodiga_20181029185428_900k.mp4","link video")</f>
        <v>link video</v>
      </c>
      <c r="D69" s="11" t="s">
        <v>30</v>
      </c>
      <c r="E69" s="17"/>
      <c r="F69" s="17"/>
      <c r="G69" s="17"/>
      <c r="H69" s="17"/>
      <c r="I69" s="17"/>
      <c r="J69" s="17"/>
      <c r="K69" s="17"/>
      <c r="L69" s="17"/>
      <c r="M69" s="17"/>
      <c r="N69" s="17"/>
      <c r="O69" s="6" t="s">
        <v>31</v>
      </c>
      <c r="P69" s="17"/>
      <c r="Q69" s="17"/>
      <c r="R69" s="17"/>
      <c r="S69" s="17"/>
      <c r="T69" s="17"/>
      <c r="U69" s="11" t="s">
        <v>95</v>
      </c>
      <c r="V69" s="11" t="s">
        <v>206</v>
      </c>
      <c r="W69" s="11" t="s">
        <v>40</v>
      </c>
      <c r="X69" s="18">
        <v>43402.0</v>
      </c>
      <c r="Y69" s="11" t="s">
        <v>61</v>
      </c>
      <c r="Z69" s="23" t="s">
        <v>207</v>
      </c>
      <c r="AA69" s="1"/>
    </row>
    <row r="70">
      <c r="A70" s="14" t="s">
        <v>208</v>
      </c>
      <c r="B70" s="15" t="str">
        <f>HYPERLINK("https://www.charlotteobserver.com/","link pagina")</f>
        <v>link pagina</v>
      </c>
      <c r="C70" s="24" t="str">
        <f>HYPERLINK("http://bcbolt446c5271-a.akamaihd.net/media/v1/pmp4/static/clear/5502557045001/6b77f5c1-cd21-4bb9-bfe8-086a2db9dc6b/9daaae82-da11-44a7-8af6-c29c98da6285/main.mp4?akamai_token=exp=1542727301~acl=/media/v1/pmp4/static/clear/5502557045001/6b77f5c1-cd21-4bb9-b"&amp;"fe8-086a2db9dc6b/9daaae82-da11-44a7-8af6-c29c98da6285/main.mp4*~hmac=b8992ae208c4201878fedd9490eb1157c8937cbb2bdf43876a57236263326240","link video")</f>
        <v>link video</v>
      </c>
      <c r="D70" s="11" t="s">
        <v>37</v>
      </c>
      <c r="E70" s="17"/>
      <c r="F70" s="17"/>
      <c r="G70" s="17"/>
      <c r="H70" s="17"/>
      <c r="I70" s="17"/>
      <c r="J70" s="17"/>
      <c r="K70" s="17"/>
      <c r="L70" s="17"/>
      <c r="M70" s="17"/>
      <c r="N70" s="17"/>
      <c r="O70" s="17"/>
      <c r="P70" s="6" t="s">
        <v>31</v>
      </c>
      <c r="Q70" s="17"/>
      <c r="R70" s="17"/>
      <c r="S70" s="17"/>
      <c r="T70" s="17"/>
      <c r="U70" s="11" t="s">
        <v>38</v>
      </c>
      <c r="V70" s="11" t="s">
        <v>85</v>
      </c>
      <c r="W70" s="11" t="s">
        <v>40</v>
      </c>
      <c r="X70" s="18">
        <v>43389.0</v>
      </c>
      <c r="Y70" s="11" t="s">
        <v>34</v>
      </c>
      <c r="Z70" s="23" t="s">
        <v>209</v>
      </c>
      <c r="AA70" s="1"/>
    </row>
    <row r="71">
      <c r="A71" s="14" t="s">
        <v>210</v>
      </c>
      <c r="B71" s="24" t="str">
        <f>HYPERLINK("https://www.cbr.com/wilson-bethel-almost-captain-america/","link pagina")</f>
        <v>link pagina</v>
      </c>
      <c r="C71" s="24" t="str">
        <f>HYPERLINK("https://secure.brightcove.com/services/mobile/streaming/index/rendition.m3u8?assetId=5610854074001&amp;secure=true&amp;pubId=4797351740001&amp;videoId=5610825310001","link video")</f>
        <v>link video</v>
      </c>
      <c r="D71" s="11" t="s">
        <v>30</v>
      </c>
      <c r="E71" s="17"/>
      <c r="F71" s="17"/>
      <c r="G71" s="17"/>
      <c r="H71" s="17"/>
      <c r="I71" s="17"/>
      <c r="J71" s="17"/>
      <c r="K71" s="17"/>
      <c r="L71" s="17"/>
      <c r="M71" s="17"/>
      <c r="N71" s="17"/>
      <c r="O71" s="17"/>
      <c r="P71" s="6" t="s">
        <v>31</v>
      </c>
      <c r="Q71" s="17"/>
      <c r="R71" s="17"/>
      <c r="S71" s="17"/>
      <c r="T71" s="17"/>
      <c r="U71" s="12"/>
      <c r="V71" s="12"/>
      <c r="W71" s="12"/>
      <c r="X71" s="18">
        <v>43396.0</v>
      </c>
      <c r="Y71" s="11" t="s">
        <v>34</v>
      </c>
      <c r="Z71" s="23" t="s">
        <v>211</v>
      </c>
      <c r="AA71" s="1"/>
    </row>
    <row r="72">
      <c r="A72" s="14" t="s">
        <v>212</v>
      </c>
      <c r="B72" s="24" t="str">
        <f>HYPERLINK("https://www.aspendailynews.com/multimedia/video-th-annual-aspen-ski-swap/video_6db4e22e-d0d0-11e8-9e76-3fc73a380369.html","link pagina")</f>
        <v>link pagina</v>
      </c>
      <c r="C72" s="24" t="str">
        <f>HYPERLINK("https://bloximages.newyork1.vip.townnews.com/aspendailynews.com/content/tncms/assets/v3/editorial/6/db/6db4e22e-d0d0-11e8-9e76-3fc73a380369/5bc520d3ad626.video.mp4","link video")</f>
        <v>link video</v>
      </c>
      <c r="D72" s="11" t="s">
        <v>37</v>
      </c>
      <c r="E72" s="17"/>
      <c r="F72" s="17"/>
      <c r="G72" s="6" t="s">
        <v>31</v>
      </c>
      <c r="H72" s="17"/>
      <c r="I72" s="17"/>
      <c r="J72" s="17"/>
      <c r="K72" s="17"/>
      <c r="L72" s="17"/>
      <c r="M72" s="17"/>
      <c r="N72" s="17"/>
      <c r="O72" s="17"/>
      <c r="P72" s="6"/>
      <c r="Q72" s="17"/>
      <c r="R72" s="17"/>
      <c r="S72" s="17"/>
      <c r="T72" s="17"/>
      <c r="U72" s="12"/>
      <c r="V72" s="12"/>
      <c r="W72" s="11" t="s">
        <v>40</v>
      </c>
      <c r="X72" s="18">
        <v>43388.0</v>
      </c>
      <c r="Y72" s="11" t="s">
        <v>34</v>
      </c>
      <c r="Z72" s="23" t="s">
        <v>213</v>
      </c>
      <c r="AA72" s="1"/>
    </row>
    <row r="73">
      <c r="A73" s="14" t="s">
        <v>214</v>
      </c>
      <c r="B73" s="24" t="str">
        <f>HYPERLINK("https://deadline.com/video/venom-review-tom-hardy-marvel-michelle-williams-riz-ahmed-sony/","link pagina")</f>
        <v>link pagina</v>
      </c>
      <c r="C73" s="9" t="s">
        <v>29</v>
      </c>
      <c r="D73" s="11" t="s">
        <v>30</v>
      </c>
      <c r="E73" s="6" t="s">
        <v>31</v>
      </c>
      <c r="F73" s="17"/>
      <c r="G73" s="17"/>
      <c r="H73" s="17"/>
      <c r="I73" s="17"/>
      <c r="J73" s="17"/>
      <c r="K73" s="17"/>
      <c r="L73" s="17"/>
      <c r="M73" s="17"/>
      <c r="N73" s="17"/>
      <c r="O73" s="17"/>
      <c r="P73" s="17"/>
      <c r="Q73" s="17"/>
      <c r="R73" s="17"/>
      <c r="S73" s="17"/>
      <c r="T73" s="17"/>
      <c r="U73" s="12"/>
      <c r="V73" s="12"/>
      <c r="W73" s="12"/>
      <c r="X73" s="12"/>
      <c r="Y73" s="11" t="s">
        <v>34</v>
      </c>
      <c r="Z73" s="23" t="s">
        <v>215</v>
      </c>
      <c r="AA73" s="1"/>
    </row>
    <row r="74">
      <c r="A74" s="14" t="s">
        <v>216</v>
      </c>
      <c r="B74" s="24" t="str">
        <f>HYPERLINK("http://www.contactmusic.com/nothing-but-thieves/video/nothing-but-thieves-take-this-lonely-heart-lyric-video","link pagina")</f>
        <v>link pagina</v>
      </c>
      <c r="C74" s="24" t="str">
        <f>HYPERLINK("https://r2---sn-hpa7zns7.googlevideo.com/videoplayback?id=o-AGOrsLF83xKk1y9Af--eLjAzZIGUc_B77JexhJf_9LqA&amp;expire=1540334245&amp;gcr=it&amp;ei=RU7PW54chqNUtZCwqAM&amp;ip=80.117.251.41&amp;lmt=1539950035838635&amp;mt=1540312537&amp;mv=m&amp;ms=au%2Crdu&amp;dur=241.859&amp;gir=yes&amp;mm=31%2C29&amp;mn"&amp;"=sn-hpa7zns7%2Csn-nx5cvox-hpae7&amp;itag=18&amp;ipbits=0&amp;fvip=2&amp;clen=11051982&amp;mime=video%2Fmp4&amp;txp=5531432&amp;key=yt6&amp;requiressl=yes&amp;ratebypass=yes&amp;source=youtube&amp;sparams=clen%2Cdur%2Cei%2Cgcr%2Cgir%2Cid%2Cinitcwndbps%2Cip%2Cipbits%2Citag%2Clmt%2Cmime%2Cmm%2Cmn%2Cms"&amp;"%2Cmv%2Cnh%2Cpl%2Cratebypass%2Crequiressl%2Csource%2Cexpire&amp;initcwndbps=831250&amp;pl=24&amp;c=WEB&amp;nh=%2CEAE&amp;signature=6587C191973E7D55E8CB7A804BADF1543F12B151.02A4B9D9F8BC89C2BF5875FF6F9DB0C254E3F01B","link video")</f>
        <v>link video</v>
      </c>
      <c r="D74" s="11" t="s">
        <v>30</v>
      </c>
      <c r="E74" s="17"/>
      <c r="F74" s="17"/>
      <c r="G74" s="17"/>
      <c r="H74" s="17"/>
      <c r="I74" s="17"/>
      <c r="J74" s="17"/>
      <c r="K74" s="17"/>
      <c r="L74" s="17"/>
      <c r="M74" s="6" t="s">
        <v>31</v>
      </c>
      <c r="N74" s="17"/>
      <c r="O74" s="17"/>
      <c r="P74" s="17"/>
      <c r="Q74" s="17"/>
      <c r="R74" s="17"/>
      <c r="S74" s="17"/>
      <c r="T74" s="17"/>
      <c r="U74" s="11" t="s">
        <v>38</v>
      </c>
      <c r="V74" s="11" t="s">
        <v>217</v>
      </c>
      <c r="W74" s="11" t="s">
        <v>40</v>
      </c>
      <c r="X74" s="18">
        <v>43392.0</v>
      </c>
      <c r="Y74" s="11" t="s">
        <v>34</v>
      </c>
      <c r="Z74" s="23" t="s">
        <v>218</v>
      </c>
      <c r="AA74" s="1"/>
    </row>
    <row r="75">
      <c r="A75" s="14" t="s">
        <v>219</v>
      </c>
      <c r="B75" s="24" t="str">
        <f>HYPERLINK("http://www.westkentuckystar.com/News/Local-Regional/McCracken-County/The-Wall-That-Heals-Arrives-in-Paducah-VIDEO.aspx","link pagina")</f>
        <v>link pagina</v>
      </c>
      <c r="C75" s="24" t="str">
        <f>HYPERLINK("https://r5---sn-hpa7znsk.googlevideo.com/videoplayback?expire=1540417561&amp;nh=%2CEAE&amp;itag=22&amp;mime=video%2Fmp4&amp;dur=389.375&amp;ei=uZPQW6mcBYHkhAeF2JOoBw&amp;ipbits=0&amp;requiressl=yes&amp;sparams=dur%2Cei%2Cid%2Cinitcwndbps%2Cip%2Cipbits%2Citag%2Clmt%2Cmime%2Cmm%2Cmn%2Cms%"&amp;"2Cmv%2Cnh%2Cpl%2Cratebypass%2Crequiressl%2Csource%2Cexpire&amp;signature=DBAF4EE94B96DF9B4F70B1C7C6BB01791809E918.7B29AFD9EAE8C816B8E086F5C772B3B062F58ECC&amp;id=o-AGa4N4jdkELtVEvURq2XDlkTKLogLaMEYvNNp1Tyqkjh&amp;ms=au%2Crdu&amp;mt=1540395829&amp;mv=m&amp;pl=21&amp;txp=2211222&amp;mm=31"&amp;"%2C29&amp;mn=sn-hpa7znsk%2Csn-nx5cvox-hpae7&amp;initcwndbps=876250&amp;ip=80.117.251.41&amp;key=yt6&amp;c=WEB&amp;source=youtube&amp;ratebypass=yes&amp;fvip=5&amp;lmt=1540335065351211","link video")</f>
        <v>link video</v>
      </c>
      <c r="D75" s="11" t="s">
        <v>30</v>
      </c>
      <c r="E75" s="17"/>
      <c r="F75" s="17"/>
      <c r="G75" s="17"/>
      <c r="H75" s="17"/>
      <c r="I75" s="17"/>
      <c r="J75" s="17"/>
      <c r="K75" s="17"/>
      <c r="L75" s="17"/>
      <c r="M75" s="6" t="s">
        <v>31</v>
      </c>
      <c r="N75" s="17"/>
      <c r="O75" s="17"/>
      <c r="P75" s="17"/>
      <c r="Q75" s="17"/>
      <c r="R75" s="17"/>
      <c r="S75" s="17"/>
      <c r="T75" s="17"/>
      <c r="U75" s="11" t="s">
        <v>38</v>
      </c>
      <c r="V75" s="11" t="s">
        <v>220</v>
      </c>
      <c r="W75" s="11" t="s">
        <v>40</v>
      </c>
      <c r="X75" s="18">
        <v>43396.0</v>
      </c>
      <c r="Y75" s="11" t="s">
        <v>34</v>
      </c>
      <c r="Z75" s="23" t="s">
        <v>221</v>
      </c>
      <c r="AA75" s="1"/>
    </row>
    <row r="76">
      <c r="A76" s="7" t="s">
        <v>222</v>
      </c>
      <c r="B76" s="15" t="str">
        <f>HYPERLINK("https://video.repubblica.it/cronaca/maltempo-acqua-alta-a-venezia-nel-ristorante-si-mangia-con-i-piedi-a-mollo/318336/318963?ref=RHPPBT-BS-I0-C4-P20-S1.4-F4","link pagina")</f>
        <v>link pagina</v>
      </c>
      <c r="C76" s="24" t="str">
        <f>HYPERLINK("https://media.kataweb.it/repubblicatv/file/2018/10/30/600572/600572-video-rrtv-650-ristorante_allagato3010teo.mp4","link video")</f>
        <v>link video</v>
      </c>
      <c r="D76" s="11" t="s">
        <v>30</v>
      </c>
      <c r="E76" s="17"/>
      <c r="F76" s="17"/>
      <c r="G76" s="17"/>
      <c r="H76" s="17"/>
      <c r="I76" s="17"/>
      <c r="J76" s="17"/>
      <c r="K76" s="17"/>
      <c r="L76" s="17"/>
      <c r="M76" s="17"/>
      <c r="N76" s="17"/>
      <c r="O76" s="17"/>
      <c r="P76" s="17"/>
      <c r="Q76" s="17"/>
      <c r="R76" s="17"/>
      <c r="S76" s="6" t="s">
        <v>31</v>
      </c>
      <c r="T76" s="17"/>
      <c r="U76" s="11" t="s">
        <v>95</v>
      </c>
      <c r="V76" s="11" t="s">
        <v>223</v>
      </c>
      <c r="W76" s="11" t="s">
        <v>40</v>
      </c>
      <c r="X76" s="18">
        <v>43403.0</v>
      </c>
      <c r="Y76" s="11" t="s">
        <v>61</v>
      </c>
      <c r="Z76" s="23" t="s">
        <v>224</v>
      </c>
      <c r="AA76" s="1"/>
    </row>
    <row r="77">
      <c r="A77" s="7" t="s">
        <v>225</v>
      </c>
      <c r="B77" s="15" t="str">
        <f>HYPERLINK("https://video.gazzetta.it/liga-parla-presidente-javier-tebas-noi-piu-amati-senza-cr7/f7ad373c-dc48-11e8-a48f-8de672fea597?intcmp=VideoBar&amp;vclk=VideoBar|liga-parla-presidente-javier-tebas-noi-piu-amati-senza-cr7","link pagina")</f>
        <v>link pagina</v>
      </c>
      <c r="C77" s="24" t="str">
        <f>HYPERLINK("http://media2vam.gazzetta.it.edgesuite.net/fcs.quotidiani/VAM/2018/10/30/301018ITPERFORMTEBASCR7N21540900455014287_20181030143549_300k.mp4","link video")</f>
        <v>link video</v>
      </c>
      <c r="D77" s="11" t="s">
        <v>30</v>
      </c>
      <c r="E77" s="17"/>
      <c r="F77" s="17"/>
      <c r="G77" s="17"/>
      <c r="H77" s="17"/>
      <c r="I77" s="17"/>
      <c r="J77" s="17"/>
      <c r="K77" s="17"/>
      <c r="L77" s="17"/>
      <c r="M77" s="17"/>
      <c r="N77" s="17"/>
      <c r="O77" s="6" t="s">
        <v>31</v>
      </c>
      <c r="P77" s="17"/>
      <c r="Q77" s="17"/>
      <c r="R77" s="17"/>
      <c r="S77" s="17"/>
      <c r="T77" s="17"/>
      <c r="U77" s="11" t="s">
        <v>95</v>
      </c>
      <c r="V77" s="11" t="s">
        <v>226</v>
      </c>
      <c r="W77" s="11" t="s">
        <v>40</v>
      </c>
      <c r="X77" s="18">
        <v>43403.0</v>
      </c>
      <c r="Y77" s="11" t="s">
        <v>61</v>
      </c>
      <c r="Z77" s="23" t="s">
        <v>227</v>
      </c>
      <c r="AA77" s="1"/>
    </row>
    <row r="78">
      <c r="A78" s="14" t="s">
        <v>228</v>
      </c>
      <c r="B78" s="24" t="str">
        <f>HYPERLINK("http://wqow.com/news/top-stories/2018/10/23/watch-live-search-for-evidence-in-barron-county/","link pagina")</f>
        <v>link pagina</v>
      </c>
      <c r="C78" s="15" t="str">
        <f>HYPERLINK("https://scontent-mxp1-1.xx.fbcdn.net/v/t42.9040-29/10000000_1929737043783197_8953603182487928832_n.mp4?_nc_cat=100&amp;efg=eyJ2ZW5jb2RlX3RhZyI6InNkIn0\u00253D&amp;_nc_ht=scontent-mxp1-1.xx&amp;oh=4c31e4d63a8548bd90856ae9fd72e532&amp;oe=5BD8AF70","link video")</f>
        <v>link video</v>
      </c>
      <c r="D78" s="11" t="s">
        <v>37</v>
      </c>
      <c r="E78" s="6"/>
      <c r="F78" s="17"/>
      <c r="G78" s="17"/>
      <c r="H78" s="17"/>
      <c r="I78" s="17"/>
      <c r="J78" s="17"/>
      <c r="K78" s="17"/>
      <c r="L78" s="17"/>
      <c r="M78" s="17"/>
      <c r="N78" s="17"/>
      <c r="O78" s="6" t="s">
        <v>31</v>
      </c>
      <c r="P78" s="17"/>
      <c r="Q78" s="17"/>
      <c r="R78" s="17"/>
      <c r="S78" s="17"/>
      <c r="T78" s="17"/>
      <c r="U78" s="12"/>
      <c r="V78" s="12"/>
      <c r="W78" s="12"/>
      <c r="X78" s="18">
        <v>43396.0</v>
      </c>
      <c r="Y78" s="11" t="s">
        <v>34</v>
      </c>
      <c r="Z78" s="21" t="s">
        <v>229</v>
      </c>
      <c r="AA78" s="1"/>
    </row>
    <row r="79">
      <c r="A79" s="14" t="s">
        <v>230</v>
      </c>
      <c r="B79" s="24" t="str">
        <f>HYPERLINK("https://www.mlssoccer.com/post/2018/10/25/decision-day-presented-att-preview-games-watch?autoplay=true","link pagina")</f>
        <v>link pagina</v>
      </c>
      <c r="C79" s="15" t="str">
        <f>HYPERLINK("http://bcbolt446c5271-a.akamaihd.net/media/v1/pmp4/static/clear/5530036772001/a547270d-6994-4de8-9762-70c53ecd6f39/602369a1-7047-4c7a-b7ec-8ed27e483f6c/main.mp4?akamai_token=exp=1572454469~acl=/media/v1/pmp4/static/clear/5530036772001/a547270d-6994-4de8-9"&amp;"762-70c53ecd6f39/602369a1-7047-4c7a-b7ec-8ed27e483f6c/main.mp4*~hmac=6c1312128b3ed88a66020daeba13bab9360c961b3fe134afcc4d4ca9c1abf660","link video")</f>
        <v>link video</v>
      </c>
      <c r="D79" s="11" t="s">
        <v>37</v>
      </c>
      <c r="E79" s="6"/>
      <c r="F79" s="17"/>
      <c r="G79" s="17"/>
      <c r="H79" s="17"/>
      <c r="I79" s="17"/>
      <c r="J79" s="17"/>
      <c r="K79" s="17"/>
      <c r="L79" s="17"/>
      <c r="M79" s="17"/>
      <c r="N79" s="17"/>
      <c r="O79" s="17"/>
      <c r="P79" s="6" t="s">
        <v>31</v>
      </c>
      <c r="Q79" s="17"/>
      <c r="R79" s="17"/>
      <c r="S79" s="17"/>
      <c r="T79" s="17"/>
      <c r="U79" s="11" t="s">
        <v>38</v>
      </c>
      <c r="V79" s="11" t="s">
        <v>231</v>
      </c>
      <c r="W79" s="11" t="s">
        <v>40</v>
      </c>
      <c r="X79" s="18">
        <v>43399.0</v>
      </c>
      <c r="Y79" s="11" t="s">
        <v>34</v>
      </c>
      <c r="Z79" s="13" t="s">
        <v>232</v>
      </c>
      <c r="AA79" s="1"/>
    </row>
    <row r="80">
      <c r="A80" s="14" t="s">
        <v>233</v>
      </c>
      <c r="B80" s="24" t="str">
        <f>HYPERLINK("https://www.pinkvilla.com/video-zone","link pagina")</f>
        <v>link pagina</v>
      </c>
      <c r="C80" s="24" t="str">
        <f>HYPERLINK("https://r5---sn-hpa7znsk.googlevideo.com/videoplayback?ei=aDLTW-rADYOR1gLXyJHQCA&amp;ip=82.60.201.50&amp;initcwndbps=862500&amp;sparams=dur%2Cei%2Cid%2Cinitcwndbps%2Cip%2Cipbits%2Citag%2Clmt%2Cmime%2Cmm%2Cmn%2Cms%2Cmv%2Cnh%2Cpl%2Cratebypass%2Crequiressl%2Csource%2Cex"&amp;"pire&amp;id=o-AF5a4jc0ii-rl7WPgJ4ojDvLwTo-qXQiSwgRvilNDSfz&amp;c=WEB&amp;ratebypass=yes&amp;mn=sn-hpa7znsk%2Csn-nx5cvox-hpae7&amp;mm=31%2C29&amp;source=youtube&amp;ms=au%2Crdu&amp;mv=m&amp;mt=1540567546&amp;dur=235.543&amp;ipbits=0&amp;key=yt6&amp;itag=22&amp;mime=video%2Fmp4&amp;beids=9466585&amp;txp=5431432&amp;signatur"&amp;"e=140E51BE0B8F976F9E32007EAD601ADC4058BE19.6B471891EFB7EC2223A199825B6C918A38928CF1&amp;lmt=1540389232346715&amp;nh=%2CEAI&amp;expire=1540589256&amp;fvip=12&amp;requiressl=yes&amp;pl=16","link video")</f>
        <v>link video</v>
      </c>
      <c r="D80" s="11" t="s">
        <v>37</v>
      </c>
      <c r="E80" s="17"/>
      <c r="F80" s="17"/>
      <c r="G80" s="17"/>
      <c r="H80" s="17"/>
      <c r="I80" s="17"/>
      <c r="J80" s="17"/>
      <c r="K80" s="17"/>
      <c r="L80" s="17"/>
      <c r="M80" s="6" t="s">
        <v>31</v>
      </c>
      <c r="N80" s="17"/>
      <c r="O80" s="17"/>
      <c r="P80" s="17"/>
      <c r="Q80" s="17"/>
      <c r="R80" s="17"/>
      <c r="S80" s="17"/>
      <c r="T80" s="17"/>
      <c r="U80" s="11" t="s">
        <v>38</v>
      </c>
      <c r="V80" s="11" t="s">
        <v>234</v>
      </c>
      <c r="W80" s="11" t="s">
        <v>40</v>
      </c>
      <c r="X80" s="18">
        <v>43397.0</v>
      </c>
      <c r="Y80" s="11" t="s">
        <v>34</v>
      </c>
      <c r="Z80" s="23" t="s">
        <v>235</v>
      </c>
      <c r="AA80" s="1"/>
    </row>
    <row r="81">
      <c r="A81" s="14" t="s">
        <v>236</v>
      </c>
      <c r="B81" s="24" t="str">
        <f>HYPERLINK("https://www.chattanoogan.com/2018/10/14/378016/VIDEO-Kareem-Orr-Grabs-Interception.aspx","link pagina")</f>
        <v>link pagina</v>
      </c>
      <c r="C81" s="24" t="str">
        <f>HYPERLINK("https://r3---sn-hpa7zns6.googlevideo.com/videoplayback?lmt=1539561048622067&amp;c=WEB&amp;ei=WzTTW7e8KMSFxgL4h7fAAQ&amp;expire=1540589755&amp;ipbits=0&amp;mm=31%2C29&amp;mn=sn-hpa7zns6%2Csn-nx5cvox-hpay&amp;itag=22&amp;fvip=3&amp;dur=42.422&amp;id=o-AOJdb1LOZzHS-6NCLTA1Leoag81jtrTNarPmv9UGsR-x&amp;"&amp;"initcwndbps=841250&amp;pl=16&amp;source=youtube&amp;mv=m&amp;mime=video%2Fmp4&amp;ms=au%2Crdu&amp;ip=82.60.201.50&amp;mt=1540568044&amp;ratebypass=yes&amp;requiressl=yes&amp;nh=%2CEAE&amp;sparams=dur%2Cei%2Cid%2Cinitcwndbps%2Cip%2Cipbits%2Citag%2Clmt%2Cmime%2Cmm%2Cmn%2Cms%2Cmv%2Cnh%2Cpl%2Cratebypas"&amp;"s%2Crequiressl%2Csource%2Cexpire&amp;txp=2211222&amp;key=yt6&amp;signature=C16CE2BF0A4169A0ABD5C42C802046570534253E.AFBF9A65474569386553443074D59D1A08D4ED60","link video")</f>
        <v>link video</v>
      </c>
      <c r="D81" s="11" t="s">
        <v>30</v>
      </c>
      <c r="E81" s="17"/>
      <c r="F81" s="17"/>
      <c r="G81" s="17"/>
      <c r="H81" s="17"/>
      <c r="I81" s="17"/>
      <c r="J81" s="17"/>
      <c r="K81" s="17"/>
      <c r="L81" s="17"/>
      <c r="M81" s="6" t="s">
        <v>31</v>
      </c>
      <c r="N81" s="17"/>
      <c r="O81" s="17"/>
      <c r="P81" s="17"/>
      <c r="Q81" s="17"/>
      <c r="R81" s="17"/>
      <c r="S81" s="17"/>
      <c r="T81" s="17"/>
      <c r="U81" s="11" t="s">
        <v>38</v>
      </c>
      <c r="V81" s="11" t="s">
        <v>237</v>
      </c>
      <c r="W81" s="11" t="s">
        <v>40</v>
      </c>
      <c r="X81" s="18">
        <v>43387.0</v>
      </c>
      <c r="Y81" s="11" t="s">
        <v>34</v>
      </c>
      <c r="Z81" s="23" t="s">
        <v>238</v>
      </c>
      <c r="AA81" s="1"/>
    </row>
    <row r="82">
      <c r="A82" s="14" t="s">
        <v>239</v>
      </c>
      <c r="B82" s="24" t="str">
        <f>HYPERLINK("https://www.cnet.com/cnet-top-5/","link pagina")</f>
        <v>link pagina</v>
      </c>
      <c r="C82" s="24" t="str">
        <f>HYPERLINK("https://cnetmedia-a.akamaihd.net//21923//2018//10//12//1342763075833//t5p3dontbuy_1682431_740.mp4","link video")</f>
        <v>link video</v>
      </c>
      <c r="D82" s="11" t="s">
        <v>30</v>
      </c>
      <c r="E82" s="17"/>
      <c r="F82" s="17"/>
      <c r="G82" s="17"/>
      <c r="H82" s="6" t="s">
        <v>31</v>
      </c>
      <c r="I82" s="17"/>
      <c r="J82" s="17"/>
      <c r="K82" s="17"/>
      <c r="L82" s="17"/>
      <c r="M82" s="17"/>
      <c r="N82" s="17"/>
      <c r="O82" s="17"/>
      <c r="P82" s="17"/>
      <c r="Q82" s="17"/>
      <c r="R82" s="17"/>
      <c r="S82" s="17"/>
      <c r="T82" s="17"/>
      <c r="U82" s="12"/>
      <c r="V82" s="11" t="s">
        <v>240</v>
      </c>
      <c r="W82" s="11" t="s">
        <v>40</v>
      </c>
      <c r="X82" s="18">
        <v>43388.0</v>
      </c>
      <c r="Y82" s="11" t="s">
        <v>34</v>
      </c>
      <c r="Z82" s="23" t="s">
        <v>241</v>
      </c>
      <c r="AA82" s="1"/>
    </row>
    <row r="83">
      <c r="A83" s="14" t="s">
        <v>242</v>
      </c>
      <c r="B83" s="24" t="str">
        <f>HYPERLINK("https://www.cjonline.com/videos","link pagina")</f>
        <v>link pagina</v>
      </c>
      <c r="C83" s="15" t="str">
        <f>HYPERLINK("https://r4---sn-hpa7zns6.googlevideo.com/videoplayback?mv=m&amp;mt=1540570445&amp;ms=au%2Crdu&amp;source=youtube&amp;mn=sn-hpa7zns6%2Csn-nx5cvox-hpay&amp;pl=16&amp;mm=31%2C29&amp;requiressl=yes&amp;dur=144.195&amp;id=o-ABPuKRDJTg8busTs17htpR344NOhj1YZhA2cRn-PjTkV&amp;fvip=11&amp;ratebypass=yes&amp;c=WE"&amp;"B&amp;txp=2211222&amp;signature=9C6398DF12B0BB40D358A0A4792C82A002942552.63704B46E96849668B0FB39366E402A36626B7A8&amp;ei=5z3TW-2kJcL2gAfg1K-YAQ&amp;ip=82.60.201.50&amp;nh=%2CEAI&amp;itag=22&amp;key=yt6&amp;mime=video%2Fmp4&amp;expire=1540592199&amp;ipbits=0&amp;sparams=dur%2Cei%2Cid%2Cinitcwndbps%2"&amp;"Cip%2Cipbits%2Citag%2Clmt%2Cmime%2Cmm%2Cmn%2Cms%2Cmv%2Cnh%2Cpl%2Cratebypass%2Crequiressl%2Csource%2Cexpire&amp;initcwndbps=826250&amp;lmt=1540410028896860","link video")</f>
        <v>link video</v>
      </c>
      <c r="D83" s="11" t="s">
        <v>30</v>
      </c>
      <c r="E83" s="17"/>
      <c r="F83" s="17"/>
      <c r="G83" s="17"/>
      <c r="H83" s="17"/>
      <c r="I83" s="17"/>
      <c r="J83" s="17"/>
      <c r="K83" s="17"/>
      <c r="L83" s="17"/>
      <c r="M83" s="6" t="s">
        <v>31</v>
      </c>
      <c r="N83" s="17"/>
      <c r="O83" s="17"/>
      <c r="P83" s="17"/>
      <c r="Q83" s="17"/>
      <c r="R83" s="17"/>
      <c r="S83" s="17"/>
      <c r="T83" s="17"/>
      <c r="U83" s="11" t="s">
        <v>38</v>
      </c>
      <c r="V83" s="11" t="s">
        <v>243</v>
      </c>
      <c r="W83" s="11" t="s">
        <v>40</v>
      </c>
      <c r="X83" s="18">
        <v>43397.0</v>
      </c>
      <c r="Y83" s="11" t="s">
        <v>34</v>
      </c>
      <c r="Z83" s="23" t="s">
        <v>244</v>
      </c>
      <c r="AA83" s="1"/>
    </row>
    <row r="84">
      <c r="A84" s="7" t="s">
        <v>245</v>
      </c>
      <c r="B84" s="15" t="str">
        <f>HYPERLINK("https://stream24.ilsole24ore.com/","link pagina")</f>
        <v>link pagina</v>
      </c>
      <c r="C84" s="24" t="str">
        <f>HYPERLINK("http://brightcove.vo.llnwd.net/v1/uds/pd/18140046001/201810/135/18140046001_5853872610001_5853868891001.mp4?pubId=18140046001&amp;videoId=5853868891001","link video")</f>
        <v>link video</v>
      </c>
      <c r="D84" s="11" t="s">
        <v>30</v>
      </c>
      <c r="E84" s="17"/>
      <c r="F84" s="17"/>
      <c r="G84" s="17"/>
      <c r="H84" s="17"/>
      <c r="I84" s="17"/>
      <c r="J84" s="17"/>
      <c r="K84" s="17"/>
      <c r="L84" s="17"/>
      <c r="M84" s="17"/>
      <c r="N84" s="17"/>
      <c r="O84" s="17"/>
      <c r="P84" s="6" t="s">
        <v>31</v>
      </c>
      <c r="Q84" s="17"/>
      <c r="R84" s="17"/>
      <c r="S84" s="17"/>
      <c r="T84" s="17"/>
      <c r="U84" s="11" t="s">
        <v>246</v>
      </c>
      <c r="V84" s="11" t="s">
        <v>247</v>
      </c>
      <c r="W84" s="11" t="s">
        <v>40</v>
      </c>
      <c r="X84" s="18">
        <v>43400.0</v>
      </c>
      <c r="Y84" s="11" t="s">
        <v>61</v>
      </c>
      <c r="Z84" s="23" t="s">
        <v>248</v>
      </c>
      <c r="AA84" s="1"/>
    </row>
    <row r="85">
      <c r="A85" s="14" t="s">
        <v>249</v>
      </c>
      <c r="B85" s="24" t="str">
        <f>HYPERLINK("https://www.thedailybeast.com/bansky-releases-new-video-showing-his-shredding-frame-didnt-work-properly","link pagina")</f>
        <v>link pagina</v>
      </c>
      <c r="C85" s="24" t="str">
        <f>HYPERLINK("https://r4---sn-hpa7znsk.googlevideo.com/videoplayback?itag=22&amp;ipbits=0&amp;mm=31%2C29&amp;mn=sn-hpa7znsk%2Csn-nx5cvox-hpay&amp;source=youtube&amp;mv=m&amp;mime=video%2Fmp4&amp;signature=C79CAFEC05A277D5B72D6C5722F712929533E926.DCB3CB3538968CBFBAE85FE7711959B1F8A81620&amp;ms=au%2Crd"&amp;"u&amp;fvip=6&amp;dur=177.330&amp;id=o-APeY9vHtT3i1UpxQ8fezZUf0WKrMI_hxxRa6BT7RmRsQ&amp;initcwndbps=831250&amp;pl=16&amp;c=WEB&amp;ei=qT_TW7fGG8n_gAf5vZSwDg&amp;lmt=1540236184092344&amp;ip=82.60.201.50&amp;expire=1540592649&amp;nh=%2CEAI&amp;sparams=dur%2Cei%2Cid%2Cinitcwndbps%2Cip%2Cipbits%2Citag%2Clmt"&amp;"%2Cmime%2Cmm%2Cmn%2Cms%2Cmv%2Cnh%2Cpl%2Cratebypass%2Crequiressl%2Csource%2Cexpire&amp;requiressl=yes&amp;key=yt6&amp;txp=5531432&amp;mt=1540570915&amp;ratebypass=yes","link video")</f>
        <v>link video</v>
      </c>
      <c r="D85" s="11" t="s">
        <v>37</v>
      </c>
      <c r="E85" s="17"/>
      <c r="F85" s="17"/>
      <c r="G85" s="17"/>
      <c r="H85" s="17"/>
      <c r="I85" s="17"/>
      <c r="J85" s="17"/>
      <c r="K85" s="17"/>
      <c r="L85" s="17"/>
      <c r="M85" s="6" t="s">
        <v>31</v>
      </c>
      <c r="N85" s="17"/>
      <c r="O85" s="17"/>
      <c r="P85" s="17"/>
      <c r="Q85" s="17"/>
      <c r="R85" s="17"/>
      <c r="S85" s="17"/>
      <c r="T85" s="17"/>
      <c r="U85" s="11" t="s">
        <v>38</v>
      </c>
      <c r="V85" s="11" t="s">
        <v>250</v>
      </c>
      <c r="W85" s="11" t="s">
        <v>40</v>
      </c>
      <c r="X85" s="18">
        <v>43390.0</v>
      </c>
      <c r="Y85" s="11" t="s">
        <v>34</v>
      </c>
      <c r="Z85" s="23" t="s">
        <v>251</v>
      </c>
      <c r="AA85" s="1"/>
    </row>
    <row r="86">
      <c r="A86" s="14" t="s">
        <v>252</v>
      </c>
      <c r="B86" s="24" t="str">
        <f>HYPERLINK("https://www.uticaod.com/videos","link pagina")</f>
        <v>link pagina</v>
      </c>
      <c r="C86" s="24" t="str">
        <f>HYPERLINK("https://r6---sn-hpa7zns7.googlevideo.com/videoplayback?c=WEB&amp;signature=5BDB87611BA7B7B6765041C094F16EC8D3E6A873.71FB33775769AAD3120B6A55BFE8A22413EEA6F9&amp;mm=31%2C29&amp;sparams=dur%2Cei%2Cid%2Cinitcwndbps%2Cip%2Cipbits%2Citag%2Clmt%2Cmime%2Cmm%2Cmn%2Cms%2Cmv%2"&amp;"Cnh%2Cpl%2Cratebypass%2Crequiressl%2Csource%2Cexpire&amp;id=o-ADQ1A7q5kroGpKGHljC8hJUZsZIYnAbTURo0PuudA9bc&amp;mv=m&amp;mt=1540572046&amp;ms=au%2Crdu&amp;ip=82.60.201.50&amp;ratebypass=yes&amp;source=youtube&amp;expire=1540593783&amp;lmt=1540569858104440&amp;mn=sn-hpa7zns7%2Csn-nx5cvox-hpay&amp;mim"&amp;"e=video%2Fmp4&amp;nh=%2CEAE&amp;key=yt6&amp;dur=1096.748&amp;pl=16&amp;initcwndbps=811250&amp;ipbits=0&amp;txp=2311222&amp;fvip=13&amp;itag=22&amp;requiressl=yes&amp;ei=F0TTW9bmGo6D1gLS1Ki4Aw","link video")</f>
        <v>link video</v>
      </c>
      <c r="D86" s="11" t="s">
        <v>30</v>
      </c>
      <c r="E86" s="17"/>
      <c r="F86" s="17"/>
      <c r="G86" s="17"/>
      <c r="H86" s="17"/>
      <c r="I86" s="17"/>
      <c r="J86" s="17"/>
      <c r="K86" s="17"/>
      <c r="L86" s="17"/>
      <c r="M86" s="6" t="s">
        <v>31</v>
      </c>
      <c r="N86" s="17"/>
      <c r="O86" s="17"/>
      <c r="P86" s="17"/>
      <c r="Q86" s="17"/>
      <c r="R86" s="17"/>
      <c r="S86" s="17"/>
      <c r="T86" s="17"/>
      <c r="U86" s="11" t="s">
        <v>38</v>
      </c>
      <c r="V86" s="11" t="s">
        <v>253</v>
      </c>
      <c r="W86" s="11" t="s">
        <v>40</v>
      </c>
      <c r="X86" s="18">
        <v>43399.0</v>
      </c>
      <c r="Y86" s="11" t="s">
        <v>34</v>
      </c>
      <c r="Z86" s="23" t="s">
        <v>254</v>
      </c>
      <c r="AA86" s="1"/>
    </row>
    <row r="87">
      <c r="A87" s="14" t="s">
        <v>255</v>
      </c>
      <c r="B87" s="24" t="str">
        <f>HYPERLINK("https://www.cinemablend.com/television/2460183/deleted-gotham-image-is-possible-sign-of-jeremiahs-joker-transformation","link pagina")</f>
        <v>link pagina</v>
      </c>
      <c r="C87" s="24" t="str">
        <f>HYPERLINK("https://content.jwplatform.com/videos/1bzi5WsX-yxZw8YpU.mp4","link video")</f>
        <v>link video</v>
      </c>
      <c r="D87" s="11" t="s">
        <v>37</v>
      </c>
      <c r="E87" s="17"/>
      <c r="F87" s="17"/>
      <c r="G87" s="17"/>
      <c r="H87" s="17"/>
      <c r="I87" s="17"/>
      <c r="J87" s="17"/>
      <c r="K87" s="17"/>
      <c r="L87" s="17"/>
      <c r="M87" s="17"/>
      <c r="N87" s="17"/>
      <c r="O87" s="17"/>
      <c r="P87" s="6" t="s">
        <v>31</v>
      </c>
      <c r="Q87" s="17"/>
      <c r="R87" s="17"/>
      <c r="S87" s="17"/>
      <c r="T87" s="17"/>
      <c r="U87" s="11" t="s">
        <v>38</v>
      </c>
      <c r="V87" s="11" t="s">
        <v>256</v>
      </c>
      <c r="W87" s="11" t="s">
        <v>40</v>
      </c>
      <c r="X87" s="18">
        <v>43399.0</v>
      </c>
      <c r="Y87" s="11" t="s">
        <v>34</v>
      </c>
      <c r="Z87" s="34" t="s">
        <v>257</v>
      </c>
      <c r="AA87" s="1"/>
    </row>
    <row r="88">
      <c r="A88" s="7" t="s">
        <v>258</v>
      </c>
      <c r="B88" s="15" t="str">
        <f>HYPERLINK("http://www.chinadaily.com.cn/a/201810/26/WS5bd2cf82a310eff303284d51.html","link pagina")</f>
        <v>link pagina</v>
      </c>
      <c r="C88" s="9" t="s">
        <v>29</v>
      </c>
      <c r="D88" s="11" t="s">
        <v>30</v>
      </c>
      <c r="E88" s="6" t="s">
        <v>31</v>
      </c>
      <c r="F88" s="17"/>
      <c r="G88" s="17"/>
      <c r="H88" s="17"/>
      <c r="I88" s="17"/>
      <c r="J88" s="17"/>
      <c r="K88" s="17"/>
      <c r="L88" s="17"/>
      <c r="M88" s="17"/>
      <c r="N88" s="17"/>
      <c r="O88" s="17"/>
      <c r="P88" s="17"/>
      <c r="Q88" s="17"/>
      <c r="R88" s="17"/>
      <c r="S88" s="17"/>
      <c r="T88" s="17"/>
      <c r="U88" s="12"/>
      <c r="V88" s="12"/>
      <c r="W88" s="12"/>
      <c r="X88" s="12"/>
      <c r="Y88" s="12"/>
      <c r="Z88" s="27"/>
      <c r="AA88" s="1"/>
    </row>
    <row r="89">
      <c r="A89" s="14" t="s">
        <v>259</v>
      </c>
      <c r="B89" s="24" t="str">
        <f>HYPERLINK("https://www.clickondetroit.com/michigan-elections/former-president-obama-campaigns-for-michigan-democrats-in-detroit","link pagina")</f>
        <v>link pagina</v>
      </c>
      <c r="C89" s="24" t="str">
        <f>HYPERLINK("https://cdnapisec.kaltura.com/p/2031091/sp/203109100/playManifest/entryId/0_3n0xnv0e/flavorIds/0_ya1m9w7c,0_6qz9c1x8/format/applehttp/protocol/https/a.m3u8?referrer=aHR0cHM6Ly93d3cuY2xpY2tvbmRldHJvaXQuY29t&amp;playSessionId=c4af84ec-9b20-946c-b526-891d1789d04"&amp;"7&amp;clientTag=html5:v2.72&amp;deliveryCode=141039&amp;uiConfId=32105331","link video")</f>
        <v>link video</v>
      </c>
      <c r="D89" s="11" t="s">
        <v>30</v>
      </c>
      <c r="E89" s="17"/>
      <c r="F89" s="17"/>
      <c r="G89" s="17"/>
      <c r="H89" s="17"/>
      <c r="I89" s="17"/>
      <c r="J89" s="17"/>
      <c r="K89" s="17"/>
      <c r="L89" s="17"/>
      <c r="M89" s="17"/>
      <c r="N89" s="17"/>
      <c r="O89" s="17"/>
      <c r="P89" s="6" t="s">
        <v>31</v>
      </c>
      <c r="Q89" s="17"/>
      <c r="R89" s="17"/>
      <c r="S89" s="17"/>
      <c r="T89" s="17"/>
      <c r="U89" s="12"/>
      <c r="V89" s="12"/>
      <c r="W89" s="12"/>
      <c r="X89" s="18">
        <v>43400.0</v>
      </c>
      <c r="Y89" s="11" t="s">
        <v>34</v>
      </c>
      <c r="Z89" s="23" t="s">
        <v>260</v>
      </c>
      <c r="AA89" s="1"/>
    </row>
    <row r="90">
      <c r="A90" s="14" t="s">
        <v>261</v>
      </c>
      <c r="B90" s="24" t="str">
        <f>HYPERLINK("http://www.raycomnewsnetwork.com/story/39171957/video-shows-dominos-self-driving-delivery-car-in-action","link pagina")</f>
        <v>link pagina</v>
      </c>
      <c r="C90" s="9" t="s">
        <v>29</v>
      </c>
      <c r="D90" s="11" t="s">
        <v>30</v>
      </c>
      <c r="E90" s="6" t="s">
        <v>31</v>
      </c>
      <c r="F90" s="17"/>
      <c r="G90" s="17"/>
      <c r="H90" s="17"/>
      <c r="I90" s="17"/>
      <c r="J90" s="17"/>
      <c r="K90" s="17"/>
      <c r="L90" s="17"/>
      <c r="M90" s="17"/>
      <c r="N90" s="17"/>
      <c r="O90" s="17"/>
      <c r="P90" s="17"/>
      <c r="Q90" s="17"/>
      <c r="R90" s="17"/>
      <c r="S90" s="17"/>
      <c r="T90" s="17"/>
      <c r="U90" s="12"/>
      <c r="V90" s="12"/>
      <c r="W90" s="12"/>
      <c r="X90" s="25">
        <v>43368.0</v>
      </c>
      <c r="Y90" s="11" t="s">
        <v>34</v>
      </c>
      <c r="Z90" s="23" t="s">
        <v>262</v>
      </c>
      <c r="AA90" s="1"/>
    </row>
    <row r="91">
      <c r="A91" s="7" t="s">
        <v>263</v>
      </c>
      <c r="B91" s="15" t="str">
        <f>HYPERLINK("https://timesofindia.indiatimes.com/videos/news/ease-of-doing-business-india-jumps-23-spots-now-ranks-77/videoshow/66448603.cms","link pagina")</f>
        <v>link pagina</v>
      </c>
      <c r="C91" s="24" t="str">
        <f>HYPERLINK("http://slike.s.llnwi.net/v/1x/n5/1xn5dahgzu/9ab62607e2_F30_480p_900.mp4","link video")</f>
        <v>link video</v>
      </c>
      <c r="D91" s="11" t="s">
        <v>37</v>
      </c>
      <c r="E91" s="17"/>
      <c r="F91" s="17"/>
      <c r="G91" s="17"/>
      <c r="H91" s="17"/>
      <c r="I91" s="17"/>
      <c r="J91" s="17"/>
      <c r="K91" s="17"/>
      <c r="L91" s="17"/>
      <c r="M91" s="17"/>
      <c r="N91" s="17"/>
      <c r="O91" s="17"/>
      <c r="P91" s="17"/>
      <c r="Q91" s="6" t="s">
        <v>31</v>
      </c>
      <c r="R91" s="17"/>
      <c r="S91" s="17"/>
      <c r="T91" s="17"/>
      <c r="U91" s="12"/>
      <c r="V91" s="11" t="s">
        <v>264</v>
      </c>
      <c r="W91" s="11" t="s">
        <v>40</v>
      </c>
      <c r="X91" s="18">
        <v>43404.0</v>
      </c>
      <c r="Y91" s="11" t="s">
        <v>34</v>
      </c>
      <c r="Z91" s="23" t="s">
        <v>265</v>
      </c>
      <c r="AA91" s="1"/>
    </row>
    <row r="92">
      <c r="A92" s="14" t="s">
        <v>266</v>
      </c>
      <c r="B92" s="24" t="str">
        <f>HYPERLINK("https://www.hotnewhiphop.com/mick-jenkins-stresses-the-importance-of-language-on-between-the-lines-new-video.44580.html","link pagina")</f>
        <v>link pagina</v>
      </c>
      <c r="C92" s="24" t="str">
        <f>HYPERLINK("https://r4---sn-hpa7zn76.googlevideo.com/videoplayback?signature=AB076792048DE372BC26F32776DACE61007D2491.AC8AC293B0E924C9D138FEE3FAA46AC724A59350&amp;pl=16&amp;id=o-ANcF0sAqfs73lV_RuXR68CWuoaRZgmRiFv3hFkiJzen4&amp;mn=sn-hpa7zn76%2Csn-nx5cvox-hpay&amp;mm=31%2C29&amp;ms=au%2C"&amp;"rdu&amp;mv=m&amp;sparams=dur%2Cei%2Cid%2Cinitcwndbps%2Cip%2Cipbits%2Citag%2Clmt%2Cmime%2Cmm%2Cmn%2Cms%2Cmv%2Cnh%2Cpl%2Cratebypass%2Crequiressl%2Csource%2Cexpire&amp;mt=1540633693&amp;requiressl=yes&amp;ip=82.60.201.50&amp;expire=1540655347&amp;ratebypass=yes&amp;fvip=16&amp;dur=689.539&amp;ipbi"&amp;"ts=0&amp;itag=22&amp;key=yt6&amp;mime=video%2Fmp4&amp;nh=%2CEAI&amp;txp=5431432&amp;ei=kjTUW8OeOYWn1gK10IfQBA&amp;c=WEB&amp;lmt=1540606897004581&amp;source=youtube&amp;initcwndbps=846250","link video")</f>
        <v>link video</v>
      </c>
      <c r="D92" s="11" t="s">
        <v>30</v>
      </c>
      <c r="E92" s="17"/>
      <c r="F92" s="17"/>
      <c r="G92" s="17"/>
      <c r="H92" s="17"/>
      <c r="I92" s="17"/>
      <c r="J92" s="17"/>
      <c r="K92" s="17"/>
      <c r="L92" s="17"/>
      <c r="M92" s="6" t="s">
        <v>31</v>
      </c>
      <c r="N92" s="17"/>
      <c r="O92" s="17"/>
      <c r="P92" s="17"/>
      <c r="Q92" s="17"/>
      <c r="R92" s="17"/>
      <c r="S92" s="17"/>
      <c r="T92" s="17"/>
      <c r="U92" s="11" t="s">
        <v>38</v>
      </c>
      <c r="V92" s="11" t="s">
        <v>267</v>
      </c>
      <c r="W92" s="11" t="s">
        <v>40</v>
      </c>
      <c r="X92" s="18">
        <v>43399.0</v>
      </c>
      <c r="Y92" s="11" t="s">
        <v>34</v>
      </c>
      <c r="Z92" s="23" t="s">
        <v>268</v>
      </c>
      <c r="AA92" s="1"/>
    </row>
    <row r="93">
      <c r="A93" s="14" t="s">
        <v>269</v>
      </c>
      <c r="B93" s="24" t="str">
        <f>HYPERLINK("http://www.pireport.org/articles/2017/03/14/grappling-bomb-britain%E2%80%99s-nuclear-testing-kiribati","link pagina")</f>
        <v>link pagina</v>
      </c>
      <c r="C93" s="24" t="str">
        <f>HYPERLINK("https://fpdl.vimeocdn.com/vimeo-prod-skyfire-std-us/01/1647/8/208239150/711282607.mp4?token=1540648942-0xdcf5fa132027a4562f2bda6b01dbd9e8614f53a0","link video")</f>
        <v>link video</v>
      </c>
      <c r="D93" s="11" t="s">
        <v>30</v>
      </c>
      <c r="E93" s="17"/>
      <c r="F93" s="17"/>
      <c r="G93" s="17"/>
      <c r="H93" s="17"/>
      <c r="I93" s="17"/>
      <c r="J93" s="17"/>
      <c r="K93" s="17"/>
      <c r="L93" s="17"/>
      <c r="M93" s="17"/>
      <c r="N93" s="17"/>
      <c r="O93" s="6" t="s">
        <v>31</v>
      </c>
      <c r="P93" s="17"/>
      <c r="Q93" s="17"/>
      <c r="R93" s="17"/>
      <c r="S93" s="17"/>
      <c r="T93" s="17"/>
      <c r="U93" s="11" t="s">
        <v>270</v>
      </c>
      <c r="V93" s="11" t="s">
        <v>271</v>
      </c>
      <c r="W93" s="11" t="s">
        <v>40</v>
      </c>
      <c r="X93" s="25">
        <v>42808.0</v>
      </c>
      <c r="Y93" s="11" t="s">
        <v>34</v>
      </c>
      <c r="Z93" s="23" t="s">
        <v>272</v>
      </c>
      <c r="AA93" s="1"/>
    </row>
    <row r="94">
      <c r="A94" s="14" t="s">
        <v>273</v>
      </c>
      <c r="B94" s="24" t="str">
        <f>HYPERLINK("http://www.advertisernewsnorth.com/","link pagina")</f>
        <v>link pagina</v>
      </c>
      <c r="C94" s="24" t="str">
        <f>HYPERLINK("https://r4---sn-hpa7zns7.googlevideo.com/videoplayback?ms=au%2Crdu&amp;fvip=8&amp;mv=m&amp;sparams=dur%2Cei%2Cid%2Cinitcwndbps%2Cip%2Cipbits%2Citag%2Clmt%2Cmime%2Cmm%2Cmn%2Cms%2Cmv%2Cnh%2Cpl%2Cratebypass%2Crequiressl%2Csource%2Cexpire&amp;mt=1540635083&amp;pl=16&amp;mime=video%2"&amp;"Fmp4&amp;id=o-AJjoFZt-c3_hd_nbkh-T-QLnUCC1vj2bygqt078xsbBi&amp;mn=sn-hpa7zns7%2Csn-nx5cvox-hpae7&amp;key=yt6&amp;ip=82.60.201.50&amp;expire=1540656778&amp;ei=KjrUW9SBFYfi1gLZsLa4CA&amp;mm=31%2C29&amp;itag=22&amp;requiressl=yes&amp;signature=8784163BC2B3C282706E318A271BA37C25E0DA86.C87A6967D6AD6"&amp;"E58FEDCCF57C99D3684AFE3451C&amp;initcwndbps=831250&amp;source=youtube&amp;dur=95.573&amp;nh=%2CEAE&amp;ipbits=0&amp;c=WEB&amp;ratebypass=yes&amp;lmt=1521032032868764","link video")</f>
        <v>link video</v>
      </c>
      <c r="D94" s="11" t="s">
        <v>30</v>
      </c>
      <c r="E94" s="17"/>
      <c r="F94" s="17"/>
      <c r="G94" s="17"/>
      <c r="H94" s="17"/>
      <c r="I94" s="17"/>
      <c r="J94" s="17"/>
      <c r="K94" s="17"/>
      <c r="L94" s="17"/>
      <c r="M94" s="6" t="s">
        <v>31</v>
      </c>
      <c r="N94" s="17"/>
      <c r="O94" s="17"/>
      <c r="P94" s="17"/>
      <c r="Q94" s="17"/>
      <c r="R94" s="17"/>
      <c r="S94" s="17"/>
      <c r="T94" s="17"/>
      <c r="U94" s="11" t="s">
        <v>38</v>
      </c>
      <c r="V94" s="11" t="s">
        <v>274</v>
      </c>
      <c r="W94" s="11" t="s">
        <v>40</v>
      </c>
      <c r="X94" s="25">
        <v>43125.0</v>
      </c>
      <c r="Y94" s="11" t="s">
        <v>34</v>
      </c>
      <c r="Z94" s="23" t="s">
        <v>275</v>
      </c>
      <c r="AA94" s="1"/>
    </row>
    <row r="95">
      <c r="A95" s="7" t="s">
        <v>276</v>
      </c>
      <c r="B95" s="15" t="str">
        <f>HYPERLINK("https://www.ft.com/video/818d6b08-093f-4a0a-bd10-17a4089cafed?playlist-name=editors-picks&amp;playlist-offset=0","link pagina")</f>
        <v>link pagina</v>
      </c>
      <c r="C95" s="24" t="str">
        <f>HYPERLINK("https://next-media-api.ft.com/renditions/15409082921300/1920x1080.mp4","link video")</f>
        <v>link video</v>
      </c>
      <c r="D95" s="11" t="s">
        <v>37</v>
      </c>
      <c r="E95" s="17"/>
      <c r="F95" s="6" t="s">
        <v>31</v>
      </c>
      <c r="G95" s="17"/>
      <c r="H95" s="17"/>
      <c r="I95" s="17"/>
      <c r="J95" s="17"/>
      <c r="K95" s="17"/>
      <c r="L95" s="17"/>
      <c r="M95" s="17"/>
      <c r="N95" s="17"/>
      <c r="O95" s="17"/>
      <c r="P95" s="17"/>
      <c r="Q95" s="17"/>
      <c r="R95" s="17"/>
      <c r="S95" s="17"/>
      <c r="T95" s="17"/>
      <c r="U95" s="11" t="s">
        <v>277</v>
      </c>
      <c r="V95" s="11" t="s">
        <v>278</v>
      </c>
      <c r="W95" s="11" t="s">
        <v>40</v>
      </c>
      <c r="X95" s="18">
        <v>43403.0</v>
      </c>
      <c r="Y95" s="11" t="s">
        <v>34</v>
      </c>
      <c r="Z95" s="23" t="s">
        <v>279</v>
      </c>
      <c r="AA95" s="1"/>
    </row>
    <row r="96">
      <c r="A96" s="14" t="s">
        <v>280</v>
      </c>
      <c r="B96" s="24" t="str">
        <f>HYPERLINK("https://www.keyt.com/video","link pagina")</f>
        <v>link pagina</v>
      </c>
      <c r="C96" s="24" t="str">
        <f>HYPERLINK("http://x-default-stgec.uplynk.com/ausw/slices/a9d/53c35912efb747cabc634f45d7ef5087/a9dfa295d1c4469896be807912d53cde/a9dfa295d1c4469896be807912d53cde_g.mp4","link video")</f>
        <v>link video</v>
      </c>
      <c r="D96" s="11" t="s">
        <v>30</v>
      </c>
      <c r="E96" s="17"/>
      <c r="F96" s="17"/>
      <c r="G96" s="17"/>
      <c r="H96" s="17"/>
      <c r="I96" s="17"/>
      <c r="J96" s="17"/>
      <c r="K96" s="17"/>
      <c r="L96" s="17"/>
      <c r="M96" s="17"/>
      <c r="N96" s="17"/>
      <c r="O96" s="6" t="s">
        <v>31</v>
      </c>
      <c r="P96" s="17"/>
      <c r="Q96" s="17"/>
      <c r="R96" s="17"/>
      <c r="S96" s="17"/>
      <c r="T96" s="17"/>
      <c r="U96" s="12"/>
      <c r="V96" s="12"/>
      <c r="W96" s="12"/>
      <c r="X96" s="12"/>
      <c r="Y96" s="11" t="s">
        <v>34</v>
      </c>
      <c r="Z96" s="23" t="s">
        <v>281</v>
      </c>
      <c r="AA96" s="1"/>
    </row>
    <row r="97">
      <c r="A97" s="14" t="s">
        <v>282</v>
      </c>
      <c r="B97" s="24" t="str">
        <f>HYPERLINK("https://www.ktvz.com/news/national-world/bernie-sanders-stumps-for-democrat-in-san-diego/828128075","link pagina")</f>
        <v>link pagina</v>
      </c>
      <c r="C97" s="24" t="str">
        <f>HYPERLINK("https://lakvod-508181.freetls.fastly.net/pd/p/2050311/sp/205031100/serveFlavor/entryId/1_ytxgklh3/v/1/ev/1/flavorId/1_kc47f92x/name/a.mp4","link video")</f>
        <v>link video</v>
      </c>
      <c r="D97" s="11" t="s">
        <v>30</v>
      </c>
      <c r="E97" s="17"/>
      <c r="F97" s="6" t="s">
        <v>31</v>
      </c>
      <c r="G97" s="17"/>
      <c r="H97" s="17"/>
      <c r="I97" s="17"/>
      <c r="J97" s="17"/>
      <c r="K97" s="17"/>
      <c r="L97" s="17"/>
      <c r="M97" s="17"/>
      <c r="N97" s="17"/>
      <c r="O97" s="6"/>
      <c r="P97" s="17"/>
      <c r="Q97" s="17"/>
      <c r="R97" s="17"/>
      <c r="S97" s="17"/>
      <c r="T97" s="17"/>
      <c r="U97" s="12"/>
      <c r="V97" s="12"/>
      <c r="W97" s="12"/>
      <c r="X97" s="18">
        <v>43400.0</v>
      </c>
      <c r="Y97" s="11" t="s">
        <v>34</v>
      </c>
      <c r="Z97" s="23" t="s">
        <v>283</v>
      </c>
      <c r="AA97" s="1"/>
    </row>
    <row r="98">
      <c r="A98" s="14" t="s">
        <v>284</v>
      </c>
      <c r="B98" s="15" t="str">
        <f>HYPERLINK("http://www.advertisernewssouth.com/","link pagina")</f>
        <v>link pagina</v>
      </c>
      <c r="C98" s="24" t="str">
        <f>HYPERLINK("https://r4---sn-hpa7zns7.googlevideo.com/videoplayback?ms=au%2Crdu&amp;fvip=8&amp;mv=m&amp;sparams=dur%2Cei%2Cid%2Cinitcwndbps%2Cip%2Cipbits%2Citag%2Clmt%2Cmime%2Cmm%2Cmn%2Cms%2Cmv%2Cnh%2Cpl%2Cratebypass%2Crequiressl%2Csource%2Cexpire&amp;mt=1540635083&amp;pl=16&amp;mime=video%2"&amp;"Fmp4&amp;id=o-AJjoFZt-c3_hd_nbkh-T-QLnUCC1vj2bygqt078xsbBi&amp;mn=sn-hpa7zns7%2Csn-nx5cvox-hpae7&amp;key=yt6&amp;ip=82.60.201.50&amp;expire=1540656778&amp;ei=KjrUW9SBFYfi1gLZsLa4CA&amp;mm=31%2C29&amp;itag=22&amp;requiressl=yes&amp;signature=8784163BC2B3C282706E318A271BA37C25E0DA86.C87A6967D6AD6"&amp;"E58FEDCCF57C99D3684AFE3451C&amp;initcwndbps=831250&amp;source=youtube&amp;dur=95.573&amp;nh=%2CEAE&amp;ipbits=0&amp;c=WEB&amp;ratebypass=yes&amp;lmt=1521032032868764","link video")</f>
        <v>link video</v>
      </c>
      <c r="D98" s="11" t="s">
        <v>30</v>
      </c>
      <c r="E98" s="17"/>
      <c r="F98" s="17"/>
      <c r="G98" s="17"/>
      <c r="H98" s="17"/>
      <c r="I98" s="17"/>
      <c r="J98" s="17"/>
      <c r="K98" s="17"/>
      <c r="L98" s="17"/>
      <c r="M98" s="6" t="s">
        <v>31</v>
      </c>
      <c r="N98" s="17"/>
      <c r="O98" s="17"/>
      <c r="P98" s="17"/>
      <c r="Q98" s="17"/>
      <c r="R98" s="17"/>
      <c r="S98" s="17"/>
      <c r="T98" s="17"/>
      <c r="U98" s="11" t="s">
        <v>38</v>
      </c>
      <c r="V98" s="11" t="s">
        <v>274</v>
      </c>
      <c r="W98" s="11" t="s">
        <v>40</v>
      </c>
      <c r="X98" s="25">
        <v>43125.0</v>
      </c>
      <c r="Y98" s="11" t="s">
        <v>34</v>
      </c>
      <c r="Z98" s="23" t="s">
        <v>275</v>
      </c>
      <c r="AA98" s="1"/>
    </row>
    <row r="99">
      <c r="A99" s="7" t="s">
        <v>285</v>
      </c>
      <c r="B99" s="15" t="str">
        <f>HYPERLINK("https://www.telegraph.co.uk/royal-family/2018/10/30/duchess-sussex-receives-maori-cloak-strength-pregnancy-final/?playlist=structure%3Anews%2Fuk-news","link pagina")</f>
        <v>link pagina</v>
      </c>
      <c r="C99" s="24" t="str">
        <f>HYPERLINK("https://player.ooyala.com/hls/player/all/A1dGhqZzE6XAhc-HF9bXULuhmHik3AwN/media/3500.m3u8","link video")</f>
        <v>link video</v>
      </c>
      <c r="D99" s="11" t="s">
        <v>30</v>
      </c>
      <c r="E99" s="17"/>
      <c r="F99" s="17"/>
      <c r="G99" s="17"/>
      <c r="H99" s="17"/>
      <c r="I99" s="17"/>
      <c r="J99" s="17"/>
      <c r="K99" s="17"/>
      <c r="L99" s="17"/>
      <c r="M99" s="17"/>
      <c r="N99" s="17"/>
      <c r="O99" s="17"/>
      <c r="P99" s="6" t="s">
        <v>31</v>
      </c>
      <c r="Q99" s="17"/>
      <c r="R99" s="17"/>
      <c r="S99" s="17"/>
      <c r="T99" s="17"/>
      <c r="U99" s="12"/>
      <c r="V99" s="12"/>
      <c r="W99" s="12"/>
      <c r="X99" s="12"/>
      <c r="Y99" s="11" t="s">
        <v>34</v>
      </c>
      <c r="Z99" s="23" t="s">
        <v>286</v>
      </c>
      <c r="AA99" s="1"/>
    </row>
    <row r="100">
      <c r="A100" s="26" t="s">
        <v>287</v>
      </c>
      <c r="B100" s="24" t="str">
        <f>HYPERLINK("http://www.wamc.org/post/france-man-arrested-after-video-harassment-goes-viral","link pagina")</f>
        <v>link pagina</v>
      </c>
      <c r="C100" s="24" t="str">
        <f>HYPERLINK("https://r3---sn-hpa7znsl.googlevideo.com/videoplayback?initcwndbps=832500&amp;c=WEB&amp;dur=0.000&amp;pl=16&amp;source=youtube&amp;ms=au%2Crdu&amp;ei=HmfUW7joLsKb1gKnt6II&amp;id=o-AILGoTEah17hBettdy1HCN7ReLum5X8PYSc92koExrE9&amp;mv=m&amp;mt=1540646608&amp;mn=sn-hpa7znsl%2Csn-nx5cvox-hpay&amp;mm=31%"&amp;"2C29&amp;signature=5B73731DCCAE6D4245729006E0E9F6B0462821AB.6B280C9222FBF4A0E5D6BA2B3387222C9E45D843&amp;key=yt6&amp;ip=82.60.201.50&amp;sparams=clen%2Cdur%2Cei%2Cgir%2Cid%2Cinitcwndbps%2Cip%2Cipbits%2Citag%2Clmt%2Cmime%2Cmm%2Cmn%2Cms%2Cmv%2Cnh%2Cpl%2Cratebypass%2Crequir"&amp;"essl%2Csource%2Cexpire&amp;fvip=14&amp;txp=5511222&amp;gir=yes&amp;itag=43&amp;lmt=1538137033307935&amp;expire=1540668286&amp;ratebypass=yes&amp;ipbits=0&amp;nh=%2CEAE&amp;requiressl=yes&amp;clen=7402669&amp;mime=video%2Fwebm","link video")</f>
        <v>link video</v>
      </c>
      <c r="D100" s="11" t="s">
        <v>37</v>
      </c>
      <c r="E100" s="17"/>
      <c r="F100" s="17"/>
      <c r="G100" s="17"/>
      <c r="H100" s="17"/>
      <c r="I100" s="17"/>
      <c r="J100" s="17"/>
      <c r="K100" s="17"/>
      <c r="L100" s="17"/>
      <c r="M100" s="6" t="s">
        <v>31</v>
      </c>
      <c r="N100" s="17"/>
      <c r="O100" s="17"/>
      <c r="P100" s="17"/>
      <c r="Q100" s="17"/>
      <c r="R100" s="17"/>
      <c r="S100" s="17"/>
      <c r="T100" s="17"/>
      <c r="U100" s="11" t="s">
        <v>38</v>
      </c>
      <c r="V100" s="11" t="s">
        <v>288</v>
      </c>
      <c r="W100" s="11" t="s">
        <v>40</v>
      </c>
      <c r="X100" s="25">
        <v>43340.0</v>
      </c>
      <c r="Y100" s="11" t="s">
        <v>34</v>
      </c>
      <c r="Z100" s="23" t="s">
        <v>289</v>
      </c>
      <c r="AA100" s="1"/>
    </row>
    <row r="101">
      <c r="A101" s="14" t="s">
        <v>290</v>
      </c>
      <c r="B101" s="24" t="str">
        <f>HYPERLINK("http://www.channel4000.com/videos","link pagina")</f>
        <v>link pagina</v>
      </c>
      <c r="C101" s="24" t="str">
        <f>HYPERLINK("https://lakvod-130835.freetls.fastly.net/pd/p/2050311/sp/205031100/serveFlavor/entryId/1_zbb461js/v/1/ev/2/flavorId/1_vx6wswrw/name/a.mp4","link video")</f>
        <v>link video</v>
      </c>
      <c r="D101" s="11" t="s">
        <v>30</v>
      </c>
      <c r="E101" s="17"/>
      <c r="F101" s="6" t="s">
        <v>31</v>
      </c>
      <c r="G101" s="17"/>
      <c r="H101" s="17"/>
      <c r="I101" s="17"/>
      <c r="J101" s="17"/>
      <c r="K101" s="17"/>
      <c r="L101" s="17"/>
      <c r="M101" s="17"/>
      <c r="N101" s="17"/>
      <c r="O101" s="6" t="s">
        <v>31</v>
      </c>
      <c r="P101" s="17"/>
      <c r="Q101" s="17"/>
      <c r="R101" s="17"/>
      <c r="S101" s="17"/>
      <c r="T101" s="17"/>
      <c r="U101" s="12"/>
      <c r="V101" s="12"/>
      <c r="W101" s="11" t="s">
        <v>40</v>
      </c>
      <c r="X101" s="12"/>
      <c r="Y101" s="11" t="s">
        <v>34</v>
      </c>
      <c r="Z101" s="23" t="s">
        <v>291</v>
      </c>
      <c r="AA101" s="1"/>
    </row>
    <row r="102">
      <c r="A102" s="7" t="s">
        <v>292</v>
      </c>
      <c r="B102" s="15" t="str">
        <f>HYPERLINK("https://www.quotidiano.net/cronaca/video/maltempo-a-venezia-transformer-su-una-vasca-da-bagno-naviga-in-citt%C3%A0-1.4268442","link pagina")</f>
        <v>link pagina</v>
      </c>
      <c r="C102" s="24" t="str">
        <f>HYPERLINK("https://cdn.viralize.tv/v2video/cre_80/encoded/7564cfe5-5bd6-4bd5-8dee-cd7e9d20e977.webm","link video")</f>
        <v>link video</v>
      </c>
      <c r="D102" s="11" t="s">
        <v>37</v>
      </c>
      <c r="E102" s="17"/>
      <c r="F102" s="6" t="s">
        <v>31</v>
      </c>
      <c r="G102" s="17"/>
      <c r="H102" s="17"/>
      <c r="I102" s="17"/>
      <c r="J102" s="17"/>
      <c r="K102" s="17"/>
      <c r="L102" s="17"/>
      <c r="M102" s="17"/>
      <c r="N102" s="17"/>
      <c r="O102" s="17"/>
      <c r="P102" s="17"/>
      <c r="Q102" s="17"/>
      <c r="R102" s="17"/>
      <c r="S102" s="17"/>
      <c r="T102" s="17"/>
      <c r="U102" s="11" t="s">
        <v>66</v>
      </c>
      <c r="V102" s="12"/>
      <c r="W102" s="11" t="s">
        <v>67</v>
      </c>
      <c r="X102" s="18">
        <v>43402.0</v>
      </c>
      <c r="Y102" s="11" t="s">
        <v>61</v>
      </c>
      <c r="Z102" s="23" t="s">
        <v>293</v>
      </c>
      <c r="AA102" s="1"/>
    </row>
    <row r="107">
      <c r="A107" s="35" t="s">
        <v>294</v>
      </c>
      <c r="B107" s="35" t="s">
        <v>295</v>
      </c>
      <c r="C107" s="35" t="s">
        <v>296</v>
      </c>
      <c r="D107" s="35" t="s">
        <v>297</v>
      </c>
      <c r="E107" s="35" t="s">
        <v>6</v>
      </c>
      <c r="F107" s="35" t="s">
        <v>7</v>
      </c>
      <c r="G107" s="35" t="s">
        <v>8</v>
      </c>
      <c r="H107" s="35" t="s">
        <v>9</v>
      </c>
      <c r="I107" s="35" t="s">
        <v>10</v>
      </c>
      <c r="J107" s="35" t="s">
        <v>298</v>
      </c>
      <c r="K107" s="35" t="s">
        <v>12</v>
      </c>
      <c r="L107" s="35" t="s">
        <v>13</v>
      </c>
      <c r="M107" s="35" t="s">
        <v>14</v>
      </c>
      <c r="N107" s="35" t="s">
        <v>15</v>
      </c>
      <c r="O107" s="35" t="s">
        <v>16</v>
      </c>
      <c r="P107" s="35" t="s">
        <v>17</v>
      </c>
      <c r="Q107" s="35" t="s">
        <v>18</v>
      </c>
      <c r="R107" s="35" t="s">
        <v>19</v>
      </c>
      <c r="S107" s="35" t="s">
        <v>20</v>
      </c>
      <c r="T107" s="35" t="s">
        <v>21</v>
      </c>
      <c r="U107" s="36" t="s">
        <v>22</v>
      </c>
      <c r="V107" s="36" t="s">
        <v>23</v>
      </c>
      <c r="W107" s="36" t="s">
        <v>24</v>
      </c>
      <c r="X107" s="36" t="s">
        <v>25</v>
      </c>
      <c r="Y107" s="36" t="s">
        <v>26</v>
      </c>
      <c r="Z107" s="36" t="s">
        <v>27</v>
      </c>
    </row>
    <row r="108">
      <c r="A108" s="37" t="s">
        <v>299</v>
      </c>
      <c r="B108" s="38">
        <f>COUNTIF(B3:B102,"link pagina")</f>
        <v>100</v>
      </c>
      <c r="C108" s="38">
        <f>100-COUNTIF(E3:E102,"X")</f>
        <v>79</v>
      </c>
      <c r="D108" s="38">
        <f>COUNTIF(D3:D102,"SI")</f>
        <v>35</v>
      </c>
      <c r="E108" s="38">
        <f t="shared" ref="E108:T108" si="1">COUNTA(E3:E102)</f>
        <v>21</v>
      </c>
      <c r="F108" s="38">
        <f t="shared" si="1"/>
        <v>15</v>
      </c>
      <c r="G108" s="39">
        <f t="shared" si="1"/>
        <v>3</v>
      </c>
      <c r="H108" s="40">
        <f t="shared" si="1"/>
        <v>1</v>
      </c>
      <c r="I108" s="38">
        <f t="shared" si="1"/>
        <v>0</v>
      </c>
      <c r="J108" s="38">
        <f t="shared" si="1"/>
        <v>1</v>
      </c>
      <c r="K108" s="38">
        <f t="shared" si="1"/>
        <v>0</v>
      </c>
      <c r="L108" s="38">
        <f t="shared" si="1"/>
        <v>1</v>
      </c>
      <c r="M108" s="38">
        <f t="shared" si="1"/>
        <v>19</v>
      </c>
      <c r="N108" s="38">
        <f t="shared" si="1"/>
        <v>0</v>
      </c>
      <c r="O108" s="38">
        <f t="shared" si="1"/>
        <v>10</v>
      </c>
      <c r="P108" s="38">
        <f t="shared" si="1"/>
        <v>21</v>
      </c>
      <c r="Q108" s="38">
        <f t="shared" si="1"/>
        <v>4</v>
      </c>
      <c r="R108" s="38">
        <f t="shared" si="1"/>
        <v>2</v>
      </c>
      <c r="S108" s="38">
        <f t="shared" si="1"/>
        <v>3</v>
      </c>
      <c r="T108" s="41">
        <f t="shared" si="1"/>
        <v>0</v>
      </c>
      <c r="U108" s="42" t="s">
        <v>300</v>
      </c>
      <c r="V108" s="43" t="s">
        <v>301</v>
      </c>
      <c r="W108" s="43" t="s">
        <v>302</v>
      </c>
      <c r="X108" s="43" t="s">
        <v>303</v>
      </c>
      <c r="Y108" s="43" t="s">
        <v>304</v>
      </c>
      <c r="Z108" s="43" t="s">
        <v>305</v>
      </c>
    </row>
    <row r="109">
      <c r="A109" s="44" t="s">
        <v>306</v>
      </c>
      <c r="B109" s="45" t="s">
        <v>307</v>
      </c>
      <c r="C109" s="46" t="s">
        <v>308</v>
      </c>
      <c r="D109" s="45" t="s">
        <v>309</v>
      </c>
      <c r="E109" s="47" t="s">
        <v>310</v>
      </c>
      <c r="F109" s="45" t="s">
        <v>311</v>
      </c>
      <c r="G109" s="45" t="s">
        <v>312</v>
      </c>
      <c r="H109" s="45" t="s">
        <v>313</v>
      </c>
      <c r="I109" s="45" t="s">
        <v>314</v>
      </c>
      <c r="J109" s="45" t="s">
        <v>315</v>
      </c>
      <c r="K109" s="45" t="s">
        <v>316</v>
      </c>
      <c r="L109" s="45" t="s">
        <v>317</v>
      </c>
      <c r="M109" s="47" t="s">
        <v>318</v>
      </c>
      <c r="N109" s="47" t="s">
        <v>319</v>
      </c>
      <c r="O109" s="47" t="s">
        <v>320</v>
      </c>
      <c r="P109" s="47" t="s">
        <v>321</v>
      </c>
      <c r="Q109" s="47" t="s">
        <v>322</v>
      </c>
      <c r="R109" s="47" t="s">
        <v>323</v>
      </c>
      <c r="S109" s="47" t="s">
        <v>324</v>
      </c>
      <c r="T109" s="47" t="s">
        <v>325</v>
      </c>
      <c r="V109" s="48"/>
      <c r="W109" s="48"/>
      <c r="X109" s="48"/>
      <c r="Y109" s="48"/>
      <c r="Z109" s="48"/>
    </row>
    <row r="110">
      <c r="B110" s="49"/>
      <c r="C110" s="49"/>
      <c r="D110" s="49"/>
      <c r="F110" s="49"/>
      <c r="G110" s="49"/>
      <c r="H110" s="49"/>
      <c r="I110" s="49"/>
      <c r="J110" s="49"/>
      <c r="K110" s="49"/>
      <c r="L110" s="49"/>
      <c r="S110" s="50"/>
    </row>
    <row r="111">
      <c r="B111" s="49"/>
      <c r="C111" s="49"/>
      <c r="D111" s="49"/>
      <c r="F111" s="49"/>
      <c r="G111" s="49"/>
      <c r="H111" s="49"/>
      <c r="I111" s="49"/>
      <c r="J111" s="49"/>
      <c r="K111" s="49"/>
      <c r="L111" s="49"/>
    </row>
    <row r="112">
      <c r="B112" s="49"/>
      <c r="C112" s="49"/>
      <c r="D112" s="49"/>
      <c r="F112" s="49"/>
      <c r="G112" s="49"/>
      <c r="H112" s="49"/>
      <c r="I112" s="49"/>
      <c r="J112" s="49"/>
      <c r="K112" s="49"/>
      <c r="L112" s="49"/>
    </row>
    <row r="113">
      <c r="B113" s="49"/>
      <c r="C113" s="49"/>
      <c r="D113" s="49"/>
      <c r="F113" s="49"/>
      <c r="G113" s="49"/>
      <c r="H113" s="49"/>
      <c r="I113" s="49"/>
      <c r="J113" s="49"/>
      <c r="K113" s="49"/>
      <c r="L113" s="49"/>
    </row>
    <row r="114">
      <c r="B114" s="49"/>
      <c r="C114" s="49"/>
      <c r="D114" s="49"/>
      <c r="F114" s="49"/>
      <c r="G114" s="49"/>
      <c r="H114" s="49"/>
      <c r="I114" s="49"/>
      <c r="J114" s="49"/>
      <c r="K114" s="49"/>
      <c r="L114" s="49"/>
    </row>
    <row r="115">
      <c r="B115" s="49"/>
      <c r="C115" s="49"/>
      <c r="D115" s="49"/>
      <c r="F115" s="49"/>
      <c r="G115" s="49"/>
      <c r="H115" s="49"/>
      <c r="I115" s="49"/>
      <c r="J115" s="49"/>
      <c r="K115" s="49"/>
      <c r="L115" s="49"/>
    </row>
  </sheetData>
  <mergeCells count="8">
    <mergeCell ref="U1:Z1"/>
    <mergeCell ref="E1:T1"/>
    <mergeCell ref="V108:V109"/>
    <mergeCell ref="W108:W109"/>
    <mergeCell ref="X108:X109"/>
    <mergeCell ref="Y108:Y109"/>
    <mergeCell ref="Z108:Z109"/>
    <mergeCell ref="U108:U109"/>
  </mergeCells>
  <hyperlinks>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s>
  <drawing r:id="rId102"/>
  <legacyDrawing r:id="rId103"/>
</worksheet>
</file>