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OS\Escritorio\CENFOTEC\TECNICO EN DA\excel\Profe Rafa\"/>
    </mc:Choice>
  </mc:AlternateContent>
  <xr:revisionPtr revIDLastSave="0" documentId="13_ncr:1_{7420A6AB-90DD-49FF-9CDF-B65504A6E92B}" xr6:coauthVersionLast="47" xr6:coauthVersionMax="47" xr10:uidLastSave="{00000000-0000-0000-0000-000000000000}"/>
  <bookViews>
    <workbookView xWindow="20370" yWindow="-120" windowWidth="57840" windowHeight="31920" firstSheet="1" activeTab="6" xr2:uid="{FF401735-4E16-4248-B353-660D4DAA643C}"/>
  </bookViews>
  <sheets>
    <sheet name="VENTAS POR VENDEDOR " sheetId="7" state="hidden" r:id="rId1"/>
    <sheet name="Hoja1" sheetId="15" r:id="rId2"/>
    <sheet name="TIENDA" sheetId="1" r:id="rId3"/>
    <sheet name="Hoja3" sheetId="18" r:id="rId4"/>
    <sheet name="Hoja5" sheetId="20" r:id="rId5"/>
    <sheet name="Tablas y graficos" sheetId="13" r:id="rId6"/>
    <sheet name="Dashboard" sheetId="14" r:id="rId7"/>
    <sheet name="MINIGRAFICOS" sheetId="12" state="hidden" r:id="rId8"/>
    <sheet name="OPERADORES ARITMETICOS" sheetId="11" state="hidden" r:id="rId9"/>
  </sheets>
  <definedNames>
    <definedName name="_xlnm._FilterDatabase" localSheetId="2" hidden="1">TIENDA!$A$20:$V$48</definedName>
    <definedName name="_xlnm.Print_Area" localSheetId="2">TIENDA!$N$33</definedName>
    <definedName name="NativeTimeline_FECHA_DE_INGRESO_DE_FACTURA">#N/A</definedName>
    <definedName name="PRODUCTOS">TIENDA!$AZ$206:$AZ$210</definedName>
    <definedName name="SegmentaciónDeDatos_PRODUCTO_VENDIDO">#N/A</definedName>
    <definedName name="SegmentaciónDeDatos_PROVINCIA_TIENDA">#N/A</definedName>
  </definedNames>
  <calcPr calcId="191029"/>
  <pivotCaches>
    <pivotCache cacheId="36" r:id="rId10"/>
    <pivotCache cacheId="35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F12" i="12" l="1"/>
  <c r="E12" i="12"/>
  <c r="D12" i="12"/>
  <c r="C12" i="12"/>
  <c r="B12" i="12"/>
  <c r="G11" i="12"/>
  <c r="G10" i="12"/>
  <c r="G9" i="12"/>
  <c r="G8" i="12"/>
  <c r="G12" i="12" s="1"/>
  <c r="G7" i="12"/>
  <c r="C15" i="1"/>
  <c r="C14" i="1"/>
  <c r="C11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L33" i="11"/>
  <c r="L34" i="11"/>
  <c r="L32" i="11"/>
  <c r="K32" i="11"/>
  <c r="K33" i="11"/>
  <c r="K34" i="11"/>
  <c r="J32" i="11"/>
  <c r="J33" i="11"/>
  <c r="J34" i="11"/>
  <c r="G33" i="11"/>
  <c r="G34" i="11"/>
  <c r="G32" i="11"/>
  <c r="C31" i="11"/>
  <c r="C32" i="11"/>
  <c r="C33" i="11"/>
  <c r="C34" i="11"/>
  <c r="I14" i="11"/>
  <c r="I9" i="11"/>
  <c r="I11" i="11"/>
  <c r="I10" i="11"/>
  <c r="I13" i="11"/>
  <c r="I12" i="11"/>
  <c r="G14" i="11"/>
  <c r="G13" i="11"/>
  <c r="G12" i="11"/>
  <c r="G11" i="11"/>
  <c r="G10" i="11"/>
  <c r="G9" i="11"/>
  <c r="C17" i="11"/>
  <c r="N22" i="1"/>
  <c r="N27" i="1"/>
  <c r="N21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B16" i="1" l="1"/>
  <c r="I7" i="12"/>
  <c r="I8" i="12"/>
  <c r="I10" i="12"/>
  <c r="I11" i="12"/>
  <c r="I9" i="12"/>
  <c r="C16" i="1"/>
  <c r="I12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</author>
  </authors>
  <commentList>
    <comment ref="G8" authorId="0" shapeId="0" xr:uid="{BF9F81C7-B9E8-401F-B2EE-273A0B5D4537}">
      <text>
        <r>
          <rPr>
            <sz val="9"/>
            <color indexed="81"/>
            <rFont val="Tahoma"/>
            <family val="2"/>
          </rPr>
          <t xml:space="preserve">Cambia solo "manualmente". Se debe cambiar desde la celda algún valor para que cambie el resultado.
</t>
        </r>
      </text>
    </comment>
    <comment ref="D9" authorId="0" shapeId="0" xr:uid="{1335E0E6-E543-403D-BDC2-30A023EDEB46}">
      <text>
        <r>
          <rPr>
            <b/>
            <sz val="9"/>
            <color indexed="81"/>
            <rFont val="Tahoma"/>
            <family val="2"/>
          </rPr>
          <t>Circunflejo</t>
        </r>
      </text>
    </comment>
  </commentList>
</comments>
</file>

<file path=xl/sharedStrings.xml><?xml version="1.0" encoding="utf-8"?>
<sst xmlns="http://schemas.openxmlformats.org/spreadsheetml/2006/main" count="715" uniqueCount="299">
  <si>
    <t>VENDEDOR</t>
  </si>
  <si>
    <t>CEDULA</t>
  </si>
  <si>
    <t>EDAD</t>
  </si>
  <si>
    <t>GENERO CLIENTE</t>
  </si>
  <si>
    <t>PROVINCIA TIENDA</t>
  </si>
  <si>
    <t xml:space="preserve">#FACTURA </t>
  </si>
  <si>
    <t>FECHA DE INGRESO DE FACTURA</t>
  </si>
  <si>
    <t>PRODUCTO VENDIDO</t>
  </si>
  <si>
    <t>CODIGO DE PRODUCTO</t>
  </si>
  <si>
    <t>MES</t>
  </si>
  <si>
    <t>VENTAS BRUTAS</t>
  </si>
  <si>
    <t>DESCUENTO APLICADO</t>
  </si>
  <si>
    <t>TOTAL VENTA CON DESCUENTO APLICADO</t>
  </si>
  <si>
    <t>IMPUESTO</t>
  </si>
  <si>
    <t>TOTAL CON IMPUESTO</t>
  </si>
  <si>
    <t>JULIO CAMACHO SALAS</t>
  </si>
  <si>
    <t>ARCE GONZALEZ JOSE MANUEL</t>
  </si>
  <si>
    <t>Masculino</t>
  </si>
  <si>
    <t>Heredia</t>
  </si>
  <si>
    <t>FUTBOL SALA</t>
  </si>
  <si>
    <t>ART01</t>
  </si>
  <si>
    <t>CARLOS GOMEZ RAMIREZ</t>
  </si>
  <si>
    <t>AGUILAR GARITA NELSY LORENA</t>
  </si>
  <si>
    <t>Femenino</t>
  </si>
  <si>
    <t>Cartago</t>
  </si>
  <si>
    <t>TACOS FUTBOL</t>
  </si>
  <si>
    <t>ART03</t>
  </si>
  <si>
    <t>VILMA ROJAS CALDERON</t>
  </si>
  <si>
    <t>San José</t>
  </si>
  <si>
    <t>TENNIS</t>
  </si>
  <si>
    <t>ART04</t>
  </si>
  <si>
    <t>PATINES</t>
  </si>
  <si>
    <t>SONIA DELGADO PEREZ</t>
  </si>
  <si>
    <t>ART02</t>
  </si>
  <si>
    <t>MONTOYA SANCHEZ JAYNA PAOLA</t>
  </si>
  <si>
    <t>PATRICIA ELIZONDO CASTRO</t>
  </si>
  <si>
    <t>LOPEZ CUNNINGHAM KATHERINE PATRICIA</t>
  </si>
  <si>
    <t>EDUARDO SALAS PORRAS</t>
  </si>
  <si>
    <t>BOLIVAR JIMENEZ KATTIA BEATRIZ</t>
  </si>
  <si>
    <t>ZAMORA RODRIGUEZ HAMY DAYANA</t>
  </si>
  <si>
    <t>TORRES CHINCHILLA BERNAL ADO</t>
  </si>
  <si>
    <t>BADILLA MASIS DAYANNA PATRICIA</t>
  </si>
  <si>
    <t>ALVARADO DURAN ROY GERARD</t>
  </si>
  <si>
    <t>ROJAS QUIROS LUIS ANDRES</t>
  </si>
  <si>
    <t>FLORES MORA ARMANDO HJALMAR</t>
  </si>
  <si>
    <t>QUIROS FALLAS ANA CAROLINA</t>
  </si>
  <si>
    <t>BOGANTES CESPEDES DIGNA MARIA</t>
  </si>
  <si>
    <t>BARRIOS FERNANDEZ GIOVANNI ARTURO</t>
  </si>
  <si>
    <t>CHAVES OBANDO FABIOLA MARIA</t>
  </si>
  <si>
    <t>CONEJO MIRANDA MARIAN MARCELLA</t>
  </si>
  <si>
    <t>GARCIA RIVERA ESTIBEN ANDREY</t>
  </si>
  <si>
    <t>HIDALGO JIMENEZ ZAIDA MARIA</t>
  </si>
  <si>
    <t>PRENDAS GARRO ANA CECILIA</t>
  </si>
  <si>
    <t>ARCE</t>
  </si>
  <si>
    <t>AGUILAR</t>
  </si>
  <si>
    <t>FERNANDEZ</t>
  </si>
  <si>
    <t>RIVERA</t>
  </si>
  <si>
    <t>MONTOYA</t>
  </si>
  <si>
    <t>LOPEZ</t>
  </si>
  <si>
    <t>BOLIVAR</t>
  </si>
  <si>
    <t>ZAMORA</t>
  </si>
  <si>
    <t>GONZALEZ</t>
  </si>
  <si>
    <t>GARITA</t>
  </si>
  <si>
    <t>VARGAS</t>
  </si>
  <si>
    <t>SANABRIA</t>
  </si>
  <si>
    <t>SANCHEZ</t>
  </si>
  <si>
    <t>CUNNINGHAM</t>
  </si>
  <si>
    <t>JIMENEZ</t>
  </si>
  <si>
    <t>RODRIGUEZ</t>
  </si>
  <si>
    <t>JOSE</t>
  </si>
  <si>
    <t>MANUEL</t>
  </si>
  <si>
    <t>NELSY</t>
  </si>
  <si>
    <t>LORENA</t>
  </si>
  <si>
    <t>NOMBRE DE EMPRESA</t>
  </si>
  <si>
    <t>GUSTAVO</t>
  </si>
  <si>
    <t>GERALDINE</t>
  </si>
  <si>
    <t>JAYNA</t>
  </si>
  <si>
    <t>PAOLA</t>
  </si>
  <si>
    <t>KATHERINE</t>
  </si>
  <si>
    <t>PATRICIA</t>
  </si>
  <si>
    <t>KATTIA</t>
  </si>
  <si>
    <t>BEATRIZ</t>
  </si>
  <si>
    <t>HAMY</t>
  </si>
  <si>
    <t>DAYANA</t>
  </si>
  <si>
    <t>CALDERON</t>
  </si>
  <si>
    <t>BOZA</t>
  </si>
  <si>
    <t>BERNAL</t>
  </si>
  <si>
    <t>DANIEL</t>
  </si>
  <si>
    <t>GALVEZ</t>
  </si>
  <si>
    <t>ARIAS</t>
  </si>
  <si>
    <t>NANCY</t>
  </si>
  <si>
    <t>TORRES</t>
  </si>
  <si>
    <t>CHINCHILLA</t>
  </si>
  <si>
    <t>ADO</t>
  </si>
  <si>
    <t>BADILLA</t>
  </si>
  <si>
    <t>MASIS</t>
  </si>
  <si>
    <t>DAYANNA</t>
  </si>
  <si>
    <t>ALVARADO</t>
  </si>
  <si>
    <t>DURAN</t>
  </si>
  <si>
    <t>ROY</t>
  </si>
  <si>
    <t>GERARD</t>
  </si>
  <si>
    <t>ROJAS</t>
  </si>
  <si>
    <t>QUIROS</t>
  </si>
  <si>
    <t>LUIS</t>
  </si>
  <si>
    <t>ANDRES</t>
  </si>
  <si>
    <t>FLORES</t>
  </si>
  <si>
    <t>MORA</t>
  </si>
  <si>
    <t>ARMANDO</t>
  </si>
  <si>
    <t>HJALMAR</t>
  </si>
  <si>
    <t>FALLAS</t>
  </si>
  <si>
    <t>ANA</t>
  </si>
  <si>
    <t>CAROLINA</t>
  </si>
  <si>
    <t>BOGANTES</t>
  </si>
  <si>
    <t>CESPEDES</t>
  </si>
  <si>
    <t>DIGNA</t>
  </si>
  <si>
    <t>MARIA</t>
  </si>
  <si>
    <t>BARRIOS</t>
  </si>
  <si>
    <t>GIOVANNI</t>
  </si>
  <si>
    <t>ARTURO</t>
  </si>
  <si>
    <t>CHAVES</t>
  </si>
  <si>
    <t>OBANDO</t>
  </si>
  <si>
    <t>FABIOLA</t>
  </si>
  <si>
    <t>MOTTA</t>
  </si>
  <si>
    <t>ABARCA</t>
  </si>
  <si>
    <t>CAROL</t>
  </si>
  <si>
    <t>CONEJO</t>
  </si>
  <si>
    <t>MIRANDA</t>
  </si>
  <si>
    <t>MARIAN</t>
  </si>
  <si>
    <t>MARCELLA</t>
  </si>
  <si>
    <t>GARCIA</t>
  </si>
  <si>
    <t>ESTIBEN</t>
  </si>
  <si>
    <t>ANDREY</t>
  </si>
  <si>
    <t>COTO</t>
  </si>
  <si>
    <t>ECHEVERRIA</t>
  </si>
  <si>
    <t>JAVIER</t>
  </si>
  <si>
    <t>HIDALGO</t>
  </si>
  <si>
    <t>ZAIDA</t>
  </si>
  <si>
    <t>BERMUDEZ</t>
  </si>
  <si>
    <t>VANESSA</t>
  </si>
  <si>
    <t>PRENDAS</t>
  </si>
  <si>
    <t>GARRO</t>
  </si>
  <si>
    <t>CECILIA</t>
  </si>
  <si>
    <t>APELLIDO 1</t>
  </si>
  <si>
    <t>APELLIDO 2</t>
  </si>
  <si>
    <t>NOMBRE 1</t>
  </si>
  <si>
    <t>NOMBRE 2</t>
  </si>
  <si>
    <t>DIA/MES/AÑO</t>
  </si>
  <si>
    <t xml:space="preserve">FERNANDEZ VARGAS GUSTAVO </t>
  </si>
  <si>
    <t xml:space="preserve">RIVERA SANABRIA GERALDINE </t>
  </si>
  <si>
    <t>CALDERON BOZA BERNAL DANIEL</t>
  </si>
  <si>
    <t xml:space="preserve">GALVEZ ARIAS NANCY </t>
  </si>
  <si>
    <t xml:space="preserve">MOTTA ABARCA CAROL </t>
  </si>
  <si>
    <t xml:space="preserve">COTO ECHEVERRIA JAVIER </t>
  </si>
  <si>
    <t xml:space="preserve">BERMUDEZ JIMENEZ VANESSA </t>
  </si>
  <si>
    <t>META</t>
  </si>
  <si>
    <t>LLENADO RAPIDO</t>
  </si>
  <si>
    <t>FECHA</t>
  </si>
  <si>
    <t>TOTAL VENTAS</t>
  </si>
  <si>
    <t>PROMEDIO VENTAS</t>
  </si>
  <si>
    <t>VENTA MAXIMA</t>
  </si>
  <si>
    <t>VENTA MINIMA</t>
  </si>
  <si>
    <t>TOTAL OPERACIONES</t>
  </si>
  <si>
    <t>Total general</t>
  </si>
  <si>
    <t>BONO PATINES (10%)</t>
  </si>
  <si>
    <t>TOTAL BONOS PATINES</t>
  </si>
  <si>
    <t>octubre</t>
  </si>
  <si>
    <t>septiembre</t>
  </si>
  <si>
    <t>agosto</t>
  </si>
  <si>
    <t>julio</t>
  </si>
  <si>
    <t>junio</t>
  </si>
  <si>
    <t>mayo</t>
  </si>
  <si>
    <t>abril</t>
  </si>
  <si>
    <t>MINIGRAFICOS</t>
  </si>
  <si>
    <t>Abril</t>
  </si>
  <si>
    <t>Mayo</t>
  </si>
  <si>
    <t>Junio</t>
  </si>
  <si>
    <t>Julio</t>
  </si>
  <si>
    <t>Agosto</t>
  </si>
  <si>
    <t>Septiembre</t>
  </si>
  <si>
    <t>Octubre</t>
  </si>
  <si>
    <t>SUMA</t>
  </si>
  <si>
    <t>RESTA</t>
  </si>
  <si>
    <t xml:space="preserve">MULTIPLICACION </t>
  </si>
  <si>
    <t>DIVISION</t>
  </si>
  <si>
    <t>EXPONENTE</t>
  </si>
  <si>
    <t>PORCENTAJE</t>
  </si>
  <si>
    <t>OPERADORES MATEMATICOS</t>
  </si>
  <si>
    <t>SIMBOLO</t>
  </si>
  <si>
    <t>+</t>
  </si>
  <si>
    <t>-</t>
  </si>
  <si>
    <t>*</t>
  </si>
  <si>
    <t>/</t>
  </si>
  <si>
    <t>^</t>
  </si>
  <si>
    <t>ALT+94</t>
  </si>
  <si>
    <t>%</t>
  </si>
  <si>
    <t>REFERENCIA</t>
  </si>
  <si>
    <t>PRIORIDAD</t>
  </si>
  <si>
    <t>OPERACION</t>
  </si>
  <si>
    <t>EJEMPLO</t>
  </si>
  <si>
    <t>OPERADOR</t>
  </si>
  <si>
    <t>TEMAS</t>
  </si>
  <si>
    <t>1. Operadores Aritméticos</t>
  </si>
  <si>
    <t>2. Referencias</t>
  </si>
  <si>
    <t>REFERECIA RELATIVA</t>
  </si>
  <si>
    <t>REFERECIA ABSOLUTA</t>
  </si>
  <si>
    <t>REFERECIA MIXTA</t>
  </si>
  <si>
    <t>Fija la o las filas y columnas totalmente.</t>
  </si>
  <si>
    <r>
      <rPr>
        <b/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78</t>
    </r>
  </si>
  <si>
    <r>
      <rPr>
        <b/>
        <sz val="11"/>
        <color theme="4"/>
        <rFont val="Calibri"/>
        <family val="2"/>
        <scheme val="minor"/>
      </rPr>
      <t>$</t>
    </r>
    <r>
      <rPr>
        <b/>
        <sz val="11"/>
        <color rgb="FFFF0000"/>
        <rFont val="Calibri"/>
        <family val="2"/>
        <scheme val="minor"/>
      </rPr>
      <t>D</t>
    </r>
    <r>
      <rPr>
        <b/>
        <sz val="11"/>
        <color theme="4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78</t>
    </r>
  </si>
  <si>
    <t>F4</t>
  </si>
  <si>
    <r>
      <rPr>
        <b/>
        <sz val="11"/>
        <color theme="4"/>
        <rFont val="Calibri"/>
        <family val="2"/>
        <scheme val="minor"/>
      </rPr>
      <t>$</t>
    </r>
    <r>
      <rPr>
        <b/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78</t>
    </r>
  </si>
  <si>
    <t>2.1 REFERECIA RELATIVA</t>
  </si>
  <si>
    <t>Ejemplos</t>
  </si>
  <si>
    <t>Cambian filas y columnas al arrastar las celdas.</t>
  </si>
  <si>
    <t>Fija una fila o columna solamente, la otra parte cambia.</t>
  </si>
  <si>
    <t>2.2 REFERECIA ABSOLUTA</t>
  </si>
  <si>
    <t>2.3 REFERECIA MIXTA</t>
  </si>
  <si>
    <t>Sumar cada número vertical c/u de los horizontales.</t>
  </si>
  <si>
    <t>Al arrastrar el contenido de J32 hacia abajo, cambia la fila (32) pero no la columna (J)</t>
  </si>
  <si>
    <t>Se fija entonces la Fila con F4</t>
  </si>
  <si>
    <t>Al arrastrar el contenido de J32 hacia la Derecha, cambia la columna (I)</t>
  </si>
  <si>
    <t>Se fija entonces en K32 la Columna (I) con F4</t>
  </si>
  <si>
    <t>Se arrastra hacia abajo y listo.</t>
  </si>
  <si>
    <t>PROMEDIO VENTAS MUJERES</t>
  </si>
  <si>
    <t>VENTA MAXIMA OCTUBRE</t>
  </si>
  <si>
    <t>VENTA MINIMA OCTUBRE</t>
  </si>
  <si>
    <t>TEMAS:</t>
  </si>
  <si>
    <t>Minigráficos</t>
  </si>
  <si>
    <t>Formato condicional</t>
  </si>
  <si>
    <t>Meta  MENSUAL</t>
  </si>
  <si>
    <t>Gráficos</t>
  </si>
  <si>
    <t>REPORTE MENSUAL CUMPLIMIENTO DE VENTAS AÑO 2023</t>
  </si>
  <si>
    <t>COLABORADOR</t>
  </si>
  <si>
    <t>ENERO</t>
  </si>
  <si>
    <t>FEBRERO</t>
  </si>
  <si>
    <t>MARZO</t>
  </si>
  <si>
    <t>ABRIL</t>
  </si>
  <si>
    <t>MAYO</t>
  </si>
  <si>
    <t xml:space="preserve">CONTRIBUCIÓN PORCENTUAL A TOTAL DE VENTAS </t>
  </si>
  <si>
    <t>PASOS MINIGRÁFICAS</t>
  </si>
  <si>
    <t>PASOS FORMATO CONDICIONAL</t>
  </si>
  <si>
    <t>BRUNO MURILLO CARLOS HUMBERTO</t>
  </si>
  <si>
    <t>Seleccionar área para Minigráficos</t>
  </si>
  <si>
    <t>Ir a Inicio</t>
  </si>
  <si>
    <t>HIDALGO CHAVERRI MARITZA</t>
  </si>
  <si>
    <t>Ir a Insertar</t>
  </si>
  <si>
    <t>Ir a Formato Condicional</t>
  </si>
  <si>
    <t>QUIROS BOLAÑOS GUSTAVO ALONSO</t>
  </si>
  <si>
    <t>Ir al área de Minigráficos</t>
  </si>
  <si>
    <t>Dar Clic en Desplegable</t>
  </si>
  <si>
    <t>FERNANDEZ SOTO JOSE PABLO</t>
  </si>
  <si>
    <t>Elegir tipo de gráfico</t>
  </si>
  <si>
    <t>Elegir Opción adecuada al caso</t>
  </si>
  <si>
    <t>CALDERON HIDALGO RODRIGO ALBERTO</t>
  </si>
  <si>
    <t>Sale cuadro de ingreso de datos</t>
  </si>
  <si>
    <t>BORRAR FORMATO CONDICIONAL</t>
  </si>
  <si>
    <t>TOTAL</t>
  </si>
  <si>
    <t>Elegir rango (Sin incluir Titulos)</t>
  </si>
  <si>
    <t>Dar Aceptar</t>
  </si>
  <si>
    <t>Nomenclatura de Color</t>
  </si>
  <si>
    <t>Cada gráfico tiene su propia escala y para igualar las escalas se debe</t>
  </si>
  <si>
    <t>Sobre Meta Mensual</t>
  </si>
  <si>
    <t>Posecionarse en cualquier Minigráfico</t>
  </si>
  <si>
    <t>Borrar Reglas</t>
  </si>
  <si>
    <t>Bajo Meta Mensual</t>
  </si>
  <si>
    <t>Ir a Minigráficos</t>
  </si>
  <si>
    <t>NOTA:</t>
  </si>
  <si>
    <t>Igual a Meta Mensual</t>
  </si>
  <si>
    <t>Ir a Eje</t>
  </si>
  <si>
    <t>Los colores muchas veces son subjetivos, en caso de utilizarlos, lo mejor es publicar su significado en un lugar visible de la Hoja</t>
  </si>
  <si>
    <t>Ubicar el título "Opciones de Valor Mínimo del Eje Vertivar"</t>
  </si>
  <si>
    <t xml:space="preserve">Activar opción "Igual para todos los Minigráficos" </t>
  </si>
  <si>
    <t>Ubicar el título "Opciones de Valor Máximo del Eje Vertivar"</t>
  </si>
  <si>
    <t>Distribucion de productos vendidos</t>
  </si>
  <si>
    <t>Vendedor</t>
  </si>
  <si>
    <t>25-29</t>
  </si>
  <si>
    <t>30-34</t>
  </si>
  <si>
    <t>35-39</t>
  </si>
  <si>
    <t>45-49</t>
  </si>
  <si>
    <t>50-54</t>
  </si>
  <si>
    <t>55-59</t>
  </si>
  <si>
    <t>60-64</t>
  </si>
  <si>
    <t>Rango de Edad</t>
  </si>
  <si>
    <t>Porcentaje de venta por edad</t>
  </si>
  <si>
    <t>Mes</t>
  </si>
  <si>
    <t>Suma de VENTAS BRUTAS</t>
  </si>
  <si>
    <t>Etiquetas de fila</t>
  </si>
  <si>
    <t>Etiquetas de columna</t>
  </si>
  <si>
    <t>META POR TIENDA</t>
  </si>
  <si>
    <t xml:space="preserve">META TOTAL </t>
  </si>
  <si>
    <t>DISTRIBUIDORA TODO DEPORTE S.A.</t>
  </si>
  <si>
    <t>CLIENTE</t>
  </si>
  <si>
    <t>lunes</t>
  </si>
  <si>
    <t>jueves</t>
  </si>
  <si>
    <t>sábado</t>
  </si>
  <si>
    <t>martes</t>
  </si>
  <si>
    <t>miércoles</t>
  </si>
  <si>
    <t>domingo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</si>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</sst>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₡&quot;#,##0;\-&quot;₡&quot;#,##0"/>
    <numFmt numFmtId="44" formatCode="_-&quot;₡&quot;* #,##0.00_-;\-&quot;₡&quot;* #,##0.00_-;_-&quot;₡&quot;* &quot;-&quot;??_-;_-@_-"/>
    <numFmt numFmtId="164" formatCode="dd/mm/yyyy;@"/>
    <numFmt numFmtId="165" formatCode="&quot;₡&quot;#,##0"/>
    <numFmt numFmtId="169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8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8"/>
      <color theme="0" tint="-0.14999847407452621"/>
      <name val="ADLaM Display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0" borderId="6" xfId="0" applyBorder="1"/>
    <xf numFmtId="0" fontId="1" fillId="0" borderId="0" xfId="0" applyFont="1" applyAlignment="1">
      <alignment horizontal="left"/>
    </xf>
    <xf numFmtId="44" fontId="1" fillId="0" borderId="0" xfId="0" applyNumberFormat="1" applyFont="1"/>
    <xf numFmtId="0" fontId="0" fillId="0" borderId="7" xfId="0" applyBorder="1" applyAlignment="1">
      <alignment horizontal="left"/>
    </xf>
    <xf numFmtId="44" fontId="0" fillId="0" borderId="7" xfId="0" applyNumberFormat="1" applyBorder="1"/>
    <xf numFmtId="0" fontId="0" fillId="0" borderId="8" xfId="0" applyBorder="1" applyAlignment="1">
      <alignment horizontal="left"/>
    </xf>
    <xf numFmtId="44" fontId="0" fillId="0" borderId="8" xfId="0" applyNumberFormat="1" applyBorder="1"/>
    <xf numFmtId="0" fontId="1" fillId="2" borderId="7" xfId="0" applyFont="1" applyFill="1" applyBorder="1" applyAlignment="1">
      <alignment horizontal="center" vertical="center"/>
    </xf>
    <xf numFmtId="0" fontId="0" fillId="0" borderId="7" xfId="0" applyBorder="1"/>
    <xf numFmtId="0" fontId="6" fillId="0" borderId="0" xfId="0" applyFont="1"/>
    <xf numFmtId="1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8" borderId="15" xfId="0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7" borderId="9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5" xfId="0" applyBorder="1"/>
    <xf numFmtId="0" fontId="0" fillId="10" borderId="1" xfId="0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Continuous" vertical="center"/>
    </xf>
    <xf numFmtId="0" fontId="5" fillId="10" borderId="19" xfId="0" applyFont="1" applyFill="1" applyBorder="1" applyAlignment="1">
      <alignment horizontal="centerContinuous" vertical="center"/>
    </xf>
    <xf numFmtId="0" fontId="6" fillId="10" borderId="20" xfId="0" applyFont="1" applyFill="1" applyBorder="1"/>
    <xf numFmtId="0" fontId="6" fillId="10" borderId="21" xfId="0" applyFont="1" applyFill="1" applyBorder="1"/>
    <xf numFmtId="0" fontId="6" fillId="10" borderId="22" xfId="0" applyFont="1" applyFill="1" applyBorder="1"/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3" fillId="12" borderId="24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165" fontId="6" fillId="0" borderId="0" xfId="0" applyNumberFormat="1" applyFont="1"/>
    <xf numFmtId="44" fontId="6" fillId="0" borderId="0" xfId="1" applyFont="1"/>
    <xf numFmtId="0" fontId="0" fillId="17" borderId="24" xfId="0" applyFill="1" applyBorder="1" applyAlignment="1">
      <alignment horizontal="centerContinuous" vertical="center"/>
    </xf>
    <xf numFmtId="0" fontId="0" fillId="17" borderId="19" xfId="0" applyFill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Continuous"/>
    </xf>
    <xf numFmtId="44" fontId="15" fillId="0" borderId="0" xfId="1" applyFont="1" applyBorder="1"/>
    <xf numFmtId="0" fontId="16" fillId="18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 wrapText="1"/>
    </xf>
    <xf numFmtId="49" fontId="0" fillId="0" borderId="7" xfId="0" applyNumberFormat="1" applyBorder="1"/>
    <xf numFmtId="165" fontId="0" fillId="0" borderId="7" xfId="0" applyNumberFormat="1" applyBorder="1" applyAlignment="1">
      <alignment vertical="center"/>
    </xf>
    <xf numFmtId="165" fontId="0" fillId="0" borderId="8" xfId="0" applyNumberFormat="1" applyBorder="1"/>
    <xf numFmtId="10" fontId="18" fillId="0" borderId="8" xfId="0" applyNumberFormat="1" applyFont="1" applyBorder="1" applyAlignment="1">
      <alignment horizontal="center" vertical="center"/>
    </xf>
    <xf numFmtId="165" fontId="0" fillId="0" borderId="7" xfId="0" applyNumberFormat="1" applyBorder="1"/>
    <xf numFmtId="49" fontId="0" fillId="0" borderId="30" xfId="0" applyNumberFormat="1" applyBorder="1"/>
    <xf numFmtId="165" fontId="0" fillId="0" borderId="30" xfId="0" applyNumberFormat="1" applyBorder="1" applyAlignment="1">
      <alignment vertical="center"/>
    </xf>
    <xf numFmtId="165" fontId="0" fillId="0" borderId="30" xfId="0" applyNumberFormat="1" applyBorder="1"/>
    <xf numFmtId="49" fontId="19" fillId="20" borderId="0" xfId="0" applyNumberFormat="1" applyFont="1" applyFill="1" applyAlignment="1">
      <alignment horizontal="right"/>
    </xf>
    <xf numFmtId="165" fontId="19" fillId="20" borderId="0" xfId="0" applyNumberFormat="1" applyFont="1" applyFill="1" applyAlignment="1">
      <alignment horizontal="center" vertical="center"/>
    </xf>
    <xf numFmtId="0" fontId="19" fillId="20" borderId="0" xfId="0" applyFont="1" applyFill="1"/>
    <xf numFmtId="10" fontId="19" fillId="20" borderId="0" xfId="0" applyNumberFormat="1" applyFont="1" applyFill="1"/>
    <xf numFmtId="0" fontId="0" fillId="20" borderId="0" xfId="0" applyFill="1"/>
    <xf numFmtId="0" fontId="3" fillId="0" borderId="28" xfId="0" applyFont="1" applyBorder="1" applyAlignment="1">
      <alignment horizontal="center" vertical="center"/>
    </xf>
    <xf numFmtId="0" fontId="0" fillId="21" borderId="28" xfId="0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1" fillId="8" borderId="0" xfId="0" applyFont="1" applyFill="1" applyAlignment="1">
      <alignment vertical="center"/>
    </xf>
    <xf numFmtId="0" fontId="0" fillId="23" borderId="28" xfId="0" applyFill="1" applyBorder="1" applyAlignment="1">
      <alignment vertical="center"/>
    </xf>
    <xf numFmtId="0" fontId="0" fillId="0" borderId="7" xfId="0" applyBorder="1" applyAlignment="1">
      <alignment wrapText="1"/>
    </xf>
    <xf numFmtId="49" fontId="20" fillId="18" borderId="30" xfId="0" applyNumberFormat="1" applyFont="1" applyFill="1" applyBorder="1" applyAlignment="1">
      <alignment horizontal="right"/>
    </xf>
    <xf numFmtId="165" fontId="20" fillId="18" borderId="3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10" fontId="20" fillId="18" borderId="30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7" xfId="0" applyFont="1" applyBorder="1"/>
    <xf numFmtId="44" fontId="21" fillId="0" borderId="28" xfId="1" applyFont="1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17" fillId="18" borderId="29" xfId="0" applyFont="1" applyFill="1" applyBorder="1" applyAlignment="1">
      <alignment horizontal="center" vertical="center"/>
    </xf>
    <xf numFmtId="0" fontId="17" fillId="19" borderId="29" xfId="0" applyFont="1" applyFill="1" applyBorder="1" applyAlignment="1">
      <alignment horizontal="center" vertical="center"/>
    </xf>
    <xf numFmtId="0" fontId="5" fillId="19" borderId="31" xfId="0" applyFont="1" applyFill="1" applyBorder="1" applyAlignment="1">
      <alignment horizontal="center" vertical="center" wrapText="1"/>
    </xf>
    <xf numFmtId="0" fontId="5" fillId="19" borderId="32" xfId="0" applyFont="1" applyFill="1" applyBorder="1" applyAlignment="1">
      <alignment horizontal="center" vertical="center" wrapText="1"/>
    </xf>
    <xf numFmtId="0" fontId="6" fillId="18" borderId="31" xfId="0" applyFont="1" applyFill="1" applyBorder="1" applyAlignment="1">
      <alignment horizontal="center" wrapText="1"/>
    </xf>
    <xf numFmtId="0" fontId="6" fillId="18" borderId="32" xfId="0" applyFont="1" applyFill="1" applyBorder="1" applyAlignment="1">
      <alignment horizontal="center" wrapText="1"/>
    </xf>
    <xf numFmtId="0" fontId="0" fillId="23" borderId="0" xfId="0" applyFill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12" fillId="13" borderId="26" xfId="0" applyFont="1" applyFill="1" applyBorder="1" applyAlignment="1">
      <alignment horizontal="center" vertical="center"/>
    </xf>
    <xf numFmtId="0" fontId="12" fillId="13" borderId="27" xfId="0" applyFont="1" applyFill="1" applyBorder="1" applyAlignment="1">
      <alignment horizontal="center" vertical="center"/>
    </xf>
    <xf numFmtId="0" fontId="0" fillId="0" borderId="0" xfId="0" applyNumberFormat="1"/>
    <xf numFmtId="5" fontId="0" fillId="0" borderId="7" xfId="1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2" fillId="2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4" fillId="25" borderId="0" xfId="0" applyFont="1" applyFill="1" applyAlignment="1">
      <alignment horizontal="center"/>
    </xf>
    <xf numFmtId="0" fontId="24" fillId="25" borderId="0" xfId="0" applyFont="1" applyFill="1"/>
    <xf numFmtId="0" fontId="0" fillId="0" borderId="0" xfId="0" applyAlignment="1">
      <alignment wrapText="1"/>
    </xf>
    <xf numFmtId="0" fontId="0" fillId="25" borderId="0" xfId="0" applyFont="1" applyFill="1" applyAlignment="1">
      <alignment horizontal="center"/>
    </xf>
    <xf numFmtId="0" fontId="24" fillId="26" borderId="0" xfId="0" applyFont="1" applyFill="1" applyAlignment="1">
      <alignment horizontal="center" vertical="center"/>
    </xf>
    <xf numFmtId="0" fontId="25" fillId="26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64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numFmt numFmtId="165" formatCode="&quot;₡&quot;#,##0"/>
    </dxf>
    <dxf>
      <alignment wrapText="1"/>
    </dxf>
    <dxf>
      <numFmt numFmtId="165" formatCode="&quot;₡&quot;#,##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5" formatCode="&quot;₡&quot;#,##0"/>
      <alignment horizontal="center" textRotation="0" indent="0" justifyLastLine="0" shrinkToFit="0" readingOrder="0"/>
    </dxf>
    <dxf>
      <numFmt numFmtId="165" formatCode="&quot;₡&quot;#,##0"/>
      <alignment horizontal="center" textRotation="0" indent="0" justifyLastLine="0" shrinkToFit="0" readingOrder="0"/>
    </dxf>
    <dxf>
      <numFmt numFmtId="13" formatCode="0%"/>
      <alignment horizontal="center" textRotation="0" indent="0" justifyLastLine="0" shrinkToFit="0" readingOrder="0"/>
    </dxf>
    <dxf>
      <numFmt numFmtId="165" formatCode="&quot;₡&quot;#,##0"/>
      <alignment horizontal="center" textRotation="0" indent="0" justifyLastLine="0" shrinkToFit="0" readingOrder="0"/>
    </dxf>
    <dxf>
      <numFmt numFmtId="169" formatCode="0.0%"/>
      <alignment horizontal="center" textRotation="0" indent="0" justifyLastLine="0" shrinkToFit="0" readingOrder="0"/>
    </dxf>
    <dxf>
      <numFmt numFmtId="165" formatCode="&quot;₡&quot;#,##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4" formatCode="dd/mm/yyyy;@"/>
      <alignment horizontal="center" textRotation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 readingOrder="0"/>
    </dxf>
    <dxf>
      <numFmt numFmtId="19" formatCode="d/m/yyyy"/>
      <alignment horizont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₡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3" defaultTableStyle="TableStyleMedium2" defaultPivotStyle="PivotStyleLight16">
    <tableStyle name="Estilo de escala de tiempo 1" pivot="0" table="0" count="8" xr9:uid="{F9037E62-2EAD-49DA-B3FB-48C9724CAABC}">
      <tableStyleElement type="wholeTable" dxfId="5"/>
      <tableStyleElement type="headerRow" dxfId="4"/>
    </tableStyle>
    <tableStyle name="Estilo de escala de tiempo 2" pivot="0" table="0" count="8" xr9:uid="{9A0DADDC-12C7-497A-BFBF-6D1D112460DC}">
      <tableStyleElement type="wholeTable" dxfId="3"/>
      <tableStyleElement type="headerRow" dxfId="2"/>
    </tableStyle>
    <tableStyle name="Estilo de escala de tiempo 3" pivot="0" table="0" count="8" xr9:uid="{B1998412-AE1B-4AC2-A8E2-B5334F913E6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5"/>
            <x15:timelineStyleElement type="timeLevel" dxfId="14"/>
            <x15:timelineStyleElement type="periodLabel1" dxfId="13"/>
            <x15:timelineStyleElement type="periodLabel2" dxfId="12"/>
            <x15:timelineStyleElement type="selectedTimeBlock" dxfId="17"/>
            <x15:timelineStyleElement type="unselectedTimeBlock" dxfId="16"/>
          </x15:timelineStyleElements>
        </x15:timelineStyle>
        <x15:timelineStyle name="Estilo de escala de tiempo 2">
          <x15:timelineStyleElements>
            <x15:timelineStyleElement type="selectionLabel" dxfId="9"/>
            <x15:timelineStyleElement type="timeLevel" dxfId="8"/>
            <x15:timelineStyleElement type="periodLabel1" dxfId="7"/>
            <x15:timelineStyleElement type="periodLabel2" dxfId="6"/>
            <x15:timelineStyleElement type="selectedTimeBlock" dxfId="11"/>
            <x15:timelineStyleElement type="unselectedTimeBlock" dxfId="10"/>
          </x15:timelineStyleElements>
        </x15:timelineStyle>
        <x15:timelineStyle name="Estilo de escala de tiempo 3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11/relationships/chartColorStyle" Target="colors7.xml"/><Relationship Id="rId1" Type="http://schemas.microsoft.com/office/2011/relationships/chartStyle" Target="style7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POR VENDEDOR '!$B$3:$H$3</c:f>
              <c:strCache>
                <c:ptCount val="7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</c:strCache>
            </c:strRef>
          </c:cat>
          <c:val>
            <c:numRef>
              <c:f>'VENTAS POR VENDEDOR '!$B$10:$H$10</c:f>
              <c:numCache>
                <c:formatCode>_("₡"* #,##0.00_);_("₡"* \(#,##0.00\);_("₡"* "-"??_);_(@_)</c:formatCode>
                <c:ptCount val="7"/>
                <c:pt idx="0">
                  <c:v>1442625</c:v>
                </c:pt>
                <c:pt idx="1">
                  <c:v>585000</c:v>
                </c:pt>
                <c:pt idx="2">
                  <c:v>2158250</c:v>
                </c:pt>
                <c:pt idx="3">
                  <c:v>945500</c:v>
                </c:pt>
                <c:pt idx="4">
                  <c:v>242310</c:v>
                </c:pt>
                <c:pt idx="5">
                  <c:v>950790</c:v>
                </c:pt>
                <c:pt idx="6">
                  <c:v>4251250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2-4968-B29E-087642CE5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720768"/>
        <c:axId val="1507493312"/>
      </c:barChart>
      <c:catAx>
        <c:axId val="1361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07493312"/>
        <c:crosses val="autoZero"/>
        <c:auto val="1"/>
        <c:lblAlgn val="ctr"/>
        <c:lblOffset val="100"/>
        <c:noMultiLvlLbl val="0"/>
      </c:catAx>
      <c:valAx>
        <c:axId val="1507493312"/>
        <c:scaling>
          <c:orientation val="minMax"/>
        </c:scaling>
        <c:delete val="1"/>
        <c:axPos val="l"/>
        <c:numFmt formatCode="_(&quot;₡&quot;* #,##0.00_);_(&quot;₡&quot;* \(#,##0.00\);_(&quot;₡&quot;* &quot;-&quot;??_);_(@_)" sourceLinked="1"/>
        <c:majorTickMark val="none"/>
        <c:minorTickMark val="none"/>
        <c:tickLblPos val="nextTo"/>
        <c:crossAx val="13617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Tarea1 Excel Avanzado (Graficos y Tablas ).xlsx]Hoja1!VENTADEPRODUCTOXPROVINCIA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Cartago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FUTBOL SALA</c:v>
                </c:pt>
                <c:pt idx="1">
                  <c:v>PATINES</c:v>
                </c:pt>
                <c:pt idx="2">
                  <c:v>TACOS FUTBOL</c:v>
                </c:pt>
                <c:pt idx="3">
                  <c:v>TENNIS</c:v>
                </c:pt>
              </c:strCache>
            </c:strRef>
          </c:cat>
          <c:val>
            <c:numRef>
              <c:f>Hoja1!$B$5:$B$9</c:f>
              <c:numCache>
                <c:formatCode>General</c:formatCode>
                <c:ptCount val="4"/>
                <c:pt idx="0">
                  <c:v>953000</c:v>
                </c:pt>
                <c:pt idx="1">
                  <c:v>431500</c:v>
                </c:pt>
                <c:pt idx="2">
                  <c:v>1983500</c:v>
                </c:pt>
                <c:pt idx="3">
                  <c:v>818675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380-A69D-B0C06E796832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Heredia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FUTBOL SALA</c:v>
                </c:pt>
                <c:pt idx="1">
                  <c:v>PATINES</c:v>
                </c:pt>
                <c:pt idx="2">
                  <c:v>TACOS FUTBOL</c:v>
                </c:pt>
                <c:pt idx="3">
                  <c:v>TENNIS</c:v>
                </c:pt>
              </c:strCache>
            </c:strRef>
          </c:cat>
          <c:val>
            <c:numRef>
              <c:f>Hoja1!$C$5:$C$9</c:f>
              <c:numCache>
                <c:formatCode>General</c:formatCode>
                <c:ptCount val="4"/>
                <c:pt idx="0">
                  <c:v>1077760</c:v>
                </c:pt>
                <c:pt idx="1">
                  <c:v>492500</c:v>
                </c:pt>
                <c:pt idx="2">
                  <c:v>692500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9-4380-A69D-B0C06E796832}"/>
            </c:ext>
          </c:extLst>
        </c:ser>
        <c:ser>
          <c:idx val="2"/>
          <c:order val="2"/>
          <c:tx>
            <c:strRef>
              <c:f>Hoja1!$D$3:$D$4</c:f>
              <c:strCache>
                <c:ptCount val="1"/>
                <c:pt idx="0">
                  <c:v>San José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FUTBOL SALA</c:v>
                </c:pt>
                <c:pt idx="1">
                  <c:v>PATINES</c:v>
                </c:pt>
                <c:pt idx="2">
                  <c:v>TACOS FUTBOL</c:v>
                </c:pt>
                <c:pt idx="3">
                  <c:v>TENNIS</c:v>
                </c:pt>
              </c:strCache>
            </c:strRef>
          </c:cat>
          <c:val>
            <c:numRef>
              <c:f>Hoja1!$D$5:$D$9</c:f>
              <c:numCache>
                <c:formatCode>General</c:formatCode>
                <c:ptCount val="4"/>
                <c:pt idx="0">
                  <c:v>704540</c:v>
                </c:pt>
                <c:pt idx="1">
                  <c:v>1451750</c:v>
                </c:pt>
                <c:pt idx="2">
                  <c:v>437500</c:v>
                </c:pt>
                <c:pt idx="3">
                  <c:v>1532500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9-4380-A69D-B0C06E7968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100"/>
        <c:axId val="2010695023"/>
        <c:axId val="2008121983"/>
      </c:barChart>
      <c:catAx>
        <c:axId val="201069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8121983"/>
        <c:crosses val="autoZero"/>
        <c:auto val="1"/>
        <c:lblAlgn val="ctr"/>
        <c:lblOffset val="100"/>
        <c:noMultiLvlLbl val="0"/>
      </c:catAx>
      <c:valAx>
        <c:axId val="2008121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106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[Angie Vargas Matarrita - Tarea1 Excel Avanzado (Graficos y Tablas ).xlsx]Tablas y graficos!VENTAXVENDEDOR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</a:t>
            </a:r>
            <a:r>
              <a:rPr lang="en-US" baseline="0"/>
              <a:t>Ventas por vendedor.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69606906073157E-2"/>
              <c:y val="-7.1651235903204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69606906073157E-2"/>
              <c:y val="-8.6303250555219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5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69606906073157E-2"/>
              <c:y val="-8.6303250555219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5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1.669606906073157E-2"/>
              <c:y val="-7.1651235903204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dLbl>
          <c:idx val="0"/>
          <c:layout>
            <c:manualLayout>
              <c:x val="-1.669606906073157E-2"/>
              <c:y val="-8.63032505552190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dLbl>
          <c:idx val="0"/>
          <c:layout>
            <c:manualLayout>
              <c:x val="-1.669606906073157E-2"/>
              <c:y val="-7.16512359032044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39600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8000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0.15287779334276075"/>
              <c:y val="6.43831867557949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144000" bIns="19050" spcCol="360000" anchor="b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836865161628576"/>
                  <c:h val="6.4391989815333617E-2"/>
                </c:manualLayout>
              </c15:layout>
            </c:ext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8000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8000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8000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18000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0" tIns="19050" rIns="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y graficos'!$C$9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4970-419D-AB4E-53E957785FD8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70-419D-AB4E-53E957785FD8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70-419D-AB4E-53E957785FD8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70-419D-AB4E-53E957785FD8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70-419D-AB4E-53E957785FD8}"/>
                </c:ext>
              </c:extLst>
            </c:dLbl>
            <c:dLbl>
              <c:idx val="5"/>
              <c:layout>
                <c:manualLayout>
                  <c:x val="-0.15287779334276075"/>
                  <c:y val="6.438318675579490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144000" bIns="19050" spcCol="360000" anchor="b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836865161628576"/>
                      <c:h val="6.43919898153336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970-419D-AB4E-53E957785F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graficos'!$B$10:$B$16</c:f>
              <c:strCache>
                <c:ptCount val="6"/>
                <c:pt idx="0">
                  <c:v>PATRICIA ELIZONDO CASTRO</c:v>
                </c:pt>
                <c:pt idx="1">
                  <c:v>SONIA DELGADO PEREZ</c:v>
                </c:pt>
                <c:pt idx="2">
                  <c:v>EDUARDO SALAS PORRAS</c:v>
                </c:pt>
                <c:pt idx="3">
                  <c:v>JULIO CAMACHO SALAS</c:v>
                </c:pt>
                <c:pt idx="4">
                  <c:v>CARLOS GOMEZ RAMIREZ</c:v>
                </c:pt>
                <c:pt idx="5">
                  <c:v>VILMA ROJAS CALDERON</c:v>
                </c:pt>
              </c:strCache>
            </c:strRef>
          </c:cat>
          <c:val>
            <c:numRef>
              <c:f>'Tablas y graficos'!$C$10:$C$16</c:f>
              <c:numCache>
                <c:formatCode>"₡"#\ ##0</c:formatCode>
                <c:ptCount val="6"/>
                <c:pt idx="0">
                  <c:v>515010</c:v>
                </c:pt>
                <c:pt idx="1">
                  <c:v>1445750</c:v>
                </c:pt>
                <c:pt idx="2">
                  <c:v>1655625</c:v>
                </c:pt>
                <c:pt idx="3">
                  <c:v>1747750</c:v>
                </c:pt>
                <c:pt idx="4">
                  <c:v>2531050</c:v>
                </c:pt>
                <c:pt idx="5">
                  <c:v>2680540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0-419D-AB4E-53E957785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40"/>
        <c:axId val="774651376"/>
        <c:axId val="774544480"/>
      </c:barChart>
      <c:catAx>
        <c:axId val="77465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74544480"/>
        <c:crosses val="autoZero"/>
        <c:auto val="1"/>
        <c:lblAlgn val="ctr"/>
        <c:lblOffset val="100"/>
        <c:noMultiLvlLbl val="0"/>
      </c:catAx>
      <c:valAx>
        <c:axId val="774544480"/>
        <c:scaling>
          <c:orientation val="minMax"/>
        </c:scaling>
        <c:delete val="1"/>
        <c:axPos val="b"/>
        <c:numFmt formatCode="&quot;₡&quot;#\ ##0" sourceLinked="1"/>
        <c:majorTickMark val="none"/>
        <c:minorTickMark val="none"/>
        <c:tickLblPos val="nextTo"/>
        <c:crossAx val="7746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[Angie Vargas Matarrita - Tarea1 Excel Avanzado (Graficos y Tablas ).xlsx]Tablas y graficos!VENTAXGENERO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Ventas por Genero</a:t>
            </a:r>
            <a:r>
              <a:rPr lang="en-US" sz="1100" baseline="0"/>
              <a:t> de Cliente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y graficos'!$C$3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2D-4E92-9031-CFE03D2F0D0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2D-4E92-9031-CFE03D2F0D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y graficos'!$B$4:$B$6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'Tablas y graficos'!$C$4:$C$6</c:f>
              <c:numCache>
                <c:formatCode>0.00%</c:formatCode>
                <c:ptCount val="2"/>
                <c:pt idx="0">
                  <c:v>0.5714285714285714</c:v>
                </c:pt>
                <c:pt idx="1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D-4E92-9031-CFE03D2F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Tarea1 Excel Avanzado (Graficos y Tablas ).xlsx]Tablas y graficos!RANGOEDADES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Rango Etáreo</a:t>
            </a:r>
            <a:r>
              <a:rPr lang="en-US" baseline="0"/>
              <a:t> y su distribución porcentual de las Ventas Totales.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y graficos'!$C$18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graficos'!$B$19:$B$26</c:f>
              <c:strCache>
                <c:ptCount val="7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45-49</c:v>
                </c:pt>
                <c:pt idx="4">
                  <c:v>50-54</c:v>
                </c:pt>
                <c:pt idx="5">
                  <c:v>55-59</c:v>
                </c:pt>
                <c:pt idx="6">
                  <c:v>60-64</c:v>
                </c:pt>
              </c:strCache>
            </c:strRef>
          </c:cat>
          <c:val>
            <c:numRef>
              <c:f>'Tablas y graficos'!$C$19:$C$26</c:f>
              <c:numCache>
                <c:formatCode>0.00%</c:formatCode>
                <c:ptCount val="7"/>
                <c:pt idx="0">
                  <c:v>8.9864061869871989E-2</c:v>
                </c:pt>
                <c:pt idx="1">
                  <c:v>3.5153336354973752E-2</c:v>
                </c:pt>
                <c:pt idx="2">
                  <c:v>8.3875503656303863E-2</c:v>
                </c:pt>
                <c:pt idx="3">
                  <c:v>0.27482414409655925</c:v>
                </c:pt>
                <c:pt idx="4">
                  <c:v>0.33673148918098078</c:v>
                </c:pt>
                <c:pt idx="5">
                  <c:v>0.12367015107012466</c:v>
                </c:pt>
                <c:pt idx="6">
                  <c:v>5.5881313771185687E-2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B-45FD-959D-DCA2F922F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774665776"/>
        <c:axId val="774528112"/>
      </c:barChart>
      <c:catAx>
        <c:axId val="77466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Rango de 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74528112"/>
        <c:crosses val="autoZero"/>
        <c:auto val="1"/>
        <c:lblAlgn val="ctr"/>
        <c:lblOffset val="100"/>
        <c:noMultiLvlLbl val="0"/>
      </c:catAx>
      <c:valAx>
        <c:axId val="774528112"/>
        <c:scaling>
          <c:orientation val="minMax"/>
        </c:scaling>
        <c:delete val="1"/>
        <c:axPos val="l"/>
        <c:majorGridlines>
          <c:spPr>
            <a:ln w="5397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Porcentaje</a:t>
                </a:r>
                <a:r>
                  <a:rPr lang="es-CR" baseline="0"/>
                  <a:t> de ventas</a:t>
                </a:r>
                <a:endParaRPr lang="es-CR"/>
              </a:p>
            </c:rich>
          </c:tx>
          <c:layout>
            <c:manualLayout>
              <c:xMode val="edge"/>
              <c:yMode val="edge"/>
              <c:x val="1.939393692592865E-2"/>
              <c:y val="0.2818000848543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%" sourceLinked="1"/>
        <c:majorTickMark val="none"/>
        <c:minorTickMark val="none"/>
        <c:tickLblPos val="nextTo"/>
        <c:crossAx val="7746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Tarea1 Excel Avanzado (Graficos y Tablas ).xlsx]Tablas y graficos!VentaBrutaXMes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>
            <a:outerShdw blurRad="50800" dist="50800" dir="5400000" algn="ctr" rotWithShape="0">
              <a:schemeClr val="accent5">
                <a:lumMod val="60000"/>
                <a:lumOff val="40000"/>
              </a:scheme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accent5">
                  <a:lumMod val="60000"/>
                  <a:lumOff val="40000"/>
                </a:scheme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'Tablas y graficos'!$C$29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accent5">
                  <a:lumMod val="60000"/>
                  <a:lumOff val="4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accent5">
                    <a:lumMod val="60000"/>
                    <a:lumOff val="4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graficos'!$B$30:$B$37</c:f>
              <c:strCache>
                <c:ptCount val="7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</c:strCache>
            </c:strRef>
          </c:cat>
          <c:val>
            <c:numRef>
              <c:f>'Tablas y graficos'!$C$30:$C$37</c:f>
              <c:numCache>
                <c:formatCode>"₡"#\ ##0</c:formatCode>
                <c:ptCount val="7"/>
                <c:pt idx="0">
                  <c:v>1442625</c:v>
                </c:pt>
                <c:pt idx="1">
                  <c:v>585000</c:v>
                </c:pt>
                <c:pt idx="2">
                  <c:v>2158250</c:v>
                </c:pt>
                <c:pt idx="3">
                  <c:v>945500</c:v>
                </c:pt>
                <c:pt idx="4">
                  <c:v>242310</c:v>
                </c:pt>
                <c:pt idx="5">
                  <c:v>950790</c:v>
                </c:pt>
                <c:pt idx="6">
                  <c:v>4251250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D-48AA-8AF6-2644E2B59E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657616"/>
        <c:axId val="261952608"/>
      </c:lineChart>
      <c:catAx>
        <c:axId val="7746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61952608"/>
        <c:crosses val="autoZero"/>
        <c:auto val="1"/>
        <c:lblAlgn val="ctr"/>
        <c:lblOffset val="100"/>
        <c:noMultiLvlLbl val="0"/>
      </c:catAx>
      <c:valAx>
        <c:axId val="261952608"/>
        <c:scaling>
          <c:orientation val="minMax"/>
        </c:scaling>
        <c:delete val="0"/>
        <c:axPos val="l"/>
        <c:numFmt formatCode="&quot;₡&quot;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74657616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Tarea1 Excel Avanzado (Graficos y Tablas ).xlsx]Tablas y graficos!ComprasxGenero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Compras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2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3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5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6"/>
        <c:spPr>
          <a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  <c:pivotFmt>
        <c:idx val="8"/>
        <c:spPr>
          <a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a:blip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212180213095029E-2"/>
          <c:y val="0.16593689617960139"/>
          <c:w val="0.90222215378628434"/>
          <c:h val="0.71291290322943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y graficos'!$C$42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61-4672-804B-4610FC6E1B4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61-4672-804B-4610FC6E1B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graficos'!$B$43:$B$45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'Tablas y graficos'!$C$43:$C$45</c:f>
              <c:numCache>
                <c:formatCode>0.00%</c:formatCode>
                <c:ptCount val="2"/>
                <c:pt idx="0">
                  <c:v>0.67942150538142776</c:v>
                </c:pt>
                <c:pt idx="1">
                  <c:v>0.32057849461857224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61-4672-804B-4610FC6E1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"/>
        <c:overlap val="13"/>
        <c:axId val="1105803231"/>
        <c:axId val="1573318415"/>
      </c:barChart>
      <c:catAx>
        <c:axId val="11058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73318415"/>
        <c:crosses val="autoZero"/>
        <c:auto val="1"/>
        <c:lblAlgn val="ctr"/>
        <c:lblOffset val="100"/>
        <c:noMultiLvlLbl val="0"/>
      </c:catAx>
      <c:valAx>
        <c:axId val="157331841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0580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Tarea1 Excel Avanzado (Graficos y Tablas ).xlsx]Tablas y graficos!ventasXproductoXsucursal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Ventas de Productos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'Tablas y graficos'!$C$48:$C$49</c:f>
              <c:strCache>
                <c:ptCount val="1"/>
                <c:pt idx="0">
                  <c:v>Cartago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graficos'!$B$50:$B$54</c:f>
              <c:strCache>
                <c:ptCount val="4"/>
                <c:pt idx="0">
                  <c:v>FUTBOL SALA</c:v>
                </c:pt>
                <c:pt idx="1">
                  <c:v>PATINES</c:v>
                </c:pt>
                <c:pt idx="2">
                  <c:v>TACOS FUTBOL</c:v>
                </c:pt>
                <c:pt idx="3">
                  <c:v>TENNIS</c:v>
                </c:pt>
              </c:strCache>
            </c:strRef>
          </c:cat>
          <c:val>
            <c:numRef>
              <c:f>'Tablas y graficos'!$C$50:$C$54</c:f>
              <c:numCache>
                <c:formatCode>"₡"#\ ##0</c:formatCode>
                <c:ptCount val="4"/>
                <c:pt idx="0">
                  <c:v>953000</c:v>
                </c:pt>
                <c:pt idx="1">
                  <c:v>431500</c:v>
                </c:pt>
                <c:pt idx="2">
                  <c:v>1983500</c:v>
                </c:pt>
                <c:pt idx="3">
                  <c:v>818675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9-4727-9CA7-382D6CBC020D}"/>
            </c:ext>
          </c:extLst>
        </c:ser>
        <c:ser>
          <c:idx val="1"/>
          <c:order val="1"/>
          <c:tx>
            <c:strRef>
              <c:f>'Tablas y graficos'!$D$48:$D$49</c:f>
              <c:strCache>
                <c:ptCount val="1"/>
                <c:pt idx="0">
                  <c:v>Heredia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graficos'!$B$50:$B$54</c:f>
              <c:strCache>
                <c:ptCount val="4"/>
                <c:pt idx="0">
                  <c:v>FUTBOL SALA</c:v>
                </c:pt>
                <c:pt idx="1">
                  <c:v>PATINES</c:v>
                </c:pt>
                <c:pt idx="2">
                  <c:v>TACOS FUTBOL</c:v>
                </c:pt>
                <c:pt idx="3">
                  <c:v>TENNIS</c:v>
                </c:pt>
              </c:strCache>
            </c:strRef>
          </c:cat>
          <c:val>
            <c:numRef>
              <c:f>'Tablas y graficos'!$D$50:$D$54</c:f>
              <c:numCache>
                <c:formatCode>"₡"#\ ##0</c:formatCode>
                <c:ptCount val="4"/>
                <c:pt idx="0">
                  <c:v>1077760</c:v>
                </c:pt>
                <c:pt idx="1">
                  <c:v>492500</c:v>
                </c:pt>
                <c:pt idx="2">
                  <c:v>692500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19-4727-9CA7-382D6CBC020D}"/>
            </c:ext>
          </c:extLst>
        </c:ser>
        <c:ser>
          <c:idx val="2"/>
          <c:order val="2"/>
          <c:tx>
            <c:strRef>
              <c:f>'Tablas y graficos'!$E$48:$E$49</c:f>
              <c:strCache>
                <c:ptCount val="1"/>
                <c:pt idx="0">
                  <c:v>San José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graficos'!$B$50:$B$54</c:f>
              <c:strCache>
                <c:ptCount val="4"/>
                <c:pt idx="0">
                  <c:v>FUTBOL SALA</c:v>
                </c:pt>
                <c:pt idx="1">
                  <c:v>PATINES</c:v>
                </c:pt>
                <c:pt idx="2">
                  <c:v>TACOS FUTBOL</c:v>
                </c:pt>
                <c:pt idx="3">
                  <c:v>TENNIS</c:v>
                </c:pt>
              </c:strCache>
            </c:strRef>
          </c:cat>
          <c:val>
            <c:numRef>
              <c:f>'Tablas y graficos'!$E$50:$E$54</c:f>
              <c:numCache>
                <c:formatCode>"₡"#\ ##0</c:formatCode>
                <c:ptCount val="4"/>
                <c:pt idx="0">
                  <c:v>704540</c:v>
                </c:pt>
                <c:pt idx="1">
                  <c:v>1451750</c:v>
                </c:pt>
                <c:pt idx="2">
                  <c:v>437500</c:v>
                </c:pt>
                <c:pt idx="3">
                  <c:v>1532500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19-4727-9CA7-382D6CBC02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105250335"/>
        <c:axId val="1848338255"/>
      </c:barChart>
      <c:catAx>
        <c:axId val="11052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48338255"/>
        <c:crosses val="autoZero"/>
        <c:auto val="1"/>
        <c:lblAlgn val="ctr"/>
        <c:lblOffset val="100"/>
        <c:noMultiLvlLbl val="0"/>
      </c:catAx>
      <c:valAx>
        <c:axId val="1848338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\ ##0" sourceLinked="1"/>
        <c:majorTickMark val="none"/>
        <c:minorTickMark val="none"/>
        <c:tickLblPos val="nextTo"/>
        <c:crossAx val="110525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[Angie Vargas Matarrita - Tarea1 Excel Avanzado (Graficos y Tablas ).xlsx]Tablas y graficos!TablaDinámica5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Meta Alcanzada por</a:t>
            </a:r>
            <a:r>
              <a:rPr lang="es-CR" baseline="0"/>
              <a:t> tienda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'Tablas y graficos'!$D$72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'Tablas y graficos'!$B$73:$B$76</c:f>
              <c:strCache>
                <c:ptCount val="3"/>
                <c:pt idx="0">
                  <c:v>Cartago</c:v>
                </c:pt>
                <c:pt idx="1">
                  <c:v>Heredia</c:v>
                </c:pt>
                <c:pt idx="2">
                  <c:v>San José</c:v>
                </c:pt>
              </c:strCache>
            </c:strRef>
          </c:cat>
          <c:val>
            <c:numRef>
              <c:f>'Tablas y graficos'!$D$73:$D$76</c:f>
              <c:numCache>
                <c:formatCode>"₡"#\ ##0</c:formatCode>
                <c:ptCount val="3"/>
                <c:pt idx="0">
                  <c:v>4186675</c:v>
                </c:pt>
                <c:pt idx="1">
                  <c:v>0</c:v>
                </c:pt>
                <c:pt idx="2">
                  <c:v>4126290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4E24-8E8C-E3AA98EDC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-27"/>
        <c:axId val="1283714063"/>
        <c:axId val="1848361567"/>
      </c:barChart>
      <c:barChart>
        <c:barDir val="col"/>
        <c:grouping val="clustered"/>
        <c:varyColors val="0"/>
        <c:ser>
          <c:idx val="0"/>
          <c:order val="0"/>
          <c:tx>
            <c:strRef>
              <c:f>'Tablas y graficos'!$C$72</c:f>
              <c:strCache>
                <c:ptCount val="1"/>
                <c:pt idx="0">
                  <c:v>Suma de VENTAS BRUTAS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1D-4E24-8E8C-E3AA98EDC8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01D-4E24-8E8C-E3AA98EDC8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graficos'!$B$73:$B$76</c:f>
              <c:strCache>
                <c:ptCount val="3"/>
                <c:pt idx="0">
                  <c:v>Cartago</c:v>
                </c:pt>
                <c:pt idx="1">
                  <c:v>Heredia</c:v>
                </c:pt>
                <c:pt idx="2">
                  <c:v>San José</c:v>
                </c:pt>
              </c:strCache>
            </c:strRef>
          </c:cat>
          <c:val>
            <c:numRef>
              <c:f>'Tablas y graficos'!$C$73:$C$76</c:f>
              <c:numCache>
                <c:formatCode>"₡"#\ ##0</c:formatCode>
                <c:ptCount val="3"/>
                <c:pt idx="0">
                  <c:v>4186675</c:v>
                </c:pt>
                <c:pt idx="1">
                  <c:v>2262760</c:v>
                </c:pt>
                <c:pt idx="2">
                  <c:v>4126290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1D-4E24-8E8C-E3AA98EDC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"/>
        <c:overlap val="-27"/>
        <c:axId val="1416735439"/>
        <c:axId val="1378425631"/>
      </c:barChart>
      <c:catAx>
        <c:axId val="12837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48361567"/>
        <c:crosses val="autoZero"/>
        <c:auto val="1"/>
        <c:lblAlgn val="ctr"/>
        <c:lblOffset val="100"/>
        <c:noMultiLvlLbl val="0"/>
      </c:catAx>
      <c:valAx>
        <c:axId val="18483615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₡&quot;#\ ##0" sourceLinked="1"/>
        <c:majorTickMark val="none"/>
        <c:minorTickMark val="none"/>
        <c:tickLblPos val="nextTo"/>
        <c:crossAx val="1283714063"/>
        <c:crosses val="autoZero"/>
        <c:crossBetween val="between"/>
      </c:valAx>
      <c:valAx>
        <c:axId val="1378425631"/>
        <c:scaling>
          <c:orientation val="minMax"/>
        </c:scaling>
        <c:delete val="1"/>
        <c:axPos val="r"/>
        <c:numFmt formatCode="&quot;₡&quot;#\ ##0" sourceLinked="1"/>
        <c:majorTickMark val="out"/>
        <c:minorTickMark val="none"/>
        <c:tickLblPos val="nextTo"/>
        <c:crossAx val="1416735439"/>
        <c:crosses val="max"/>
        <c:crossBetween val="between"/>
      </c:valAx>
      <c:catAx>
        <c:axId val="1416735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842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1</xdr:row>
      <xdr:rowOff>171450</xdr:rowOff>
    </xdr:from>
    <xdr:to>
      <xdr:col>26</xdr:col>
      <xdr:colOff>312420</xdr:colOff>
      <xdr:row>13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F9A894-D26D-9895-8A8A-2AFB8E8A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28575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256B3-552A-4CBF-BE9E-CC574FF9B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207065</xdr:colOff>
      <xdr:row>16</xdr:row>
      <xdr:rowOff>99390</xdr:rowOff>
    </xdr:from>
    <xdr:to>
      <xdr:col>3</xdr:col>
      <xdr:colOff>455543</xdr:colOff>
      <xdr:row>22</xdr:row>
      <xdr:rowOff>173935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VINCIA TIENDA">
              <a:extLst>
                <a:ext uri="{FF2B5EF4-FFF2-40B4-BE49-F238E27FC236}">
                  <a16:creationId xmlns:a16="http://schemas.microsoft.com/office/drawing/2014/main" id="{3B285B5F-45B6-481A-A32A-3F47B9276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065" y="3147390"/>
              <a:ext cx="2534478" cy="1217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496959</xdr:colOff>
      <xdr:row>30</xdr:row>
      <xdr:rowOff>140804</xdr:rowOff>
    </xdr:from>
    <xdr:to>
      <xdr:col>12</xdr:col>
      <xdr:colOff>347871</xdr:colOff>
      <xdr:row>42</xdr:row>
      <xdr:rowOff>91108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9CD9166-94B8-4F3B-B738-C62B24055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423450</xdr:colOff>
      <xdr:row>30</xdr:row>
      <xdr:rowOff>184287</xdr:rowOff>
    </xdr:from>
    <xdr:to>
      <xdr:col>15</xdr:col>
      <xdr:colOff>157369</xdr:colOff>
      <xdr:row>42</xdr:row>
      <xdr:rowOff>16565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AFF506-9348-4D0D-8CD2-FE64AA5CC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74543</xdr:colOff>
      <xdr:row>18</xdr:row>
      <xdr:rowOff>124239</xdr:rowOff>
    </xdr:from>
    <xdr:to>
      <xdr:col>20</xdr:col>
      <xdr:colOff>447261</xdr:colOff>
      <xdr:row>29</xdr:row>
      <xdr:rowOff>149086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5A5BFBF-2374-4BA9-9D6D-42F6C89A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124239</xdr:colOff>
      <xdr:row>18</xdr:row>
      <xdr:rowOff>124241</xdr:rowOff>
    </xdr:from>
    <xdr:to>
      <xdr:col>14</xdr:col>
      <xdr:colOff>670891</xdr:colOff>
      <xdr:row>29</xdr:row>
      <xdr:rowOff>149087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C5D6D5A-98EC-4F50-9CF3-DCD603354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223633</xdr:colOff>
      <xdr:row>11</xdr:row>
      <xdr:rowOff>106015</xdr:rowOff>
    </xdr:from>
    <xdr:to>
      <xdr:col>3</xdr:col>
      <xdr:colOff>463829</xdr:colOff>
      <xdr:row>16</xdr:row>
      <xdr:rowOff>49694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PRODUCTO VENDIDO">
              <a:extLst>
                <a:ext uri="{FF2B5EF4-FFF2-40B4-BE49-F238E27FC236}">
                  <a16:creationId xmlns:a16="http://schemas.microsoft.com/office/drawing/2014/main" id="{48E3FEC9-8008-4F9B-8F1C-917862B69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VEN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633" y="2201515"/>
              <a:ext cx="2526196" cy="896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554937</xdr:colOff>
      <xdr:row>30</xdr:row>
      <xdr:rowOff>165653</xdr:rowOff>
    </xdr:from>
    <xdr:to>
      <xdr:col>6</xdr:col>
      <xdr:colOff>364434</xdr:colOff>
      <xdr:row>42</xdr:row>
      <xdr:rowOff>24848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24076C9-8210-4F0B-80AB-BE64DEC1E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530086</xdr:colOff>
      <xdr:row>18</xdr:row>
      <xdr:rowOff>124238</xdr:rowOff>
    </xdr:from>
    <xdr:to>
      <xdr:col>8</xdr:col>
      <xdr:colOff>761999</xdr:colOff>
      <xdr:row>29</xdr:row>
      <xdr:rowOff>157369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97876E-E079-4C75-B5E1-23ED0CE5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538370</xdr:colOff>
      <xdr:row>6</xdr:row>
      <xdr:rowOff>173934</xdr:rowOff>
    </xdr:from>
    <xdr:to>
      <xdr:col>6</xdr:col>
      <xdr:colOff>422414</xdr:colOff>
      <xdr:row>11</xdr:row>
      <xdr:rowOff>12217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E3B126D5-AA67-009F-5C3A-ECAC620D8CDB}"/>
            </a:ext>
          </a:extLst>
        </xdr:cNvPr>
        <xdr:cNvGrpSpPr/>
      </xdr:nvGrpSpPr>
      <xdr:grpSpPr>
        <a:xfrm>
          <a:off x="2824370" y="1316934"/>
          <a:ext cx="2170044" cy="790783"/>
          <a:chOff x="4588565" y="1408043"/>
          <a:chExt cx="2170044" cy="790783"/>
        </a:xfrm>
      </xdr:grpSpPr>
      <xdr:sp macro="" textlink="TIENDA!B8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A717CF11-4729-91CE-BD83-D35E791BBA28}"/>
              </a:ext>
            </a:extLst>
          </xdr:cNvPr>
          <xdr:cNvSpPr/>
        </xdr:nvSpPr>
        <xdr:spPr>
          <a:xfrm>
            <a:off x="4600369" y="1436826"/>
            <a:ext cx="2152650" cy="762000"/>
          </a:xfrm>
          <a:prstGeom prst="roundRect">
            <a:avLst>
              <a:gd name="adj" fmla="val 13406"/>
            </a:avLst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F0616541-35D6-4A5A-B967-A3955D1475E9}" type="TxLink">
              <a:rPr lang="en-US" sz="16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₡10 575 725</a:t>
            </a:fld>
            <a:endParaRPr lang="es-CR" sz="1600"/>
          </a:p>
        </xdr:txBody>
      </xdr:sp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0998AA36-40F8-4A43-A147-D90E89E8F48B}"/>
              </a:ext>
            </a:extLst>
          </xdr:cNvPr>
          <xdr:cNvSpPr/>
        </xdr:nvSpPr>
        <xdr:spPr>
          <a:xfrm>
            <a:off x="4588565" y="1408043"/>
            <a:ext cx="2170044" cy="243922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CR" sz="1200"/>
              <a:t>TOTAL</a:t>
            </a:r>
            <a:r>
              <a:rPr lang="es-CR" sz="1200" baseline="0"/>
              <a:t> DE VENTAS</a:t>
            </a:r>
            <a:endParaRPr lang="es-CR" sz="1200"/>
          </a:p>
        </xdr:txBody>
      </xdr:sp>
    </xdr:grpSp>
    <xdr:clientData/>
  </xdr:twoCellAnchor>
  <xdr:twoCellAnchor>
    <xdr:from>
      <xdr:col>10</xdr:col>
      <xdr:colOff>273325</xdr:colOff>
      <xdr:row>6</xdr:row>
      <xdr:rowOff>149089</xdr:rowOff>
    </xdr:from>
    <xdr:to>
      <xdr:col>13</xdr:col>
      <xdr:colOff>149086</xdr:colOff>
      <xdr:row>10</xdr:row>
      <xdr:rowOff>178905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7AA1C728-1BD9-B93B-4575-A0CDB94A0EE8}"/>
            </a:ext>
          </a:extLst>
        </xdr:cNvPr>
        <xdr:cNvGrpSpPr/>
      </xdr:nvGrpSpPr>
      <xdr:grpSpPr>
        <a:xfrm>
          <a:off x="7893325" y="1292089"/>
          <a:ext cx="2161761" cy="791816"/>
          <a:chOff x="6112565" y="1250674"/>
          <a:chExt cx="2161761" cy="791816"/>
        </a:xfrm>
      </xdr:grpSpPr>
      <xdr:sp macro="" textlink="TIENDA!B10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94418FDC-5597-41F5-B825-E3DD16070BCE}"/>
              </a:ext>
            </a:extLst>
          </xdr:cNvPr>
          <xdr:cNvSpPr/>
        </xdr:nvSpPr>
        <xdr:spPr>
          <a:xfrm>
            <a:off x="6116705" y="1280490"/>
            <a:ext cx="2152650" cy="7620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CBBB65A6-C599-4B9E-8B58-94196F1E0C02}" type="TxLink">
              <a:rPr lang="en-US" sz="16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₡377 704</a:t>
            </a:fld>
            <a:endParaRPr lang="es-CR" sz="1600"/>
          </a:p>
        </xdr:txBody>
      </xdr:sp>
      <xdr:sp macro="" textlink="">
        <xdr:nvSpPr>
          <xdr:cNvPr id="21" name="Rectángulo: esquinas redondeadas 20">
            <a:extLst>
              <a:ext uri="{FF2B5EF4-FFF2-40B4-BE49-F238E27FC236}">
                <a16:creationId xmlns:a16="http://schemas.microsoft.com/office/drawing/2014/main" id="{CEDE70DE-F1C0-49A2-BB41-64BF774DBA02}"/>
              </a:ext>
            </a:extLst>
          </xdr:cNvPr>
          <xdr:cNvSpPr/>
        </xdr:nvSpPr>
        <xdr:spPr>
          <a:xfrm>
            <a:off x="6112565" y="1250674"/>
            <a:ext cx="2161761" cy="347869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s-CR" sz="1400"/>
              <a:t>PROMEDIO DE VENTAS</a:t>
            </a:r>
          </a:p>
        </xdr:txBody>
      </xdr:sp>
    </xdr:grpSp>
    <xdr:clientData/>
  </xdr:twoCellAnchor>
  <xdr:twoCellAnchor>
    <xdr:from>
      <xdr:col>17</xdr:col>
      <xdr:colOff>414126</xdr:colOff>
      <xdr:row>6</xdr:row>
      <xdr:rowOff>182217</xdr:rowOff>
    </xdr:from>
    <xdr:to>
      <xdr:col>20</xdr:col>
      <xdr:colOff>286576</xdr:colOff>
      <xdr:row>11</xdr:row>
      <xdr:rowOff>6626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75ACC245-25B9-3F19-5BD0-F6DFCF7C0352}"/>
            </a:ext>
          </a:extLst>
        </xdr:cNvPr>
        <xdr:cNvGrpSpPr/>
      </xdr:nvGrpSpPr>
      <xdr:grpSpPr>
        <a:xfrm>
          <a:off x="13368126" y="1325217"/>
          <a:ext cx="2158450" cy="776909"/>
          <a:chOff x="7603432" y="1101587"/>
          <a:chExt cx="2158450" cy="776909"/>
        </a:xfrm>
      </xdr:grpSpPr>
      <xdr:sp macro="" textlink="TIENDA!B9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6B2AA67D-3645-4E1E-8161-F7E0B0DA7F26}"/>
              </a:ext>
            </a:extLst>
          </xdr:cNvPr>
          <xdr:cNvSpPr/>
        </xdr:nvSpPr>
        <xdr:spPr>
          <a:xfrm>
            <a:off x="7609232" y="1116496"/>
            <a:ext cx="2152650" cy="762000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1DD0B29-860E-495B-8F29-936B1498AF4C}" type="TxLink">
              <a:rPr lang="en-US" sz="20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28</a:t>
            </a:fld>
            <a:endParaRPr lang="es-CR" sz="2000"/>
          </a:p>
        </xdr:txBody>
      </xdr:sp>
      <xdr:sp macro="" textlink="">
        <xdr:nvSpPr>
          <xdr:cNvPr id="22" name="Rectángulo: esquinas redondeadas 21">
            <a:extLst>
              <a:ext uri="{FF2B5EF4-FFF2-40B4-BE49-F238E27FC236}">
                <a16:creationId xmlns:a16="http://schemas.microsoft.com/office/drawing/2014/main" id="{1FFE7B31-CA4D-4CEE-8164-54F038423D90}"/>
              </a:ext>
            </a:extLst>
          </xdr:cNvPr>
          <xdr:cNvSpPr/>
        </xdr:nvSpPr>
        <xdr:spPr>
          <a:xfrm>
            <a:off x="7603432" y="1101587"/>
            <a:ext cx="2153480" cy="301487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R" sz="1200"/>
              <a:t>CANTIDAD DE TRANSACCIONES</a:t>
            </a:r>
          </a:p>
        </xdr:txBody>
      </xdr:sp>
    </xdr:grpSp>
    <xdr:clientData/>
  </xdr:twoCellAnchor>
  <xdr:twoCellAnchor>
    <xdr:from>
      <xdr:col>15</xdr:col>
      <xdr:colOff>256762</xdr:colOff>
      <xdr:row>30</xdr:row>
      <xdr:rowOff>182217</xdr:rowOff>
    </xdr:from>
    <xdr:to>
      <xdr:col>20</xdr:col>
      <xdr:colOff>488674</xdr:colOff>
      <xdr:row>42</xdr:row>
      <xdr:rowOff>24848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15EFD08-18F3-4534-826D-7590C090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521804</xdr:colOff>
      <xdr:row>11</xdr:row>
      <xdr:rowOff>107674</xdr:rowOff>
    </xdr:from>
    <xdr:to>
      <xdr:col>20</xdr:col>
      <xdr:colOff>380999</xdr:colOff>
      <xdr:row>18</xdr:row>
      <xdr:rowOff>58696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7" name="FECHA DE INGRESO DE FACTURA">
              <a:extLst>
                <a:ext uri="{FF2B5EF4-FFF2-40B4-BE49-F238E27FC236}">
                  <a16:creationId xmlns:a16="http://schemas.microsoft.com/office/drawing/2014/main" id="{3CF94071-C0FD-9E9E-BC14-B909DAB753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INGRESO DE FAC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7804" y="2203174"/>
              <a:ext cx="12813195" cy="12845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14</xdr:row>
      <xdr:rowOff>45720</xdr:rowOff>
    </xdr:from>
    <xdr:to>
      <xdr:col>1</xdr:col>
      <xdr:colOff>480060</xdr:colOff>
      <xdr:row>16</xdr:row>
      <xdr:rowOff>15240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D4D43CA-3D2C-93F3-944F-2BE30C4827AB}"/>
            </a:ext>
          </a:extLst>
        </xdr:cNvPr>
        <xdr:cNvCxnSpPr/>
      </xdr:nvCxnSpPr>
      <xdr:spPr>
        <a:xfrm>
          <a:off x="2026920" y="3825240"/>
          <a:ext cx="0" cy="33528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6</xdr:row>
      <xdr:rowOff>60960</xdr:rowOff>
    </xdr:from>
    <xdr:to>
      <xdr:col>8</xdr:col>
      <xdr:colOff>457200</xdr:colOff>
      <xdr:row>7</xdr:row>
      <xdr:rowOff>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FC4EF07-7654-47B7-90B1-3F53C4584EA3}"/>
            </a:ext>
          </a:extLst>
        </xdr:cNvPr>
        <xdr:cNvCxnSpPr/>
      </xdr:nvCxnSpPr>
      <xdr:spPr>
        <a:xfrm flipH="1" flipV="1">
          <a:off x="7650480" y="617220"/>
          <a:ext cx="7620" cy="2438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754380</xdr:colOff>
      <xdr:row>19</xdr:row>
      <xdr:rowOff>91440</xdr:rowOff>
    </xdr:from>
    <xdr:to>
      <xdr:col>0</xdr:col>
      <xdr:colOff>1508760</xdr:colOff>
      <xdr:row>20</xdr:row>
      <xdr:rowOff>160020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9B5B4E68-B7E8-19D9-CD2E-A14CA7EADB8F}"/>
            </a:ext>
          </a:extLst>
        </xdr:cNvPr>
        <xdr:cNvCxnSpPr/>
      </xdr:nvCxnSpPr>
      <xdr:spPr>
        <a:xfrm rot="10800000" flipV="1">
          <a:off x="754380" y="4975860"/>
          <a:ext cx="754380" cy="297180"/>
        </a:xfrm>
        <a:prstGeom prst="bentConnector3">
          <a:avLst>
            <a:gd name="adj1" fmla="val 10050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12700</xdr:colOff>
      <xdr:row>41</xdr:row>
      <xdr:rowOff>114300</xdr:rowOff>
    </xdr:from>
    <xdr:to>
      <xdr:col>9</xdr:col>
      <xdr:colOff>143595</xdr:colOff>
      <xdr:row>43</xdr:row>
      <xdr:rowOff>20344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4E33C758-6889-14ED-2392-7C94DB4D1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3200" y="9036050"/>
          <a:ext cx="975445" cy="2743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45.855645833333" createdVersion="8" refreshedVersion="8" minRefreshableVersion="3" recordCount="28" xr:uid="{76D7C4CC-3E2F-47D0-9626-DC4D5B05CBBC}">
  <cacheSource type="worksheet">
    <worksheetSource name="Tabla2"/>
  </cacheSource>
  <cacheFields count="24">
    <cacheField name="VENDEDOR" numFmtId="0">
      <sharedItems count="6">
        <s v="JULIO CAMACHO SALAS"/>
        <s v="CARLOS GOMEZ RAMIREZ"/>
        <s v="VILMA ROJAS CALDERON"/>
        <s v="SONIA DELGADO PEREZ"/>
        <s v="PATRICIA ELIZONDO CASTRO"/>
        <s v="EDUARDO SALAS PORRAS"/>
      </sharedItems>
    </cacheField>
    <cacheField name="CEDULA" numFmtId="0">
      <sharedItems containsSemiMixedTypes="0" containsString="0" containsNumber="1" containsInteger="1" minValue="606890659" maxValue="997950787"/>
    </cacheField>
    <cacheField name="APELLIDO 1" numFmtId="0">
      <sharedItems/>
    </cacheField>
    <cacheField name="APELLIDO 2" numFmtId="0">
      <sharedItems/>
    </cacheField>
    <cacheField name="NOMBRE 1" numFmtId="0">
      <sharedItems/>
    </cacheField>
    <cacheField name="NOMBRE 2" numFmtId="0">
      <sharedItems containsBlank="1"/>
    </cacheField>
    <cacheField name="CLIENTE" numFmtId="0">
      <sharedItems/>
    </cacheField>
    <cacheField name="EDAD" numFmtId="0">
      <sharedItems containsSemiMixedTypes="0" containsString="0" containsNumber="1" containsInteger="1" minValue="25" maxValue="61" count="14">
        <n v="54"/>
        <n v="50"/>
        <n v="48"/>
        <n v="36"/>
        <n v="28"/>
        <n v="25"/>
        <n v="35"/>
        <n v="61"/>
        <n v="55"/>
        <n v="49"/>
        <n v="33"/>
        <n v="53"/>
        <n v="29"/>
        <n v="58"/>
      </sharedItems>
      <fieldGroup base="7">
        <rangePr startNum="25" endNum="61" groupInterval="5"/>
        <groupItems count="10">
          <s v="&lt;25"/>
          <s v="25-29"/>
          <s v="30-34"/>
          <s v="35-39"/>
          <s v="40-44"/>
          <s v="45-49"/>
          <s v="50-54"/>
          <s v="55-59"/>
          <s v="60-64"/>
          <s v="&gt;65"/>
        </groupItems>
      </fieldGroup>
    </cacheField>
    <cacheField name="GENERO CLIENTE" numFmtId="0">
      <sharedItems count="2">
        <s v="Masculino"/>
        <s v="Femenino"/>
      </sharedItems>
    </cacheField>
    <cacheField name="PROVINCIA TIENDA" numFmtId="0">
      <sharedItems count="3">
        <s v="Heredia"/>
        <s v="Cartago"/>
        <s v="San José"/>
      </sharedItems>
    </cacheField>
    <cacheField name="#FACTURA " numFmtId="1">
      <sharedItems containsSemiMixedTypes="0" containsString="0" containsNumber="1" containsInteger="1" minValue="222" maxValue="9875"/>
    </cacheField>
    <cacheField name="FECHA DE INGRESO DE FACTURA" numFmtId="14">
      <sharedItems containsSemiMixedTypes="0" containsNonDate="0" containsDate="1" containsString="0" minDate="2023-04-11T00:00:00" maxDate="2023-10-14T21:42:17" count="26">
        <d v="2023-10-14T18:32:35"/>
        <d v="2023-10-14T19:07:01"/>
        <d v="2023-10-14T21:15:25"/>
        <d v="2023-10-14T21:36:53"/>
        <d v="2023-10-14T21:36:56"/>
        <d v="2023-09-14T00:00:00"/>
        <d v="2023-09-15T00:00:00"/>
        <d v="2023-09-16T00:00:00"/>
        <d v="2023-09-17T00:00:00"/>
        <d v="2023-09-18T00:00:00"/>
        <d v="2023-08-19T00:00:00"/>
        <d v="2023-08-20T00:00:00"/>
        <d v="2023-08-21T00:00:00"/>
        <d v="2023-08-22T00:00:00"/>
        <d v="2023-07-02T00:00:00"/>
        <d v="2023-07-03T00:00:00"/>
        <d v="2023-07-04T00:00:00"/>
        <d v="2023-06-05T00:00:00"/>
        <d v="2023-06-06T00:00:00"/>
        <d v="2023-06-07T00:00:00"/>
        <d v="2023-06-08T00:00:00"/>
        <d v="2023-05-09T00:00:00"/>
        <d v="2023-05-10T00:00:00"/>
        <d v="2023-04-11T00:00:00"/>
        <d v="2023-04-12T00:00:00"/>
        <d v="2023-10-14T21:42:17"/>
      </sharedItems>
    </cacheField>
    <cacheField name="MES" numFmtId="0">
      <sharedItems count="7">
        <s v="octubre"/>
        <s v="septiembre"/>
        <s v="agosto"/>
        <s v="julio"/>
        <s v="junio"/>
        <s v="mayo"/>
        <s v="abril"/>
      </sharedItems>
    </cacheField>
    <cacheField name="DIA/MES/AÑO" numFmtId="164">
      <sharedItems/>
    </cacheField>
    <cacheField name="PRODUCTO VENDIDO" numFmtId="0">
      <sharedItems count="4">
        <s v="FUTBOL SALA"/>
        <s v="TACOS FUTBOL"/>
        <s v="TENNIS"/>
        <s v="PATINES"/>
      </sharedItems>
    </cacheField>
    <cacheField name="CODIGO DE PRODUCTO" numFmtId="0">
      <sharedItems/>
    </cacheField>
    <cacheField name="VENTAS BRUTAS" numFmtId="165">
      <sharedItems containsSemiMixedTypes="0" containsString="0" containsNumber="1" containsInteger="1" minValue="22510" maxValue="955500"/>
    </cacheField>
    <cacheField name="DESCUENTO APLICADO" numFmtId="169">
      <sharedItems containsSemiMixedTypes="0" containsString="0" containsNumber="1" minValue="0" maxValue="0.15"/>
    </cacheField>
    <cacheField name="TOTAL VENTA CON DESCUENTO APLICADO" numFmtId="165">
      <sharedItems containsSemiMixedTypes="0" containsString="0" containsNumber="1" minValue="81217.5" maxValue="955000"/>
    </cacheField>
    <cacheField name="IMPUESTO" numFmtId="9">
      <sharedItems containsSemiMixedTypes="0" containsString="0" containsNumber="1" minValue="0.13" maxValue="0.13"/>
    </cacheField>
    <cacheField name="TOTAL CON IMPUESTO" numFmtId="165">
      <sharedItems containsSemiMixedTypes="0" containsString="0" containsNumber="1" minValue="12421.5" maxValue="124215"/>
    </cacheField>
    <cacheField name="BONO PATINES (10%)" numFmtId="165">
      <sharedItems containsSemiMixedTypes="0" containsString="0" containsNumber="1" containsInteger="1" minValue="0" maxValue="91500"/>
    </cacheField>
    <cacheField name="Campo1" numFmtId="0" formula="IF('VENTAS BRUTAS' &gt;=40000000,'VENTAS BRUTAS',0)" databaseField="0"/>
    <cacheField name="Campo2" numFmtId="0" formula="IF('VENTAS BRUTAS' &gt;= 4000000,'VENTAS BRUTAS',0)" databaseField="0"/>
  </cacheFields>
  <extLst>
    <ext xmlns:x14="http://schemas.microsoft.com/office/spreadsheetml/2009/9/main" uri="{725AE2AE-9491-48be-B2B4-4EB974FC3084}">
      <x14:pivotCacheDefinition pivotCacheId="7158189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45.855653240738" createdVersion="8" refreshedVersion="8" minRefreshableVersion="3" recordCount="28" xr:uid="{BA5923E6-D19F-4AF0-9B3C-743216173D3E}">
  <cacheSource type="worksheet">
    <worksheetSource ref="A20:V48" sheet="TIENDA"/>
  </cacheSource>
  <cacheFields count="23">
    <cacheField name="VENDEDOR" numFmtId="0">
      <sharedItems/>
    </cacheField>
    <cacheField name="CEDULA" numFmtId="0">
      <sharedItems containsSemiMixedTypes="0" containsString="0" containsNumber="1" containsInteger="1" minValue="606890659" maxValue="997950787"/>
    </cacheField>
    <cacheField name="APELLIDO 1" numFmtId="0">
      <sharedItems/>
    </cacheField>
    <cacheField name="APELLIDO 2" numFmtId="0">
      <sharedItems/>
    </cacheField>
    <cacheField name="NOMBRE 1" numFmtId="0">
      <sharedItems/>
    </cacheField>
    <cacheField name="NOMBRE 2" numFmtId="0">
      <sharedItems containsBlank="1"/>
    </cacheField>
    <cacheField name="CLIENTE" numFmtId="0">
      <sharedItems/>
    </cacheField>
    <cacheField name="EDAD" numFmtId="0">
      <sharedItems containsSemiMixedTypes="0" containsString="0" containsNumber="1" containsInteger="1" minValue="25" maxValue="61"/>
    </cacheField>
    <cacheField name="GENERO CLIENTE" numFmtId="0">
      <sharedItems count="2">
        <s v="Masculino"/>
        <s v="Femenino"/>
      </sharedItems>
    </cacheField>
    <cacheField name="PROVINCIA TIENDA" numFmtId="0">
      <sharedItems/>
    </cacheField>
    <cacheField name="#FACTURA " numFmtId="1">
      <sharedItems containsSemiMixedTypes="0" containsString="0" containsNumber="1" containsInteger="1" minValue="222" maxValue="9875"/>
    </cacheField>
    <cacheField name="FECHA DE INGRESO DE FACTURA" numFmtId="14">
      <sharedItems containsSemiMixedTypes="0" containsNonDate="0" containsDate="1" containsString="0" minDate="2023-04-11T00:00:00" maxDate="2023-10-14T21:42:17"/>
    </cacheField>
    <cacheField name="MES" numFmtId="0">
      <sharedItems/>
    </cacheField>
    <cacheField name="DIA/MES/AÑO" numFmtId="164">
      <sharedItems/>
    </cacheField>
    <cacheField name="PRODUCTO VENDIDO" numFmtId="0">
      <sharedItems/>
    </cacheField>
    <cacheField name="CODIGO DE PRODUCTO" numFmtId="0">
      <sharedItems/>
    </cacheField>
    <cacheField name="VENTAS BRUTAS" numFmtId="165">
      <sharedItems containsSemiMixedTypes="0" containsString="0" containsNumber="1" containsInteger="1" minValue="22510" maxValue="955500"/>
    </cacheField>
    <cacheField name="DESCUENTO APLICADO" numFmtId="169">
      <sharedItems containsSemiMixedTypes="0" containsString="0" containsNumber="1" minValue="0" maxValue="0.15"/>
    </cacheField>
    <cacheField name="TOTAL VENTA CON DESCUENTO APLICADO" numFmtId="165">
      <sharedItems containsSemiMixedTypes="0" containsString="0" containsNumber="1" minValue="81217.5" maxValue="955000"/>
    </cacheField>
    <cacheField name="IMPUESTO" numFmtId="9">
      <sharedItems containsSemiMixedTypes="0" containsString="0" containsNumber="1" minValue="0.13" maxValue="0.13"/>
    </cacheField>
    <cacheField name="TOTAL CON IMPUESTO" numFmtId="165">
      <sharedItems containsSemiMixedTypes="0" containsString="0" containsNumber="1" minValue="12421.5" maxValue="124215"/>
    </cacheField>
    <cacheField name="BONO PATINES (10%)" numFmtId="165">
      <sharedItems containsSemiMixedTypes="0" containsString="0" containsNumber="1" containsInteger="1" minValue="0" maxValue="91500"/>
    </cacheField>
    <cacheField name="VENTAS TOTALES" numFmtId="0" formula="'VENTAS BRUTA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907560599"/>
    <s v="ARCE"/>
    <s v="GONZALEZ"/>
    <s v="JOSE"/>
    <s v="MANUEL"/>
    <s v="ARCE GONZALEZ JOSE MANUEL"/>
    <x v="0"/>
    <x v="0"/>
    <x v="0"/>
    <n v="444"/>
    <x v="0"/>
    <x v="0"/>
    <s v="octubre"/>
    <x v="0"/>
    <s v="ART01"/>
    <n v="351750"/>
    <n v="0.05"/>
    <n v="334162.5"/>
    <n v="0.13"/>
    <n v="45727.5"/>
    <n v="0"/>
  </r>
  <r>
    <x v="0"/>
    <n v="907560599"/>
    <s v="ARCE"/>
    <s v="GONZALEZ"/>
    <s v="JOSE"/>
    <s v="MANUEL"/>
    <s v="ARCE GONZALEZ JOSE MANUEL"/>
    <x v="0"/>
    <x v="0"/>
    <x v="0"/>
    <n v="444"/>
    <x v="0"/>
    <x v="0"/>
    <s v="sábado"/>
    <x v="0"/>
    <s v="ART01"/>
    <n v="351750"/>
    <n v="0.05"/>
    <n v="334162.5"/>
    <n v="0.13"/>
    <n v="45727.5"/>
    <n v="0"/>
  </r>
  <r>
    <x v="1"/>
    <n v="908790775"/>
    <s v="AGUILAR"/>
    <s v="GARITA"/>
    <s v="NELSY"/>
    <s v="LORENA"/>
    <s v="AGUILAR GARITA NELSY LORENA"/>
    <x v="1"/>
    <x v="1"/>
    <x v="1"/>
    <n v="222"/>
    <x v="1"/>
    <x v="0"/>
    <s v="sábado"/>
    <x v="1"/>
    <s v="ART03"/>
    <n v="955500"/>
    <n v="0.05"/>
    <n v="907725"/>
    <n v="0.13"/>
    <n v="124215"/>
    <n v="0"/>
  </r>
  <r>
    <x v="2"/>
    <n v="909970579"/>
    <s v="FERNANDEZ"/>
    <s v="VARGAS"/>
    <s v="GUSTAVO"/>
    <m/>
    <s v="FERNANDEZ VARGAS GUSTAVO "/>
    <x v="2"/>
    <x v="0"/>
    <x v="2"/>
    <n v="223"/>
    <x v="2"/>
    <x v="0"/>
    <s v="sábado"/>
    <x v="2"/>
    <s v="ART04"/>
    <n v="703500"/>
    <n v="0.1"/>
    <n v="633150"/>
    <n v="0.13"/>
    <n v="91455"/>
    <n v="0"/>
  </r>
  <r>
    <x v="3"/>
    <n v="997950787"/>
    <s v="RIVERA"/>
    <s v="SANABRIA"/>
    <s v="GERALDINE"/>
    <m/>
    <s v="RIVERA SANABRIA GERALDINE "/>
    <x v="3"/>
    <x v="1"/>
    <x v="2"/>
    <n v="2466"/>
    <x v="3"/>
    <x v="0"/>
    <s v="sábado"/>
    <x v="3"/>
    <s v="ART02"/>
    <n v="150000"/>
    <n v="0"/>
    <n v="150000"/>
    <n v="0.13"/>
    <n v="19500"/>
    <n v="15000"/>
  </r>
  <r>
    <x v="1"/>
    <n v="706870676"/>
    <s v="MONTOYA"/>
    <s v="SANCHEZ"/>
    <s v="JAYNA"/>
    <s v="PAOLA"/>
    <s v="MONTOYA SANCHEZ JAYNA PAOLA"/>
    <x v="4"/>
    <x v="1"/>
    <x v="1"/>
    <n v="8975"/>
    <x v="4"/>
    <x v="0"/>
    <s v="sábado"/>
    <x v="3"/>
    <s v="ART02"/>
    <n v="431500"/>
    <n v="0.1"/>
    <n v="388350"/>
    <n v="0.13"/>
    <n v="56095"/>
    <n v="43150"/>
  </r>
  <r>
    <x v="0"/>
    <n v="907560599"/>
    <s v="ARCE"/>
    <s v="GONZALEZ"/>
    <s v="JOSE"/>
    <s v="MANUEL"/>
    <s v="ARCE GONZALEZ JOSE MANUEL"/>
    <x v="0"/>
    <x v="0"/>
    <x v="0"/>
    <n v="444"/>
    <x v="0"/>
    <x v="0"/>
    <s v="sábado"/>
    <x v="0"/>
    <s v="ART01"/>
    <n v="351750"/>
    <n v="0.05"/>
    <n v="334162.5"/>
    <n v="0.13"/>
    <n v="45727.5"/>
    <n v="0"/>
  </r>
  <r>
    <x v="4"/>
    <n v="995870756"/>
    <s v="LOPEZ"/>
    <s v="CUNNINGHAM"/>
    <s v="KATHERINE"/>
    <s v="PATRICIA"/>
    <s v="LOPEZ CUNNINGHAM KATHERINE PATRICIA"/>
    <x v="5"/>
    <x v="1"/>
    <x v="0"/>
    <n v="2358"/>
    <x v="5"/>
    <x v="1"/>
    <s v="jueves"/>
    <x v="1"/>
    <s v="ART03"/>
    <n v="492500"/>
    <n v="0.1"/>
    <n v="443250"/>
    <n v="0.13"/>
    <n v="64025"/>
    <n v="0"/>
  </r>
  <r>
    <x v="5"/>
    <n v="907590805"/>
    <s v="BOLIVAR"/>
    <s v="JIMENEZ"/>
    <s v="KATTIA"/>
    <s v="BEATRIZ"/>
    <s v="BOLIVAR JIMENEZ KATTIA BEATRIZ"/>
    <x v="0"/>
    <x v="1"/>
    <x v="1"/>
    <n v="5687"/>
    <x v="6"/>
    <x v="1"/>
    <s v="viernes"/>
    <x v="2"/>
    <s v="ART04"/>
    <n v="100000"/>
    <n v="0"/>
    <n v="100000"/>
    <n v="0.13"/>
    <n v="13000"/>
    <n v="0"/>
  </r>
  <r>
    <x v="0"/>
    <n v="997590878"/>
    <s v="ZAMORA"/>
    <s v="RODRIGUEZ"/>
    <s v="HAMY"/>
    <s v="DAYANA"/>
    <s v="ZAMORA RODRIGUEZ HAMY DAYANA"/>
    <x v="6"/>
    <x v="1"/>
    <x v="0"/>
    <n v="2587"/>
    <x v="7"/>
    <x v="1"/>
    <s v="sábado"/>
    <x v="1"/>
    <s v="ART03"/>
    <n v="200000"/>
    <n v="0"/>
    <n v="200000"/>
    <n v="0.13"/>
    <n v="26000"/>
    <n v="0"/>
  </r>
  <r>
    <x v="2"/>
    <n v="905970668"/>
    <s v="CALDERON"/>
    <s v="BOZA"/>
    <s v="BERNAL"/>
    <s v="DANIEL"/>
    <s v="CALDERON BOZA BERNAL DANIEL"/>
    <x v="7"/>
    <x v="0"/>
    <x v="2"/>
    <n v="9875"/>
    <x v="8"/>
    <x v="1"/>
    <s v="domingo"/>
    <x v="0"/>
    <s v="ART01"/>
    <n v="78290"/>
    <n v="0.15"/>
    <n v="665465"/>
    <n v="0.13"/>
    <n v="101777"/>
    <n v="0"/>
  </r>
  <r>
    <x v="3"/>
    <n v="907780778"/>
    <s v="GALVEZ"/>
    <s v="ARIAS"/>
    <s v="NANCY"/>
    <m/>
    <s v="GALVEZ ARIAS NANCY "/>
    <x v="8"/>
    <x v="1"/>
    <x v="2"/>
    <n v="9758"/>
    <x v="9"/>
    <x v="1"/>
    <s v="lunes"/>
    <x v="1"/>
    <s v="ART03"/>
    <n v="80000"/>
    <n v="0"/>
    <n v="527625"/>
    <n v="0.13"/>
    <n v="68591.25"/>
    <n v="0"/>
  </r>
  <r>
    <x v="1"/>
    <n v="908790658"/>
    <s v="TORRES"/>
    <s v="CHINCHILLA"/>
    <s v="BERNAL"/>
    <s v="ADO"/>
    <s v="TORRES CHINCHILLA BERNAL ADO"/>
    <x v="9"/>
    <x v="0"/>
    <x v="1"/>
    <n v="7895"/>
    <x v="10"/>
    <x v="2"/>
    <s v="sábado"/>
    <x v="2"/>
    <s v="ART04"/>
    <n v="95550"/>
    <n v="0.15"/>
    <n v="81217.5"/>
    <n v="0.13"/>
    <n v="12421.5"/>
    <n v="0"/>
  </r>
  <r>
    <x v="5"/>
    <n v="996700880"/>
    <s v="BADILLA"/>
    <s v="MASIS"/>
    <s v="DAYANNA"/>
    <s v="PATRICIA"/>
    <s v="BADILLA MASIS DAYANNA PATRICIA"/>
    <x v="10"/>
    <x v="1"/>
    <x v="1"/>
    <n v="5462"/>
    <x v="11"/>
    <x v="2"/>
    <s v="domingo"/>
    <x v="1"/>
    <s v="ART03"/>
    <n v="72500"/>
    <n v="0"/>
    <n v="492500"/>
    <n v="0.13"/>
    <n v="64025"/>
    <n v="0"/>
  </r>
  <r>
    <x v="4"/>
    <n v="908970897"/>
    <s v="ALVARADO"/>
    <s v="DURAN"/>
    <s v="ROY"/>
    <s v="GERARD"/>
    <s v="ALVARADO DURAN ROY GERARD"/>
    <x v="6"/>
    <x v="0"/>
    <x v="0"/>
    <n v="2222"/>
    <x v="12"/>
    <x v="2"/>
    <s v="lunes"/>
    <x v="0"/>
    <s v="ART01"/>
    <n v="22510"/>
    <n v="0"/>
    <n v="725100"/>
    <n v="0.13"/>
    <n v="94263"/>
    <n v="0"/>
  </r>
  <r>
    <x v="3"/>
    <n v="909960705"/>
    <s v="ROJAS"/>
    <s v="QUIROS"/>
    <s v="LUIS"/>
    <s v="ANDRES"/>
    <s v="ROJAS QUIROS LUIS ANDRES"/>
    <x v="2"/>
    <x v="0"/>
    <x v="2"/>
    <n v="4854"/>
    <x v="13"/>
    <x v="2"/>
    <s v="martes"/>
    <x v="3"/>
    <s v="ART02"/>
    <n v="51750"/>
    <n v="0"/>
    <n v="351750"/>
    <n v="0.13"/>
    <n v="45727.5"/>
    <n v="5175"/>
  </r>
  <r>
    <x v="1"/>
    <n v="907790056"/>
    <s v="FLORES"/>
    <s v="MORA"/>
    <s v="ARMANDO"/>
    <s v="HJALMAR"/>
    <s v="FLORES MORA ARMANDO HJALMAR"/>
    <x v="8"/>
    <x v="0"/>
    <x v="1"/>
    <n v="9632"/>
    <x v="14"/>
    <x v="3"/>
    <s v="domingo"/>
    <x v="2"/>
    <s v="ART04"/>
    <n v="95500"/>
    <n v="0"/>
    <n v="955000"/>
    <n v="0.13"/>
    <n v="124150"/>
    <n v="0"/>
  </r>
  <r>
    <x v="0"/>
    <n v="907850990"/>
    <s v="QUIROS"/>
    <s v="FALLAS"/>
    <s v="ANA"/>
    <s v="CAROLINA"/>
    <s v="QUIROS FALLAS ANA CAROLINA"/>
    <x v="11"/>
    <x v="1"/>
    <x v="0"/>
    <n v="9874"/>
    <x v="15"/>
    <x v="3"/>
    <s v="lunes"/>
    <x v="3"/>
    <s v="ART02"/>
    <n v="492500"/>
    <n v="0.1"/>
    <n v="443250"/>
    <n v="0.13"/>
    <n v="64025"/>
    <n v="49250"/>
  </r>
  <r>
    <x v="2"/>
    <n v="908570856"/>
    <s v="BOGANTES"/>
    <s v="CESPEDES"/>
    <s v="DIGNA"/>
    <s v="MARIA"/>
    <s v="BOGANTES CESPEDES DIGNA MARIA"/>
    <x v="1"/>
    <x v="1"/>
    <x v="2"/>
    <n v="2584"/>
    <x v="16"/>
    <x v="3"/>
    <s v="martes"/>
    <x v="1"/>
    <s v="ART03"/>
    <n v="357500"/>
    <n v="0"/>
    <n v="357500"/>
    <n v="0.13"/>
    <n v="46475"/>
    <n v="0"/>
  </r>
  <r>
    <x v="1"/>
    <n v="908050895"/>
    <s v="BARRIOS"/>
    <s v="FERNANDEZ"/>
    <s v="GIOVANNI"/>
    <s v="ARTURO"/>
    <s v="BARRIOS FERNANDEZ GIOVANNI ARTURO"/>
    <x v="1"/>
    <x v="0"/>
    <x v="1"/>
    <n v="1597"/>
    <x v="17"/>
    <x v="4"/>
    <s v="lunes"/>
    <x v="0"/>
    <s v="ART01"/>
    <n v="703000"/>
    <n v="0"/>
    <n v="703000"/>
    <n v="0.13"/>
    <n v="91390"/>
    <n v="0"/>
  </r>
  <r>
    <x v="2"/>
    <n v="908670776"/>
    <s v="CHAVES"/>
    <s v="OBANDO"/>
    <s v="FABIOLA"/>
    <s v="MARIA"/>
    <s v="CHAVES OBANDO FABIOLA MARIA"/>
    <x v="1"/>
    <x v="1"/>
    <x v="2"/>
    <n v="8946"/>
    <x v="18"/>
    <x v="4"/>
    <s v="martes"/>
    <x v="0"/>
    <s v="ART01"/>
    <n v="526250"/>
    <n v="0.05"/>
    <n v="499937.5"/>
    <n v="0.13"/>
    <n v="68412.5"/>
    <n v="0"/>
  </r>
  <r>
    <x v="3"/>
    <n v="909960666"/>
    <s v="MOTTA"/>
    <s v="ABARCA"/>
    <s v="CAROL"/>
    <m/>
    <s v="MOTTA ABARCA CAROL "/>
    <x v="2"/>
    <x v="1"/>
    <x v="2"/>
    <n v="8521"/>
    <x v="19"/>
    <x v="4"/>
    <s v="miércoles"/>
    <x v="2"/>
    <s v="ART04"/>
    <n v="829000"/>
    <n v="0.15"/>
    <n v="704650"/>
    <n v="0.13"/>
    <n v="107770"/>
    <n v="0"/>
  </r>
  <r>
    <x v="2"/>
    <n v="908990097"/>
    <s v="CONEJO"/>
    <s v="MIRANDA"/>
    <s v="MARIAN"/>
    <s v="MARCELLA"/>
    <s v="CONEJO MIRANDA MARIAN MARCELLA"/>
    <x v="6"/>
    <x v="1"/>
    <x v="2"/>
    <n v="8524"/>
    <x v="20"/>
    <x v="4"/>
    <s v="jueves"/>
    <x v="0"/>
    <s v="ART01"/>
    <n v="100000"/>
    <n v="0.05"/>
    <n v="95000"/>
    <n v="0.13"/>
    <n v="13000"/>
    <n v="0"/>
  </r>
  <r>
    <x v="3"/>
    <n v="606890659"/>
    <s v="GARCIA"/>
    <s v="RIVERA"/>
    <s v="ESTIBEN"/>
    <s v="ANDREY"/>
    <s v="GARCIA RIVERA ESTIBEN ANDREY"/>
    <x v="12"/>
    <x v="0"/>
    <x v="2"/>
    <n v="8654"/>
    <x v="21"/>
    <x v="5"/>
    <s v="martes"/>
    <x v="3"/>
    <s v="ART02"/>
    <n v="335000"/>
    <n v="0.05"/>
    <n v="318250"/>
    <n v="0.13"/>
    <n v="43550"/>
    <n v="33500"/>
  </r>
  <r>
    <x v="1"/>
    <n v="906590897"/>
    <s v="COTO"/>
    <s v="ECHEVERRIA"/>
    <s v="JAVIER"/>
    <m/>
    <s v="COTO ECHEVERRIA JAVIER "/>
    <x v="13"/>
    <x v="0"/>
    <x v="1"/>
    <n v="6315"/>
    <x v="22"/>
    <x v="5"/>
    <s v="miércoles"/>
    <x v="0"/>
    <s v="ART01"/>
    <n v="250000"/>
    <n v="0"/>
    <n v="250000"/>
    <n v="0.13"/>
    <n v="32500"/>
    <n v="0"/>
  </r>
  <r>
    <x v="5"/>
    <n v="907860709"/>
    <s v="HIDALGO"/>
    <s v="JIMENEZ"/>
    <s v="ZAIDA"/>
    <s v="MARIA"/>
    <s v="HIDALGO JIMENEZ ZAIDA MARIA"/>
    <x v="11"/>
    <x v="1"/>
    <x v="1"/>
    <n v="2653"/>
    <x v="23"/>
    <x v="6"/>
    <s v="martes"/>
    <x v="2"/>
    <s v="ART04"/>
    <n v="527625"/>
    <n v="0.1"/>
    <n v="474862.5"/>
    <n v="0.13"/>
    <n v="68591.25"/>
    <n v="0"/>
  </r>
  <r>
    <x v="2"/>
    <n v="909070877"/>
    <s v="BERMUDEZ"/>
    <s v="JIMENEZ"/>
    <s v="VANESSA"/>
    <m/>
    <s v="BERMUDEZ JIMENEZ VANESSA "/>
    <x v="2"/>
    <x v="1"/>
    <x v="2"/>
    <n v="8520"/>
    <x v="24"/>
    <x v="6"/>
    <s v="miércoles"/>
    <x v="3"/>
    <s v="ART02"/>
    <n v="915000"/>
    <n v="0"/>
    <n v="915000"/>
    <n v="0.13"/>
    <n v="118950"/>
    <n v="91500"/>
  </r>
  <r>
    <x v="5"/>
    <n v="908870890"/>
    <s v="PRENDAS"/>
    <s v="GARRO"/>
    <s v="ANA"/>
    <s v="CECILIA"/>
    <s v="PRENDAS GARRO ANA CECILIA"/>
    <x v="9"/>
    <x v="1"/>
    <x v="1"/>
    <n v="9631"/>
    <x v="25"/>
    <x v="0"/>
    <s v="sábado"/>
    <x v="1"/>
    <s v="ART03"/>
    <n v="955500"/>
    <n v="0.15"/>
    <n v="812175"/>
    <n v="0.13"/>
    <n v="12421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JULIO CAMACHO SALAS"/>
    <n v="907560599"/>
    <s v="ARCE"/>
    <s v="GONZALEZ"/>
    <s v="JOSE"/>
    <s v="MANUEL"/>
    <s v="ARCE GONZALEZ JOSE MANUEL"/>
    <n v="54"/>
    <x v="0"/>
    <s v="Heredia"/>
    <n v="444"/>
    <d v="2023-10-14T18:32:35"/>
    <s v="octubre"/>
    <s v="octubre"/>
    <s v="FUTBOL SALA"/>
    <s v="ART01"/>
    <n v="351750"/>
    <n v="0.05"/>
    <n v="334162.5"/>
    <n v="0.13"/>
    <n v="45727.5"/>
    <n v="0"/>
  </r>
  <r>
    <s v="JULIO CAMACHO SALAS"/>
    <n v="907560599"/>
    <s v="ARCE"/>
    <s v="GONZALEZ"/>
    <s v="JOSE"/>
    <s v="MANUEL"/>
    <s v="ARCE GONZALEZ JOSE MANUEL"/>
    <n v="54"/>
    <x v="0"/>
    <s v="Heredia"/>
    <n v="444"/>
    <d v="2023-10-14T18:32:35"/>
    <s v="octubre"/>
    <s v="sábado"/>
    <s v="FUTBOL SALA"/>
    <s v="ART01"/>
    <n v="351750"/>
    <n v="0.05"/>
    <n v="334162.5"/>
    <n v="0.13"/>
    <n v="45727.5"/>
    <n v="0"/>
  </r>
  <r>
    <s v="CARLOS GOMEZ RAMIREZ"/>
    <n v="908790775"/>
    <s v="AGUILAR"/>
    <s v="GARITA"/>
    <s v="NELSY"/>
    <s v="LORENA"/>
    <s v="AGUILAR GARITA NELSY LORENA"/>
    <n v="50"/>
    <x v="1"/>
    <s v="Cartago"/>
    <n v="222"/>
    <d v="2023-10-14T19:07:01"/>
    <s v="octubre"/>
    <s v="sábado"/>
    <s v="TACOS FUTBOL"/>
    <s v="ART03"/>
    <n v="955500"/>
    <n v="0.05"/>
    <n v="907725"/>
    <n v="0.13"/>
    <n v="124215"/>
    <n v="0"/>
  </r>
  <r>
    <s v="VILMA ROJAS CALDERON"/>
    <n v="909970579"/>
    <s v="FERNANDEZ"/>
    <s v="VARGAS"/>
    <s v="GUSTAVO"/>
    <m/>
    <s v="FERNANDEZ VARGAS GUSTAVO "/>
    <n v="48"/>
    <x v="0"/>
    <s v="San José"/>
    <n v="223"/>
    <d v="2023-10-14T21:15:25"/>
    <s v="octubre"/>
    <s v="sábado"/>
    <s v="TENNIS"/>
    <s v="ART04"/>
    <n v="703500"/>
    <n v="0.1"/>
    <n v="633150"/>
    <n v="0.13"/>
    <n v="91455"/>
    <n v="0"/>
  </r>
  <r>
    <s v="SONIA DELGADO PEREZ"/>
    <n v="997950787"/>
    <s v="RIVERA"/>
    <s v="SANABRIA"/>
    <s v="GERALDINE"/>
    <m/>
    <s v="RIVERA SANABRIA GERALDINE "/>
    <n v="36"/>
    <x v="1"/>
    <s v="San José"/>
    <n v="2466"/>
    <d v="2023-10-14T21:36:53"/>
    <s v="octubre"/>
    <s v="sábado"/>
    <s v="PATINES"/>
    <s v="ART02"/>
    <n v="150000"/>
    <n v="0"/>
    <n v="150000"/>
    <n v="0.13"/>
    <n v="19500"/>
    <n v="15000"/>
  </r>
  <r>
    <s v="CARLOS GOMEZ RAMIREZ"/>
    <n v="706870676"/>
    <s v="MONTOYA"/>
    <s v="SANCHEZ"/>
    <s v="JAYNA"/>
    <s v="PAOLA"/>
    <s v="MONTOYA SANCHEZ JAYNA PAOLA"/>
    <n v="28"/>
    <x v="1"/>
    <s v="Cartago"/>
    <n v="8975"/>
    <d v="2023-10-14T21:36:56"/>
    <s v="octubre"/>
    <s v="sábado"/>
    <s v="PATINES"/>
    <s v="ART02"/>
    <n v="431500"/>
    <n v="0.1"/>
    <n v="388350"/>
    <n v="0.13"/>
    <n v="56095"/>
    <n v="43150"/>
  </r>
  <r>
    <s v="JULIO CAMACHO SALAS"/>
    <n v="907560599"/>
    <s v="ARCE"/>
    <s v="GONZALEZ"/>
    <s v="JOSE"/>
    <s v="MANUEL"/>
    <s v="ARCE GONZALEZ JOSE MANUEL"/>
    <n v="54"/>
    <x v="0"/>
    <s v="Heredia"/>
    <n v="444"/>
    <d v="2023-10-14T18:32:35"/>
    <s v="octubre"/>
    <s v="sábado"/>
    <s v="FUTBOL SALA"/>
    <s v="ART01"/>
    <n v="351750"/>
    <n v="0.05"/>
    <n v="334162.5"/>
    <n v="0.13"/>
    <n v="45727.5"/>
    <n v="0"/>
  </r>
  <r>
    <s v="PATRICIA ELIZONDO CASTRO"/>
    <n v="995870756"/>
    <s v="LOPEZ"/>
    <s v="CUNNINGHAM"/>
    <s v="KATHERINE"/>
    <s v="PATRICIA"/>
    <s v="LOPEZ CUNNINGHAM KATHERINE PATRICIA"/>
    <n v="25"/>
    <x v="1"/>
    <s v="Heredia"/>
    <n v="2358"/>
    <d v="2023-09-14T00:00:00"/>
    <s v="septiembre"/>
    <s v="jueves"/>
    <s v="TACOS FUTBOL"/>
    <s v="ART03"/>
    <n v="492500"/>
    <n v="0.1"/>
    <n v="443250"/>
    <n v="0.13"/>
    <n v="64025"/>
    <n v="0"/>
  </r>
  <r>
    <s v="EDUARDO SALAS PORRAS"/>
    <n v="907590805"/>
    <s v="BOLIVAR"/>
    <s v="JIMENEZ"/>
    <s v="KATTIA"/>
    <s v="BEATRIZ"/>
    <s v="BOLIVAR JIMENEZ KATTIA BEATRIZ"/>
    <n v="54"/>
    <x v="1"/>
    <s v="Cartago"/>
    <n v="5687"/>
    <d v="2023-09-15T00:00:00"/>
    <s v="septiembre"/>
    <s v="viernes"/>
    <s v="TENNIS"/>
    <s v="ART04"/>
    <n v="100000"/>
    <n v="0"/>
    <n v="100000"/>
    <n v="0.13"/>
    <n v="13000"/>
    <n v="0"/>
  </r>
  <r>
    <s v="JULIO CAMACHO SALAS"/>
    <n v="997590878"/>
    <s v="ZAMORA"/>
    <s v="RODRIGUEZ"/>
    <s v="HAMY"/>
    <s v="DAYANA"/>
    <s v="ZAMORA RODRIGUEZ HAMY DAYANA"/>
    <n v="35"/>
    <x v="1"/>
    <s v="Heredia"/>
    <n v="2587"/>
    <d v="2023-09-16T00:00:00"/>
    <s v="septiembre"/>
    <s v="sábado"/>
    <s v="TACOS FUTBOL"/>
    <s v="ART03"/>
    <n v="200000"/>
    <n v="0"/>
    <n v="200000"/>
    <n v="0.13"/>
    <n v="26000"/>
    <n v="0"/>
  </r>
  <r>
    <s v="VILMA ROJAS CALDERON"/>
    <n v="905970668"/>
    <s v="CALDERON"/>
    <s v="BOZA"/>
    <s v="BERNAL"/>
    <s v="DANIEL"/>
    <s v="CALDERON BOZA BERNAL DANIEL"/>
    <n v="61"/>
    <x v="0"/>
    <s v="San José"/>
    <n v="9875"/>
    <d v="2023-09-17T00:00:00"/>
    <s v="septiembre"/>
    <s v="domingo"/>
    <s v="FUTBOL SALA"/>
    <s v="ART01"/>
    <n v="78290"/>
    <n v="0.15"/>
    <n v="665465"/>
    <n v="0.13"/>
    <n v="101777"/>
    <n v="0"/>
  </r>
  <r>
    <s v="SONIA DELGADO PEREZ"/>
    <n v="907780778"/>
    <s v="GALVEZ"/>
    <s v="ARIAS"/>
    <s v="NANCY"/>
    <m/>
    <s v="GALVEZ ARIAS NANCY "/>
    <n v="55"/>
    <x v="1"/>
    <s v="San José"/>
    <n v="9758"/>
    <d v="2023-09-18T00:00:00"/>
    <s v="septiembre"/>
    <s v="lunes"/>
    <s v="TACOS FUTBOL"/>
    <s v="ART03"/>
    <n v="80000"/>
    <n v="0"/>
    <n v="527625"/>
    <n v="0.13"/>
    <n v="68591.25"/>
    <n v="0"/>
  </r>
  <r>
    <s v="CARLOS GOMEZ RAMIREZ"/>
    <n v="908790658"/>
    <s v="TORRES"/>
    <s v="CHINCHILLA"/>
    <s v="BERNAL"/>
    <s v="ADO"/>
    <s v="TORRES CHINCHILLA BERNAL ADO"/>
    <n v="49"/>
    <x v="0"/>
    <s v="Cartago"/>
    <n v="7895"/>
    <d v="2023-08-19T00:00:00"/>
    <s v="agosto"/>
    <s v="sábado"/>
    <s v="TENNIS"/>
    <s v="ART04"/>
    <n v="95550"/>
    <n v="0.15"/>
    <n v="81217.5"/>
    <n v="0.13"/>
    <n v="12421.5"/>
    <n v="0"/>
  </r>
  <r>
    <s v="EDUARDO SALAS PORRAS"/>
    <n v="996700880"/>
    <s v="BADILLA"/>
    <s v="MASIS"/>
    <s v="DAYANNA"/>
    <s v="PATRICIA"/>
    <s v="BADILLA MASIS DAYANNA PATRICIA"/>
    <n v="33"/>
    <x v="1"/>
    <s v="Cartago"/>
    <n v="5462"/>
    <d v="2023-08-20T00:00:00"/>
    <s v="agosto"/>
    <s v="domingo"/>
    <s v="TACOS FUTBOL"/>
    <s v="ART03"/>
    <n v="72500"/>
    <n v="0"/>
    <n v="492500"/>
    <n v="0.13"/>
    <n v="64025"/>
    <n v="0"/>
  </r>
  <r>
    <s v="PATRICIA ELIZONDO CASTRO"/>
    <n v="908970897"/>
    <s v="ALVARADO"/>
    <s v="DURAN"/>
    <s v="ROY"/>
    <s v="GERARD"/>
    <s v="ALVARADO DURAN ROY GERARD"/>
    <n v="35"/>
    <x v="0"/>
    <s v="Heredia"/>
    <n v="2222"/>
    <d v="2023-08-21T00:00:00"/>
    <s v="agosto"/>
    <s v="lunes"/>
    <s v="FUTBOL SALA"/>
    <s v="ART01"/>
    <n v="22510"/>
    <n v="0"/>
    <n v="725100"/>
    <n v="0.13"/>
    <n v="94263"/>
    <n v="0"/>
  </r>
  <r>
    <s v="SONIA DELGADO PEREZ"/>
    <n v="909960705"/>
    <s v="ROJAS"/>
    <s v="QUIROS"/>
    <s v="LUIS"/>
    <s v="ANDRES"/>
    <s v="ROJAS QUIROS LUIS ANDRES"/>
    <n v="48"/>
    <x v="0"/>
    <s v="San José"/>
    <n v="4854"/>
    <d v="2023-08-22T00:00:00"/>
    <s v="agosto"/>
    <s v="martes"/>
    <s v="PATINES"/>
    <s v="ART02"/>
    <n v="51750"/>
    <n v="0"/>
    <n v="351750"/>
    <n v="0.13"/>
    <n v="45727.5"/>
    <n v="5175"/>
  </r>
  <r>
    <s v="CARLOS GOMEZ RAMIREZ"/>
    <n v="907790056"/>
    <s v="FLORES"/>
    <s v="MORA"/>
    <s v="ARMANDO"/>
    <s v="HJALMAR"/>
    <s v="FLORES MORA ARMANDO HJALMAR"/>
    <n v="55"/>
    <x v="0"/>
    <s v="Cartago"/>
    <n v="9632"/>
    <d v="2023-07-02T00:00:00"/>
    <s v="julio"/>
    <s v="domingo"/>
    <s v="TENNIS"/>
    <s v="ART04"/>
    <n v="95500"/>
    <n v="0"/>
    <n v="955000"/>
    <n v="0.13"/>
    <n v="124150"/>
    <n v="0"/>
  </r>
  <r>
    <s v="JULIO CAMACHO SALAS"/>
    <n v="907850990"/>
    <s v="QUIROS"/>
    <s v="FALLAS"/>
    <s v="ANA"/>
    <s v="CAROLINA"/>
    <s v="QUIROS FALLAS ANA CAROLINA"/>
    <n v="53"/>
    <x v="1"/>
    <s v="Heredia"/>
    <n v="9874"/>
    <d v="2023-07-03T00:00:00"/>
    <s v="julio"/>
    <s v="lunes"/>
    <s v="PATINES"/>
    <s v="ART02"/>
    <n v="492500"/>
    <n v="0.1"/>
    <n v="443250"/>
    <n v="0.13"/>
    <n v="64025"/>
    <n v="49250"/>
  </r>
  <r>
    <s v="VILMA ROJAS CALDERON"/>
    <n v="908570856"/>
    <s v="BOGANTES"/>
    <s v="CESPEDES"/>
    <s v="DIGNA"/>
    <s v="MARIA"/>
    <s v="BOGANTES CESPEDES DIGNA MARIA"/>
    <n v="50"/>
    <x v="1"/>
    <s v="San José"/>
    <n v="2584"/>
    <d v="2023-07-04T00:00:00"/>
    <s v="julio"/>
    <s v="martes"/>
    <s v="TACOS FUTBOL"/>
    <s v="ART03"/>
    <n v="357500"/>
    <n v="0"/>
    <n v="357500"/>
    <n v="0.13"/>
    <n v="46475"/>
    <n v="0"/>
  </r>
  <r>
    <s v="CARLOS GOMEZ RAMIREZ"/>
    <n v="908050895"/>
    <s v="BARRIOS"/>
    <s v="FERNANDEZ"/>
    <s v="GIOVANNI"/>
    <s v="ARTURO"/>
    <s v="BARRIOS FERNANDEZ GIOVANNI ARTURO"/>
    <n v="50"/>
    <x v="0"/>
    <s v="Cartago"/>
    <n v="1597"/>
    <d v="2023-06-05T00:00:00"/>
    <s v="junio"/>
    <s v="lunes"/>
    <s v="FUTBOL SALA"/>
    <s v="ART01"/>
    <n v="703000"/>
    <n v="0"/>
    <n v="703000"/>
    <n v="0.13"/>
    <n v="91390"/>
    <n v="0"/>
  </r>
  <r>
    <s v="VILMA ROJAS CALDERON"/>
    <n v="908670776"/>
    <s v="CHAVES"/>
    <s v="OBANDO"/>
    <s v="FABIOLA"/>
    <s v="MARIA"/>
    <s v="CHAVES OBANDO FABIOLA MARIA"/>
    <n v="50"/>
    <x v="1"/>
    <s v="San José"/>
    <n v="8946"/>
    <d v="2023-06-06T00:00:00"/>
    <s v="junio"/>
    <s v="martes"/>
    <s v="FUTBOL SALA"/>
    <s v="ART01"/>
    <n v="526250"/>
    <n v="0.05"/>
    <n v="499937.5"/>
    <n v="0.13"/>
    <n v="68412.5"/>
    <n v="0"/>
  </r>
  <r>
    <s v="SONIA DELGADO PEREZ"/>
    <n v="909960666"/>
    <s v="MOTTA"/>
    <s v="ABARCA"/>
    <s v="CAROL"/>
    <m/>
    <s v="MOTTA ABARCA CAROL "/>
    <n v="48"/>
    <x v="1"/>
    <s v="San José"/>
    <n v="8521"/>
    <d v="2023-06-07T00:00:00"/>
    <s v="junio"/>
    <s v="miércoles"/>
    <s v="TENNIS"/>
    <s v="ART04"/>
    <n v="829000"/>
    <n v="0.15"/>
    <n v="704650"/>
    <n v="0.13"/>
    <n v="107770"/>
    <n v="0"/>
  </r>
  <r>
    <s v="VILMA ROJAS CALDERON"/>
    <n v="908990097"/>
    <s v="CONEJO"/>
    <s v="MIRANDA"/>
    <s v="MARIAN"/>
    <s v="MARCELLA"/>
    <s v="CONEJO MIRANDA MARIAN MARCELLA"/>
    <n v="35"/>
    <x v="1"/>
    <s v="San José"/>
    <n v="8524"/>
    <d v="2023-06-08T00:00:00"/>
    <s v="junio"/>
    <s v="jueves"/>
    <s v="FUTBOL SALA"/>
    <s v="ART01"/>
    <n v="100000"/>
    <n v="0.05"/>
    <n v="95000"/>
    <n v="0.13"/>
    <n v="13000"/>
    <n v="0"/>
  </r>
  <r>
    <s v="SONIA DELGADO PEREZ"/>
    <n v="606890659"/>
    <s v="GARCIA"/>
    <s v="RIVERA"/>
    <s v="ESTIBEN"/>
    <s v="ANDREY"/>
    <s v="GARCIA RIVERA ESTIBEN ANDREY"/>
    <n v="29"/>
    <x v="0"/>
    <s v="San José"/>
    <n v="8654"/>
    <d v="2023-05-09T00:00:00"/>
    <s v="mayo"/>
    <s v="martes"/>
    <s v="PATINES"/>
    <s v="ART02"/>
    <n v="335000"/>
    <n v="0.05"/>
    <n v="318250"/>
    <n v="0.13"/>
    <n v="43550"/>
    <n v="33500"/>
  </r>
  <r>
    <s v="CARLOS GOMEZ RAMIREZ"/>
    <n v="906590897"/>
    <s v="COTO"/>
    <s v="ECHEVERRIA"/>
    <s v="JAVIER"/>
    <m/>
    <s v="COTO ECHEVERRIA JAVIER "/>
    <n v="58"/>
    <x v="0"/>
    <s v="Cartago"/>
    <n v="6315"/>
    <d v="2023-05-10T00:00:00"/>
    <s v="mayo"/>
    <s v="miércoles"/>
    <s v="FUTBOL SALA"/>
    <s v="ART01"/>
    <n v="250000"/>
    <n v="0"/>
    <n v="250000"/>
    <n v="0.13"/>
    <n v="32500"/>
    <n v="0"/>
  </r>
  <r>
    <s v="EDUARDO SALAS PORRAS"/>
    <n v="907860709"/>
    <s v="HIDALGO"/>
    <s v="JIMENEZ"/>
    <s v="ZAIDA"/>
    <s v="MARIA"/>
    <s v="HIDALGO JIMENEZ ZAIDA MARIA"/>
    <n v="53"/>
    <x v="1"/>
    <s v="Cartago"/>
    <n v="2653"/>
    <d v="2023-04-11T00:00:00"/>
    <s v="abril"/>
    <s v="martes"/>
    <s v="TENNIS"/>
    <s v="ART04"/>
    <n v="527625"/>
    <n v="0.1"/>
    <n v="474862.5"/>
    <n v="0.13"/>
    <n v="68591.25"/>
    <n v="0"/>
  </r>
  <r>
    <s v="VILMA ROJAS CALDERON"/>
    <n v="909070877"/>
    <s v="BERMUDEZ"/>
    <s v="JIMENEZ"/>
    <s v="VANESSA"/>
    <m/>
    <s v="BERMUDEZ JIMENEZ VANESSA "/>
    <n v="48"/>
    <x v="1"/>
    <s v="San José"/>
    <n v="8520"/>
    <d v="2023-04-12T00:00:00"/>
    <s v="abril"/>
    <s v="miércoles"/>
    <s v="PATINES"/>
    <s v="ART02"/>
    <n v="915000"/>
    <n v="0"/>
    <n v="915000"/>
    <n v="0.13"/>
    <n v="118950"/>
    <n v="91500"/>
  </r>
  <r>
    <s v="EDUARDO SALAS PORRAS"/>
    <n v="908870890"/>
    <s v="PRENDAS"/>
    <s v="GARRO"/>
    <s v="ANA"/>
    <s v="CECILIA"/>
    <s v="PRENDAS GARRO ANA CECILIA"/>
    <n v="49"/>
    <x v="1"/>
    <s v="Cartago"/>
    <n v="9631"/>
    <d v="2023-10-14T21:42:17"/>
    <s v="octubre"/>
    <s v="sábado"/>
    <s v="TACOS FUTBOL"/>
    <s v="ART03"/>
    <n v="955500"/>
    <n v="0.15"/>
    <n v="812175"/>
    <n v="0.13"/>
    <n v="1242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BF483-90A9-47F4-AD3B-4A3F31DB38DC}" name="VENTADEPRODUCTOXPROVINCIA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A3:E9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numFmtId="1" showAll="0"/>
    <pivotField showAll="0">
      <items count="27">
        <item x="23"/>
        <item x="24"/>
        <item x="21"/>
        <item x="22"/>
        <item x="17"/>
        <item x="18"/>
        <item x="19"/>
        <item x="20"/>
        <item x="14"/>
        <item x="15"/>
        <item x="16"/>
        <item x="10"/>
        <item x="11"/>
        <item x="12"/>
        <item x="13"/>
        <item x="5"/>
        <item x="6"/>
        <item x="7"/>
        <item x="8"/>
        <item x="9"/>
        <item x="0"/>
        <item x="1"/>
        <item x="2"/>
        <item x="3"/>
        <item x="4"/>
        <item x="25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a de VENTAS BRUTAS" fld="16" baseField="0" baseItem="0"/>
  </dataFields>
  <chartFormats count="3"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9726F-6FD2-4398-8F15-82EFA3B0761E}" name="ventasXproductoXsucursal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B48:F54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numFmtId="1" showAll="0"/>
    <pivotField showAll="0">
      <items count="27">
        <item x="23"/>
        <item x="24"/>
        <item x="21"/>
        <item x="22"/>
        <item x="17"/>
        <item x="18"/>
        <item x="19"/>
        <item x="20"/>
        <item x="14"/>
        <item x="15"/>
        <item x="16"/>
        <item x="10"/>
        <item x="11"/>
        <item x="12"/>
        <item x="13"/>
        <item x="5"/>
        <item x="6"/>
        <item x="7"/>
        <item x="8"/>
        <item x="9"/>
        <item x="0"/>
        <item x="1"/>
        <item x="2"/>
        <item x="3"/>
        <item x="4"/>
        <item x="25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a de VENTAS BRUTAS" fld="16" baseField="0" baseItem="0" numFmtId="165"/>
  </dataFields>
  <formats count="1">
    <format dxfId="26">
      <pivotArea outline="0" collapsedLevelsAreSubtotals="1" fieldPosition="0"/>
    </format>
  </formats>
  <chartFormats count="3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69618-35A7-4822-ADEB-FDC97824C5DB}" name="ComprasxGenero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B42:C45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" showAll="0"/>
    <pivotField showAll="0">
      <items count="27">
        <item x="23"/>
        <item x="24"/>
        <item x="21"/>
        <item x="22"/>
        <item x="17"/>
        <item x="18"/>
        <item x="19"/>
        <item x="20"/>
        <item x="14"/>
        <item x="15"/>
        <item x="16"/>
        <item x="10"/>
        <item x="11"/>
        <item x="12"/>
        <item x="13"/>
        <item x="5"/>
        <item x="6"/>
        <item x="7"/>
        <item x="8"/>
        <item x="9"/>
        <item x="0"/>
        <item x="1"/>
        <item x="2"/>
        <item x="3"/>
        <item x="4"/>
        <item x="25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a de VENTAS BRUTAS" fld="16" showDataAs="percentOfTotal" baseField="8" baseItem="0" numFmtId="1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D54D7-F251-4484-A741-92541B9125CA}" name="TablaDinámica5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72:D76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ataField="1" dragToRow="0" dragToCol="0" dragToPage="0"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 BRUTAS" fld="16" baseField="0" baseItem="0"/>
    <dataField name="META" fld="23" baseField="9" baseItem="0"/>
  </dataFields>
  <formats count="1">
    <format dxfId="25">
      <pivotArea collapsedLevelsAreSubtotals="1" fieldPosition="0">
        <references count="1">
          <reference field="9" count="0"/>
        </references>
      </pivotArea>
    </format>
  </formats>
  <chartFormats count="8"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8C3F4-C0AE-48E3-A34D-3E878A50A1ED}" name="VENTAXGENERO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GENERO CLIENTE">
  <location ref="B3:C6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Distribucion de productos vendidos" fld="20" subtotal="count" showDataAs="percentOfTotal" baseField="8" baseItem="0" numFmtId="10"/>
  </dataFields>
  <formats count="1">
    <format dxfId="27">
      <pivotArea dataOnly="0" outline="0" axis="axisValues" fieldPosition="0"/>
    </format>
  </formats>
  <chartFormats count="3"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06BE5-8E39-4ECF-B7CE-B40372F4B055}" name="VentaBrutaXMes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 rowHeaderCaption="Mes">
  <location ref="B29:C3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numFmtId="1" showAll="0"/>
    <pivotField showAll="0">
      <items count="27">
        <item x="23"/>
        <item x="24"/>
        <item x="21"/>
        <item x="22"/>
        <item x="17"/>
        <item x="18"/>
        <item x="19"/>
        <item x="20"/>
        <item x="14"/>
        <item x="15"/>
        <item x="16"/>
        <item x="10"/>
        <item x="11"/>
        <item x="12"/>
        <item x="13"/>
        <item x="5"/>
        <item x="6"/>
        <item x="7"/>
        <item x="8"/>
        <item x="9"/>
        <item x="0"/>
        <item x="1"/>
        <item x="2"/>
        <item x="3"/>
        <item x="4"/>
        <item x="25"/>
        <item t="default"/>
      </items>
    </pivotField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 BRUTAS" fld="16" baseField="0" baseItem="0" numFmtId="165"/>
  </dataFields>
  <formats count="1">
    <format dxfId="13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FB6CC-3F7B-4CAD-A5A7-270EA5D2F83D}" name="RANGOEDADES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 rowHeaderCaption="Rango de Edad">
  <location ref="B18:C2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numFmtId="1" showAll="0"/>
    <pivotField showAll="0">
      <items count="27">
        <item x="23"/>
        <item x="24"/>
        <item x="21"/>
        <item x="22"/>
        <item x="17"/>
        <item x="18"/>
        <item x="19"/>
        <item x="20"/>
        <item x="14"/>
        <item x="15"/>
        <item x="16"/>
        <item x="10"/>
        <item x="11"/>
        <item x="12"/>
        <item x="13"/>
        <item x="5"/>
        <item x="6"/>
        <item x="7"/>
        <item x="8"/>
        <item x="9"/>
        <item x="0"/>
        <item x="1"/>
        <item x="2"/>
        <item x="3"/>
        <item x="4"/>
        <item x="25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orcentaje de venta por edad" fld="20" showDataAs="percentOfTotal" baseField="7" baseItem="1" numFmtId="1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957FC-33E3-4847-A359-1715964CB013}" name="VENTAXVENDEDOR" cacheId="3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6" rowHeaderCaption="Vendedor">
  <location ref="B9:C16" firstHeaderRow="1" firstDataRow="1" firstDataCol="1"/>
  <pivotFields count="24">
    <pivotField axis="axisRow" showAll="0" measureFilter="1" sortType="ascending">
      <items count="7">
        <item x="1"/>
        <item x="5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numFmtId="1" showAll="0"/>
    <pivotField showAll="0">
      <items count="27">
        <item x="23"/>
        <item x="24"/>
        <item x="21"/>
        <item x="22"/>
        <item x="17"/>
        <item x="18"/>
        <item x="19"/>
        <item x="20"/>
        <item x="14"/>
        <item x="15"/>
        <item x="16"/>
        <item x="10"/>
        <item x="11"/>
        <item x="12"/>
        <item x="13"/>
        <item x="5"/>
        <item x="6"/>
        <item x="7"/>
        <item x="8"/>
        <item x="9"/>
        <item x="0"/>
        <item x="1"/>
        <item x="2"/>
        <item x="3"/>
        <item x="4"/>
        <item x="25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 v="3"/>
    </i>
    <i>
      <x v="4"/>
    </i>
    <i>
      <x v="1"/>
    </i>
    <i>
      <x v="2"/>
    </i>
    <i>
      <x/>
    </i>
    <i>
      <x v="5"/>
    </i>
    <i t="grand">
      <x/>
    </i>
  </rowItems>
  <colItems count="1">
    <i/>
  </colItems>
  <dataFields count="1">
    <dataField name="Suma de VENTAS BRUTAS" fld="16" baseField="0" baseItem="0" numFmtId="165"/>
  </dataFields>
  <formats count="1">
    <format dxfId="28">
      <pivotArea outline="0" collapsedLevelsAreSubtotals="1" fieldPosition="0"/>
    </format>
  </formats>
  <chartFormats count="7"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_TIENDA" xr10:uid="{BC924C36-A022-4BD2-A470-6CD64514B7A3}" sourceName="PROVINCIA TIENDA">
  <pivotTables>
    <pivotTable tabId="13" name="VENTAXVENDEDOR"/>
    <pivotTable tabId="13" name="RANGOEDADES"/>
    <pivotTable tabId="15" name="VENTADEPRODUCTOXPROVINCIA"/>
    <pivotTable tabId="13" name="VentaBrutaXMes"/>
    <pivotTable tabId="13" name="ventasXproductoXsucursal"/>
  </pivotTables>
  <data>
    <tabular pivotCacheId="71581891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_VENDIDO" xr10:uid="{917610AC-8C16-4E90-81AF-81A7C0D79FED}" sourceName="PRODUCTO VENDIDO">
  <pivotTables>
    <pivotTable tabId="13" name="VENTAXVENDEDOR"/>
    <pivotTable tabId="15" name="VENTADEPRODUCTOXPROVINCIA"/>
    <pivotTable tabId="13" name="RANGOEDADES"/>
    <pivotTable tabId="13" name="VentaBrutaXMes"/>
    <pivotTable tabId="13" name="ComprasxGenero"/>
    <pivotTable tabId="13" name="ventasXproductoXsucursal"/>
  </pivotTables>
  <data>
    <tabular pivotCacheId="715818911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 TIENDA" xr10:uid="{4E4ABAFB-B2CA-4D43-9268-422DA35E1496}" cache="SegmentaciónDeDatos_PROVINCIA_TIENDA" caption="PROVINCIA TIENDA" rowHeight="241300"/>
  <slicer name="PRODUCTO VENDIDO" xr10:uid="{F9634874-3AFF-4DA2-8D02-EE9E50B3F9CB}" cache="SegmentaciónDeDatos_PRODUCTO_VENDIDO" caption="PRODUCTO VENDIDO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330E0-44F2-4203-AFEE-E8B199E1014F}" name="Tabla2" displayName="Tabla2" ref="A20:V48" totalsRowShown="0" headerRowDxfId="30" dataDxfId="29">
  <autoFilter ref="A20:V48" xr:uid="{6B4330E0-44F2-4203-AFEE-E8B199E1014F}"/>
  <tableColumns count="22">
    <tableColumn id="1" xr3:uid="{C81AF483-3AB8-43D8-B0CB-10AD1721FF96}" name="VENDEDOR" dataDxfId="52"/>
    <tableColumn id="2" xr3:uid="{D6E5B2AE-92A9-40AF-BF76-1B6C57A97348}" name="CEDULA" dataDxfId="51"/>
    <tableColumn id="3" xr3:uid="{5263E067-13CC-4229-BF7D-4C9FFC4A2416}" name="APELLIDO 1" dataDxfId="50"/>
    <tableColumn id="4" xr3:uid="{DEC1F178-7A82-498E-805F-BC722FAF0826}" name="APELLIDO 2" dataDxfId="49"/>
    <tableColumn id="5" xr3:uid="{DC725EA5-895E-4170-B55B-96A1928FD6C5}" name="NOMBRE 1" dataDxfId="48"/>
    <tableColumn id="6" xr3:uid="{6B29F8B6-813D-4C9D-8E6F-649172A777DD}" name="NOMBRE 2" dataDxfId="47"/>
    <tableColumn id="7" xr3:uid="{A7AF4B91-BDD1-4813-A736-5182C297F8C0}" name="CLIENTE" dataDxfId="46"/>
    <tableColumn id="8" xr3:uid="{F9911F30-5FF1-4288-9E48-300047506BB9}" name="EDAD" dataDxfId="45"/>
    <tableColumn id="9" xr3:uid="{962EF43B-DE01-49BA-838E-412D8A8BC8DD}" name="GENERO CLIENTE" dataDxfId="44"/>
    <tableColumn id="10" xr3:uid="{A9FBB7C4-A029-4C45-BD46-B790691D9682}" name="PROVINCIA TIENDA" dataDxfId="43"/>
    <tableColumn id="11" xr3:uid="{2F0B9153-6FEF-43D7-A66C-F0A84099F81D}" name="#FACTURA " dataDxfId="42"/>
    <tableColumn id="12" xr3:uid="{545C605C-0993-4562-99A3-3D678624EBC8}" name="FECHA DE INGRESO DE FACTURA" dataDxfId="41"/>
    <tableColumn id="13" xr3:uid="{95FFEC75-23F9-4DD3-9C11-F93FE0B0660F}" name="MES" dataDxfId="40"/>
    <tableColumn id="14" xr3:uid="{9FFABD87-85C0-4B6C-84A2-2BC33D5F83E7}" name="DIA/MES/AÑO" dataDxfId="39">
      <calculatedColumnFormula>+TEXT(L21,"dddd")</calculatedColumnFormula>
    </tableColumn>
    <tableColumn id="15" xr3:uid="{C9FE85FB-C712-49AD-BBD6-7291FBEA2606}" name="PRODUCTO VENDIDO" dataDxfId="38"/>
    <tableColumn id="16" xr3:uid="{6599F420-6B8E-4B20-AF1A-48B194C3DC56}" name="CODIGO DE PRODUCTO" dataDxfId="37"/>
    <tableColumn id="17" xr3:uid="{5484678B-1F1C-423B-BD89-6F1DE6D3E4ED}" name="VENTAS BRUTAS" dataDxfId="36"/>
    <tableColumn id="18" xr3:uid="{5D0FAE83-3B62-4D78-9786-8D65566B5E89}" name="DESCUENTO APLICADO" dataDxfId="35"/>
    <tableColumn id="19" xr3:uid="{957C2F2E-5232-47DE-9672-FE9A0AC4D7B6}" name="TOTAL VENTA CON DESCUENTO APLICADO" dataDxfId="34"/>
    <tableColumn id="20" xr3:uid="{0284F1AE-78D4-470A-96DA-B26EAA5D1449}" name="IMPUESTO" dataDxfId="33"/>
    <tableColumn id="21" xr3:uid="{5FD54CDB-E7E1-47EA-B05E-FA2FE61E6E4B}" name="TOTAL CON IMPUESTO" dataDxfId="32"/>
    <tableColumn id="22" xr3:uid="{32F98242-194D-47ED-B6EA-E8215E8B019E}" name="BONO PATINES (10%)" dataDxfId="31">
      <calculatedColumnFormula>+IF(O21="PATINES",Q21*10%,0)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220E7D-5A37-4EB1-91EE-5C0A5C3D8DC2}" name="Tabla3" displayName="Tabla3" ref="A1:V3" totalsRowShown="0">
  <autoFilter ref="A1:V3" xr:uid="{76220E7D-5A37-4EB1-91EE-5C0A5C3D8DC2}"/>
  <tableColumns count="22">
    <tableColumn id="1" xr3:uid="{F9770036-461A-4ECE-B7F4-F1FDF2296B8D}" name="VENDEDOR"/>
    <tableColumn id="2" xr3:uid="{F1DC637A-5EDE-42CB-BAFD-A44F7C648AEB}" name="CEDULA"/>
    <tableColumn id="3" xr3:uid="{2FEF3F2A-3F05-4351-8010-52A59377DF98}" name="APELLIDO 1"/>
    <tableColumn id="4" xr3:uid="{4C2DD3C7-865E-4836-9AC0-905ED6FF6361}" name="APELLIDO 2"/>
    <tableColumn id="5" xr3:uid="{57E8D49D-A87E-4C1D-9200-7468C18A5365}" name="NOMBRE 1"/>
    <tableColumn id="6" xr3:uid="{CE439C82-31C8-4C2D-A650-CEF08C07976B}" name="NOMBRE 2"/>
    <tableColumn id="7" xr3:uid="{1D91E808-8F60-4060-9462-F323819385A5}" name="LLENADO RAPIDO"/>
    <tableColumn id="8" xr3:uid="{8B25E247-B3C4-415E-BAEE-9C0F00299E8D}" name="EDAD"/>
    <tableColumn id="9" xr3:uid="{578A9F6D-FEA0-402C-83E5-E920E38FB8DD}" name="GENERO CLIENTE"/>
    <tableColumn id="10" xr3:uid="{0905561F-B206-4ABC-8031-36D89E618C78}" name="PROVINCIA TIENDA"/>
    <tableColumn id="11" xr3:uid="{0E569076-D3FC-4BAE-8B44-BAB538A056D7}" name="#FACTURA "/>
    <tableColumn id="12" xr3:uid="{4784E790-D552-4CB8-B459-01D1C9E3E09A}" name="FECHA DE INGRESO DE FACTURA"/>
    <tableColumn id="13" xr3:uid="{79D354CB-3D32-474F-97C3-6E94B7B4BA4F}" name="MES"/>
    <tableColumn id="14" xr3:uid="{A658DE48-A30F-4DFC-8A68-898DD23B5533}" name="DIA/MES/AÑO"/>
    <tableColumn id="15" xr3:uid="{DE5189AD-D5D9-4C53-9D85-9BCF85E00AFD}" name="PRODUCTO VENDIDO"/>
    <tableColumn id="16" xr3:uid="{7620C7D1-F2B1-4990-96CA-1CCF6CAE51B3}" name="CODIGO DE PRODUCTO"/>
    <tableColumn id="17" xr3:uid="{9B570DAA-7869-4FBE-B8D1-363CB8C6BD7E}" name="VENTAS BRUTAS"/>
    <tableColumn id="18" xr3:uid="{88FFD1DD-175B-4CB8-9028-E76C9F457DC4}" name="DESCUENTO APLICADO"/>
    <tableColumn id="19" xr3:uid="{C68B9846-8CA8-4769-B998-E6B39300D757}" name="TOTAL VENTA CON DESCUENTO APLICADO"/>
    <tableColumn id="20" xr3:uid="{9C0C7978-569F-40FC-8ABE-9AB1AF20BC85}" name="IMPUESTO"/>
    <tableColumn id="21" xr3:uid="{831CB248-60F3-4A8D-A505-50C8C56D86EC}" name="TOTAL CON IMPUESTO"/>
    <tableColumn id="22" xr3:uid="{00893CD5-DE9F-4613-9E87-24721321674B}" name="BONO PATINES (10%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467705-0B07-42DE-BB19-A8B001956ED9}" name="Tabla5" displayName="Tabla5" ref="A1:V11" totalsRowShown="0">
  <autoFilter ref="A1:V11" xr:uid="{45467705-0B07-42DE-BB19-A8B001956ED9}"/>
  <tableColumns count="22">
    <tableColumn id="1" xr3:uid="{AF1A7FA2-1AE5-4C95-9AA2-76C6D3737D5C}" name="VENDEDOR"/>
    <tableColumn id="2" xr3:uid="{83156ADD-B549-4E89-AD0F-AE2F5AF82D91}" name="CEDULA"/>
    <tableColumn id="3" xr3:uid="{7707634B-E0D7-4053-AF16-025580614467}" name="APELLIDO 1"/>
    <tableColumn id="4" xr3:uid="{B502AA85-321A-4914-9C07-66F5A516BB6C}" name="APELLIDO 2"/>
    <tableColumn id="5" xr3:uid="{5A4A54BD-8290-4EA8-AAB3-E3526AF75AAF}" name="NOMBRE 1"/>
    <tableColumn id="6" xr3:uid="{A7127486-972A-4740-BD68-EEB8FEB60FB6}" name="NOMBRE 2"/>
    <tableColumn id="7" xr3:uid="{40D3560C-B1A0-413F-BB21-963711DD532B}" name="LLENADO RAPIDO"/>
    <tableColumn id="8" xr3:uid="{083E1463-A50E-444B-948E-6D3CEEE66C1E}" name="EDAD"/>
    <tableColumn id="9" xr3:uid="{56564705-24F7-4E9E-BF6D-1E0902680730}" name="GENERO CLIENTE"/>
    <tableColumn id="10" xr3:uid="{A1BBC990-E947-43FE-9920-2C8C4D6E1BEE}" name="PROVINCIA TIENDA"/>
    <tableColumn id="11" xr3:uid="{D807EC54-43BE-4794-AB3D-0AF8EB40BFCC}" name="#FACTURA "/>
    <tableColumn id="12" xr3:uid="{887604BF-9DDD-4C70-97C2-1E2E581D9904}" name="FECHA DE INGRESO DE FACTURA"/>
    <tableColumn id="13" xr3:uid="{0A423B82-184F-4B05-9152-15ABE1C55E96}" name="MES"/>
    <tableColumn id="14" xr3:uid="{A083AF20-C7F1-46B8-AA04-64CB87FE9CDB}" name="DIA/MES/AÑO"/>
    <tableColumn id="15" xr3:uid="{5D2FED32-9846-4740-9EBB-AB914497A03B}" name="PRODUCTO VENDIDO"/>
    <tableColumn id="16" xr3:uid="{B56EB0B3-B6DD-4B62-9586-B757180D1F32}" name="CODIGO DE PRODUCTO"/>
    <tableColumn id="17" xr3:uid="{0EFA4993-F437-4F00-A3AE-FDB30F4D75B5}" name="VENTAS BRUTAS"/>
    <tableColumn id="18" xr3:uid="{0EC09DBF-B5D5-4547-A5E0-210E6322ACA5}" name="DESCUENTO APLICADO"/>
    <tableColumn id="19" xr3:uid="{4B9D0AA3-F123-420A-9A71-E8C0E41FCE40}" name="TOTAL VENTA CON DESCUENTO APLICADO"/>
    <tableColumn id="20" xr3:uid="{48AEBD59-AA8F-4F6E-B7EF-5AC0DAA22F42}" name="IMPUESTO"/>
    <tableColumn id="21" xr3:uid="{FC2F31C7-A60C-4B37-9BE7-2128C61D2A28}" name="TOTAL CON IMPUESTO"/>
    <tableColumn id="22" xr3:uid="{33AD0814-1D36-44CD-BB7F-EC26894E2614}" name="BONO PATINES (10%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94D91-8F66-475A-B8A3-C0884D0D352F}" name="Tabla1" displayName="Tabla1" ref="A6:I12" totalsRowShown="0" headerRowDxfId="63" tableBorderDxfId="62">
  <autoFilter ref="A6:I12" xr:uid="{09094D91-8F66-475A-B8A3-C0884D0D352F}"/>
  <tableColumns count="9">
    <tableColumn id="1" xr3:uid="{192861A3-7362-4DEE-9A95-37C10004322E}" name="COLABORADOR" dataDxfId="61"/>
    <tableColumn id="2" xr3:uid="{AF2A641D-C63B-4AE6-87B2-78FE8C0AE44A}" name="ENERO" dataDxfId="60"/>
    <tableColumn id="3" xr3:uid="{4376A6D7-0A0C-4FEC-9398-A00534CB7B33}" name="FEBRERO" dataDxfId="59"/>
    <tableColumn id="4" xr3:uid="{9FBF9484-C523-4F6B-963C-33352622DB50}" name="MARZO" dataDxfId="58"/>
    <tableColumn id="5" xr3:uid="{69D6F599-F919-46C4-823B-4063C11D807E}" name="ABRIL" dataDxfId="57"/>
    <tableColumn id="6" xr3:uid="{D781AEF5-F3E6-4EF9-A4F6-68364D6BFB2E}" name="MAYO" dataDxfId="56"/>
    <tableColumn id="7" xr3:uid="{327267C3-8F57-4549-AE1F-D46C8F232F1E}" name="TOTAL VENTAS" dataDxfId="55">
      <calculatedColumnFormula>+SUM(B7:F7)</calculatedColumnFormula>
    </tableColumn>
    <tableColumn id="8" xr3:uid="{A06E62B7-78E7-4590-9926-C5C870E6D436}" name="MINIGRAFICOS" dataDxfId="54"/>
    <tableColumn id="9" xr3:uid="{28F1C7B5-2921-472F-B0F2-1CE1FFEDB79A}" name="CONTRIBUCIÓN PORCENTUAL A TOTAL DE VENTAS " dataDxfId="53">
      <calculatedColumnFormula>+(B12*100)/$G$12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INGRESO_DE_FACTURA" xr10:uid="{7A483364-5AFB-4CE4-8D7C-868FBDC8FDCB}" sourceName="FECHA DE INGRESO DE FACTURA">
  <pivotTables>
    <pivotTable tabId="13" name="ventasXproductoXsucursal"/>
    <pivotTable tabId="15" name="VENTADEPRODUCTOXPROVINCIA"/>
    <pivotTable tabId="13" name="ComprasxGenero"/>
    <pivotTable tabId="13" name="RANGOEDADES"/>
    <pivotTable tabId="13" name="VentaBrutaXMes"/>
    <pivotTable tabId="13" name="VENTAXVENDEDOR"/>
  </pivotTables>
  <state minimalRefreshVersion="6" lastRefreshVersion="6" pivotCacheId="715818911" filterType="unknown">
    <bounds startDate="2023-01-01T00:00:00" endDate="2024-01-01T21:42:17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INGRESO DE FACTURA" xr10:uid="{E805AD96-285E-42B0-A472-568532C2753A}" cache="NativeTimeline_FECHA_DE_INGRESO_DE_FACTURA" caption="FECHA DE INGRESO DE FACTURA" showHeader="0" showSelectionLabel="0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94C6-1040-43A5-ACB8-E39D41A7C300}">
  <dimension ref="A3:I10"/>
  <sheetViews>
    <sheetView topLeftCell="A11" workbookViewId="0">
      <selection activeCell="D28" sqref="D28"/>
    </sheetView>
  </sheetViews>
  <sheetFormatPr baseColWidth="10" defaultRowHeight="15" x14ac:dyDescent="0.25"/>
  <cols>
    <col min="1" max="1" width="24.7109375" bestFit="1" customWidth="1"/>
    <col min="2" max="2" width="21.5703125" bestFit="1" customWidth="1"/>
    <col min="3" max="3" width="12.42578125" bestFit="1" customWidth="1"/>
    <col min="4" max="4" width="13.85546875" bestFit="1" customWidth="1"/>
    <col min="5" max="7" width="12.42578125" bestFit="1" customWidth="1"/>
    <col min="8" max="8" width="13.85546875" bestFit="1" customWidth="1"/>
    <col min="9" max="9" width="14.85546875" bestFit="1" customWidth="1"/>
  </cols>
  <sheetData>
    <row r="3" spans="1:9" ht="23.45" customHeight="1" x14ac:dyDescent="0.25">
      <c r="A3" s="13" t="s">
        <v>0</v>
      </c>
      <c r="B3" s="13" t="s">
        <v>173</v>
      </c>
      <c r="C3" s="13" t="s">
        <v>174</v>
      </c>
      <c r="D3" s="13" t="s">
        <v>175</v>
      </c>
      <c r="E3" s="13" t="s">
        <v>176</v>
      </c>
      <c r="F3" s="13" t="s">
        <v>177</v>
      </c>
      <c r="G3" s="13" t="s">
        <v>178</v>
      </c>
      <c r="H3" s="13" t="s">
        <v>179</v>
      </c>
      <c r="I3" s="13" t="s">
        <v>172</v>
      </c>
    </row>
    <row r="4" spans="1:9" ht="18.600000000000001" customHeight="1" x14ac:dyDescent="0.25">
      <c r="A4" s="11" t="s">
        <v>21</v>
      </c>
      <c r="B4" s="12">
        <v>0</v>
      </c>
      <c r="C4" s="12">
        <v>250000</v>
      </c>
      <c r="D4" s="12">
        <v>703000</v>
      </c>
      <c r="E4" s="12">
        <v>95500</v>
      </c>
      <c r="F4" s="12">
        <v>95550</v>
      </c>
      <c r="G4" s="12">
        <v>0</v>
      </c>
      <c r="H4" s="12">
        <v>1387000</v>
      </c>
      <c r="I4" s="14"/>
    </row>
    <row r="5" spans="1:9" ht="18.600000000000001" customHeight="1" x14ac:dyDescent="0.25">
      <c r="A5" s="9" t="s">
        <v>37</v>
      </c>
      <c r="B5" s="10">
        <v>527625</v>
      </c>
      <c r="C5" s="10">
        <v>0</v>
      </c>
      <c r="D5" s="10">
        <v>0</v>
      </c>
      <c r="E5" s="10">
        <v>0</v>
      </c>
      <c r="F5" s="10">
        <v>72500</v>
      </c>
      <c r="G5" s="10">
        <v>100000</v>
      </c>
      <c r="H5" s="10">
        <v>955500</v>
      </c>
      <c r="I5" s="14"/>
    </row>
    <row r="6" spans="1:9" ht="18.600000000000001" customHeight="1" x14ac:dyDescent="0.25">
      <c r="A6" s="9" t="s">
        <v>15</v>
      </c>
      <c r="B6" s="10">
        <v>0</v>
      </c>
      <c r="C6" s="10">
        <v>0</v>
      </c>
      <c r="D6" s="10">
        <v>0</v>
      </c>
      <c r="E6" s="10">
        <v>492500</v>
      </c>
      <c r="F6" s="10">
        <v>0</v>
      </c>
      <c r="G6" s="10">
        <v>200000</v>
      </c>
      <c r="H6" s="10">
        <v>1055250</v>
      </c>
      <c r="I6" s="14"/>
    </row>
    <row r="7" spans="1:9" ht="18.600000000000001" customHeight="1" x14ac:dyDescent="0.25">
      <c r="A7" s="9" t="s">
        <v>35</v>
      </c>
      <c r="B7" s="10">
        <v>0</v>
      </c>
      <c r="C7" s="10">
        <v>0</v>
      </c>
      <c r="D7" s="10">
        <v>0</v>
      </c>
      <c r="E7" s="10">
        <v>0</v>
      </c>
      <c r="F7" s="10">
        <v>22510</v>
      </c>
      <c r="G7" s="10">
        <v>492500</v>
      </c>
      <c r="H7" s="10">
        <v>0</v>
      </c>
      <c r="I7" s="14"/>
    </row>
    <row r="8" spans="1:9" ht="18.600000000000001" customHeight="1" x14ac:dyDescent="0.25">
      <c r="A8" s="9" t="s">
        <v>32</v>
      </c>
      <c r="B8" s="10">
        <v>0</v>
      </c>
      <c r="C8" s="10">
        <v>335000</v>
      </c>
      <c r="D8" s="10">
        <v>829000</v>
      </c>
      <c r="E8" s="10">
        <v>0</v>
      </c>
      <c r="F8" s="10">
        <v>51750</v>
      </c>
      <c r="G8" s="10">
        <v>80000</v>
      </c>
      <c r="H8" s="10">
        <v>150000</v>
      </c>
      <c r="I8" s="14"/>
    </row>
    <row r="9" spans="1:9" ht="18.600000000000001" customHeight="1" x14ac:dyDescent="0.25">
      <c r="A9" s="9" t="s">
        <v>27</v>
      </c>
      <c r="B9" s="10">
        <v>915000</v>
      </c>
      <c r="C9" s="10">
        <v>0</v>
      </c>
      <c r="D9" s="10">
        <v>626250</v>
      </c>
      <c r="E9" s="10">
        <v>357500</v>
      </c>
      <c r="F9" s="10">
        <v>0</v>
      </c>
      <c r="G9" s="10">
        <v>78290</v>
      </c>
      <c r="H9" s="10">
        <v>703500</v>
      </c>
      <c r="I9" s="14"/>
    </row>
    <row r="10" spans="1:9" ht="22.9" customHeight="1" x14ac:dyDescent="0.25">
      <c r="A10" s="7" t="s">
        <v>162</v>
      </c>
      <c r="B10" s="8">
        <v>1442625</v>
      </c>
      <c r="C10" s="8">
        <v>585000</v>
      </c>
      <c r="D10" s="8">
        <v>2158250</v>
      </c>
      <c r="E10" s="8">
        <v>945500</v>
      </c>
      <c r="F10" s="8">
        <v>242310</v>
      </c>
      <c r="G10" s="8">
        <v>950790</v>
      </c>
      <c r="H10" s="8">
        <v>4251250</v>
      </c>
    </row>
  </sheetData>
  <sheetProtection algorithmName="SHA-512" hashValue="qJVc7p1SR3/UayTRDyLQPN2IAQGNhG8bQSQHYqHgEaf6Xi8KB6wV2NAA81q2yFBVzhFrM6INvBXmfwMuti/AAw==" saltValue="ODpvbVLgRABcS1jmeppIQQ==" spinCount="100000" sheet="1" objects="1" scenarios="1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3C4A29B7-79C2-4B61-931D-EDA6E41426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'VENTAS POR VENDEDOR '!B4:H4</xm:f>
              <xm:sqref>I4</xm:sqref>
            </x14:sparkline>
            <x14:sparkline>
              <xm:f>'VENTAS POR VENDEDOR '!B5:H5</xm:f>
              <xm:sqref>I5</xm:sqref>
            </x14:sparkline>
            <x14:sparkline>
              <xm:f>'VENTAS POR VENDEDOR '!B6:H6</xm:f>
              <xm:sqref>I6</xm:sqref>
            </x14:sparkline>
            <x14:sparkline>
              <xm:f>'VENTAS POR VENDEDOR '!B7:H7</xm:f>
              <xm:sqref>I7</xm:sqref>
            </x14:sparkline>
            <x14:sparkline>
              <xm:f>'VENTAS POR VENDEDOR '!B8:H8</xm:f>
              <xm:sqref>I8</xm:sqref>
            </x14:sparkline>
            <x14:sparkline>
              <xm:f>'VENTAS POR VENDEDOR '!B9:H9</xm:f>
              <xm:sqref>I9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0045-9FBB-4E12-8067-7BAE06D80F7B}">
  <dimension ref="A3:E9"/>
  <sheetViews>
    <sheetView workbookViewId="0">
      <selection activeCell="E5" sqref="E5"/>
    </sheetView>
  </sheetViews>
  <sheetFormatPr baseColWidth="10" defaultRowHeight="15" x14ac:dyDescent="0.25"/>
  <cols>
    <col min="1" max="1" width="23.7109375" bestFit="1" customWidth="1"/>
    <col min="2" max="2" width="22.42578125" bestFit="1" customWidth="1"/>
    <col min="3" max="3" width="8" bestFit="1" customWidth="1"/>
    <col min="4" max="4" width="8.42578125" bestFit="1" customWidth="1"/>
    <col min="5" max="5" width="12.5703125" bestFit="1" customWidth="1"/>
  </cols>
  <sheetData>
    <row r="3" spans="1:5" x14ac:dyDescent="0.25">
      <c r="A3" s="93" t="s">
        <v>285</v>
      </c>
      <c r="B3" s="93" t="s">
        <v>287</v>
      </c>
    </row>
    <row r="4" spans="1:5" x14ac:dyDescent="0.25">
      <c r="A4" s="93" t="s">
        <v>286</v>
      </c>
      <c r="B4" t="s">
        <v>24</v>
      </c>
      <c r="C4" t="s">
        <v>18</v>
      </c>
      <c r="D4" t="s">
        <v>28</v>
      </c>
      <c r="E4" t="s">
        <v>162</v>
      </c>
    </row>
    <row r="5" spans="1:5" x14ac:dyDescent="0.25">
      <c r="A5" s="94" t="s">
        <v>19</v>
      </c>
      <c r="B5" s="116">
        <v>953000</v>
      </c>
      <c r="C5" s="116">
        <v>1077760</v>
      </c>
      <c r="D5" s="116">
        <v>704540</v>
      </c>
      <c r="E5" s="116">
        <v>2735300</v>
      </c>
    </row>
    <row r="6" spans="1:5" x14ac:dyDescent="0.25">
      <c r="A6" s="94" t="s">
        <v>31</v>
      </c>
      <c r="B6" s="116">
        <v>431500</v>
      </c>
      <c r="C6" s="116">
        <v>492500</v>
      </c>
      <c r="D6" s="116">
        <v>1451750</v>
      </c>
      <c r="E6" s="116">
        <v>2375750</v>
      </c>
    </row>
    <row r="7" spans="1:5" x14ac:dyDescent="0.25">
      <c r="A7" s="94" t="s">
        <v>25</v>
      </c>
      <c r="B7" s="116">
        <v>1983500</v>
      </c>
      <c r="C7" s="116">
        <v>692500</v>
      </c>
      <c r="D7" s="116">
        <v>437500</v>
      </c>
      <c r="E7" s="116">
        <v>3113500</v>
      </c>
    </row>
    <row r="8" spans="1:5" x14ac:dyDescent="0.25">
      <c r="A8" s="94" t="s">
        <v>29</v>
      </c>
      <c r="B8" s="116">
        <v>818675</v>
      </c>
      <c r="C8" s="116"/>
      <c r="D8" s="116">
        <v>1532500</v>
      </c>
      <c r="E8" s="116">
        <v>2351175</v>
      </c>
    </row>
    <row r="9" spans="1:5" x14ac:dyDescent="0.25">
      <c r="A9" s="94" t="s">
        <v>162</v>
      </c>
      <c r="B9" s="116">
        <v>4186675</v>
      </c>
      <c r="C9" s="116">
        <v>2262760</v>
      </c>
      <c r="D9" s="116">
        <v>4126290</v>
      </c>
      <c r="E9" s="116">
        <v>10575725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B206-16B6-48A9-8E8D-F52C74BD3BB0}">
  <sheetPr>
    <tabColor rgb="FF92D050"/>
  </sheetPr>
  <dimension ref="A1:AZ210"/>
  <sheetViews>
    <sheetView topLeftCell="A2" zoomScaleNormal="100" workbookViewId="0">
      <selection activeCell="A22" sqref="A22"/>
    </sheetView>
  </sheetViews>
  <sheetFormatPr baseColWidth="10" defaultColWidth="40.5703125" defaultRowHeight="35.25" customHeight="1" x14ac:dyDescent="0.25"/>
  <cols>
    <col min="3" max="6" width="0" hidden="1" customWidth="1"/>
    <col min="8" max="8" width="40.5703125" style="2"/>
    <col min="11" max="11" width="40.5703125" style="3"/>
    <col min="13" max="13" width="40.5703125" style="2"/>
  </cols>
  <sheetData>
    <row r="1" spans="1:22" ht="35.25" customHeight="1" x14ac:dyDescent="0.25">
      <c r="A1" s="128" t="s">
        <v>290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35.25" customHeigh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5" spans="1:22" ht="35.25" customHeight="1" x14ac:dyDescent="0.25">
      <c r="A5" s="124" t="s">
        <v>289</v>
      </c>
      <c r="B5" s="117">
        <v>12000000</v>
      </c>
      <c r="D5" t="s">
        <v>73</v>
      </c>
    </row>
    <row r="6" spans="1:22" ht="35.25" customHeight="1" x14ac:dyDescent="0.25">
      <c r="A6" s="124" t="s">
        <v>288</v>
      </c>
      <c r="B6" s="117">
        <v>4000000</v>
      </c>
    </row>
    <row r="7" spans="1:22" ht="35.25" customHeight="1" x14ac:dyDescent="0.25">
      <c r="A7" s="124" t="s">
        <v>156</v>
      </c>
      <c r="B7" s="118">
        <f ca="1">+TODAY()</f>
        <v>45245</v>
      </c>
      <c r="C7" s="15"/>
    </row>
    <row r="8" spans="1:22" ht="35.25" customHeight="1" x14ac:dyDescent="0.25">
      <c r="A8" s="124" t="s">
        <v>157</v>
      </c>
      <c r="B8" s="119">
        <f>SUM(Tabla2[VENTAS BRUTAS])</f>
        <v>10575725</v>
      </c>
      <c r="C8" s="15"/>
    </row>
    <row r="9" spans="1:22" ht="35.25" customHeight="1" x14ac:dyDescent="0.25">
      <c r="A9" s="124" t="s">
        <v>161</v>
      </c>
      <c r="B9" s="120">
        <f>COUNTA(Tabla2[PRODUCTO VENDIDO])</f>
        <v>28</v>
      </c>
      <c r="C9" s="15"/>
    </row>
    <row r="10" spans="1:22" ht="35.25" customHeight="1" x14ac:dyDescent="0.25">
      <c r="A10" s="124" t="s">
        <v>158</v>
      </c>
      <c r="B10" s="119">
        <f>AVERAGE(Tabla2[VENTAS BRUTAS])</f>
        <v>377704.46428571426</v>
      </c>
      <c r="C10" s="15"/>
    </row>
    <row r="11" spans="1:22" ht="35.25" customHeight="1" x14ac:dyDescent="0.25">
      <c r="A11" s="124" t="s">
        <v>223</v>
      </c>
      <c r="B11" s="119">
        <f>AVERAGEIF(Tabla2[GENERO CLIENTE],"FEMENINO",Tabla2[VENTAS BRUTAS])</f>
        <v>449085.9375</v>
      </c>
      <c r="C11" s="55">
        <f>+AVERAGEIF(I21:I48,"FEMENINO",Q21:Q48)</f>
        <v>449085.9375</v>
      </c>
    </row>
    <row r="12" spans="1:22" ht="35.25" customHeight="1" x14ac:dyDescent="0.25">
      <c r="A12" s="124" t="s">
        <v>159</v>
      </c>
      <c r="B12" s="119">
        <f>MAX(Tabla2[VENTAS BRUTAS])</f>
        <v>955500</v>
      </c>
      <c r="C12" s="15"/>
    </row>
    <row r="13" spans="1:22" ht="35.25" customHeight="1" x14ac:dyDescent="0.25">
      <c r="A13" s="124" t="s">
        <v>160</v>
      </c>
      <c r="B13" s="119">
        <f>MIN(Tabla2[VENTAS BRUTAS])</f>
        <v>22510</v>
      </c>
      <c r="C13" s="15"/>
    </row>
    <row r="14" spans="1:22" ht="35.25" customHeight="1" x14ac:dyDescent="0.25">
      <c r="A14" s="124" t="s">
        <v>224</v>
      </c>
      <c r="B14" s="119">
        <f>_xlfn.MAXIFS(Tabla2[VENTAS BRUTAS],Tabla2[MES],"octubre")</f>
        <v>955500</v>
      </c>
      <c r="C14" s="56">
        <f>+_xlfn.MAXIFS(Q21:Q48,M21:M48,"OCTUBRE")</f>
        <v>955500</v>
      </c>
    </row>
    <row r="15" spans="1:22" ht="35.25" customHeight="1" x14ac:dyDescent="0.25">
      <c r="A15" s="124" t="s">
        <v>225</v>
      </c>
      <c r="B15" s="119">
        <f>_xlfn.MINIFS(Tabla2[VENTAS BRUTAS],Tabla2[MES],"octubre")</f>
        <v>150000</v>
      </c>
      <c r="C15" s="56">
        <f>+_xlfn.MINIFS(Q22:Q49,M22:M49,"OCTUBRE")</f>
        <v>150000</v>
      </c>
    </row>
    <row r="16" spans="1:22" ht="35.25" customHeight="1" x14ac:dyDescent="0.25">
      <c r="A16" s="124" t="s">
        <v>164</v>
      </c>
      <c r="B16" s="120">
        <f>SUMIF(Tabla2[PRODUCTO VENDIDO],"PATINES",Tabla2[BONO PATINES (10%)])</f>
        <v>237575</v>
      </c>
      <c r="C16" s="55">
        <f>+SUMIF(O21:O48,"PATINES",V21:V48)</f>
        <v>237575</v>
      </c>
    </row>
    <row r="20" spans="1:22" s="123" customFormat="1" ht="35.25" customHeight="1" x14ac:dyDescent="0.25">
      <c r="A20" s="121" t="s">
        <v>0</v>
      </c>
      <c r="B20" s="121" t="s">
        <v>1</v>
      </c>
      <c r="C20" s="121" t="s">
        <v>142</v>
      </c>
      <c r="D20" s="121" t="s">
        <v>143</v>
      </c>
      <c r="E20" s="121" t="s">
        <v>144</v>
      </c>
      <c r="F20" s="121" t="s">
        <v>145</v>
      </c>
      <c r="G20" s="121" t="s">
        <v>291</v>
      </c>
      <c r="H20" s="121" t="s">
        <v>2</v>
      </c>
      <c r="I20" s="121" t="s">
        <v>3</v>
      </c>
      <c r="J20" s="121" t="s">
        <v>4</v>
      </c>
      <c r="K20" s="122" t="s">
        <v>5</v>
      </c>
      <c r="L20" s="121" t="s">
        <v>6</v>
      </c>
      <c r="M20" s="121" t="s">
        <v>9</v>
      </c>
      <c r="N20" s="121" t="s">
        <v>146</v>
      </c>
      <c r="O20" s="121" t="s">
        <v>7</v>
      </c>
      <c r="P20" s="121" t="s">
        <v>8</v>
      </c>
      <c r="Q20" s="121" t="s">
        <v>10</v>
      </c>
      <c r="R20" s="121" t="s">
        <v>11</v>
      </c>
      <c r="S20" s="121" t="s">
        <v>12</v>
      </c>
      <c r="T20" s="121" t="s">
        <v>13</v>
      </c>
      <c r="U20" s="121" t="s">
        <v>14</v>
      </c>
      <c r="V20" s="121" t="s">
        <v>163</v>
      </c>
    </row>
    <row r="21" spans="1:22" s="2" customFormat="1" ht="35.25" customHeight="1" x14ac:dyDescent="0.25">
      <c r="A21" s="2" t="s">
        <v>15</v>
      </c>
      <c r="B21" s="2">
        <v>907560599</v>
      </c>
      <c r="C21" s="2" t="s">
        <v>53</v>
      </c>
      <c r="D21" s="2" t="s">
        <v>61</v>
      </c>
      <c r="E21" s="2" t="s">
        <v>69</v>
      </c>
      <c r="F21" s="2" t="s">
        <v>70</v>
      </c>
      <c r="G21" s="2" t="s">
        <v>16</v>
      </c>
      <c r="H21" s="2">
        <v>54</v>
      </c>
      <c r="I21" s="2" t="s">
        <v>17</v>
      </c>
      <c r="J21" s="2" t="s">
        <v>18</v>
      </c>
      <c r="K21" s="16">
        <v>444</v>
      </c>
      <c r="L21" s="18">
        <v>45213.772624074074</v>
      </c>
      <c r="M21" s="17" t="s">
        <v>165</v>
      </c>
      <c r="N21" s="17" t="str">
        <f>+TEXT(L21,"MMMM")</f>
        <v>octubre</v>
      </c>
      <c r="O21" s="2" t="s">
        <v>19</v>
      </c>
      <c r="P21" s="2" t="s">
        <v>20</v>
      </c>
      <c r="Q21" s="125">
        <v>351750</v>
      </c>
      <c r="R21" s="126">
        <v>0.05</v>
      </c>
      <c r="S21" s="125">
        <v>334162.5</v>
      </c>
      <c r="T21" s="127">
        <v>0.13</v>
      </c>
      <c r="U21" s="125">
        <v>45727.5</v>
      </c>
      <c r="V21" s="125">
        <f t="shared" ref="V21:V48" si="0">+IF(O21="PATINES",Q21*10%,0)</f>
        <v>0</v>
      </c>
    </row>
    <row r="22" spans="1:22" s="2" customFormat="1" ht="35.25" customHeight="1" x14ac:dyDescent="0.25">
      <c r="A22" s="2" t="s">
        <v>15</v>
      </c>
      <c r="B22" s="2">
        <v>907560599</v>
      </c>
      <c r="C22" s="2" t="s">
        <v>53</v>
      </c>
      <c r="D22" s="2" t="s">
        <v>61</v>
      </c>
      <c r="E22" s="2" t="s">
        <v>69</v>
      </c>
      <c r="F22" s="2" t="s">
        <v>70</v>
      </c>
      <c r="G22" s="2" t="s">
        <v>16</v>
      </c>
      <c r="H22" s="2">
        <v>54</v>
      </c>
      <c r="I22" s="2" t="s">
        <v>17</v>
      </c>
      <c r="J22" s="2" t="s">
        <v>18</v>
      </c>
      <c r="K22" s="3">
        <v>444</v>
      </c>
      <c r="L22" s="18">
        <v>45213.772624074074</v>
      </c>
      <c r="M22" s="18" t="s">
        <v>165</v>
      </c>
      <c r="N22" s="17" t="str">
        <f t="shared" ref="N22:N48" si="1">+TEXT(L22,"dddd")</f>
        <v>sábado</v>
      </c>
      <c r="O22" s="2" t="s">
        <v>19</v>
      </c>
      <c r="P22" s="2" t="s">
        <v>20</v>
      </c>
      <c r="Q22" s="125">
        <v>351750</v>
      </c>
      <c r="R22" s="126">
        <v>0.05</v>
      </c>
      <c r="S22" s="125">
        <v>334162.5</v>
      </c>
      <c r="T22" s="127">
        <v>0.13</v>
      </c>
      <c r="U22" s="125">
        <v>45727.5</v>
      </c>
      <c r="V22" s="125">
        <f t="shared" si="0"/>
        <v>0</v>
      </c>
    </row>
    <row r="23" spans="1:22" s="2" customFormat="1" ht="35.25" customHeight="1" x14ac:dyDescent="0.25">
      <c r="A23" s="2" t="s">
        <v>21</v>
      </c>
      <c r="B23" s="2">
        <v>908790775</v>
      </c>
      <c r="C23" s="2" t="s">
        <v>54</v>
      </c>
      <c r="D23" s="2" t="s">
        <v>62</v>
      </c>
      <c r="E23" s="2" t="s">
        <v>71</v>
      </c>
      <c r="F23" s="2" t="s">
        <v>72</v>
      </c>
      <c r="G23" s="2" t="s">
        <v>22</v>
      </c>
      <c r="H23" s="2">
        <v>50</v>
      </c>
      <c r="I23" s="2" t="s">
        <v>23</v>
      </c>
      <c r="J23" s="2" t="s">
        <v>24</v>
      </c>
      <c r="K23" s="3">
        <v>222</v>
      </c>
      <c r="L23" s="18">
        <v>45213.796536921298</v>
      </c>
      <c r="M23" s="17" t="s">
        <v>165</v>
      </c>
      <c r="N23" s="17" t="str">
        <f t="shared" si="1"/>
        <v>sábado</v>
      </c>
      <c r="O23" s="2" t="s">
        <v>25</v>
      </c>
      <c r="P23" s="2" t="s">
        <v>26</v>
      </c>
      <c r="Q23" s="125">
        <v>955500</v>
      </c>
      <c r="R23" s="126">
        <v>0.05</v>
      </c>
      <c r="S23" s="125">
        <v>907725</v>
      </c>
      <c r="T23" s="127">
        <v>0.13</v>
      </c>
      <c r="U23" s="125">
        <v>124215</v>
      </c>
      <c r="V23" s="125">
        <f t="shared" si="0"/>
        <v>0</v>
      </c>
    </row>
    <row r="24" spans="1:22" s="2" customFormat="1" ht="35.25" customHeight="1" x14ac:dyDescent="0.25">
      <c r="A24" s="2" t="s">
        <v>27</v>
      </c>
      <c r="B24" s="2">
        <v>909970579</v>
      </c>
      <c r="C24" s="2" t="s">
        <v>55</v>
      </c>
      <c r="D24" s="2" t="s">
        <v>63</v>
      </c>
      <c r="E24" s="2" t="s">
        <v>74</v>
      </c>
      <c r="G24" s="2" t="s">
        <v>147</v>
      </c>
      <c r="H24" s="2">
        <v>48</v>
      </c>
      <c r="I24" s="2" t="s">
        <v>17</v>
      </c>
      <c r="J24" s="2" t="s">
        <v>28</v>
      </c>
      <c r="K24" s="3">
        <v>223</v>
      </c>
      <c r="L24" s="18">
        <v>45213.885710763891</v>
      </c>
      <c r="M24" s="17" t="s">
        <v>165</v>
      </c>
      <c r="N24" s="17" t="str">
        <f t="shared" si="1"/>
        <v>sábado</v>
      </c>
      <c r="O24" s="2" t="s">
        <v>29</v>
      </c>
      <c r="P24" s="2" t="s">
        <v>30</v>
      </c>
      <c r="Q24" s="125">
        <v>703500</v>
      </c>
      <c r="R24" s="126">
        <v>0.1</v>
      </c>
      <c r="S24" s="125">
        <v>633150</v>
      </c>
      <c r="T24" s="127">
        <v>0.13</v>
      </c>
      <c r="U24" s="125">
        <v>91455</v>
      </c>
      <c r="V24" s="125">
        <f t="shared" si="0"/>
        <v>0</v>
      </c>
    </row>
    <row r="25" spans="1:22" s="2" customFormat="1" ht="35.25" customHeight="1" x14ac:dyDescent="0.25">
      <c r="A25" s="2" t="s">
        <v>32</v>
      </c>
      <c r="B25" s="2">
        <v>997950787</v>
      </c>
      <c r="C25" s="2" t="s">
        <v>56</v>
      </c>
      <c r="D25" s="2" t="s">
        <v>64</v>
      </c>
      <c r="E25" s="2" t="s">
        <v>75</v>
      </c>
      <c r="G25" s="2" t="s">
        <v>148</v>
      </c>
      <c r="H25" s="2">
        <v>36</v>
      </c>
      <c r="I25" s="2" t="s">
        <v>23</v>
      </c>
      <c r="J25" s="2" t="s">
        <v>28</v>
      </c>
      <c r="K25" s="3">
        <v>2466</v>
      </c>
      <c r="L25" s="18">
        <v>45213.90061759259</v>
      </c>
      <c r="M25" s="17" t="s">
        <v>165</v>
      </c>
      <c r="N25" s="17" t="str">
        <f t="shared" si="1"/>
        <v>sábado</v>
      </c>
      <c r="O25" s="2" t="s">
        <v>31</v>
      </c>
      <c r="P25" s="2" t="s">
        <v>33</v>
      </c>
      <c r="Q25" s="125">
        <v>150000</v>
      </c>
      <c r="R25" s="126">
        <v>0</v>
      </c>
      <c r="S25" s="125">
        <v>150000</v>
      </c>
      <c r="T25" s="127">
        <v>0.13</v>
      </c>
      <c r="U25" s="125">
        <v>19500</v>
      </c>
      <c r="V25" s="125">
        <f t="shared" si="0"/>
        <v>15000</v>
      </c>
    </row>
    <row r="26" spans="1:22" s="2" customFormat="1" ht="35.25" customHeight="1" x14ac:dyDescent="0.25">
      <c r="A26" s="2" t="s">
        <v>21</v>
      </c>
      <c r="B26" s="2">
        <v>706870676</v>
      </c>
      <c r="C26" s="2" t="s">
        <v>57</v>
      </c>
      <c r="D26" s="2" t="s">
        <v>65</v>
      </c>
      <c r="E26" s="2" t="s">
        <v>76</v>
      </c>
      <c r="F26" s="2" t="s">
        <v>77</v>
      </c>
      <c r="G26" s="2" t="s">
        <v>34</v>
      </c>
      <c r="H26" s="2">
        <v>28</v>
      </c>
      <c r="I26" s="2" t="s">
        <v>23</v>
      </c>
      <c r="J26" s="2" t="s">
        <v>24</v>
      </c>
      <c r="K26" s="3">
        <v>8975</v>
      </c>
      <c r="L26" s="18">
        <v>45213.900644097223</v>
      </c>
      <c r="M26" s="17" t="s">
        <v>165</v>
      </c>
      <c r="N26" s="17" t="str">
        <f t="shared" si="1"/>
        <v>sábado</v>
      </c>
      <c r="O26" s="2" t="s">
        <v>31</v>
      </c>
      <c r="P26" s="2" t="s">
        <v>33</v>
      </c>
      <c r="Q26" s="125">
        <v>431500</v>
      </c>
      <c r="R26" s="126">
        <v>0.1</v>
      </c>
      <c r="S26" s="125">
        <v>388350</v>
      </c>
      <c r="T26" s="127">
        <v>0.13</v>
      </c>
      <c r="U26" s="125">
        <v>56095</v>
      </c>
      <c r="V26" s="125">
        <f t="shared" si="0"/>
        <v>43150</v>
      </c>
    </row>
    <row r="27" spans="1:22" s="2" customFormat="1" ht="35.25" customHeight="1" x14ac:dyDescent="0.25">
      <c r="A27" s="2" t="s">
        <v>15</v>
      </c>
      <c r="B27" s="2">
        <v>907560599</v>
      </c>
      <c r="C27" s="2" t="s">
        <v>53</v>
      </c>
      <c r="D27" s="2" t="s">
        <v>61</v>
      </c>
      <c r="E27" s="2" t="s">
        <v>69</v>
      </c>
      <c r="F27" s="2" t="s">
        <v>70</v>
      </c>
      <c r="G27" s="2" t="s">
        <v>16</v>
      </c>
      <c r="H27" s="2">
        <v>54</v>
      </c>
      <c r="I27" s="2" t="s">
        <v>17</v>
      </c>
      <c r="J27" s="2" t="s">
        <v>18</v>
      </c>
      <c r="K27" s="3">
        <v>444</v>
      </c>
      <c r="L27" s="18">
        <v>45213.772624074074</v>
      </c>
      <c r="M27" s="18" t="s">
        <v>165</v>
      </c>
      <c r="N27" s="17" t="str">
        <f t="shared" si="1"/>
        <v>sábado</v>
      </c>
      <c r="O27" s="2" t="s">
        <v>19</v>
      </c>
      <c r="P27" s="2" t="s">
        <v>20</v>
      </c>
      <c r="Q27" s="125">
        <v>351750</v>
      </c>
      <c r="R27" s="126">
        <v>0.05</v>
      </c>
      <c r="S27" s="125">
        <v>334162.5</v>
      </c>
      <c r="T27" s="127">
        <v>0.13</v>
      </c>
      <c r="U27" s="125">
        <v>45727.5</v>
      </c>
      <c r="V27" s="125">
        <f t="shared" si="0"/>
        <v>0</v>
      </c>
    </row>
    <row r="28" spans="1:22" s="2" customFormat="1" ht="35.25" customHeight="1" x14ac:dyDescent="0.25">
      <c r="A28" s="2" t="s">
        <v>35</v>
      </c>
      <c r="B28" s="2">
        <v>995870756</v>
      </c>
      <c r="C28" s="2" t="s">
        <v>58</v>
      </c>
      <c r="D28" s="2" t="s">
        <v>66</v>
      </c>
      <c r="E28" s="2" t="s">
        <v>78</v>
      </c>
      <c r="F28" s="2" t="s">
        <v>79</v>
      </c>
      <c r="G28" s="2" t="s">
        <v>36</v>
      </c>
      <c r="H28" s="2">
        <v>25</v>
      </c>
      <c r="I28" s="2" t="s">
        <v>23</v>
      </c>
      <c r="J28" s="2" t="s">
        <v>18</v>
      </c>
      <c r="K28" s="3">
        <v>2358</v>
      </c>
      <c r="L28" s="18">
        <v>45183</v>
      </c>
      <c r="M28" s="17" t="s">
        <v>166</v>
      </c>
      <c r="N28" s="17" t="str">
        <f t="shared" si="1"/>
        <v>jueves</v>
      </c>
      <c r="O28" s="2" t="s">
        <v>25</v>
      </c>
      <c r="P28" s="2" t="s">
        <v>26</v>
      </c>
      <c r="Q28" s="125">
        <v>492500</v>
      </c>
      <c r="R28" s="126">
        <v>0.1</v>
      </c>
      <c r="S28" s="125">
        <v>443250</v>
      </c>
      <c r="T28" s="127">
        <v>0.13</v>
      </c>
      <c r="U28" s="125">
        <v>64025</v>
      </c>
      <c r="V28" s="125">
        <f t="shared" si="0"/>
        <v>0</v>
      </c>
    </row>
    <row r="29" spans="1:22" s="2" customFormat="1" ht="35.25" customHeight="1" x14ac:dyDescent="0.25">
      <c r="A29" s="2" t="s">
        <v>37</v>
      </c>
      <c r="B29" s="2">
        <v>907590805</v>
      </c>
      <c r="C29" s="2" t="s">
        <v>59</v>
      </c>
      <c r="D29" s="2" t="s">
        <v>67</v>
      </c>
      <c r="E29" s="2" t="s">
        <v>80</v>
      </c>
      <c r="F29" s="2" t="s">
        <v>81</v>
      </c>
      <c r="G29" s="2" t="s">
        <v>38</v>
      </c>
      <c r="H29" s="2">
        <v>54</v>
      </c>
      <c r="I29" s="2" t="s">
        <v>23</v>
      </c>
      <c r="J29" s="2" t="s">
        <v>24</v>
      </c>
      <c r="K29" s="3">
        <v>5687</v>
      </c>
      <c r="L29" s="18">
        <v>45184</v>
      </c>
      <c r="M29" s="17" t="s">
        <v>166</v>
      </c>
      <c r="N29" s="17" t="str">
        <f t="shared" si="1"/>
        <v>viernes</v>
      </c>
      <c r="O29" s="2" t="s">
        <v>29</v>
      </c>
      <c r="P29" s="2" t="s">
        <v>30</v>
      </c>
      <c r="Q29" s="125">
        <v>100000</v>
      </c>
      <c r="R29" s="126">
        <v>0</v>
      </c>
      <c r="S29" s="125">
        <v>100000</v>
      </c>
      <c r="T29" s="127">
        <v>0.13</v>
      </c>
      <c r="U29" s="125">
        <v>13000</v>
      </c>
      <c r="V29" s="125">
        <f t="shared" si="0"/>
        <v>0</v>
      </c>
    </row>
    <row r="30" spans="1:22" s="2" customFormat="1" ht="35.25" customHeight="1" x14ac:dyDescent="0.25">
      <c r="A30" s="2" t="s">
        <v>15</v>
      </c>
      <c r="B30" s="2">
        <v>997590878</v>
      </c>
      <c r="C30" s="2" t="s">
        <v>60</v>
      </c>
      <c r="D30" s="2" t="s">
        <v>68</v>
      </c>
      <c r="E30" s="2" t="s">
        <v>82</v>
      </c>
      <c r="F30" s="2" t="s">
        <v>83</v>
      </c>
      <c r="G30" s="2" t="s">
        <v>39</v>
      </c>
      <c r="H30" s="2">
        <v>35</v>
      </c>
      <c r="I30" s="2" t="s">
        <v>23</v>
      </c>
      <c r="J30" s="2" t="s">
        <v>18</v>
      </c>
      <c r="K30" s="3">
        <v>2587</v>
      </c>
      <c r="L30" s="18">
        <v>45185</v>
      </c>
      <c r="M30" s="17" t="s">
        <v>166</v>
      </c>
      <c r="N30" s="17" t="str">
        <f t="shared" si="1"/>
        <v>sábado</v>
      </c>
      <c r="O30" s="2" t="s">
        <v>25</v>
      </c>
      <c r="P30" s="2" t="s">
        <v>26</v>
      </c>
      <c r="Q30" s="125">
        <v>200000</v>
      </c>
      <c r="R30" s="126">
        <v>0</v>
      </c>
      <c r="S30" s="125">
        <v>200000</v>
      </c>
      <c r="T30" s="127">
        <v>0.13</v>
      </c>
      <c r="U30" s="125">
        <v>26000</v>
      </c>
      <c r="V30" s="125">
        <f t="shared" si="0"/>
        <v>0</v>
      </c>
    </row>
    <row r="31" spans="1:22" s="2" customFormat="1" ht="35.25" customHeight="1" x14ac:dyDescent="0.25">
      <c r="A31" s="2" t="s">
        <v>27</v>
      </c>
      <c r="B31" s="2">
        <v>905970668</v>
      </c>
      <c r="C31" s="2" t="s">
        <v>84</v>
      </c>
      <c r="D31" s="2" t="s">
        <v>85</v>
      </c>
      <c r="E31" s="2" t="s">
        <v>86</v>
      </c>
      <c r="F31" s="2" t="s">
        <v>87</v>
      </c>
      <c r="G31" s="2" t="s">
        <v>149</v>
      </c>
      <c r="H31" s="2">
        <v>61</v>
      </c>
      <c r="I31" s="2" t="s">
        <v>17</v>
      </c>
      <c r="J31" s="2" t="s">
        <v>28</v>
      </c>
      <c r="K31" s="3">
        <v>9875</v>
      </c>
      <c r="L31" s="18">
        <v>45186</v>
      </c>
      <c r="M31" s="17" t="s">
        <v>166</v>
      </c>
      <c r="N31" s="17" t="str">
        <f t="shared" si="1"/>
        <v>domingo</v>
      </c>
      <c r="O31" s="2" t="s">
        <v>19</v>
      </c>
      <c r="P31" s="2" t="s">
        <v>20</v>
      </c>
      <c r="Q31" s="125">
        <v>78290</v>
      </c>
      <c r="R31" s="126">
        <v>0.15</v>
      </c>
      <c r="S31" s="125">
        <v>665465</v>
      </c>
      <c r="T31" s="127">
        <v>0.13</v>
      </c>
      <c r="U31" s="125">
        <v>101777</v>
      </c>
      <c r="V31" s="125">
        <f t="shared" si="0"/>
        <v>0</v>
      </c>
    </row>
    <row r="32" spans="1:22" s="2" customFormat="1" ht="35.25" customHeight="1" x14ac:dyDescent="0.25">
      <c r="A32" s="2" t="s">
        <v>32</v>
      </c>
      <c r="B32" s="2">
        <v>907780778</v>
      </c>
      <c r="C32" s="2" t="s">
        <v>88</v>
      </c>
      <c r="D32" s="2" t="s">
        <v>89</v>
      </c>
      <c r="E32" s="2" t="s">
        <v>90</v>
      </c>
      <c r="G32" s="2" t="s">
        <v>150</v>
      </c>
      <c r="H32" s="2">
        <v>55</v>
      </c>
      <c r="I32" s="2" t="s">
        <v>23</v>
      </c>
      <c r="J32" s="2" t="s">
        <v>28</v>
      </c>
      <c r="K32" s="3">
        <v>9758</v>
      </c>
      <c r="L32" s="18">
        <v>45187</v>
      </c>
      <c r="M32" s="17" t="s">
        <v>166</v>
      </c>
      <c r="N32" s="17" t="str">
        <f t="shared" si="1"/>
        <v>lunes</v>
      </c>
      <c r="O32" s="2" t="s">
        <v>25</v>
      </c>
      <c r="P32" s="2" t="s">
        <v>26</v>
      </c>
      <c r="Q32" s="125">
        <v>80000</v>
      </c>
      <c r="R32" s="126">
        <v>0</v>
      </c>
      <c r="S32" s="125">
        <v>527625</v>
      </c>
      <c r="T32" s="127">
        <v>0.13</v>
      </c>
      <c r="U32" s="125">
        <v>68591.25</v>
      </c>
      <c r="V32" s="125">
        <f t="shared" si="0"/>
        <v>0</v>
      </c>
    </row>
    <row r="33" spans="1:22" s="2" customFormat="1" ht="35.25" customHeight="1" x14ac:dyDescent="0.25">
      <c r="A33" s="2" t="s">
        <v>21</v>
      </c>
      <c r="B33" s="2">
        <v>908790658</v>
      </c>
      <c r="C33" s="2" t="s">
        <v>91</v>
      </c>
      <c r="D33" s="2" t="s">
        <v>92</v>
      </c>
      <c r="E33" s="2" t="s">
        <v>86</v>
      </c>
      <c r="F33" s="2" t="s">
        <v>93</v>
      </c>
      <c r="G33" s="2" t="s">
        <v>40</v>
      </c>
      <c r="H33" s="2">
        <v>49</v>
      </c>
      <c r="I33" s="2" t="s">
        <v>17</v>
      </c>
      <c r="J33" s="2" t="s">
        <v>24</v>
      </c>
      <c r="K33" s="3">
        <v>7895</v>
      </c>
      <c r="L33" s="18">
        <v>45157</v>
      </c>
      <c r="M33" s="17" t="s">
        <v>167</v>
      </c>
      <c r="N33" s="17" t="str">
        <f t="shared" si="1"/>
        <v>sábado</v>
      </c>
      <c r="O33" s="2" t="s">
        <v>29</v>
      </c>
      <c r="P33" s="2" t="s">
        <v>30</v>
      </c>
      <c r="Q33" s="125">
        <v>95550</v>
      </c>
      <c r="R33" s="126">
        <v>0.15</v>
      </c>
      <c r="S33" s="125">
        <v>81217.5</v>
      </c>
      <c r="T33" s="127">
        <v>0.13</v>
      </c>
      <c r="U33" s="125">
        <v>12421.5</v>
      </c>
      <c r="V33" s="125">
        <f t="shared" si="0"/>
        <v>0</v>
      </c>
    </row>
    <row r="34" spans="1:22" s="2" customFormat="1" ht="35.25" customHeight="1" x14ac:dyDescent="0.25">
      <c r="A34" s="2" t="s">
        <v>37</v>
      </c>
      <c r="B34" s="2">
        <v>996700880</v>
      </c>
      <c r="C34" s="2" t="s">
        <v>94</v>
      </c>
      <c r="D34" s="2" t="s">
        <v>95</v>
      </c>
      <c r="E34" s="2" t="s">
        <v>96</v>
      </c>
      <c r="F34" s="2" t="s">
        <v>79</v>
      </c>
      <c r="G34" s="2" t="s">
        <v>41</v>
      </c>
      <c r="H34" s="2">
        <v>33</v>
      </c>
      <c r="I34" s="2" t="s">
        <v>23</v>
      </c>
      <c r="J34" s="2" t="s">
        <v>24</v>
      </c>
      <c r="K34" s="3">
        <v>5462</v>
      </c>
      <c r="L34" s="18">
        <v>45158</v>
      </c>
      <c r="M34" s="17" t="s">
        <v>167</v>
      </c>
      <c r="N34" s="17" t="str">
        <f t="shared" si="1"/>
        <v>domingo</v>
      </c>
      <c r="O34" s="2" t="s">
        <v>25</v>
      </c>
      <c r="P34" s="2" t="s">
        <v>26</v>
      </c>
      <c r="Q34" s="125">
        <v>72500</v>
      </c>
      <c r="R34" s="126">
        <v>0</v>
      </c>
      <c r="S34" s="125">
        <v>492500</v>
      </c>
      <c r="T34" s="127">
        <v>0.13</v>
      </c>
      <c r="U34" s="125">
        <v>64025</v>
      </c>
      <c r="V34" s="125">
        <f t="shared" si="0"/>
        <v>0</v>
      </c>
    </row>
    <row r="35" spans="1:22" s="2" customFormat="1" ht="35.25" customHeight="1" x14ac:dyDescent="0.25">
      <c r="A35" s="2" t="s">
        <v>35</v>
      </c>
      <c r="B35" s="2">
        <v>908970897</v>
      </c>
      <c r="C35" s="2" t="s">
        <v>97</v>
      </c>
      <c r="D35" s="2" t="s">
        <v>98</v>
      </c>
      <c r="E35" s="2" t="s">
        <v>99</v>
      </c>
      <c r="F35" s="2" t="s">
        <v>100</v>
      </c>
      <c r="G35" s="2" t="s">
        <v>42</v>
      </c>
      <c r="H35" s="2">
        <v>35</v>
      </c>
      <c r="I35" s="2" t="s">
        <v>17</v>
      </c>
      <c r="J35" s="2" t="s">
        <v>18</v>
      </c>
      <c r="K35" s="3">
        <v>2222</v>
      </c>
      <c r="L35" s="18">
        <v>45159</v>
      </c>
      <c r="M35" s="17" t="s">
        <v>167</v>
      </c>
      <c r="N35" s="17" t="str">
        <f t="shared" si="1"/>
        <v>lunes</v>
      </c>
      <c r="O35" s="2" t="s">
        <v>19</v>
      </c>
      <c r="P35" s="2" t="s">
        <v>20</v>
      </c>
      <c r="Q35" s="125">
        <v>22510</v>
      </c>
      <c r="R35" s="126">
        <v>0</v>
      </c>
      <c r="S35" s="125">
        <v>725100</v>
      </c>
      <c r="T35" s="127">
        <v>0.13</v>
      </c>
      <c r="U35" s="125">
        <v>94263</v>
      </c>
      <c r="V35" s="125">
        <f t="shared" si="0"/>
        <v>0</v>
      </c>
    </row>
    <row r="36" spans="1:22" s="2" customFormat="1" ht="35.25" customHeight="1" x14ac:dyDescent="0.25">
      <c r="A36" s="2" t="s">
        <v>32</v>
      </c>
      <c r="B36" s="2">
        <v>909960705</v>
      </c>
      <c r="C36" s="2" t="s">
        <v>101</v>
      </c>
      <c r="D36" s="2" t="s">
        <v>102</v>
      </c>
      <c r="E36" s="2" t="s">
        <v>103</v>
      </c>
      <c r="F36" s="2" t="s">
        <v>104</v>
      </c>
      <c r="G36" s="2" t="s">
        <v>43</v>
      </c>
      <c r="H36" s="2">
        <v>48</v>
      </c>
      <c r="I36" s="2" t="s">
        <v>17</v>
      </c>
      <c r="J36" s="2" t="s">
        <v>28</v>
      </c>
      <c r="K36" s="3">
        <v>4854</v>
      </c>
      <c r="L36" s="18">
        <v>45160</v>
      </c>
      <c r="M36" s="17" t="s">
        <v>167</v>
      </c>
      <c r="N36" s="17" t="str">
        <f t="shared" si="1"/>
        <v>martes</v>
      </c>
      <c r="O36" s="2" t="s">
        <v>31</v>
      </c>
      <c r="P36" s="2" t="s">
        <v>33</v>
      </c>
      <c r="Q36" s="125">
        <v>51750</v>
      </c>
      <c r="R36" s="126">
        <v>0</v>
      </c>
      <c r="S36" s="125">
        <v>351750</v>
      </c>
      <c r="T36" s="127">
        <v>0.13</v>
      </c>
      <c r="U36" s="125">
        <v>45727.5</v>
      </c>
      <c r="V36" s="125">
        <f t="shared" si="0"/>
        <v>5175</v>
      </c>
    </row>
    <row r="37" spans="1:22" s="2" customFormat="1" ht="35.25" customHeight="1" x14ac:dyDescent="0.25">
      <c r="A37" s="2" t="s">
        <v>21</v>
      </c>
      <c r="B37" s="2">
        <v>907790056</v>
      </c>
      <c r="C37" s="2" t="s">
        <v>105</v>
      </c>
      <c r="D37" s="2" t="s">
        <v>106</v>
      </c>
      <c r="E37" s="2" t="s">
        <v>107</v>
      </c>
      <c r="F37" s="2" t="s">
        <v>108</v>
      </c>
      <c r="G37" s="2" t="s">
        <v>44</v>
      </c>
      <c r="H37" s="2">
        <v>55</v>
      </c>
      <c r="I37" s="2" t="s">
        <v>17</v>
      </c>
      <c r="J37" s="2" t="s">
        <v>24</v>
      </c>
      <c r="K37" s="3">
        <v>9632</v>
      </c>
      <c r="L37" s="18">
        <v>45109</v>
      </c>
      <c r="M37" s="17" t="s">
        <v>168</v>
      </c>
      <c r="N37" s="17" t="str">
        <f t="shared" si="1"/>
        <v>domingo</v>
      </c>
      <c r="O37" s="2" t="s">
        <v>29</v>
      </c>
      <c r="P37" s="2" t="s">
        <v>30</v>
      </c>
      <c r="Q37" s="125">
        <v>95500</v>
      </c>
      <c r="R37" s="126">
        <v>0</v>
      </c>
      <c r="S37" s="125">
        <v>955000</v>
      </c>
      <c r="T37" s="127">
        <v>0.13</v>
      </c>
      <c r="U37" s="125">
        <v>124150</v>
      </c>
      <c r="V37" s="125">
        <f t="shared" si="0"/>
        <v>0</v>
      </c>
    </row>
    <row r="38" spans="1:22" s="2" customFormat="1" ht="35.25" customHeight="1" x14ac:dyDescent="0.25">
      <c r="A38" s="2" t="s">
        <v>15</v>
      </c>
      <c r="B38" s="2">
        <v>907850990</v>
      </c>
      <c r="C38" s="2" t="s">
        <v>102</v>
      </c>
      <c r="D38" s="2" t="s">
        <v>109</v>
      </c>
      <c r="E38" s="2" t="s">
        <v>110</v>
      </c>
      <c r="F38" s="2" t="s">
        <v>111</v>
      </c>
      <c r="G38" s="2" t="s">
        <v>45</v>
      </c>
      <c r="H38" s="2">
        <v>53</v>
      </c>
      <c r="I38" s="2" t="s">
        <v>23</v>
      </c>
      <c r="J38" s="2" t="s">
        <v>18</v>
      </c>
      <c r="K38" s="3">
        <v>9874</v>
      </c>
      <c r="L38" s="18">
        <v>45110</v>
      </c>
      <c r="M38" s="17" t="s">
        <v>168</v>
      </c>
      <c r="N38" s="17" t="str">
        <f t="shared" si="1"/>
        <v>lunes</v>
      </c>
      <c r="O38" s="2" t="s">
        <v>31</v>
      </c>
      <c r="P38" s="2" t="s">
        <v>33</v>
      </c>
      <c r="Q38" s="125">
        <v>492500</v>
      </c>
      <c r="R38" s="126">
        <v>0.1</v>
      </c>
      <c r="S38" s="125">
        <v>443250</v>
      </c>
      <c r="T38" s="127">
        <v>0.13</v>
      </c>
      <c r="U38" s="125">
        <v>64025</v>
      </c>
      <c r="V38" s="125">
        <f t="shared" si="0"/>
        <v>49250</v>
      </c>
    </row>
    <row r="39" spans="1:22" s="2" customFormat="1" ht="35.25" customHeight="1" x14ac:dyDescent="0.25">
      <c r="A39" s="2" t="s">
        <v>27</v>
      </c>
      <c r="B39" s="2">
        <v>908570856</v>
      </c>
      <c r="C39" s="2" t="s">
        <v>112</v>
      </c>
      <c r="D39" s="2" t="s">
        <v>113</v>
      </c>
      <c r="E39" s="2" t="s">
        <v>114</v>
      </c>
      <c r="F39" s="2" t="s">
        <v>115</v>
      </c>
      <c r="G39" s="2" t="s">
        <v>46</v>
      </c>
      <c r="H39" s="2">
        <v>50</v>
      </c>
      <c r="I39" s="2" t="s">
        <v>23</v>
      </c>
      <c r="J39" s="2" t="s">
        <v>28</v>
      </c>
      <c r="K39" s="3">
        <v>2584</v>
      </c>
      <c r="L39" s="18">
        <v>45111</v>
      </c>
      <c r="M39" s="17" t="s">
        <v>168</v>
      </c>
      <c r="N39" s="17" t="str">
        <f t="shared" si="1"/>
        <v>martes</v>
      </c>
      <c r="O39" s="2" t="s">
        <v>25</v>
      </c>
      <c r="P39" s="2" t="s">
        <v>26</v>
      </c>
      <c r="Q39" s="125">
        <v>357500</v>
      </c>
      <c r="R39" s="126">
        <v>0</v>
      </c>
      <c r="S39" s="125">
        <v>357500</v>
      </c>
      <c r="T39" s="127">
        <v>0.13</v>
      </c>
      <c r="U39" s="125">
        <v>46475</v>
      </c>
      <c r="V39" s="125">
        <f t="shared" si="0"/>
        <v>0</v>
      </c>
    </row>
    <row r="40" spans="1:22" s="2" customFormat="1" ht="35.25" customHeight="1" x14ac:dyDescent="0.25">
      <c r="A40" s="2" t="s">
        <v>21</v>
      </c>
      <c r="B40" s="2">
        <v>908050895</v>
      </c>
      <c r="C40" s="2" t="s">
        <v>116</v>
      </c>
      <c r="D40" s="2" t="s">
        <v>55</v>
      </c>
      <c r="E40" s="2" t="s">
        <v>117</v>
      </c>
      <c r="F40" s="2" t="s">
        <v>118</v>
      </c>
      <c r="G40" s="2" t="s">
        <v>47</v>
      </c>
      <c r="H40" s="2">
        <v>50</v>
      </c>
      <c r="I40" s="2" t="s">
        <v>17</v>
      </c>
      <c r="J40" s="2" t="s">
        <v>24</v>
      </c>
      <c r="K40" s="3">
        <v>1597</v>
      </c>
      <c r="L40" s="18">
        <v>45082</v>
      </c>
      <c r="M40" s="17" t="s">
        <v>169</v>
      </c>
      <c r="N40" s="17" t="str">
        <f t="shared" si="1"/>
        <v>lunes</v>
      </c>
      <c r="O40" s="2" t="s">
        <v>19</v>
      </c>
      <c r="P40" s="2" t="s">
        <v>20</v>
      </c>
      <c r="Q40" s="125">
        <v>703000</v>
      </c>
      <c r="R40" s="126">
        <v>0</v>
      </c>
      <c r="S40" s="125">
        <v>703000</v>
      </c>
      <c r="T40" s="127">
        <v>0.13</v>
      </c>
      <c r="U40" s="125">
        <v>91390</v>
      </c>
      <c r="V40" s="125">
        <f t="shared" si="0"/>
        <v>0</v>
      </c>
    </row>
    <row r="41" spans="1:22" s="2" customFormat="1" ht="35.25" customHeight="1" x14ac:dyDescent="0.25">
      <c r="A41" s="2" t="s">
        <v>27</v>
      </c>
      <c r="B41" s="2">
        <v>908670776</v>
      </c>
      <c r="C41" s="2" t="s">
        <v>119</v>
      </c>
      <c r="D41" s="2" t="s">
        <v>120</v>
      </c>
      <c r="E41" s="2" t="s">
        <v>121</v>
      </c>
      <c r="F41" s="2" t="s">
        <v>115</v>
      </c>
      <c r="G41" s="2" t="s">
        <v>48</v>
      </c>
      <c r="H41" s="2">
        <v>50</v>
      </c>
      <c r="I41" s="2" t="s">
        <v>23</v>
      </c>
      <c r="J41" s="2" t="s">
        <v>28</v>
      </c>
      <c r="K41" s="3">
        <v>8946</v>
      </c>
      <c r="L41" s="18">
        <v>45083</v>
      </c>
      <c r="M41" s="17" t="s">
        <v>169</v>
      </c>
      <c r="N41" s="17" t="str">
        <f t="shared" si="1"/>
        <v>martes</v>
      </c>
      <c r="O41" s="2" t="s">
        <v>19</v>
      </c>
      <c r="P41" s="2" t="s">
        <v>20</v>
      </c>
      <c r="Q41" s="125">
        <v>526250</v>
      </c>
      <c r="R41" s="126">
        <v>0.05</v>
      </c>
      <c r="S41" s="125">
        <v>499937.5</v>
      </c>
      <c r="T41" s="127">
        <v>0.13</v>
      </c>
      <c r="U41" s="125">
        <v>68412.5</v>
      </c>
      <c r="V41" s="125">
        <f t="shared" si="0"/>
        <v>0</v>
      </c>
    </row>
    <row r="42" spans="1:22" s="2" customFormat="1" ht="35.25" customHeight="1" x14ac:dyDescent="0.25">
      <c r="A42" s="2" t="s">
        <v>32</v>
      </c>
      <c r="B42" s="2">
        <v>909960666</v>
      </c>
      <c r="C42" s="2" t="s">
        <v>122</v>
      </c>
      <c r="D42" s="2" t="s">
        <v>123</v>
      </c>
      <c r="E42" s="2" t="s">
        <v>124</v>
      </c>
      <c r="G42" s="2" t="s">
        <v>151</v>
      </c>
      <c r="H42" s="2">
        <v>48</v>
      </c>
      <c r="I42" s="2" t="s">
        <v>23</v>
      </c>
      <c r="J42" s="2" t="s">
        <v>28</v>
      </c>
      <c r="K42" s="3">
        <v>8521</v>
      </c>
      <c r="L42" s="18">
        <v>45084</v>
      </c>
      <c r="M42" s="17" t="s">
        <v>169</v>
      </c>
      <c r="N42" s="17" t="str">
        <f t="shared" si="1"/>
        <v>miércoles</v>
      </c>
      <c r="O42" s="2" t="s">
        <v>29</v>
      </c>
      <c r="P42" s="2" t="s">
        <v>30</v>
      </c>
      <c r="Q42" s="125">
        <v>829000</v>
      </c>
      <c r="R42" s="126">
        <v>0.15</v>
      </c>
      <c r="S42" s="125">
        <v>704650</v>
      </c>
      <c r="T42" s="127">
        <v>0.13</v>
      </c>
      <c r="U42" s="125">
        <v>107770</v>
      </c>
      <c r="V42" s="125">
        <f t="shared" si="0"/>
        <v>0</v>
      </c>
    </row>
    <row r="43" spans="1:22" s="2" customFormat="1" ht="35.25" customHeight="1" x14ac:dyDescent="0.25">
      <c r="A43" s="2" t="s">
        <v>27</v>
      </c>
      <c r="B43" s="2">
        <v>908990097</v>
      </c>
      <c r="C43" s="2" t="s">
        <v>125</v>
      </c>
      <c r="D43" s="2" t="s">
        <v>126</v>
      </c>
      <c r="E43" s="2" t="s">
        <v>127</v>
      </c>
      <c r="F43" s="2" t="s">
        <v>128</v>
      </c>
      <c r="G43" s="2" t="s">
        <v>49</v>
      </c>
      <c r="H43" s="2">
        <v>35</v>
      </c>
      <c r="I43" s="2" t="s">
        <v>23</v>
      </c>
      <c r="J43" s="2" t="s">
        <v>28</v>
      </c>
      <c r="K43" s="3">
        <v>8524</v>
      </c>
      <c r="L43" s="18">
        <v>45085</v>
      </c>
      <c r="M43" s="17" t="s">
        <v>169</v>
      </c>
      <c r="N43" s="17" t="str">
        <f t="shared" si="1"/>
        <v>jueves</v>
      </c>
      <c r="O43" s="2" t="s">
        <v>19</v>
      </c>
      <c r="P43" s="2" t="s">
        <v>20</v>
      </c>
      <c r="Q43" s="125">
        <v>100000</v>
      </c>
      <c r="R43" s="126">
        <v>0.05</v>
      </c>
      <c r="S43" s="125">
        <v>95000</v>
      </c>
      <c r="T43" s="127">
        <v>0.13</v>
      </c>
      <c r="U43" s="125">
        <v>13000</v>
      </c>
      <c r="V43" s="125">
        <f t="shared" si="0"/>
        <v>0</v>
      </c>
    </row>
    <row r="44" spans="1:22" s="2" customFormat="1" ht="35.25" customHeight="1" x14ac:dyDescent="0.25">
      <c r="A44" s="2" t="s">
        <v>32</v>
      </c>
      <c r="B44" s="2">
        <v>606890659</v>
      </c>
      <c r="C44" s="2" t="s">
        <v>129</v>
      </c>
      <c r="D44" s="2" t="s">
        <v>56</v>
      </c>
      <c r="E44" s="2" t="s">
        <v>130</v>
      </c>
      <c r="F44" s="2" t="s">
        <v>131</v>
      </c>
      <c r="G44" s="2" t="s">
        <v>50</v>
      </c>
      <c r="H44" s="2">
        <v>29</v>
      </c>
      <c r="I44" s="2" t="s">
        <v>17</v>
      </c>
      <c r="J44" s="2" t="s">
        <v>28</v>
      </c>
      <c r="K44" s="3">
        <v>8654</v>
      </c>
      <c r="L44" s="18">
        <v>45055</v>
      </c>
      <c r="M44" s="17" t="s">
        <v>170</v>
      </c>
      <c r="N44" s="17" t="str">
        <f t="shared" si="1"/>
        <v>martes</v>
      </c>
      <c r="O44" s="2" t="s">
        <v>31</v>
      </c>
      <c r="P44" s="2" t="s">
        <v>33</v>
      </c>
      <c r="Q44" s="125">
        <v>335000</v>
      </c>
      <c r="R44" s="126">
        <v>0.05</v>
      </c>
      <c r="S44" s="125">
        <v>318250</v>
      </c>
      <c r="T44" s="127">
        <v>0.13</v>
      </c>
      <c r="U44" s="125">
        <v>43550</v>
      </c>
      <c r="V44" s="125">
        <f t="shared" si="0"/>
        <v>33500</v>
      </c>
    </row>
    <row r="45" spans="1:22" s="2" customFormat="1" ht="35.25" customHeight="1" x14ac:dyDescent="0.25">
      <c r="A45" s="2" t="s">
        <v>21</v>
      </c>
      <c r="B45" s="2">
        <v>906590897</v>
      </c>
      <c r="C45" s="2" t="s">
        <v>132</v>
      </c>
      <c r="D45" s="2" t="s">
        <v>133</v>
      </c>
      <c r="E45" s="2" t="s">
        <v>134</v>
      </c>
      <c r="G45" s="2" t="s">
        <v>152</v>
      </c>
      <c r="H45" s="2">
        <v>58</v>
      </c>
      <c r="I45" s="2" t="s">
        <v>17</v>
      </c>
      <c r="J45" s="2" t="s">
        <v>24</v>
      </c>
      <c r="K45" s="3">
        <v>6315</v>
      </c>
      <c r="L45" s="18">
        <v>45056</v>
      </c>
      <c r="M45" s="17" t="s">
        <v>170</v>
      </c>
      <c r="N45" s="17" t="str">
        <f t="shared" si="1"/>
        <v>miércoles</v>
      </c>
      <c r="O45" s="2" t="s">
        <v>19</v>
      </c>
      <c r="P45" s="2" t="s">
        <v>20</v>
      </c>
      <c r="Q45" s="125">
        <v>250000</v>
      </c>
      <c r="R45" s="126">
        <v>0</v>
      </c>
      <c r="S45" s="125">
        <v>250000</v>
      </c>
      <c r="T45" s="127">
        <v>0.13</v>
      </c>
      <c r="U45" s="125">
        <v>32500</v>
      </c>
      <c r="V45" s="125">
        <f t="shared" si="0"/>
        <v>0</v>
      </c>
    </row>
    <row r="46" spans="1:22" s="2" customFormat="1" ht="35.25" customHeight="1" x14ac:dyDescent="0.25">
      <c r="A46" s="2" t="s">
        <v>37</v>
      </c>
      <c r="B46" s="2">
        <v>907860709</v>
      </c>
      <c r="C46" s="2" t="s">
        <v>135</v>
      </c>
      <c r="D46" s="2" t="s">
        <v>67</v>
      </c>
      <c r="E46" s="2" t="s">
        <v>136</v>
      </c>
      <c r="F46" s="2" t="s">
        <v>115</v>
      </c>
      <c r="G46" s="2" t="s">
        <v>51</v>
      </c>
      <c r="H46" s="2">
        <v>53</v>
      </c>
      <c r="I46" s="2" t="s">
        <v>23</v>
      </c>
      <c r="J46" s="2" t="s">
        <v>24</v>
      </c>
      <c r="K46" s="3">
        <v>2653</v>
      </c>
      <c r="L46" s="18">
        <v>45027</v>
      </c>
      <c r="M46" s="17" t="s">
        <v>171</v>
      </c>
      <c r="N46" s="17" t="str">
        <f t="shared" si="1"/>
        <v>martes</v>
      </c>
      <c r="O46" s="2" t="s">
        <v>29</v>
      </c>
      <c r="P46" s="2" t="s">
        <v>30</v>
      </c>
      <c r="Q46" s="125">
        <v>527625</v>
      </c>
      <c r="R46" s="126">
        <v>0.1</v>
      </c>
      <c r="S46" s="125">
        <v>474862.5</v>
      </c>
      <c r="T46" s="127">
        <v>0.13</v>
      </c>
      <c r="U46" s="125">
        <v>68591.25</v>
      </c>
      <c r="V46" s="125">
        <f t="shared" si="0"/>
        <v>0</v>
      </c>
    </row>
    <row r="47" spans="1:22" s="2" customFormat="1" ht="35.25" customHeight="1" x14ac:dyDescent="0.25">
      <c r="A47" s="2" t="s">
        <v>27</v>
      </c>
      <c r="B47" s="2">
        <v>909070877</v>
      </c>
      <c r="C47" s="2" t="s">
        <v>137</v>
      </c>
      <c r="D47" s="2" t="s">
        <v>67</v>
      </c>
      <c r="E47" s="2" t="s">
        <v>138</v>
      </c>
      <c r="G47" s="2" t="s">
        <v>153</v>
      </c>
      <c r="H47" s="2">
        <v>48</v>
      </c>
      <c r="I47" s="2" t="s">
        <v>23</v>
      </c>
      <c r="J47" s="2" t="s">
        <v>28</v>
      </c>
      <c r="K47" s="3">
        <v>8520</v>
      </c>
      <c r="L47" s="18">
        <v>45028</v>
      </c>
      <c r="M47" s="17" t="s">
        <v>171</v>
      </c>
      <c r="N47" s="17" t="str">
        <f t="shared" si="1"/>
        <v>miércoles</v>
      </c>
      <c r="O47" s="2" t="s">
        <v>31</v>
      </c>
      <c r="P47" s="2" t="s">
        <v>33</v>
      </c>
      <c r="Q47" s="125">
        <v>915000</v>
      </c>
      <c r="R47" s="126">
        <v>0</v>
      </c>
      <c r="S47" s="125">
        <v>915000</v>
      </c>
      <c r="T47" s="127">
        <v>0.13</v>
      </c>
      <c r="U47" s="125">
        <v>118950</v>
      </c>
      <c r="V47" s="125">
        <f t="shared" si="0"/>
        <v>91500</v>
      </c>
    </row>
    <row r="48" spans="1:22" s="2" customFormat="1" ht="35.25" customHeight="1" x14ac:dyDescent="0.25">
      <c r="A48" s="2" t="s">
        <v>37</v>
      </c>
      <c r="B48" s="2">
        <v>908870890</v>
      </c>
      <c r="C48" s="2" t="s">
        <v>139</v>
      </c>
      <c r="D48" s="2" t="s">
        <v>140</v>
      </c>
      <c r="E48" s="2" t="s">
        <v>110</v>
      </c>
      <c r="F48" s="2" t="s">
        <v>141</v>
      </c>
      <c r="G48" s="2" t="s">
        <v>52</v>
      </c>
      <c r="H48" s="2">
        <v>49</v>
      </c>
      <c r="I48" s="2" t="s">
        <v>23</v>
      </c>
      <c r="J48" s="2" t="s">
        <v>24</v>
      </c>
      <c r="K48" s="3">
        <v>9631</v>
      </c>
      <c r="L48" s="18">
        <v>45213.904364236114</v>
      </c>
      <c r="M48" s="17" t="s">
        <v>165</v>
      </c>
      <c r="N48" s="17" t="str">
        <f t="shared" si="1"/>
        <v>sábado</v>
      </c>
      <c r="O48" s="2" t="s">
        <v>25</v>
      </c>
      <c r="P48" s="2" t="s">
        <v>26</v>
      </c>
      <c r="Q48" s="125">
        <v>955500</v>
      </c>
      <c r="R48" s="126">
        <v>0.15</v>
      </c>
      <c r="S48" s="125">
        <v>812175</v>
      </c>
      <c r="T48" s="127">
        <v>0.13</v>
      </c>
      <c r="U48" s="125">
        <v>124215</v>
      </c>
      <c r="V48" s="125">
        <f t="shared" si="0"/>
        <v>0</v>
      </c>
    </row>
    <row r="206" spans="52:52" ht="35.25" customHeight="1" x14ac:dyDescent="0.25">
      <c r="AZ206" s="4" t="s">
        <v>7</v>
      </c>
    </row>
    <row r="207" spans="52:52" ht="35.25" customHeight="1" x14ac:dyDescent="0.25">
      <c r="AZ207" s="5" t="s">
        <v>19</v>
      </c>
    </row>
    <row r="208" spans="52:52" ht="35.25" customHeight="1" x14ac:dyDescent="0.25">
      <c r="AZ208" s="5" t="s">
        <v>25</v>
      </c>
    </row>
    <row r="209" spans="52:52" ht="35.25" customHeight="1" x14ac:dyDescent="0.25">
      <c r="AZ209" s="6" t="s">
        <v>29</v>
      </c>
    </row>
    <row r="210" spans="52:52" ht="35.25" customHeight="1" x14ac:dyDescent="0.25">
      <c r="AZ210" s="5" t="s">
        <v>31</v>
      </c>
    </row>
  </sheetData>
  <mergeCells count="1">
    <mergeCell ref="A1:V2"/>
  </mergeCells>
  <pageMargins left="0.70866141732283472" right="0.70866141732283472" top="0.74803149606299213" bottom="0.74803149606299213" header="0.31496062992125984" footer="0.31496062992125984"/>
  <pageSetup orientation="portrait" horizontalDpi="360" verticalDpi="360" r:id="rId1"/>
  <headerFooter>
    <oddHeader>&amp;LFABRICA DE ROPA&amp;R&amp;G</oddHeader>
  </headerFooter>
  <ignoredErrors>
    <ignoredError sqref="C15" formulaRange="1"/>
  </ignoredErrors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398D-918D-4A76-8339-B0B11D033F7D}">
  <dimension ref="A1:V3"/>
  <sheetViews>
    <sheetView workbookViewId="0">
      <selection sqref="A1:V3"/>
    </sheetView>
  </sheetViews>
  <sheetFormatPr baseColWidth="10" defaultRowHeight="15" x14ac:dyDescent="0.25"/>
  <cols>
    <col min="1" max="1" width="13" customWidth="1"/>
    <col min="3" max="4" width="13" customWidth="1"/>
    <col min="5" max="6" width="12.5703125" customWidth="1"/>
    <col min="7" max="7" width="18.5703125" customWidth="1"/>
    <col min="9" max="9" width="18" customWidth="1"/>
    <col min="10" max="10" width="20.140625" customWidth="1"/>
    <col min="11" max="11" width="12.85546875" customWidth="1"/>
    <col min="12" max="12" width="31.42578125" customWidth="1"/>
    <col min="14" max="14" width="16" customWidth="1"/>
    <col min="15" max="15" width="21.85546875" customWidth="1"/>
    <col min="16" max="16" width="23.5703125" customWidth="1"/>
    <col min="17" max="17" width="17.5703125" customWidth="1"/>
    <col min="18" max="18" width="23.28515625" customWidth="1"/>
    <col min="19" max="19" width="40.140625" customWidth="1"/>
    <col min="20" max="20" width="12.5703125" customWidth="1"/>
    <col min="21" max="21" width="23" customWidth="1"/>
    <col min="22" max="22" width="21.85546875" customWidth="1"/>
  </cols>
  <sheetData>
    <row r="1" spans="1:22" x14ac:dyDescent="0.25">
      <c r="A1" t="s">
        <v>0</v>
      </c>
      <c r="B1" t="s">
        <v>1</v>
      </c>
      <c r="C1" t="s">
        <v>142</v>
      </c>
      <c r="D1" t="s">
        <v>143</v>
      </c>
      <c r="E1" t="s">
        <v>144</v>
      </c>
      <c r="F1" t="s">
        <v>145</v>
      </c>
      <c r="G1" t="s">
        <v>155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9</v>
      </c>
      <c r="N1" t="s">
        <v>146</v>
      </c>
      <c r="O1" t="s">
        <v>7</v>
      </c>
      <c r="P1" t="s">
        <v>8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163</v>
      </c>
    </row>
    <row r="2" spans="1:22" x14ac:dyDescent="0.25">
      <c r="A2" t="s">
        <v>35</v>
      </c>
      <c r="B2">
        <v>908970897</v>
      </c>
      <c r="C2" t="s">
        <v>97</v>
      </c>
      <c r="D2" t="s">
        <v>98</v>
      </c>
      <c r="E2" t="s">
        <v>99</v>
      </c>
      <c r="F2" t="s">
        <v>100</v>
      </c>
      <c r="G2" t="s">
        <v>42</v>
      </c>
      <c r="H2">
        <v>35</v>
      </c>
      <c r="I2" t="s">
        <v>17</v>
      </c>
      <c r="J2" t="s">
        <v>18</v>
      </c>
      <c r="K2">
        <v>2222</v>
      </c>
      <c r="L2">
        <v>45159</v>
      </c>
      <c r="M2" t="s">
        <v>167</v>
      </c>
      <c r="N2" t="s">
        <v>292</v>
      </c>
      <c r="O2" t="s">
        <v>19</v>
      </c>
      <c r="P2" t="s">
        <v>20</v>
      </c>
      <c r="Q2">
        <v>22510</v>
      </c>
      <c r="R2">
        <v>0</v>
      </c>
      <c r="S2">
        <v>725100</v>
      </c>
      <c r="T2">
        <v>0.13</v>
      </c>
      <c r="U2">
        <v>94263</v>
      </c>
      <c r="V2">
        <v>0</v>
      </c>
    </row>
    <row r="3" spans="1:22" x14ac:dyDescent="0.25">
      <c r="A3" t="s">
        <v>35</v>
      </c>
      <c r="B3">
        <v>995870756</v>
      </c>
      <c r="C3" t="s">
        <v>58</v>
      </c>
      <c r="D3" t="s">
        <v>66</v>
      </c>
      <c r="E3" t="s">
        <v>78</v>
      </c>
      <c r="F3" t="s">
        <v>79</v>
      </c>
      <c r="G3" t="s">
        <v>36</v>
      </c>
      <c r="H3">
        <v>25</v>
      </c>
      <c r="I3" t="s">
        <v>23</v>
      </c>
      <c r="J3" t="s">
        <v>18</v>
      </c>
      <c r="K3">
        <v>2358</v>
      </c>
      <c r="L3">
        <v>45183</v>
      </c>
      <c r="M3" t="s">
        <v>166</v>
      </c>
      <c r="N3" t="s">
        <v>293</v>
      </c>
      <c r="O3" t="s">
        <v>25</v>
      </c>
      <c r="P3" t="s">
        <v>26</v>
      </c>
      <c r="Q3">
        <v>492500</v>
      </c>
      <c r="R3">
        <v>0.1</v>
      </c>
      <c r="S3">
        <v>443250</v>
      </c>
      <c r="T3">
        <v>0.13</v>
      </c>
      <c r="U3">
        <v>64025</v>
      </c>
      <c r="V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CBEF-BB91-4620-8E77-BC147401F59C}">
  <dimension ref="A1:V11"/>
  <sheetViews>
    <sheetView workbookViewId="0">
      <selection sqref="A1:V11"/>
    </sheetView>
  </sheetViews>
  <sheetFormatPr baseColWidth="10" defaultRowHeight="15" x14ac:dyDescent="0.25"/>
  <cols>
    <col min="1" max="1" width="13" customWidth="1"/>
    <col min="3" max="4" width="13" customWidth="1"/>
    <col min="5" max="6" width="12.5703125" customWidth="1"/>
    <col min="7" max="7" width="18.5703125" customWidth="1"/>
    <col min="9" max="9" width="18" customWidth="1"/>
    <col min="10" max="10" width="20.140625" customWidth="1"/>
    <col min="11" max="11" width="12.85546875" customWidth="1"/>
    <col min="12" max="12" width="31.42578125" customWidth="1"/>
    <col min="14" max="14" width="16" customWidth="1"/>
    <col min="15" max="15" width="21.85546875" customWidth="1"/>
    <col min="16" max="16" width="23.5703125" customWidth="1"/>
    <col min="17" max="17" width="17.5703125" customWidth="1"/>
    <col min="18" max="18" width="23.28515625" customWidth="1"/>
    <col min="19" max="19" width="40.140625" customWidth="1"/>
    <col min="20" max="20" width="12.5703125" customWidth="1"/>
    <col min="21" max="21" width="23" customWidth="1"/>
    <col min="22" max="22" width="21.85546875" customWidth="1"/>
  </cols>
  <sheetData>
    <row r="1" spans="1:22" x14ac:dyDescent="0.25">
      <c r="A1" t="s">
        <v>0</v>
      </c>
      <c r="B1" t="s">
        <v>1</v>
      </c>
      <c r="C1" t="s">
        <v>142</v>
      </c>
      <c r="D1" t="s">
        <v>143</v>
      </c>
      <c r="E1" t="s">
        <v>144</v>
      </c>
      <c r="F1" t="s">
        <v>145</v>
      </c>
      <c r="G1" t="s">
        <v>155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9</v>
      </c>
      <c r="N1" t="s">
        <v>146</v>
      </c>
      <c r="O1" t="s">
        <v>7</v>
      </c>
      <c r="P1" t="s">
        <v>8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163</v>
      </c>
    </row>
    <row r="2" spans="1:22" x14ac:dyDescent="0.25">
      <c r="A2" t="s">
        <v>37</v>
      </c>
      <c r="B2">
        <v>908870890</v>
      </c>
      <c r="C2" t="s">
        <v>139</v>
      </c>
      <c r="D2" t="s">
        <v>140</v>
      </c>
      <c r="E2" t="s">
        <v>110</v>
      </c>
      <c r="F2" t="s">
        <v>141</v>
      </c>
      <c r="G2" t="s">
        <v>52</v>
      </c>
      <c r="H2">
        <v>49</v>
      </c>
      <c r="I2" t="s">
        <v>23</v>
      </c>
      <c r="J2" t="s">
        <v>24</v>
      </c>
      <c r="K2">
        <v>9631</v>
      </c>
      <c r="L2">
        <v>45213.904364236114</v>
      </c>
      <c r="M2" t="s">
        <v>165</v>
      </c>
      <c r="N2" t="s">
        <v>294</v>
      </c>
      <c r="O2" t="s">
        <v>25</v>
      </c>
      <c r="P2" t="s">
        <v>26</v>
      </c>
      <c r="Q2">
        <v>955500</v>
      </c>
      <c r="R2">
        <v>0.15</v>
      </c>
      <c r="S2">
        <v>812175</v>
      </c>
      <c r="T2">
        <v>0.13</v>
      </c>
      <c r="U2">
        <v>124215</v>
      </c>
      <c r="V2">
        <v>0</v>
      </c>
    </row>
    <row r="3" spans="1:22" x14ac:dyDescent="0.25">
      <c r="A3" t="s">
        <v>37</v>
      </c>
      <c r="B3">
        <v>907860709</v>
      </c>
      <c r="C3" t="s">
        <v>135</v>
      </c>
      <c r="D3" t="s">
        <v>67</v>
      </c>
      <c r="E3" t="s">
        <v>136</v>
      </c>
      <c r="F3" t="s">
        <v>115</v>
      </c>
      <c r="G3" t="s">
        <v>51</v>
      </c>
      <c r="H3">
        <v>53</v>
      </c>
      <c r="I3" t="s">
        <v>23</v>
      </c>
      <c r="J3" t="s">
        <v>24</v>
      </c>
      <c r="K3">
        <v>2653</v>
      </c>
      <c r="L3">
        <v>45027</v>
      </c>
      <c r="M3" t="s">
        <v>171</v>
      </c>
      <c r="N3" t="s">
        <v>295</v>
      </c>
      <c r="O3" t="s">
        <v>29</v>
      </c>
      <c r="P3" t="s">
        <v>30</v>
      </c>
      <c r="Q3">
        <v>527625</v>
      </c>
      <c r="R3">
        <v>0.1</v>
      </c>
      <c r="S3">
        <v>474862.5</v>
      </c>
      <c r="T3">
        <v>0.13</v>
      </c>
      <c r="U3">
        <v>68591.25</v>
      </c>
      <c r="V3">
        <v>0</v>
      </c>
    </row>
    <row r="4" spans="1:22" x14ac:dyDescent="0.25">
      <c r="A4" t="s">
        <v>21</v>
      </c>
      <c r="B4">
        <v>908790775</v>
      </c>
      <c r="C4" t="s">
        <v>54</v>
      </c>
      <c r="D4" t="s">
        <v>62</v>
      </c>
      <c r="E4" t="s">
        <v>71</v>
      </c>
      <c r="F4" t="s">
        <v>72</v>
      </c>
      <c r="G4" t="s">
        <v>22</v>
      </c>
      <c r="H4">
        <v>50</v>
      </c>
      <c r="I4" t="s">
        <v>23</v>
      </c>
      <c r="J4" t="s">
        <v>24</v>
      </c>
      <c r="K4">
        <v>222</v>
      </c>
      <c r="L4">
        <v>45213.796536921298</v>
      </c>
      <c r="M4" t="s">
        <v>165</v>
      </c>
      <c r="N4" t="s">
        <v>294</v>
      </c>
      <c r="O4" t="s">
        <v>25</v>
      </c>
      <c r="P4" t="s">
        <v>26</v>
      </c>
      <c r="Q4">
        <v>955500</v>
      </c>
      <c r="R4">
        <v>0.05</v>
      </c>
      <c r="S4">
        <v>907725</v>
      </c>
      <c r="T4">
        <v>0.13</v>
      </c>
      <c r="U4">
        <v>124215</v>
      </c>
      <c r="V4">
        <v>0</v>
      </c>
    </row>
    <row r="5" spans="1:22" x14ac:dyDescent="0.25">
      <c r="A5" t="s">
        <v>21</v>
      </c>
      <c r="B5">
        <v>906590897</v>
      </c>
      <c r="C5" t="s">
        <v>132</v>
      </c>
      <c r="D5" t="s">
        <v>133</v>
      </c>
      <c r="E5" t="s">
        <v>134</v>
      </c>
      <c r="G5" t="s">
        <v>152</v>
      </c>
      <c r="H5">
        <v>58</v>
      </c>
      <c r="I5" t="s">
        <v>17</v>
      </c>
      <c r="J5" t="s">
        <v>24</v>
      </c>
      <c r="K5">
        <v>6315</v>
      </c>
      <c r="L5">
        <v>45056</v>
      </c>
      <c r="M5" t="s">
        <v>170</v>
      </c>
      <c r="N5" t="s">
        <v>296</v>
      </c>
      <c r="O5" t="s">
        <v>19</v>
      </c>
      <c r="P5" t="s">
        <v>20</v>
      </c>
      <c r="Q5">
        <v>250000</v>
      </c>
      <c r="R5">
        <v>0</v>
      </c>
      <c r="S5">
        <v>250000</v>
      </c>
      <c r="T5">
        <v>0.13</v>
      </c>
      <c r="U5">
        <v>32500</v>
      </c>
      <c r="V5">
        <v>0</v>
      </c>
    </row>
    <row r="6" spans="1:22" x14ac:dyDescent="0.25">
      <c r="A6" t="s">
        <v>21</v>
      </c>
      <c r="B6">
        <v>908050895</v>
      </c>
      <c r="C6" t="s">
        <v>116</v>
      </c>
      <c r="D6" t="s">
        <v>55</v>
      </c>
      <c r="E6" t="s">
        <v>117</v>
      </c>
      <c r="F6" t="s">
        <v>118</v>
      </c>
      <c r="G6" t="s">
        <v>47</v>
      </c>
      <c r="H6">
        <v>50</v>
      </c>
      <c r="I6" t="s">
        <v>17</v>
      </c>
      <c r="J6" t="s">
        <v>24</v>
      </c>
      <c r="K6">
        <v>1597</v>
      </c>
      <c r="L6">
        <v>45082</v>
      </c>
      <c r="M6" t="s">
        <v>169</v>
      </c>
      <c r="N6" t="s">
        <v>292</v>
      </c>
      <c r="O6" t="s">
        <v>19</v>
      </c>
      <c r="P6" t="s">
        <v>20</v>
      </c>
      <c r="Q6">
        <v>703000</v>
      </c>
      <c r="R6">
        <v>0</v>
      </c>
      <c r="S6">
        <v>703000</v>
      </c>
      <c r="T6">
        <v>0.13</v>
      </c>
      <c r="U6">
        <v>91390</v>
      </c>
      <c r="V6">
        <v>0</v>
      </c>
    </row>
    <row r="7" spans="1:22" x14ac:dyDescent="0.25">
      <c r="A7" t="s">
        <v>21</v>
      </c>
      <c r="B7">
        <v>706870676</v>
      </c>
      <c r="C7" t="s">
        <v>57</v>
      </c>
      <c r="D7" t="s">
        <v>65</v>
      </c>
      <c r="E7" t="s">
        <v>76</v>
      </c>
      <c r="F7" t="s">
        <v>77</v>
      </c>
      <c r="G7" t="s">
        <v>34</v>
      </c>
      <c r="H7">
        <v>28</v>
      </c>
      <c r="I7" t="s">
        <v>23</v>
      </c>
      <c r="J7" t="s">
        <v>24</v>
      </c>
      <c r="K7">
        <v>8975</v>
      </c>
      <c r="L7">
        <v>45213.900644097223</v>
      </c>
      <c r="M7" t="s">
        <v>165</v>
      </c>
      <c r="N7" t="s">
        <v>294</v>
      </c>
      <c r="O7" t="s">
        <v>31</v>
      </c>
      <c r="P7" t="s">
        <v>33</v>
      </c>
      <c r="Q7">
        <v>431500</v>
      </c>
      <c r="R7">
        <v>0.1</v>
      </c>
      <c r="S7">
        <v>388350</v>
      </c>
      <c r="T7">
        <v>0.13</v>
      </c>
      <c r="U7">
        <v>56095</v>
      </c>
      <c r="V7">
        <v>43150</v>
      </c>
    </row>
    <row r="8" spans="1:22" x14ac:dyDescent="0.25">
      <c r="A8" t="s">
        <v>21</v>
      </c>
      <c r="B8">
        <v>907790056</v>
      </c>
      <c r="C8" t="s">
        <v>105</v>
      </c>
      <c r="D8" t="s">
        <v>106</v>
      </c>
      <c r="E8" t="s">
        <v>107</v>
      </c>
      <c r="F8" t="s">
        <v>108</v>
      </c>
      <c r="G8" t="s">
        <v>44</v>
      </c>
      <c r="H8">
        <v>55</v>
      </c>
      <c r="I8" t="s">
        <v>17</v>
      </c>
      <c r="J8" t="s">
        <v>24</v>
      </c>
      <c r="K8">
        <v>9632</v>
      </c>
      <c r="L8">
        <v>45109</v>
      </c>
      <c r="M8" t="s">
        <v>168</v>
      </c>
      <c r="N8" t="s">
        <v>297</v>
      </c>
      <c r="O8" t="s">
        <v>29</v>
      </c>
      <c r="P8" t="s">
        <v>30</v>
      </c>
      <c r="Q8">
        <v>95500</v>
      </c>
      <c r="R8">
        <v>0</v>
      </c>
      <c r="S8">
        <v>955000</v>
      </c>
      <c r="T8">
        <v>0.13</v>
      </c>
      <c r="U8">
        <v>124150</v>
      </c>
      <c r="V8">
        <v>0</v>
      </c>
    </row>
    <row r="9" spans="1:22" x14ac:dyDescent="0.25">
      <c r="A9" t="s">
        <v>37</v>
      </c>
      <c r="B9">
        <v>996700880</v>
      </c>
      <c r="C9" t="s">
        <v>94</v>
      </c>
      <c r="D9" t="s">
        <v>95</v>
      </c>
      <c r="E9" t="s">
        <v>96</v>
      </c>
      <c r="F9" t="s">
        <v>79</v>
      </c>
      <c r="G9" t="s">
        <v>41</v>
      </c>
      <c r="H9">
        <v>33</v>
      </c>
      <c r="I9" t="s">
        <v>23</v>
      </c>
      <c r="J9" t="s">
        <v>24</v>
      </c>
      <c r="K9">
        <v>5462</v>
      </c>
      <c r="L9">
        <v>45158</v>
      </c>
      <c r="M9" t="s">
        <v>167</v>
      </c>
      <c r="N9" t="s">
        <v>297</v>
      </c>
      <c r="O9" t="s">
        <v>25</v>
      </c>
      <c r="P9" t="s">
        <v>26</v>
      </c>
      <c r="Q9">
        <v>72500</v>
      </c>
      <c r="R9">
        <v>0</v>
      </c>
      <c r="S9">
        <v>492500</v>
      </c>
      <c r="T9">
        <v>0.13</v>
      </c>
      <c r="U9">
        <v>64025</v>
      </c>
      <c r="V9">
        <v>0</v>
      </c>
    </row>
    <row r="10" spans="1:22" x14ac:dyDescent="0.25">
      <c r="A10" t="s">
        <v>37</v>
      </c>
      <c r="B10">
        <v>907590805</v>
      </c>
      <c r="C10" t="s">
        <v>59</v>
      </c>
      <c r="D10" t="s">
        <v>67</v>
      </c>
      <c r="E10" t="s">
        <v>80</v>
      </c>
      <c r="F10" t="s">
        <v>81</v>
      </c>
      <c r="G10" t="s">
        <v>38</v>
      </c>
      <c r="H10">
        <v>54</v>
      </c>
      <c r="I10" t="s">
        <v>23</v>
      </c>
      <c r="J10" t="s">
        <v>24</v>
      </c>
      <c r="K10">
        <v>5687</v>
      </c>
      <c r="L10">
        <v>45184</v>
      </c>
      <c r="M10" t="s">
        <v>166</v>
      </c>
      <c r="N10" t="s">
        <v>298</v>
      </c>
      <c r="O10" t="s">
        <v>29</v>
      </c>
      <c r="P10" t="s">
        <v>30</v>
      </c>
      <c r="Q10">
        <v>100000</v>
      </c>
      <c r="R10">
        <v>0</v>
      </c>
      <c r="S10">
        <v>100000</v>
      </c>
      <c r="T10">
        <v>0.13</v>
      </c>
      <c r="U10">
        <v>13000</v>
      </c>
      <c r="V10">
        <v>0</v>
      </c>
    </row>
    <row r="11" spans="1:22" x14ac:dyDescent="0.25">
      <c r="A11" t="s">
        <v>21</v>
      </c>
      <c r="B11">
        <v>908790658</v>
      </c>
      <c r="C11" t="s">
        <v>91</v>
      </c>
      <c r="D11" t="s">
        <v>92</v>
      </c>
      <c r="E11" t="s">
        <v>86</v>
      </c>
      <c r="F11" t="s">
        <v>93</v>
      </c>
      <c r="G11" t="s">
        <v>40</v>
      </c>
      <c r="H11">
        <v>49</v>
      </c>
      <c r="I11" t="s">
        <v>17</v>
      </c>
      <c r="J11" t="s">
        <v>24</v>
      </c>
      <c r="K11">
        <v>7895</v>
      </c>
      <c r="L11">
        <v>45157</v>
      </c>
      <c r="M11" t="s">
        <v>167</v>
      </c>
      <c r="N11" t="s">
        <v>294</v>
      </c>
      <c r="O11" t="s">
        <v>29</v>
      </c>
      <c r="P11" t="s">
        <v>30</v>
      </c>
      <c r="Q11">
        <v>95550</v>
      </c>
      <c r="R11">
        <v>0.15</v>
      </c>
      <c r="S11">
        <v>81217.5</v>
      </c>
      <c r="T11">
        <v>0.13</v>
      </c>
      <c r="U11">
        <v>12421.5</v>
      </c>
      <c r="V1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A077-EF76-4D2D-B242-C3FCDF500C1B}">
  <dimension ref="B3:F76"/>
  <sheetViews>
    <sheetView zoomScale="130" zoomScaleNormal="130" workbookViewId="0">
      <selection activeCell="C30" sqref="C30:C37"/>
    </sheetView>
  </sheetViews>
  <sheetFormatPr baseColWidth="10" defaultRowHeight="15" x14ac:dyDescent="0.25"/>
  <cols>
    <col min="2" max="2" width="23.7109375" bestFit="1" customWidth="1"/>
    <col min="3" max="3" width="22.42578125" bestFit="1" customWidth="1"/>
    <col min="4" max="5" width="10.7109375" bestFit="1" customWidth="1"/>
    <col min="6" max="6" width="12.5703125" bestFit="1" customWidth="1"/>
    <col min="7" max="15" width="22.42578125" bestFit="1" customWidth="1"/>
    <col min="16" max="17" width="12.5703125" bestFit="1" customWidth="1"/>
  </cols>
  <sheetData>
    <row r="3" spans="2:3" ht="38.25" customHeight="1" x14ac:dyDescent="0.25">
      <c r="B3" s="93" t="s">
        <v>3</v>
      </c>
      <c r="C3" s="132" t="s">
        <v>273</v>
      </c>
    </row>
    <row r="4" spans="2:3" x14ac:dyDescent="0.25">
      <c r="B4" s="94" t="s">
        <v>23</v>
      </c>
      <c r="C4" s="95">
        <v>0.5714285714285714</v>
      </c>
    </row>
    <row r="5" spans="2:3" x14ac:dyDescent="0.25">
      <c r="B5" s="94" t="s">
        <v>17</v>
      </c>
      <c r="C5" s="95">
        <v>0.42857142857142855</v>
      </c>
    </row>
    <row r="6" spans="2:3" x14ac:dyDescent="0.25">
      <c r="B6" s="94" t="s">
        <v>162</v>
      </c>
      <c r="C6" s="95">
        <v>1</v>
      </c>
    </row>
    <row r="9" spans="2:3" x14ac:dyDescent="0.25">
      <c r="B9" s="93" t="s">
        <v>274</v>
      </c>
      <c r="C9" t="s">
        <v>285</v>
      </c>
    </row>
    <row r="10" spans="2:3" x14ac:dyDescent="0.25">
      <c r="B10" s="94" t="s">
        <v>35</v>
      </c>
      <c r="C10" s="96">
        <v>515010</v>
      </c>
    </row>
    <row r="11" spans="2:3" x14ac:dyDescent="0.25">
      <c r="B11" s="94" t="s">
        <v>32</v>
      </c>
      <c r="C11" s="96">
        <v>1445750</v>
      </c>
    </row>
    <row r="12" spans="2:3" x14ac:dyDescent="0.25">
      <c r="B12" s="94" t="s">
        <v>37</v>
      </c>
      <c r="C12" s="96">
        <v>1655625</v>
      </c>
    </row>
    <row r="13" spans="2:3" x14ac:dyDescent="0.25">
      <c r="B13" s="94" t="s">
        <v>15</v>
      </c>
      <c r="C13" s="96">
        <v>1747750</v>
      </c>
    </row>
    <row r="14" spans="2:3" x14ac:dyDescent="0.25">
      <c r="B14" s="94" t="s">
        <v>21</v>
      </c>
      <c r="C14" s="96">
        <v>2531050</v>
      </c>
    </row>
    <row r="15" spans="2:3" x14ac:dyDescent="0.25">
      <c r="B15" s="94" t="s">
        <v>27</v>
      </c>
      <c r="C15" s="96">
        <v>2680540</v>
      </c>
    </row>
    <row r="16" spans="2:3" x14ac:dyDescent="0.25">
      <c r="B16" s="94" t="s">
        <v>162</v>
      </c>
      <c r="C16" s="96">
        <v>10575725</v>
      </c>
    </row>
    <row r="18" spans="2:3" x14ac:dyDescent="0.25">
      <c r="B18" s="93" t="s">
        <v>282</v>
      </c>
      <c r="C18" t="s">
        <v>283</v>
      </c>
    </row>
    <row r="19" spans="2:3" x14ac:dyDescent="0.25">
      <c r="B19" s="94" t="s">
        <v>275</v>
      </c>
      <c r="C19" s="95">
        <v>8.9864061869871989E-2</v>
      </c>
    </row>
    <row r="20" spans="2:3" x14ac:dyDescent="0.25">
      <c r="B20" s="94" t="s">
        <v>276</v>
      </c>
      <c r="C20" s="95">
        <v>3.5153336354973752E-2</v>
      </c>
    </row>
    <row r="21" spans="2:3" x14ac:dyDescent="0.25">
      <c r="B21" s="94" t="s">
        <v>277</v>
      </c>
      <c r="C21" s="95">
        <v>8.3875503656303863E-2</v>
      </c>
    </row>
    <row r="22" spans="2:3" x14ac:dyDescent="0.25">
      <c r="B22" s="94" t="s">
        <v>278</v>
      </c>
      <c r="C22" s="95">
        <v>0.27482414409655925</v>
      </c>
    </row>
    <row r="23" spans="2:3" x14ac:dyDescent="0.25">
      <c r="B23" s="94" t="s">
        <v>279</v>
      </c>
      <c r="C23" s="95">
        <v>0.33673148918098078</v>
      </c>
    </row>
    <row r="24" spans="2:3" x14ac:dyDescent="0.25">
      <c r="B24" s="94" t="s">
        <v>280</v>
      </c>
      <c r="C24" s="95">
        <v>0.12367015107012466</v>
      </c>
    </row>
    <row r="25" spans="2:3" x14ac:dyDescent="0.25">
      <c r="B25" s="94" t="s">
        <v>281</v>
      </c>
      <c r="C25" s="95">
        <v>5.5881313771185687E-2</v>
      </c>
    </row>
    <row r="26" spans="2:3" x14ac:dyDescent="0.25">
      <c r="B26" s="94" t="s">
        <v>162</v>
      </c>
      <c r="C26" s="95">
        <v>1</v>
      </c>
    </row>
    <row r="29" spans="2:3" x14ac:dyDescent="0.25">
      <c r="B29" s="93" t="s">
        <v>284</v>
      </c>
      <c r="C29" t="s">
        <v>285</v>
      </c>
    </row>
    <row r="30" spans="2:3" x14ac:dyDescent="0.25">
      <c r="B30" s="94" t="s">
        <v>171</v>
      </c>
      <c r="C30" s="96">
        <v>1442625</v>
      </c>
    </row>
    <row r="31" spans="2:3" x14ac:dyDescent="0.25">
      <c r="B31" s="94" t="s">
        <v>170</v>
      </c>
      <c r="C31" s="96">
        <v>585000</v>
      </c>
    </row>
    <row r="32" spans="2:3" x14ac:dyDescent="0.25">
      <c r="B32" s="94" t="s">
        <v>169</v>
      </c>
      <c r="C32" s="96">
        <v>2158250</v>
      </c>
    </row>
    <row r="33" spans="2:3" x14ac:dyDescent="0.25">
      <c r="B33" s="94" t="s">
        <v>168</v>
      </c>
      <c r="C33" s="96">
        <v>945500</v>
      </c>
    </row>
    <row r="34" spans="2:3" x14ac:dyDescent="0.25">
      <c r="B34" s="94" t="s">
        <v>167</v>
      </c>
      <c r="C34" s="96">
        <v>242310</v>
      </c>
    </row>
    <row r="35" spans="2:3" x14ac:dyDescent="0.25">
      <c r="B35" s="94" t="s">
        <v>166</v>
      </c>
      <c r="C35" s="96">
        <v>950790</v>
      </c>
    </row>
    <row r="36" spans="2:3" x14ac:dyDescent="0.25">
      <c r="B36" s="94" t="s">
        <v>165</v>
      </c>
      <c r="C36" s="96">
        <v>4251250</v>
      </c>
    </row>
    <row r="37" spans="2:3" x14ac:dyDescent="0.25">
      <c r="B37" s="94" t="s">
        <v>162</v>
      </c>
      <c r="C37" s="96">
        <v>10575725</v>
      </c>
    </row>
    <row r="42" spans="2:3" x14ac:dyDescent="0.25">
      <c r="B42" s="93" t="s">
        <v>286</v>
      </c>
      <c r="C42" t="s">
        <v>285</v>
      </c>
    </row>
    <row r="43" spans="2:3" x14ac:dyDescent="0.25">
      <c r="B43" s="94" t="s">
        <v>23</v>
      </c>
      <c r="C43" s="95">
        <v>0.67942150538142776</v>
      </c>
    </row>
    <row r="44" spans="2:3" x14ac:dyDescent="0.25">
      <c r="B44" s="94" t="s">
        <v>17</v>
      </c>
      <c r="C44" s="95">
        <v>0.32057849461857224</v>
      </c>
    </row>
    <row r="45" spans="2:3" x14ac:dyDescent="0.25">
      <c r="B45" s="94" t="s">
        <v>162</v>
      </c>
      <c r="C45" s="95">
        <v>1</v>
      </c>
    </row>
    <row r="48" spans="2:3" x14ac:dyDescent="0.25">
      <c r="B48" s="93" t="s">
        <v>285</v>
      </c>
      <c r="C48" s="93" t="s">
        <v>287</v>
      </c>
    </row>
    <row r="49" spans="2:6" x14ac:dyDescent="0.25">
      <c r="B49" s="93" t="s">
        <v>286</v>
      </c>
      <c r="C49" t="s">
        <v>24</v>
      </c>
      <c r="D49" t="s">
        <v>18</v>
      </c>
      <c r="E49" t="s">
        <v>28</v>
      </c>
      <c r="F49" t="s">
        <v>162</v>
      </c>
    </row>
    <row r="50" spans="2:6" x14ac:dyDescent="0.25">
      <c r="B50" s="94" t="s">
        <v>19</v>
      </c>
      <c r="C50" s="96">
        <v>953000</v>
      </c>
      <c r="D50" s="96">
        <v>1077760</v>
      </c>
      <c r="E50" s="96">
        <v>704540</v>
      </c>
      <c r="F50" s="96">
        <v>2735300</v>
      </c>
    </row>
    <row r="51" spans="2:6" x14ac:dyDescent="0.25">
      <c r="B51" s="94" t="s">
        <v>31</v>
      </c>
      <c r="C51" s="96">
        <v>431500</v>
      </c>
      <c r="D51" s="96">
        <v>492500</v>
      </c>
      <c r="E51" s="96">
        <v>1451750</v>
      </c>
      <c r="F51" s="96">
        <v>2375750</v>
      </c>
    </row>
    <row r="52" spans="2:6" x14ac:dyDescent="0.25">
      <c r="B52" s="94" t="s">
        <v>25</v>
      </c>
      <c r="C52" s="96">
        <v>1983500</v>
      </c>
      <c r="D52" s="96">
        <v>692500</v>
      </c>
      <c r="E52" s="96">
        <v>437500</v>
      </c>
      <c r="F52" s="96">
        <v>3113500</v>
      </c>
    </row>
    <row r="53" spans="2:6" x14ac:dyDescent="0.25">
      <c r="B53" s="94" t="s">
        <v>29</v>
      </c>
      <c r="C53" s="96">
        <v>818675</v>
      </c>
      <c r="D53" s="96"/>
      <c r="E53" s="96">
        <v>1532500</v>
      </c>
      <c r="F53" s="96">
        <v>2351175</v>
      </c>
    </row>
    <row r="54" spans="2:6" x14ac:dyDescent="0.25">
      <c r="B54" s="94" t="s">
        <v>162</v>
      </c>
      <c r="C54" s="96">
        <v>4186675</v>
      </c>
      <c r="D54" s="96">
        <v>2262760</v>
      </c>
      <c r="E54" s="96">
        <v>4126290</v>
      </c>
      <c r="F54" s="96">
        <v>10575725</v>
      </c>
    </row>
    <row r="72" spans="2:4" x14ac:dyDescent="0.25">
      <c r="B72" s="93" t="s">
        <v>286</v>
      </c>
      <c r="C72" t="s">
        <v>285</v>
      </c>
      <c r="D72" t="s">
        <v>154</v>
      </c>
    </row>
    <row r="73" spans="2:4" x14ac:dyDescent="0.25">
      <c r="B73" s="94" t="s">
        <v>24</v>
      </c>
      <c r="C73" s="96">
        <v>4186675</v>
      </c>
      <c r="D73" s="96">
        <v>4186675</v>
      </c>
    </row>
    <row r="74" spans="2:4" x14ac:dyDescent="0.25">
      <c r="B74" s="94" t="s">
        <v>18</v>
      </c>
      <c r="C74" s="96">
        <v>2262760</v>
      </c>
      <c r="D74" s="96">
        <v>0</v>
      </c>
    </row>
    <row r="75" spans="2:4" x14ac:dyDescent="0.25">
      <c r="B75" s="94" t="s">
        <v>28</v>
      </c>
      <c r="C75" s="96">
        <v>4126290</v>
      </c>
      <c r="D75" s="96">
        <v>4126290</v>
      </c>
    </row>
    <row r="76" spans="2:4" x14ac:dyDescent="0.25">
      <c r="B76" s="94" t="s">
        <v>162</v>
      </c>
      <c r="C76" s="116">
        <v>10575725</v>
      </c>
      <c r="D76" s="116">
        <v>10575725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EB9-FEEE-4865-BEC5-4B7FEE82CAF1}">
  <dimension ref="A4:U50"/>
  <sheetViews>
    <sheetView showGridLines="0" tabSelected="1" view="pageBreakPreview" topLeftCell="A4" zoomScale="115" zoomScaleNormal="115" zoomScaleSheetLayoutView="115" zoomScalePageLayoutView="10" workbookViewId="0">
      <selection activeCell="Z25" sqref="Z25"/>
    </sheetView>
  </sheetViews>
  <sheetFormatPr baseColWidth="10" defaultRowHeight="15" x14ac:dyDescent="0.25"/>
  <cols>
    <col min="1" max="16384" width="11.42578125" style="131"/>
  </cols>
  <sheetData>
    <row r="4" spans="1:21" x14ac:dyDescent="0.25">
      <c r="A4" s="135" t="s">
        <v>290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x14ac:dyDescent="0.25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</row>
    <row r="19" spans="1:2" x14ac:dyDescent="0.25">
      <c r="A19" s="130"/>
      <c r="B19" s="130"/>
    </row>
    <row r="20" spans="1:2" x14ac:dyDescent="0.25">
      <c r="A20" s="130"/>
      <c r="B20" s="130"/>
    </row>
    <row r="48" spans="1:2" x14ac:dyDescent="0.25">
      <c r="A48" s="133"/>
      <c r="B48" s="133"/>
    </row>
    <row r="49" spans="1:2" x14ac:dyDescent="0.25">
      <c r="A49" s="133"/>
      <c r="B49" s="133"/>
    </row>
    <row r="50" spans="1:2" x14ac:dyDescent="0.25">
      <c r="A50" s="133"/>
      <c r="B50" s="133"/>
    </row>
  </sheetData>
  <mergeCells count="3">
    <mergeCell ref="A19:B20"/>
    <mergeCell ref="A48:B50"/>
    <mergeCell ref="A4:U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2E3F-0773-42F2-BD26-25042D57DD44}">
  <dimension ref="A1:P21"/>
  <sheetViews>
    <sheetView workbookViewId="0">
      <selection activeCell="H17" sqref="H17"/>
    </sheetView>
  </sheetViews>
  <sheetFormatPr baseColWidth="10" defaultRowHeight="15" x14ac:dyDescent="0.25"/>
  <cols>
    <col min="1" max="1" width="42.85546875" customWidth="1"/>
    <col min="2" max="2" width="16.28515625" bestFit="1" customWidth="1"/>
    <col min="3" max="3" width="23.7109375" customWidth="1"/>
    <col min="4" max="8" width="15.140625" customWidth="1"/>
    <col min="9" max="9" width="26.7109375" customWidth="1"/>
    <col min="10" max="11" width="17.7109375" customWidth="1"/>
    <col min="13" max="13" width="39.5703125" bestFit="1" customWidth="1"/>
    <col min="16" max="16" width="34.28515625" customWidth="1"/>
  </cols>
  <sheetData>
    <row r="1" spans="1:16" x14ac:dyDescent="0.25">
      <c r="A1" t="s">
        <v>226</v>
      </c>
    </row>
    <row r="2" spans="1:16" ht="15.75" thickBot="1" x14ac:dyDescent="0.3">
      <c r="A2" t="s">
        <v>227</v>
      </c>
    </row>
    <row r="3" spans="1:16" ht="18" thickBot="1" x14ac:dyDescent="0.45">
      <c r="A3" t="s">
        <v>228</v>
      </c>
      <c r="F3" s="57" t="s">
        <v>229</v>
      </c>
      <c r="G3" s="58"/>
      <c r="H3" s="91">
        <v>1500000</v>
      </c>
    </row>
    <row r="4" spans="1:16" ht="21" x14ac:dyDescent="0.45">
      <c r="A4" t="s">
        <v>230</v>
      </c>
      <c r="C4" s="59" t="s">
        <v>231</v>
      </c>
      <c r="F4" s="60"/>
      <c r="G4" s="61"/>
      <c r="H4" s="62"/>
    </row>
    <row r="6" spans="1:16" ht="25.5" x14ac:dyDescent="0.25">
      <c r="A6" s="63" t="s">
        <v>232</v>
      </c>
      <c r="B6" s="64" t="s">
        <v>233</v>
      </c>
      <c r="C6" s="64" t="s">
        <v>234</v>
      </c>
      <c r="D6" s="64" t="s">
        <v>235</v>
      </c>
      <c r="E6" s="64" t="s">
        <v>236</v>
      </c>
      <c r="F6" s="64" t="s">
        <v>237</v>
      </c>
      <c r="G6" s="64" t="s">
        <v>157</v>
      </c>
      <c r="H6" s="64" t="s">
        <v>172</v>
      </c>
      <c r="I6" s="65" t="s">
        <v>238</v>
      </c>
      <c r="L6" s="97" t="s">
        <v>239</v>
      </c>
      <c r="M6" s="97"/>
      <c r="O6" s="98" t="s">
        <v>240</v>
      </c>
      <c r="P6" s="98"/>
    </row>
    <row r="7" spans="1:16" ht="15.75" x14ac:dyDescent="0.25">
      <c r="A7" s="66" t="s">
        <v>241</v>
      </c>
      <c r="B7" s="67">
        <v>1550357</v>
      </c>
      <c r="C7" s="67">
        <v>1800000</v>
      </c>
      <c r="D7" s="67">
        <v>900000</v>
      </c>
      <c r="E7" s="67"/>
      <c r="F7" s="67"/>
      <c r="G7" s="67">
        <f>+SUM(B7:F7)</f>
        <v>4250357</v>
      </c>
      <c r="H7" s="68"/>
      <c r="I7" s="69">
        <f>+Tabla1[[#This Row],[TOTAL VENTAS]]/$G$12</f>
        <v>0.18451025432710746</v>
      </c>
      <c r="L7" s="14">
        <v>1</v>
      </c>
      <c r="M7" s="14" t="s">
        <v>242</v>
      </c>
      <c r="O7" s="14">
        <v>1</v>
      </c>
      <c r="P7" s="14" t="s">
        <v>243</v>
      </c>
    </row>
    <row r="8" spans="1:16" ht="15.75" x14ac:dyDescent="0.25">
      <c r="A8" s="66" t="s">
        <v>244</v>
      </c>
      <c r="B8" s="67">
        <v>2011111</v>
      </c>
      <c r="C8" s="67">
        <v>850564</v>
      </c>
      <c r="D8" s="67">
        <v>2300000</v>
      </c>
      <c r="E8" s="67"/>
      <c r="F8" s="67"/>
      <c r="G8" s="67">
        <f>+SUM(B8:F8)</f>
        <v>5161675</v>
      </c>
      <c r="H8" s="70"/>
      <c r="I8" s="69">
        <f>+Tabla1[[#This Row],[TOTAL VENTAS]]/$G$12</f>
        <v>0.22407105262072632</v>
      </c>
      <c r="L8" s="14">
        <v>2</v>
      </c>
      <c r="M8" s="14" t="s">
        <v>245</v>
      </c>
      <c r="O8" s="14">
        <v>2</v>
      </c>
      <c r="P8" s="14" t="s">
        <v>246</v>
      </c>
    </row>
    <row r="9" spans="1:16" ht="15.75" x14ac:dyDescent="0.25">
      <c r="A9" s="66" t="s">
        <v>247</v>
      </c>
      <c r="B9" s="67">
        <v>1800000</v>
      </c>
      <c r="C9" s="67">
        <v>2010560</v>
      </c>
      <c r="D9" s="67">
        <v>1955264</v>
      </c>
      <c r="E9" s="67"/>
      <c r="F9" s="67"/>
      <c r="G9" s="67">
        <f>+SUM(B9:F9)</f>
        <v>5765824</v>
      </c>
      <c r="H9" s="70"/>
      <c r="I9" s="69">
        <f>+Tabla1[[#This Row],[TOTAL VENTAS]]/$G$12</f>
        <v>0.25029748151633852</v>
      </c>
      <c r="L9" s="14">
        <v>3</v>
      </c>
      <c r="M9" s="14" t="s">
        <v>248</v>
      </c>
      <c r="O9" s="14">
        <v>3</v>
      </c>
      <c r="P9" s="14" t="s">
        <v>249</v>
      </c>
    </row>
    <row r="10" spans="1:16" ht="15.75" x14ac:dyDescent="0.25">
      <c r="A10" s="66" t="s">
        <v>250</v>
      </c>
      <c r="B10" s="67">
        <v>1897532</v>
      </c>
      <c r="C10" s="67">
        <v>758913</v>
      </c>
      <c r="D10" s="67">
        <v>1500000</v>
      </c>
      <c r="E10" s="67"/>
      <c r="F10" s="67"/>
      <c r="G10" s="67">
        <f>+SUM(B10:F10)</f>
        <v>4156445</v>
      </c>
      <c r="H10" s="70"/>
      <c r="I10" s="69">
        <f>+Tabla1[[#This Row],[TOTAL VENTAS]]/$G$12</f>
        <v>0.18043348453944791</v>
      </c>
      <c r="L10" s="14">
        <v>4</v>
      </c>
      <c r="M10" s="14" t="s">
        <v>251</v>
      </c>
      <c r="O10" s="14">
        <v>4</v>
      </c>
      <c r="P10" s="14" t="s">
        <v>252</v>
      </c>
    </row>
    <row r="11" spans="1:16" ht="15.75" x14ac:dyDescent="0.25">
      <c r="A11" s="71" t="s">
        <v>253</v>
      </c>
      <c r="B11" s="72">
        <v>1950000</v>
      </c>
      <c r="C11" s="72">
        <v>856971</v>
      </c>
      <c r="D11" s="72">
        <v>894613</v>
      </c>
      <c r="E11" s="72"/>
      <c r="F11" s="72"/>
      <c r="G11" s="72">
        <f>+SUM(B11:F11)</f>
        <v>3701584</v>
      </c>
      <c r="H11" s="73"/>
      <c r="I11" s="69">
        <f>+Tabla1[[#This Row],[TOTAL VENTAS]]/$G$12</f>
        <v>0.16068772699637979</v>
      </c>
      <c r="L11" s="14">
        <v>5</v>
      </c>
      <c r="M11" s="14" t="s">
        <v>254</v>
      </c>
      <c r="O11" s="99" t="s">
        <v>255</v>
      </c>
      <c r="P11" s="100"/>
    </row>
    <row r="12" spans="1:16" s="89" customFormat="1" ht="15.75" x14ac:dyDescent="0.25">
      <c r="A12" s="85" t="s">
        <v>256</v>
      </c>
      <c r="B12" s="86">
        <f>SUBTOTAL(109,B7:B11)</f>
        <v>9209000</v>
      </c>
      <c r="C12" s="86">
        <f t="shared" ref="C12:G12" si="0">SUBTOTAL(109,C7:C11)</f>
        <v>6277008</v>
      </c>
      <c r="D12" s="86">
        <f t="shared" si="0"/>
        <v>7549877</v>
      </c>
      <c r="E12" s="86">
        <f t="shared" si="0"/>
        <v>0</v>
      </c>
      <c r="F12" s="86">
        <f t="shared" si="0"/>
        <v>0</v>
      </c>
      <c r="G12" s="86">
        <f t="shared" si="0"/>
        <v>23035885</v>
      </c>
      <c r="H12" s="87"/>
      <c r="I12" s="88">
        <f>SUBTOTAL(109,I7:I11)</f>
        <v>1</v>
      </c>
      <c r="L12" s="90">
        <v>6</v>
      </c>
      <c r="M12" s="90" t="s">
        <v>257</v>
      </c>
      <c r="O12" s="90">
        <v>1</v>
      </c>
      <c r="P12" s="90" t="s">
        <v>243</v>
      </c>
    </row>
    <row r="13" spans="1:16" s="78" customFormat="1" ht="23.45" customHeight="1" thickBot="1" x14ac:dyDescent="0.4">
      <c r="A13" s="74"/>
      <c r="B13" s="75"/>
      <c r="C13" s="75"/>
      <c r="D13" s="75"/>
      <c r="E13" s="75"/>
      <c r="F13" s="75"/>
      <c r="G13" s="75"/>
      <c r="H13" s="76"/>
      <c r="I13" s="77"/>
      <c r="L13" s="14">
        <v>7</v>
      </c>
      <c r="M13" s="14" t="s">
        <v>258</v>
      </c>
      <c r="O13" s="14">
        <v>2</v>
      </c>
      <c r="P13" s="14" t="s">
        <v>246</v>
      </c>
    </row>
    <row r="14" spans="1:16" ht="31.9" customHeight="1" thickBot="1" x14ac:dyDescent="0.3">
      <c r="A14" s="79" t="s">
        <v>259</v>
      </c>
      <c r="L14" s="101" t="s">
        <v>260</v>
      </c>
      <c r="M14" s="102"/>
      <c r="O14" s="14">
        <v>3</v>
      </c>
      <c r="P14" s="14" t="s">
        <v>249</v>
      </c>
    </row>
    <row r="15" spans="1:16" ht="15.75" thickBot="1" x14ac:dyDescent="0.3">
      <c r="A15" s="80" t="s">
        <v>261</v>
      </c>
      <c r="D15" s="92"/>
      <c r="E15" s="92"/>
      <c r="F15" s="92"/>
      <c r="L15" s="14">
        <v>1</v>
      </c>
      <c r="M15" s="14" t="s">
        <v>262</v>
      </c>
      <c r="O15" s="14">
        <v>4</v>
      </c>
      <c r="P15" s="14" t="s">
        <v>263</v>
      </c>
    </row>
    <row r="16" spans="1:16" ht="15.75" thickBot="1" x14ac:dyDescent="0.3">
      <c r="A16" s="81" t="s">
        <v>264</v>
      </c>
      <c r="D16" s="92"/>
      <c r="E16" s="92"/>
      <c r="F16" s="92"/>
      <c r="L16" s="14">
        <v>2</v>
      </c>
      <c r="M16" s="14" t="s">
        <v>265</v>
      </c>
      <c r="O16" s="82" t="s">
        <v>266</v>
      </c>
    </row>
    <row r="17" spans="1:16" ht="15.75" thickBot="1" x14ac:dyDescent="0.3">
      <c r="A17" s="83" t="s">
        <v>267</v>
      </c>
      <c r="D17" s="92"/>
      <c r="E17" s="92"/>
      <c r="F17" s="92"/>
      <c r="L17" s="14">
        <v>3</v>
      </c>
      <c r="M17" s="14" t="s">
        <v>268</v>
      </c>
      <c r="O17" s="103" t="s">
        <v>269</v>
      </c>
      <c r="P17" s="103"/>
    </row>
    <row r="18" spans="1:16" ht="30" x14ac:dyDescent="0.25">
      <c r="D18" s="92"/>
      <c r="E18" s="92"/>
      <c r="F18" s="92"/>
      <c r="L18" s="14">
        <v>4</v>
      </c>
      <c r="M18" s="84" t="s">
        <v>270</v>
      </c>
      <c r="O18" s="103"/>
      <c r="P18" s="103"/>
    </row>
    <row r="19" spans="1:16" ht="30" x14ac:dyDescent="0.25">
      <c r="D19" s="92"/>
      <c r="E19" s="92"/>
      <c r="F19" s="92"/>
      <c r="L19" s="14">
        <v>5</v>
      </c>
      <c r="M19" s="84" t="s">
        <v>271</v>
      </c>
    </row>
    <row r="20" spans="1:16" ht="30" x14ac:dyDescent="0.25">
      <c r="L20" s="14">
        <v>6</v>
      </c>
      <c r="M20" s="84" t="s">
        <v>272</v>
      </c>
    </row>
    <row r="21" spans="1:16" ht="30" x14ac:dyDescent="0.25">
      <c r="L21" s="14">
        <v>7</v>
      </c>
      <c r="M21" s="84" t="s">
        <v>271</v>
      </c>
    </row>
  </sheetData>
  <mergeCells count="5">
    <mergeCell ref="L6:M6"/>
    <mergeCell ref="O6:P6"/>
    <mergeCell ref="O11:P11"/>
    <mergeCell ref="L14:M14"/>
    <mergeCell ref="O17:P18"/>
  </mergeCells>
  <pageMargins left="0.7" right="0.7" top="0.75" bottom="0.75" header="0.3" footer="0.3"/>
  <ignoredErrors>
    <ignoredError sqref="I7:I12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6CF1-00F6-48EB-81A5-98C6E372F047}">
  <dimension ref="A1:N41"/>
  <sheetViews>
    <sheetView zoomScale="80" zoomScaleNormal="80" workbookViewId="0">
      <selection activeCell="P22" sqref="P22"/>
    </sheetView>
  </sheetViews>
  <sheetFormatPr baseColWidth="10" defaultRowHeight="15" x14ac:dyDescent="0.25"/>
  <cols>
    <col min="1" max="1" width="20.28515625" customWidth="1"/>
    <col min="2" max="2" width="11.5703125" style="23"/>
    <col min="3" max="3" width="17.7109375" style="23" customWidth="1"/>
    <col min="4" max="4" width="17.140625" style="23" customWidth="1"/>
    <col min="7" max="7" width="12.28515625" customWidth="1"/>
    <col min="9" max="9" width="12.28515625" style="23" customWidth="1"/>
  </cols>
  <sheetData>
    <row r="1" spans="1:10" x14ac:dyDescent="0.25">
      <c r="A1" s="39" t="s">
        <v>200</v>
      </c>
    </row>
    <row r="2" spans="1:10" x14ac:dyDescent="0.25">
      <c r="A2" s="14" t="s">
        <v>201</v>
      </c>
    </row>
    <row r="3" spans="1:10" x14ac:dyDescent="0.25">
      <c r="A3" s="14" t="s">
        <v>202</v>
      </c>
    </row>
    <row r="4" spans="1:10" ht="15.75" thickBot="1" x14ac:dyDescent="0.3"/>
    <row r="5" spans="1:10" ht="18" customHeight="1" thickBot="1" x14ac:dyDescent="0.3">
      <c r="B5" s="40" t="s">
        <v>201</v>
      </c>
      <c r="C5" s="41"/>
    </row>
    <row r="6" spans="1:10" ht="15.75" thickBot="1" x14ac:dyDescent="0.3">
      <c r="I6" s="32">
        <v>20</v>
      </c>
      <c r="J6" s="33">
        <v>2</v>
      </c>
    </row>
    <row r="7" spans="1:10" ht="24" customHeight="1" x14ac:dyDescent="0.25">
      <c r="B7" s="104" t="s">
        <v>186</v>
      </c>
      <c r="C7" s="105"/>
      <c r="D7" s="106"/>
      <c r="I7" s="34"/>
      <c r="J7" s="35"/>
    </row>
    <row r="8" spans="1:10" s="2" customFormat="1" ht="24" customHeight="1" x14ac:dyDescent="0.25">
      <c r="B8" s="26" t="s">
        <v>196</v>
      </c>
      <c r="C8" s="24" t="s">
        <v>197</v>
      </c>
      <c r="D8" s="27" t="s">
        <v>187</v>
      </c>
      <c r="G8" s="31" t="s">
        <v>199</v>
      </c>
      <c r="I8" s="36" t="s">
        <v>195</v>
      </c>
      <c r="J8" s="37"/>
    </row>
    <row r="9" spans="1:10" s="2" customFormat="1" ht="26.45" customHeight="1" x14ac:dyDescent="0.25">
      <c r="B9" s="21">
        <v>1</v>
      </c>
      <c r="C9" s="20" t="s">
        <v>184</v>
      </c>
      <c r="D9" s="28" t="s">
        <v>192</v>
      </c>
      <c r="E9" s="2" t="s">
        <v>193</v>
      </c>
      <c r="G9" s="20">
        <f>5^2</f>
        <v>25</v>
      </c>
      <c r="I9" s="21">
        <f>+I6^J6</f>
        <v>400</v>
      </c>
      <c r="J9" s="37"/>
    </row>
    <row r="10" spans="1:10" s="2" customFormat="1" ht="26.45" customHeight="1" x14ac:dyDescent="0.25">
      <c r="B10" s="21">
        <v>2</v>
      </c>
      <c r="C10" s="20" t="s">
        <v>182</v>
      </c>
      <c r="D10" s="28" t="s">
        <v>190</v>
      </c>
      <c r="G10" s="20">
        <f>5*5</f>
        <v>25</v>
      </c>
      <c r="I10" s="21">
        <f>+I6*J6</f>
        <v>40</v>
      </c>
      <c r="J10" s="37"/>
    </row>
    <row r="11" spans="1:10" s="2" customFormat="1" ht="26.45" customHeight="1" x14ac:dyDescent="0.25">
      <c r="B11" s="21">
        <v>3</v>
      </c>
      <c r="C11" s="20" t="s">
        <v>183</v>
      </c>
      <c r="D11" s="28" t="s">
        <v>191</v>
      </c>
      <c r="G11" s="20">
        <f>50/2</f>
        <v>25</v>
      </c>
      <c r="I11" s="21">
        <f>+I6/J6</f>
        <v>10</v>
      </c>
      <c r="J11" s="37"/>
    </row>
    <row r="12" spans="1:10" ht="26.45" customHeight="1" x14ac:dyDescent="0.25">
      <c r="B12" s="21">
        <v>4</v>
      </c>
      <c r="C12" s="20" t="s">
        <v>180</v>
      </c>
      <c r="D12" s="28" t="s">
        <v>188</v>
      </c>
      <c r="G12" s="20">
        <f>13+12</f>
        <v>25</v>
      </c>
      <c r="I12" s="21">
        <f>+I6+J6</f>
        <v>22</v>
      </c>
      <c r="J12" s="35"/>
    </row>
    <row r="13" spans="1:10" ht="26.45" customHeight="1" x14ac:dyDescent="0.25">
      <c r="B13" s="21">
        <v>5</v>
      </c>
      <c r="C13" s="20" t="s">
        <v>181</v>
      </c>
      <c r="D13" s="28" t="s">
        <v>189</v>
      </c>
      <c r="G13" s="20">
        <f>50-25</f>
        <v>25</v>
      </c>
      <c r="I13" s="21">
        <f>+I6-J6</f>
        <v>18</v>
      </c>
      <c r="J13" s="35"/>
    </row>
    <row r="14" spans="1:10" ht="26.45" customHeight="1" thickBot="1" x14ac:dyDescent="0.3">
      <c r="B14" s="22">
        <v>6</v>
      </c>
      <c r="C14" s="25" t="s">
        <v>185</v>
      </c>
      <c r="D14" s="29" t="s">
        <v>194</v>
      </c>
      <c r="G14" s="20">
        <f>25%</f>
        <v>0.25</v>
      </c>
      <c r="I14" s="22">
        <f>+I6%</f>
        <v>0.2</v>
      </c>
      <c r="J14" s="38"/>
    </row>
    <row r="17" spans="1:12" x14ac:dyDescent="0.25">
      <c r="B17" s="30" t="s">
        <v>198</v>
      </c>
      <c r="C17" s="20">
        <f>5^2*2/2+5-5</f>
        <v>25</v>
      </c>
      <c r="F17" s="1"/>
    </row>
    <row r="19" spans="1:12" ht="15.75" thickBot="1" x14ac:dyDescent="0.3"/>
    <row r="20" spans="1:12" ht="18" customHeight="1" thickBot="1" x14ac:dyDescent="0.3">
      <c r="B20" s="40" t="s">
        <v>202</v>
      </c>
      <c r="C20" s="41"/>
    </row>
    <row r="21" spans="1:12" ht="15.75" thickBot="1" x14ac:dyDescent="0.3"/>
    <row r="22" spans="1:12" ht="15.6" customHeight="1" thickBot="1" x14ac:dyDescent="0.3">
      <c r="A22" s="42" t="s">
        <v>203</v>
      </c>
      <c r="B22" s="107" t="s">
        <v>213</v>
      </c>
      <c r="C22" s="107"/>
      <c r="D22" s="107"/>
      <c r="E22" s="45" t="s">
        <v>207</v>
      </c>
    </row>
    <row r="23" spans="1:12" ht="15.6" customHeight="1" x14ac:dyDescent="0.25">
      <c r="A23" s="43" t="s">
        <v>204</v>
      </c>
      <c r="B23" s="108" t="s">
        <v>206</v>
      </c>
      <c r="C23" s="108"/>
      <c r="D23" s="108"/>
      <c r="E23" s="19" t="s">
        <v>208</v>
      </c>
      <c r="F23" s="114" t="s">
        <v>209</v>
      </c>
    </row>
    <row r="24" spans="1:12" ht="15.6" customHeight="1" thickBot="1" x14ac:dyDescent="0.3">
      <c r="A24" s="44" t="s">
        <v>205</v>
      </c>
      <c r="B24" s="109" t="s">
        <v>214</v>
      </c>
      <c r="C24" s="109"/>
      <c r="D24" s="109"/>
      <c r="E24" s="46" t="s">
        <v>210</v>
      </c>
      <c r="F24" s="115"/>
    </row>
    <row r="26" spans="1:12" ht="15.75" thickBot="1" x14ac:dyDescent="0.3"/>
    <row r="27" spans="1:12" ht="15.75" thickBot="1" x14ac:dyDescent="0.3">
      <c r="A27" s="40" t="s">
        <v>212</v>
      </c>
      <c r="B27" s="41"/>
    </row>
    <row r="29" spans="1:12" ht="7.9" customHeight="1" thickBot="1" x14ac:dyDescent="0.3"/>
    <row r="30" spans="1:12" ht="19.149999999999999" customHeight="1" thickBot="1" x14ac:dyDescent="0.3">
      <c r="A30" s="110" t="s">
        <v>211</v>
      </c>
      <c r="B30" s="111"/>
      <c r="C30" s="112"/>
      <c r="E30" s="110" t="s">
        <v>215</v>
      </c>
      <c r="F30" s="113"/>
      <c r="G30" s="112"/>
      <c r="I30" s="110" t="s">
        <v>216</v>
      </c>
      <c r="J30" s="111"/>
      <c r="K30" s="111"/>
      <c r="L30" s="112"/>
    </row>
    <row r="31" spans="1:12" ht="16.149999999999999" customHeight="1" thickBot="1" x14ac:dyDescent="0.35">
      <c r="A31" s="47">
        <v>6</v>
      </c>
      <c r="B31" s="48">
        <v>3</v>
      </c>
      <c r="C31" s="49">
        <f>+A31+B31</f>
        <v>9</v>
      </c>
      <c r="E31" s="51">
        <v>6</v>
      </c>
      <c r="F31" s="20"/>
      <c r="G31" s="20"/>
      <c r="I31" s="47"/>
      <c r="J31" s="53">
        <v>4</v>
      </c>
      <c r="K31" s="53">
        <v>5</v>
      </c>
      <c r="L31" s="53">
        <v>6</v>
      </c>
    </row>
    <row r="32" spans="1:12" ht="16.149999999999999" customHeight="1" x14ac:dyDescent="0.25">
      <c r="A32" s="14">
        <v>5</v>
      </c>
      <c r="B32" s="20">
        <v>2</v>
      </c>
      <c r="C32" s="50">
        <f t="shared" ref="C32:C34" si="0">+A32+B32</f>
        <v>7</v>
      </c>
      <c r="F32" s="20">
        <v>2</v>
      </c>
      <c r="G32" s="50">
        <f>+F32*$E$31</f>
        <v>12</v>
      </c>
      <c r="I32" s="52">
        <v>1</v>
      </c>
      <c r="J32" s="20">
        <f>+I32+J$31</f>
        <v>5</v>
      </c>
      <c r="K32" s="20">
        <f>+$I32+K$31</f>
        <v>6</v>
      </c>
      <c r="L32" s="20">
        <f>+$I32+L$31</f>
        <v>7</v>
      </c>
    </row>
    <row r="33" spans="1:14" ht="16.149999999999999" customHeight="1" x14ac:dyDescent="0.25">
      <c r="A33" s="14">
        <v>9</v>
      </c>
      <c r="B33" s="20">
        <v>9</v>
      </c>
      <c r="C33" s="50">
        <f t="shared" si="0"/>
        <v>18</v>
      </c>
      <c r="F33" s="20">
        <v>9</v>
      </c>
      <c r="G33" s="50">
        <f t="shared" ref="G33:G34" si="1">+F33*$E$31</f>
        <v>54</v>
      </c>
      <c r="I33" s="52">
        <v>2</v>
      </c>
      <c r="J33" s="20">
        <f t="shared" ref="J33:K34" si="2">+I33+J$31</f>
        <v>6</v>
      </c>
      <c r="K33" s="54">
        <f t="shared" si="2"/>
        <v>11</v>
      </c>
      <c r="L33" s="20">
        <f t="shared" ref="L33:L34" si="3">+$I33+L$31</f>
        <v>8</v>
      </c>
    </row>
    <row r="34" spans="1:14" ht="16.149999999999999" customHeight="1" x14ac:dyDescent="0.25">
      <c r="A34" s="14">
        <v>3</v>
      </c>
      <c r="B34" s="20">
        <v>1</v>
      </c>
      <c r="C34" s="50">
        <f t="shared" si="0"/>
        <v>4</v>
      </c>
      <c r="F34" s="20">
        <v>1</v>
      </c>
      <c r="G34" s="50">
        <f t="shared" si="1"/>
        <v>6</v>
      </c>
      <c r="I34" s="52">
        <v>3</v>
      </c>
      <c r="J34" s="20">
        <f t="shared" si="2"/>
        <v>7</v>
      </c>
      <c r="K34" s="54">
        <f t="shared" si="2"/>
        <v>12</v>
      </c>
      <c r="L34" s="20">
        <f t="shared" si="3"/>
        <v>9</v>
      </c>
    </row>
    <row r="36" spans="1:14" x14ac:dyDescent="0.25">
      <c r="I36" s="108" t="s">
        <v>217</v>
      </c>
      <c r="J36" s="108"/>
      <c r="K36" s="108"/>
      <c r="L36" s="108"/>
      <c r="M36" s="108"/>
      <c r="N36" s="108"/>
    </row>
    <row r="37" spans="1:14" x14ac:dyDescent="0.25">
      <c r="I37" s="108" t="s">
        <v>218</v>
      </c>
      <c r="J37" s="108"/>
      <c r="K37" s="108"/>
      <c r="L37" s="108"/>
      <c r="M37" s="108"/>
      <c r="N37" s="108"/>
    </row>
    <row r="38" spans="1:14" x14ac:dyDescent="0.25">
      <c r="I38" s="108" t="s">
        <v>219</v>
      </c>
      <c r="J38" s="108"/>
      <c r="K38" s="108"/>
      <c r="L38" s="108"/>
      <c r="M38" s="108"/>
      <c r="N38" s="108"/>
    </row>
    <row r="39" spans="1:14" x14ac:dyDescent="0.25">
      <c r="I39" s="108" t="s">
        <v>220</v>
      </c>
      <c r="J39" s="108"/>
      <c r="K39" s="108"/>
      <c r="L39" s="108"/>
      <c r="M39" s="108"/>
      <c r="N39" s="108"/>
    </row>
    <row r="40" spans="1:14" x14ac:dyDescent="0.25">
      <c r="I40" s="108" t="s">
        <v>221</v>
      </c>
      <c r="J40" s="108"/>
      <c r="K40" s="108"/>
      <c r="L40" s="108"/>
      <c r="M40" s="108"/>
      <c r="N40" s="108"/>
    </row>
    <row r="41" spans="1:14" x14ac:dyDescent="0.25">
      <c r="I41" s="108" t="s">
        <v>222</v>
      </c>
      <c r="J41" s="108"/>
      <c r="K41" s="108"/>
      <c r="L41" s="108"/>
      <c r="M41" s="108"/>
      <c r="N41" s="108"/>
    </row>
  </sheetData>
  <mergeCells count="14">
    <mergeCell ref="B7:D7"/>
    <mergeCell ref="B22:D22"/>
    <mergeCell ref="B23:D23"/>
    <mergeCell ref="B24:D24"/>
    <mergeCell ref="I41:N41"/>
    <mergeCell ref="A30:C30"/>
    <mergeCell ref="E30:G30"/>
    <mergeCell ref="F23:F24"/>
    <mergeCell ref="I30:L30"/>
    <mergeCell ref="I36:N36"/>
    <mergeCell ref="I37:N37"/>
    <mergeCell ref="I38:N38"/>
    <mergeCell ref="I39:N39"/>
    <mergeCell ref="I40:N40"/>
  </mergeCells>
  <phoneticPr fontId="14" type="noConversion"/>
  <pageMargins left="0.7" right="0.7" top="0.75" bottom="0.75" header="0.3" footer="0.3"/>
  <ignoredErrors>
    <ignoredError sqref="K3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VENTAS POR VENDEDOR </vt:lpstr>
      <vt:lpstr>Hoja1</vt:lpstr>
      <vt:lpstr>TIENDA</vt:lpstr>
      <vt:lpstr>Hoja3</vt:lpstr>
      <vt:lpstr>Hoja5</vt:lpstr>
      <vt:lpstr>Tablas y graficos</vt:lpstr>
      <vt:lpstr>Dashboard</vt:lpstr>
      <vt:lpstr>MINIGRAFICOS</vt:lpstr>
      <vt:lpstr>OPERADORES ARITMETICOS</vt:lpstr>
      <vt:lpstr>TIENDA!Área_de_impresión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Marin Solis</dc:creator>
  <cp:lastModifiedBy>ANGIE KARINA VARGAS MATARRITA</cp:lastModifiedBy>
  <cp:lastPrinted>2023-11-05T00:34:45Z</cp:lastPrinted>
  <dcterms:created xsi:type="dcterms:W3CDTF">2023-11-04T17:25:45Z</dcterms:created>
  <dcterms:modified xsi:type="dcterms:W3CDTF">2023-11-16T03:05:05Z</dcterms:modified>
</cp:coreProperties>
</file>