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KT.ENERGINET\Desktop\RELEASE\"/>
    </mc:Choice>
  </mc:AlternateContent>
  <bookViews>
    <workbookView xWindow="-105" yWindow="-105" windowWidth="19275" windowHeight="3270" tabRatio="308"/>
  </bookViews>
  <sheets>
    <sheet name="Settings" sheetId="8" r:id="rId1"/>
    <sheet name="Area values" sheetId="12" r:id="rId2"/>
    <sheet name="Cases" sheetId="6" r:id="rId3"/>
    <sheet name="Event types" sheetId="13" r:id="rId4"/>
    <sheet name="datavalidation" sheetId="11" r:id="rId5"/>
  </sheets>
  <definedNames>
    <definedName name="_xlnm._FilterDatabase" localSheetId="2" hidden="1">Cases!$A$2:$BH$75</definedName>
    <definedName name="_xlnm._FilterDatabase" localSheetId="0" hidden="1">Settings!$A$4:$J$4</definedName>
    <definedName name="inp_Area">Settings!$B$7</definedName>
    <definedName name="inp_default">Settings!$B$17</definedName>
    <definedName name="inp_init">Settings!$B$19</definedName>
    <definedName name="inp_scr_max">Settings!$B$10</definedName>
    <definedName name="inp_scr_min">Settings!$B$8</definedName>
    <definedName name="inp_scr_tun">Settings!$B$9</definedName>
    <definedName name="inp_Uc">Settings!$B$5</definedName>
    <definedName name="inp_Un">Settings!$B$6</definedName>
    <definedName name="inp_xr_max">Settings!$B$14</definedName>
    <definedName name="inp_xr_min">Settings!$B$12</definedName>
    <definedName name="inp_xr_tun">Settings!$B$13</definedName>
    <definedName name="prot_dFneg">Settings!#REF!</definedName>
    <definedName name="prot_dFneg_t">Settings!#REF!</definedName>
    <definedName name="prot_dFpos">Settings!#REF!</definedName>
    <definedName name="prot_dFpos_t">Settings!#REF!</definedName>
    <definedName name="prot_Fo">Settings!#REF!</definedName>
    <definedName name="prot_Fo_t">Settings!#REF!</definedName>
    <definedName name="prot_Fu">Settings!#REF!</definedName>
    <definedName name="prot_Fu_t">Settings!#REF!</definedName>
    <definedName name="prot_Uo1">Settings!#REF!</definedName>
    <definedName name="prot_Uo1_t">Settings!#REF!</definedName>
    <definedName name="prot_Uo2">Settings!#REF!</definedName>
    <definedName name="prot_Uo2_t">Settings!#REF!</definedName>
    <definedName name="prot_Uo3">Settings!#REF!</definedName>
    <definedName name="prot_Uo3_t">Settings!#REF!</definedName>
    <definedName name="prot_Uu">Settings!#REF!</definedName>
    <definedName name="prot_Uu_t">Settings!#REF!</definedName>
    <definedName name="sel_30min_fmax">'Area values'!$H$11</definedName>
    <definedName name="sel_30min_fmin">'Area values'!$H$12</definedName>
    <definedName name="sel_60min_umax">'Area values'!$H$22</definedName>
    <definedName name="sel_60min_umin">'Area values'!$H$23</definedName>
    <definedName name="sel_contop_umax">'Area values'!$H$20</definedName>
    <definedName name="sel_contop_umin">'Area values'!$H$21</definedName>
    <definedName name="sel_fsm_db">'Area values'!$H$8</definedName>
    <definedName name="sel_fsm_droop">'Area values'!$H$9</definedName>
    <definedName name="sel_fsm_prov">'Area values'!$H$10</definedName>
    <definedName name="sel_lfsmo_droop">'Area values'!$H$5</definedName>
    <definedName name="sel_lfsmo_start">'Area values'!$H$4</definedName>
    <definedName name="sel_lfsmu_droop">'Area values'!$H$7</definedName>
    <definedName name="sel_lfsmu_start">'Area values'!$H$6</definedName>
    <definedName name="sel_lvfrt_start">'Area values'!$H$25</definedName>
    <definedName name="sel_lvfrt_stop">'Area values'!$H$26</definedName>
    <definedName name="sel_t1">'Area values'!$H$37</definedName>
    <definedName name="sel_t2">'Area values'!$H$39</definedName>
    <definedName name="sel_tclear">'Area values'!$H$28</definedName>
    <definedName name="sel_trec1">'Area values'!$H$30</definedName>
    <definedName name="sel_trec2">'Area values'!$H$32</definedName>
    <definedName name="sel_trec3">'Area values'!$H$34</definedName>
    <definedName name="sel_u1">'Area values'!$H$36</definedName>
    <definedName name="sel_u2">'Area values'!$H$38</definedName>
    <definedName name="sel_uclear">'Area values'!$H$29</definedName>
    <definedName name="sel_uq_q0.33_umax">'Area values'!$H$16</definedName>
    <definedName name="sel_uq_q0.33_umin">'Area values'!$H$17</definedName>
    <definedName name="sel_uq_q0.33ue_umax">'Area values'!$H$18</definedName>
    <definedName name="sel_uq_q0.33ue_umin">'Area values'!$H$19</definedName>
    <definedName name="sel_uq_q0_umax">'Area values'!$H$14</definedName>
    <definedName name="sel_uq_q0_umin">'Area values'!$H$15</definedName>
    <definedName name="sel_urec1">'Area values'!$H$31</definedName>
    <definedName name="sel_urec2">'Area values'!$H$33</definedName>
    <definedName name="sel_ures">'Area values'!$H$27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2" i="6" l="1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T73" i="6" l="1"/>
  <c r="J82" i="6" l="1"/>
  <c r="AH82" i="6"/>
  <c r="I82" i="6"/>
  <c r="G82" i="6"/>
  <c r="E82" i="6"/>
  <c r="B22" i="8" l="1"/>
  <c r="B21" i="8"/>
  <c r="B20" i="8"/>
  <c r="D2" i="11"/>
  <c r="D1" i="11"/>
  <c r="B23" i="8"/>
  <c r="T77" i="6" l="1"/>
  <c r="T76" i="6"/>
  <c r="T80" i="6"/>
  <c r="T79" i="6"/>
  <c r="T78" i="6"/>
  <c r="S80" i="6"/>
  <c r="R80" i="6"/>
  <c r="K80" i="6"/>
  <c r="J80" i="6"/>
  <c r="I80" i="6"/>
  <c r="G80" i="6"/>
  <c r="E80" i="6"/>
  <c r="I81" i="6" l="1"/>
  <c r="I78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5" i="6"/>
  <c r="I53" i="6"/>
  <c r="I52" i="6"/>
  <c r="I51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E55" i="6"/>
  <c r="E53" i="6"/>
  <c r="E56" i="6"/>
  <c r="E54" i="6"/>
  <c r="H79" i="6"/>
  <c r="S79" i="6"/>
  <c r="R79" i="6"/>
  <c r="J79" i="6"/>
  <c r="G79" i="6"/>
  <c r="E79" i="6"/>
  <c r="S78" i="6"/>
  <c r="R78" i="6"/>
  <c r="J78" i="6"/>
  <c r="G78" i="6"/>
  <c r="E78" i="6"/>
  <c r="H77" i="6"/>
  <c r="S77" i="6"/>
  <c r="O77" i="6"/>
  <c r="J77" i="6"/>
  <c r="G77" i="6"/>
  <c r="E77" i="6"/>
  <c r="S76" i="6"/>
  <c r="O76" i="6"/>
  <c r="J76" i="6"/>
  <c r="G76" i="6"/>
  <c r="E76" i="6"/>
  <c r="P56" i="6"/>
  <c r="P55" i="6"/>
  <c r="P54" i="6"/>
  <c r="B14" i="8"/>
  <c r="K50" i="6" s="1"/>
  <c r="B13" i="8"/>
  <c r="K49" i="6" s="1"/>
  <c r="B12" i="8"/>
  <c r="K75" i="6" s="1"/>
  <c r="K12" i="6"/>
  <c r="J49" i="6"/>
  <c r="J50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48" i="6"/>
  <c r="J47" i="6"/>
  <c r="J46" i="6"/>
  <c r="J45" i="6"/>
  <c r="J4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7" i="6"/>
  <c r="J6" i="6"/>
  <c r="J5" i="6"/>
  <c r="J4" i="6"/>
  <c r="J3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81" i="6"/>
  <c r="E57" i="6"/>
  <c r="E52" i="6"/>
  <c r="E51" i="6"/>
  <c r="E50" i="6"/>
  <c r="E49" i="6"/>
  <c r="E48" i="6"/>
  <c r="E47" i="6"/>
  <c r="E46" i="6"/>
  <c r="E45" i="6"/>
  <c r="E44" i="6"/>
  <c r="E43" i="6"/>
  <c r="E42" i="6"/>
  <c r="E39" i="6"/>
  <c r="E36" i="6"/>
  <c r="E33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11" i="6"/>
  <c r="E10" i="6"/>
  <c r="E4" i="6"/>
  <c r="E5" i="6"/>
  <c r="E6" i="6"/>
  <c r="E7" i="6"/>
  <c r="E3" i="6"/>
  <c r="C56" i="6"/>
  <c r="C55" i="6"/>
  <c r="C54" i="6"/>
  <c r="C53" i="6"/>
  <c r="G81" i="6"/>
  <c r="K16" i="6" l="1"/>
  <c r="K57" i="6"/>
  <c r="K60" i="6"/>
  <c r="K18" i="6"/>
  <c r="K44" i="6"/>
  <c r="K47" i="6"/>
  <c r="K58" i="6"/>
  <c r="K61" i="6"/>
  <c r="K13" i="6"/>
  <c r="K21" i="6"/>
  <c r="K62" i="6"/>
  <c r="K15" i="6"/>
  <c r="K76" i="6"/>
  <c r="K78" i="6"/>
  <c r="K77" i="6"/>
  <c r="K63" i="6"/>
  <c r="K64" i="6"/>
  <c r="K65" i="6"/>
  <c r="K23" i="6"/>
  <c r="K46" i="6"/>
  <c r="K66" i="6"/>
  <c r="K67" i="6"/>
  <c r="K19" i="6"/>
  <c r="K68" i="6"/>
  <c r="K69" i="6"/>
  <c r="K79" i="6"/>
  <c r="K70" i="6"/>
  <c r="K22" i="6"/>
  <c r="K3" i="6"/>
  <c r="K71" i="6"/>
  <c r="K14" i="6"/>
  <c r="K17" i="6"/>
  <c r="K59" i="6"/>
  <c r="K4" i="6"/>
  <c r="K72" i="6"/>
  <c r="K45" i="6"/>
  <c r="K48" i="6"/>
  <c r="K5" i="6"/>
  <c r="K73" i="6"/>
  <c r="K10" i="6"/>
  <c r="K20" i="6"/>
  <c r="K6" i="6"/>
  <c r="K74" i="6"/>
  <c r="K11" i="6"/>
  <c r="K7" i="6"/>
  <c r="I77" i="6"/>
  <c r="I79" i="6"/>
  <c r="G75" i="6"/>
  <c r="G74" i="6"/>
  <c r="L73" i="6"/>
  <c r="L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H56" i="6"/>
  <c r="I56" i="6" s="1"/>
  <c r="H54" i="6"/>
  <c r="I54" i="6" s="1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C29" i="6"/>
  <c r="G28" i="6"/>
  <c r="C28" i="6"/>
  <c r="G27" i="6"/>
  <c r="C27" i="6"/>
  <c r="G26" i="6"/>
  <c r="C26" i="6"/>
  <c r="G25" i="6"/>
  <c r="C25" i="6"/>
  <c r="G24" i="6"/>
  <c r="C24" i="6"/>
  <c r="C23" i="6"/>
  <c r="C22" i="6"/>
  <c r="G21" i="6"/>
  <c r="C21" i="6"/>
  <c r="G20" i="6"/>
  <c r="C20" i="6"/>
  <c r="G19" i="6"/>
  <c r="C19" i="6"/>
  <c r="G18" i="6"/>
  <c r="C18" i="6"/>
  <c r="G17" i="6"/>
  <c r="C17" i="6"/>
  <c r="G16" i="6"/>
  <c r="C16" i="6"/>
  <c r="G15" i="6"/>
  <c r="C15" i="6"/>
  <c r="G14" i="6"/>
  <c r="C14" i="6"/>
  <c r="G13" i="6"/>
  <c r="C13" i="6"/>
  <c r="G12" i="6"/>
  <c r="C12" i="6"/>
  <c r="G11" i="6"/>
  <c r="C11" i="6"/>
  <c r="G10" i="6"/>
  <c r="C10" i="6"/>
  <c r="G9" i="6"/>
  <c r="C9" i="6"/>
  <c r="G8" i="6"/>
  <c r="C8" i="6"/>
  <c r="G7" i="6"/>
  <c r="C7" i="6"/>
  <c r="G6" i="6"/>
  <c r="C6" i="6"/>
  <c r="G5" i="6"/>
  <c r="C5" i="6"/>
  <c r="G4" i="6"/>
  <c r="C4" i="6"/>
  <c r="G3" i="6"/>
  <c r="C3" i="6"/>
  <c r="H25" i="12" l="1"/>
  <c r="H26" i="12"/>
  <c r="H37" i="12"/>
  <c r="H39" i="12"/>
  <c r="H38" i="12"/>
  <c r="S52" i="6" s="1"/>
  <c r="H36" i="12"/>
  <c r="O52" i="6" s="1"/>
  <c r="H33" i="12"/>
  <c r="AE51" i="6" s="1"/>
  <c r="H31" i="12"/>
  <c r="H29" i="12"/>
  <c r="S51" i="6" s="1"/>
  <c r="H27" i="12"/>
  <c r="H28" i="12"/>
  <c r="R51" i="6" s="1"/>
  <c r="H30" i="12"/>
  <c r="H32" i="12"/>
  <c r="Z51" i="6" s="1"/>
  <c r="H34" i="12"/>
  <c r="H23" i="12"/>
  <c r="H22" i="12"/>
  <c r="H21" i="12"/>
  <c r="H20" i="12"/>
  <c r="H11" i="12"/>
  <c r="P22" i="6" s="1"/>
  <c r="H12" i="12"/>
  <c r="H19" i="12"/>
  <c r="O27" i="6" s="1"/>
  <c r="H16" i="12"/>
  <c r="O28" i="6" s="1"/>
  <c r="H18" i="12"/>
  <c r="E9" i="6" s="1"/>
  <c r="H17" i="12"/>
  <c r="E8" i="6" s="1"/>
  <c r="H14" i="12"/>
  <c r="O24" i="6" s="1"/>
  <c r="H15" i="12"/>
  <c r="O25" i="6" s="1"/>
  <c r="H5" i="12"/>
  <c r="H6" i="12"/>
  <c r="H7" i="12"/>
  <c r="H8" i="12"/>
  <c r="H9" i="12"/>
  <c r="H10" i="12"/>
  <c r="H4" i="12"/>
  <c r="W51" i="6" l="1"/>
  <c r="AA51" i="6"/>
  <c r="O72" i="6"/>
  <c r="O67" i="6"/>
  <c r="O62" i="6"/>
  <c r="O57" i="6"/>
  <c r="O73" i="6"/>
  <c r="T72" i="6"/>
  <c r="O66" i="6"/>
  <c r="O71" i="6"/>
  <c r="P71" i="6" s="1"/>
  <c r="P62" i="6"/>
  <c r="P73" i="6"/>
  <c r="R73" i="6" s="1"/>
  <c r="P57" i="6"/>
  <c r="O51" i="6"/>
  <c r="P67" i="6"/>
  <c r="AE50" i="6"/>
  <c r="O26" i="6"/>
  <c r="AE48" i="6"/>
  <c r="O30" i="6"/>
  <c r="E31" i="6" s="1"/>
  <c r="O48" i="6"/>
  <c r="O50" i="6"/>
  <c r="AE49" i="6"/>
  <c r="O36" i="6"/>
  <c r="E37" i="6" s="1"/>
  <c r="O49" i="6"/>
  <c r="O34" i="6"/>
  <c r="O40" i="6"/>
  <c r="O31" i="6"/>
  <c r="O37" i="6"/>
  <c r="W21" i="6"/>
  <c r="AE21" i="6"/>
  <c r="P19" i="6"/>
  <c r="O38" i="6"/>
  <c r="O32" i="6"/>
  <c r="AI17" i="6"/>
  <c r="AE17" i="6"/>
  <c r="W17" i="6"/>
  <c r="O17" i="6"/>
  <c r="O39" i="6"/>
  <c r="E40" i="6" s="1"/>
  <c r="W48" i="6"/>
  <c r="O33" i="6"/>
  <c r="E34" i="6" s="1"/>
  <c r="W50" i="6"/>
  <c r="AI48" i="6"/>
  <c r="AI49" i="6"/>
  <c r="O29" i="6"/>
  <c r="W49" i="6"/>
  <c r="AI50" i="6"/>
  <c r="O35" i="6"/>
  <c r="O41" i="6"/>
  <c r="P18" i="6"/>
  <c r="AI21" i="6"/>
  <c r="O21" i="6"/>
  <c r="AB51" i="6"/>
  <c r="AD51" i="6"/>
  <c r="P70" i="6"/>
  <c r="P66" i="6"/>
  <c r="P58" i="6"/>
  <c r="O61" i="6"/>
  <c r="P61" i="6" s="1"/>
  <c r="P68" i="6"/>
  <c r="P60" i="6"/>
  <c r="P69" i="6"/>
  <c r="P65" i="6"/>
  <c r="P72" i="6"/>
  <c r="R72" i="6" s="1"/>
  <c r="P64" i="6"/>
  <c r="P63" i="6"/>
  <c r="P59" i="6"/>
  <c r="V52" i="6"/>
  <c r="L52" i="6" s="1"/>
  <c r="R52" i="6"/>
  <c r="P23" i="6"/>
  <c r="R75" i="6"/>
  <c r="V75" i="6" s="1"/>
  <c r="Z75" i="6" s="1"/>
  <c r="T51" i="6"/>
  <c r="V51" i="6"/>
  <c r="E41" i="6" l="1"/>
  <c r="C41" i="6" s="1"/>
  <c r="C40" i="6"/>
  <c r="E35" i="6"/>
  <c r="C35" i="6" s="1"/>
  <c r="C34" i="6"/>
  <c r="E38" i="6"/>
  <c r="C37" i="6"/>
  <c r="E32" i="6"/>
  <c r="C32" i="6" s="1"/>
  <c r="C31" i="6"/>
  <c r="C38" i="6" l="1"/>
</calcChain>
</file>

<file path=xl/sharedStrings.xml><?xml version="1.0" encoding="utf-8"?>
<sst xmlns="http://schemas.openxmlformats.org/spreadsheetml/2006/main" count="759" uniqueCount="310">
  <si>
    <t>P0</t>
  </si>
  <si>
    <t>Qmode</t>
  </si>
  <si>
    <t>P_step_up_0.5_0.7</t>
  </si>
  <si>
    <t>P_step_down_0.7_0.5</t>
  </si>
  <si>
    <t>MaxRoCoF</t>
  </si>
  <si>
    <t>MaxPhaseJump</t>
  </si>
  <si>
    <t>P_step_up_0.0_0.5</t>
  </si>
  <si>
    <t>P_step_up_0.7_1.0</t>
  </si>
  <si>
    <t>P_step_down_1.0_0.7</t>
  </si>
  <si>
    <t>P_step_down_0.5_0.0</t>
  </si>
  <si>
    <t>LFSM-OU_step</t>
  </si>
  <si>
    <t>Un</t>
  </si>
  <si>
    <t>U-Q/Pn_N_up</t>
  </si>
  <si>
    <t>U-Q/Pn_N_down</t>
  </si>
  <si>
    <t>U-Q/Pn_UE_up</t>
  </si>
  <si>
    <t>U-Q/Pn_UE_down</t>
  </si>
  <si>
    <t>U-Q/Pn_OE_up</t>
  </si>
  <si>
    <t>U-Q/Pn_OE_down</t>
  </si>
  <si>
    <t>PQ_UE</t>
  </si>
  <si>
    <t>PQ_OE</t>
  </si>
  <si>
    <t>LVFRT_profile</t>
  </si>
  <si>
    <t>RMS</t>
  </si>
  <si>
    <t>EMT</t>
  </si>
  <si>
    <t>-</t>
  </si>
  <si>
    <t>DK1</t>
  </si>
  <si>
    <t>SS_PFctrl</t>
  </si>
  <si>
    <t>SS_Q2</t>
  </si>
  <si>
    <t>SS_Q1</t>
  </si>
  <si>
    <t>SS_Q3</t>
  </si>
  <si>
    <t>SS_Q4</t>
  </si>
  <si>
    <t>SS_Q5</t>
  </si>
  <si>
    <t>U0</t>
  </si>
  <si>
    <t>Phase</t>
  </si>
  <si>
    <t>Frequency</t>
  </si>
  <si>
    <t>3p fault</t>
  </si>
  <si>
    <t>1p fault</t>
  </si>
  <si>
    <t>Pn</t>
  </si>
  <si>
    <t>Uc</t>
  </si>
  <si>
    <t>SCR min</t>
  </si>
  <si>
    <t>MW</t>
  </si>
  <si>
    <t>kV</t>
  </si>
  <si>
    <t>Area</t>
  </si>
  <si>
    <t>DK2</t>
  </si>
  <si>
    <t>X/R SCR min</t>
  </si>
  <si>
    <t>SCR max</t>
  </si>
  <si>
    <t>X/R SCR max</t>
  </si>
  <si>
    <t>PSCAD Timestep</t>
  </si>
  <si>
    <t>Q</t>
  </si>
  <si>
    <t>PF</t>
  </si>
  <si>
    <t>Q(U)</t>
  </si>
  <si>
    <t>Default Q mode</t>
  </si>
  <si>
    <t>Default</t>
  </si>
  <si>
    <t>R0</t>
  </si>
  <si>
    <t>X0</t>
  </si>
  <si>
    <t>pu</t>
  </si>
  <si>
    <t>Range</t>
  </si>
  <si>
    <t>Simulationtime</t>
  </si>
  <si>
    <t>Name</t>
  </si>
  <si>
    <t>Event 1</t>
  </si>
  <si>
    <t>Event 2</t>
  </si>
  <si>
    <t>Event 3</t>
  </si>
  <si>
    <t>Event 4</t>
  </si>
  <si>
    <t>Event 5</t>
  </si>
  <si>
    <t>Event 6</t>
  </si>
  <si>
    <t>Event 7</t>
  </si>
  <si>
    <t>Event 8</t>
  </si>
  <si>
    <t>Event 9</t>
  </si>
  <si>
    <t>Event 10</t>
  </si>
  <si>
    <t>Event 11</t>
  </si>
  <si>
    <t>Event 12</t>
  </si>
  <si>
    <t>type</t>
  </si>
  <si>
    <t>time</t>
  </si>
  <si>
    <t>Power-frequency control</t>
  </si>
  <si>
    <t>FSM_rec_pstep</t>
  </si>
  <si>
    <t>FSM_step</t>
  </si>
  <si>
    <t>LFSM-O start (Hz)</t>
  </si>
  <si>
    <t>LFSM-O droop (%)</t>
  </si>
  <si>
    <t>LFSM-U start (Hz)</t>
  </si>
  <si>
    <t>LFSM-U droop (%)</t>
  </si>
  <si>
    <t>FSM deadband (Hz)</t>
  </si>
  <si>
    <t>FSM droop (%)</t>
  </si>
  <si>
    <t>FSM provision (%Pn)</t>
  </si>
  <si>
    <t>Selected</t>
  </si>
  <si>
    <t>s</t>
  </si>
  <si>
    <t>FSM_LFSMO_ramp</t>
  </si>
  <si>
    <t>FSM_LFSMU_ramp</t>
  </si>
  <si>
    <t>LFSMU_ramp</t>
  </si>
  <si>
    <t>UQ Q=0pu Umax</t>
  </si>
  <si>
    <t>UQ Q=0pu Umin</t>
  </si>
  <si>
    <t>UQ Q=+0.33pu Umax</t>
  </si>
  <si>
    <t>UQ Q=-0.33pu Umin</t>
  </si>
  <si>
    <t>UQ Q=+0.33pu Umin</t>
  </si>
  <si>
    <t>UQ Q=-0.33pu Umax</t>
  </si>
  <si>
    <t>Reactive power capability (base Uc)</t>
  </si>
  <si>
    <t>&lt;110 kV</t>
  </si>
  <si>
    <t>110 kV &lt;= Un &lt; 300 kV</t>
  </si>
  <si>
    <t>300 kV &lt;= Un</t>
  </si>
  <si>
    <t>Max</t>
  </si>
  <si>
    <t>Min</t>
  </si>
  <si>
    <t>Tuning</t>
  </si>
  <si>
    <t>Ideal</t>
  </si>
  <si>
    <t>60min operation Umax</t>
  </si>
  <si>
    <t>Cont. operation Umax</t>
  </si>
  <si>
    <t>Cont. operation Umin</t>
  </si>
  <si>
    <t>60min operation Umin</t>
  </si>
  <si>
    <t>30min operation Fmax</t>
  </si>
  <si>
    <t>30min operation Fmin</t>
  </si>
  <si>
    <t>Q(u)_up_1</t>
  </si>
  <si>
    <t>Q(u)_up_2</t>
  </si>
  <si>
    <t>Q(u)_up_3</t>
  </si>
  <si>
    <t>Q(u)_down_1</t>
  </si>
  <si>
    <t>Q(u)_down_2</t>
  </si>
  <si>
    <t>Q(u)_down_3</t>
  </si>
  <si>
    <t>Q_up_1</t>
  </si>
  <si>
    <t>Q_up_2</t>
  </si>
  <si>
    <t>Q_up_3</t>
  </si>
  <si>
    <t>Q_down_1</t>
  </si>
  <si>
    <t>Q_down_2</t>
  </si>
  <si>
    <t>Q_down_3</t>
  </si>
  <si>
    <t>Q_control_up</t>
  </si>
  <si>
    <t>Q_control_down</t>
  </si>
  <si>
    <t>Qpf_ref</t>
  </si>
  <si>
    <t>Qpf_p</t>
  </si>
  <si>
    <t>Q(u)_wg</t>
  </si>
  <si>
    <t>Q(u)_tuning</t>
  </si>
  <si>
    <t>Q(u)_sg</t>
  </si>
  <si>
    <t>dVoltage</t>
  </si>
  <si>
    <t>Ures</t>
  </si>
  <si>
    <t>tclear</t>
  </si>
  <si>
    <t>Uclear</t>
  </si>
  <si>
    <t>Urec1</t>
  </si>
  <si>
    <t>trec2</t>
  </si>
  <si>
    <t>Urec2</t>
  </si>
  <si>
    <t>trec3</t>
  </si>
  <si>
    <t>trec1</t>
  </si>
  <si>
    <t>LVFRT</t>
  </si>
  <si>
    <t>OVRT</t>
  </si>
  <si>
    <t>t1</t>
  </si>
  <si>
    <t>U1</t>
  </si>
  <si>
    <t>U2</t>
  </si>
  <si>
    <t>t2</t>
  </si>
  <si>
    <t>OVRT_profile</t>
  </si>
  <si>
    <t>2p-g fault</t>
  </si>
  <si>
    <t>Fault _rec_2</t>
  </si>
  <si>
    <t>Fault _rec_1</t>
  </si>
  <si>
    <t>LVFT start</t>
  </si>
  <si>
    <t>LVFRT stop</t>
  </si>
  <si>
    <t>Fault _rec_1_altq</t>
  </si>
  <si>
    <t>Fault _rec_2_alt</t>
  </si>
  <si>
    <t>SS_Uctrl1</t>
  </si>
  <si>
    <t>SS_Uctrl2</t>
  </si>
  <si>
    <t>Fault_3_restrike</t>
  </si>
  <si>
    <t>Fault_1_restrike</t>
  </si>
  <si>
    <t>SCR tuning</t>
  </si>
  <si>
    <t>X/R SCR tuning</t>
  </si>
  <si>
    <t>µs</t>
  </si>
  <si>
    <t>Hz</t>
  </si>
  <si>
    <t>Hz/s</t>
  </si>
  <si>
    <t>Voltage</t>
  </si>
  <si>
    <t>Qref0</t>
  </si>
  <si>
    <t>SCR0</t>
  </si>
  <si>
    <t>Voltage recording</t>
  </si>
  <si>
    <t>Phase recording</t>
  </si>
  <si>
    <t>Pref recording</t>
  </si>
  <si>
    <t>Qref recording</t>
  </si>
  <si>
    <t>FSM</t>
  </si>
  <si>
    <t>X1</t>
  </si>
  <si>
    <t>X2</t>
  </si>
  <si>
    <t>setpoint</t>
  </si>
  <si>
    <t>X1 unit</t>
  </si>
  <si>
    <t>X2 unit</t>
  </si>
  <si>
    <t>1/s</t>
  </si>
  <si>
    <t>degree/s</t>
  </si>
  <si>
    <t>gradient</t>
  </si>
  <si>
    <t>X1 description</t>
  </si>
  <si>
    <t>Fault_3_0</t>
  </si>
  <si>
    <t>Fault_3_25</t>
  </si>
  <si>
    <t>Fault_3_50</t>
  </si>
  <si>
    <t>Fault_3_75</t>
  </si>
  <si>
    <t>Fault_3_thres</t>
  </si>
  <si>
    <t>Fault_2_0</t>
  </si>
  <si>
    <t>Fault_2_25</t>
  </si>
  <si>
    <t>Fault_2_50</t>
  </si>
  <si>
    <t>Fault_2_75</t>
  </si>
  <si>
    <t>Fault_2_thres</t>
  </si>
  <si>
    <t>Fault_1_0</t>
  </si>
  <si>
    <t>Fault_1_25</t>
  </si>
  <si>
    <t>Fault_1_50</t>
  </si>
  <si>
    <t>Fault_1_75</t>
  </si>
  <si>
    <t>Fault_1_thres</t>
  </si>
  <si>
    <t>LFSMO_ramp+pstep</t>
  </si>
  <si>
    <t>2p fault</t>
  </si>
  <si>
    <t>3p fault (ohm)</t>
  </si>
  <si>
    <t>2p-g fault (ohm)</t>
  </si>
  <si>
    <t>2p fault (ohm)</t>
  </si>
  <si>
    <t>1p fault (ohm)</t>
  </si>
  <si>
    <t>MTB_TEST_1</t>
  </si>
  <si>
    <t>SCR</t>
  </si>
  <si>
    <t>degree</t>
  </si>
  <si>
    <t>X/R</t>
  </si>
  <si>
    <t>fault time</t>
  </si>
  <si>
    <t>fault reactance</t>
  </si>
  <si>
    <t>ohm</t>
  </si>
  <si>
    <t>fault resistance</t>
  </si>
  <si>
    <t>Description</t>
  </si>
  <si>
    <t>Clear any fault</t>
  </si>
  <si>
    <t>N/A</t>
  </si>
  <si>
    <t>Pref change</t>
  </si>
  <si>
    <t>Qref change</t>
  </si>
  <si>
    <t>Grid frequency change</t>
  </si>
  <si>
    <t>Grid impedance change</t>
  </si>
  <si>
    <t>Three phase fault</t>
  </si>
  <si>
    <t>Two phase to ground fault</t>
  </si>
  <si>
    <t>Two phase fault</t>
  </si>
  <si>
    <t>One phase fault</t>
  </si>
  <si>
    <t>Clear fault</t>
  </si>
  <si>
    <t>X2 description</t>
  </si>
  <si>
    <t>residual voltage (across fault reactance), base Un</t>
  </si>
  <si>
    <t>setpoint, base Pn</t>
  </si>
  <si>
    <t>setpoint, base Un</t>
  </si>
  <si>
    <t>XR0</t>
  </si>
  <si>
    <t>PSCAD Namespace</t>
  </si>
  <si>
    <t>Projectname</t>
  </si>
  <si>
    <t>Pref</t>
  </si>
  <si>
    <t>Qref</t>
  </si>
  <si>
    <t>Relative path to measurementfile</t>
  </si>
  <si>
    <t>Grid voltage change (thevenin)</t>
  </si>
  <si>
    <t>Delta grid voltage change (thevenin)</t>
  </si>
  <si>
    <t>Grid phase change (thevenin)</t>
  </si>
  <si>
    <t>Inst. Voltage recording</t>
  </si>
  <si>
    <t>Frequency recording</t>
  </si>
  <si>
    <t>value</t>
  </si>
  <si>
    <t>?/s</t>
  </si>
  <si>
    <t>?</t>
  </si>
  <si>
    <t>Signal 1</t>
  </si>
  <si>
    <t>Signal 1 recording</t>
  </si>
  <si>
    <t>Signal 2</t>
  </si>
  <si>
    <t>Signal 2 recording</t>
  </si>
  <si>
    <t>Signal 3</t>
  </si>
  <si>
    <t>Signal 4</t>
  </si>
  <si>
    <t>Signal 5</t>
  </si>
  <si>
    <t>Signal 6</t>
  </si>
  <si>
    <t>Signal 7</t>
  </si>
  <si>
    <t>Signal 8</t>
  </si>
  <si>
    <t>Signal 9</t>
  </si>
  <si>
    <t>Signal 10</t>
  </si>
  <si>
    <t>Signal 3 recording</t>
  </si>
  <si>
    <t>Signal 4 recording</t>
  </si>
  <si>
    <t>Signal 5 recording</t>
  </si>
  <si>
    <t>Signal 6 recording</t>
  </si>
  <si>
    <t>Signal 7 recording</t>
  </si>
  <si>
    <t>Signal 8 recording</t>
  </si>
  <si>
    <t>Signal 9 recording</t>
  </si>
  <si>
    <t>Signal 10 recording</t>
  </si>
  <si>
    <t>Custom signal 2 change</t>
  </si>
  <si>
    <t>Custom signal 1 change</t>
  </si>
  <si>
    <t>Custom signal 3 change</t>
  </si>
  <si>
    <t>Custom signal 4 change</t>
  </si>
  <si>
    <t>Custom signal 5 change</t>
  </si>
  <si>
    <t>Custom signal 6 change</t>
  </si>
  <si>
    <t>Custom signal 7 change</t>
  </si>
  <si>
    <t>Custom signal 8 change</t>
  </si>
  <si>
    <t>Custom signal 9 change</t>
  </si>
  <si>
    <t>Custom signal 10 change</t>
  </si>
  <si>
    <t>Scaling factor</t>
  </si>
  <si>
    <t>Only supported for PSCAD. Use external measurement file for the thevenin instantaneous voltages. Time value ignored.</t>
  </si>
  <si>
    <t>SCR_step</t>
  </si>
  <si>
    <t>SCR_step_altq</t>
  </si>
  <si>
    <t>Fault_SCR</t>
  </si>
  <si>
    <t>Fault_SCR_altq</t>
  </si>
  <si>
    <t>PSCAD Initialization time</t>
  </si>
  <si>
    <t>Fault_SCR_freq</t>
  </si>
  <si>
    <t>Rank</t>
  </si>
  <si>
    <t>V droop</t>
  </si>
  <si>
    <t>%</t>
  </si>
  <si>
    <t>Use external measurement file for Pref signal. First value hold until flattime or initialtime has elapsed.</t>
  </si>
  <si>
    <t>Use external measurement file for Qref signal. First value hold until flattime or initialtime has elapsed.</t>
  </si>
  <si>
    <t>Use external measurement file for the thevenin voltage signal (RMS). First value hold until flattime or initialtime has elapsed.</t>
  </si>
  <si>
    <t>Use external measurement file for the thevenin voltage phase signal. First value hold until flattime or initialtime has elapsed.</t>
  </si>
  <si>
    <t>Use external measurement file for the thevenin voltage frequency signal. First value hold until flattime or initialtime has elapsed.</t>
  </si>
  <si>
    <t>Use external measurement file for custom signal 1. First value hold until flattime or initialtime has elapsed.</t>
  </si>
  <si>
    <t>Use external measurement file for custom signal 2. First value hold until flattime or initialtime has elapsed.</t>
  </si>
  <si>
    <t>Use external measurement file for custom signal 3. First value hold until flattime or initialtime has elapsed.</t>
  </si>
  <si>
    <t>Use external measurement file for custom signal 4. First value hold until flattime or initialtime has elapsed.</t>
  </si>
  <si>
    <t>Use external measurement file for custom signal 5. First value hold until flattime or initialtime has elapsed.</t>
  </si>
  <si>
    <t>Use external measurement file for custom signal 6. First value hold until flattime or initialtime has elapsed.</t>
  </si>
  <si>
    <t>Use external measurement file for custom signal 7. First value hold until flattime or initialtime has elapsed.</t>
  </si>
  <si>
    <t>Use external measurement file for custom signal 8. First value hold until flattime or initialtime has elapsed.</t>
  </si>
  <si>
    <t>Use external measurement file for custom signal 9. First value hold until flattime or initialtime has elapsed.</t>
  </si>
  <si>
    <t>Use external measurement file for custom signal 10. First value hold until flattime or initialtime has elapsed.</t>
  </si>
  <si>
    <t>PF disconnect all ref.</t>
  </si>
  <si>
    <t>Force case to be simulated asymmetricaly.</t>
  </si>
  <si>
    <t>PF force asymmetrical</t>
  </si>
  <si>
    <t>In Powerfactory out-of-service all references (including custom signals) to plant. For initialization testing purposes.</t>
  </si>
  <si>
    <t>PF flat time</t>
  </si>
  <si>
    <t>PF variable step</t>
  </si>
  <si>
    <t>PF enforced sync.</t>
  </si>
  <si>
    <t>PF force asymmetrical sim.</t>
  </si>
  <si>
    <t>PSCAD Kp</t>
  </si>
  <si>
    <t>PSCAD Ti</t>
  </si>
  <si>
    <t>MTB_TEST_2</t>
  </si>
  <si>
    <t>recordings/DK1_frekvens.meas</t>
  </si>
  <si>
    <t>recordings/DK1_fault1.csv</t>
  </si>
  <si>
    <t>recordings/DK1_fault2.meas</t>
  </si>
  <si>
    <t>recordings/KAS_emt_fault.out</t>
  </si>
  <si>
    <t>Qmode signal from MTB is constant. Qref mode == 0, Q(U) mode == 1 and Qpf == 2.</t>
  </si>
  <si>
    <t>PF enforce P limits in LDF</t>
  </si>
  <si>
    <t>PF enforce Q limits in LDF</t>
  </si>
  <si>
    <t>Can be neccesary to turn off when QDSL is utilized for initialization.</t>
  </si>
  <si>
    <t>Solbakken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</si>
</sst>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9" fontId="4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164" fontId="0" fillId="0" borderId="0" xfId="0" applyNumberFormat="1" applyAlignment="1">
      <alignment horizontal="right" vertic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right" vertical="center"/>
    </xf>
    <xf numFmtId="2" fontId="3" fillId="0" borderId="0" xfId="0" applyNumberFormat="1" applyFont="1" applyAlignment="1">
      <alignment horizontal="center"/>
    </xf>
    <xf numFmtId="164" fontId="0" fillId="0" borderId="0" xfId="0" applyNumberFormat="1"/>
    <xf numFmtId="164" fontId="4" fillId="0" borderId="0" xfId="1" applyNumberFormat="1" applyFill="1"/>
    <xf numFmtId="0" fontId="5" fillId="5" borderId="0" xfId="0" applyFont="1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0" xfId="0" quotePrefix="1" applyAlignment="1">
      <alignment horizontal="center"/>
    </xf>
    <xf numFmtId="164" fontId="4" fillId="0" borderId="0" xfId="1" applyNumberFormat="1" applyFill="1" applyAlignment="1">
      <alignment horizontal="right" vertical="center"/>
    </xf>
    <xf numFmtId="0" fontId="0" fillId="0" borderId="0" xfId="0" applyAlignment="1">
      <alignment horizontal="left" wrapText="1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2" fontId="0" fillId="5" borderId="1" xfId="0" applyNumberFormat="1" applyFill="1" applyBorder="1" applyAlignment="1">
      <alignment horizontal="right" vertical="center"/>
    </xf>
    <xf numFmtId="164" fontId="5" fillId="5" borderId="1" xfId="0" applyNumberFormat="1" applyFont="1" applyFill="1" applyBorder="1" applyAlignment="1">
      <alignment horizontal="right" vertical="center"/>
    </xf>
    <xf numFmtId="2" fontId="5" fillId="5" borderId="1" xfId="0" applyNumberFormat="1" applyFont="1" applyFill="1" applyBorder="1" applyAlignment="1">
      <alignment horizontal="right" vertical="center"/>
    </xf>
    <xf numFmtId="0" fontId="5" fillId="5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2" fillId="0" borderId="0" xfId="0" applyFont="1"/>
    <xf numFmtId="164" fontId="0" fillId="0" borderId="0" xfId="0" applyNumberFormat="1" applyAlignment="1">
      <alignment horizontal="right" vertical="center" wrapText="1"/>
    </xf>
    <xf numFmtId="2" fontId="0" fillId="0" borderId="0" xfId="0" applyNumberFormat="1" applyAlignment="1">
      <alignment horizontal="right" vertical="center" wrapText="1"/>
    </xf>
    <xf numFmtId="164" fontId="0" fillId="0" borderId="5" xfId="0" applyNumberFormat="1" applyBorder="1" applyAlignment="1">
      <alignment horizontal="right" vertical="center"/>
    </xf>
    <xf numFmtId="1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 vertical="center"/>
    </xf>
    <xf numFmtId="9" fontId="0" fillId="5" borderId="1" xfId="2" applyFont="1" applyFill="1" applyBorder="1" applyAlignment="1">
      <alignment horizontal="right" vertical="center"/>
    </xf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center"/>
    </xf>
    <xf numFmtId="164" fontId="0" fillId="5" borderId="1" xfId="0" applyNumberForma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right"/>
    </xf>
    <xf numFmtId="164" fontId="0" fillId="5" borderId="2" xfId="0" applyNumberFormat="1" applyFill="1" applyBorder="1" applyAlignment="1">
      <alignment horizontal="right" vertical="center"/>
    </xf>
    <xf numFmtId="164" fontId="0" fillId="5" borderId="2" xfId="0" applyNumberFormat="1" applyFill="1" applyBorder="1" applyAlignment="1">
      <alignment vertical="top"/>
    </xf>
    <xf numFmtId="164" fontId="0" fillId="5" borderId="1" xfId="0" applyNumberFormat="1" applyFill="1" applyBorder="1" applyAlignment="1">
      <alignment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64" fontId="0" fillId="5" borderId="1" xfId="0" applyNumberFormat="1" applyFill="1" applyBorder="1" applyAlignment="1">
      <alignment horizontal="left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right" vertical="center"/>
    </xf>
    <xf numFmtId="0" fontId="0" fillId="0" borderId="0" xfId="0" applyFont="1"/>
    <xf numFmtId="2" fontId="0" fillId="0" borderId="0" xfId="0" applyNumberFormat="1" applyFont="1" applyAlignment="1">
      <alignment horizontal="right" vertical="center"/>
    </xf>
    <xf numFmtId="0" fontId="0" fillId="5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</cellXfs>
  <cellStyles count="3">
    <cellStyle name="20% - Accent3" xfId="1" builtinId="3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zoomScale="130" zoomScaleNormal="130" workbookViewId="0">
      <selection activeCell="K4" sqref="K4"/>
    </sheetView>
  </sheetViews>
  <sheetFormatPr defaultRowHeight="15" x14ac:dyDescent="0.25"/>
  <cols>
    <col min="1" max="1" width="24.42578125" customWidth="1"/>
    <col min="2" max="2" width="21.5703125" style="3" bestFit="1" customWidth="1"/>
    <col min="3" max="3" width="6.7109375" style="3" customWidth="1"/>
    <col min="4" max="4" width="7.7109375" style="3" customWidth="1"/>
    <col min="5" max="5" width="8" style="3" customWidth="1"/>
    <col min="6" max="6" width="9.140625" style="3"/>
    <col min="7" max="7" width="9.7109375" customWidth="1"/>
    <col min="8" max="8" width="9.42578125" customWidth="1"/>
    <col min="9" max="9" width="10.7109375" customWidth="1"/>
    <col min="10" max="10" width="28.28515625" customWidth="1"/>
  </cols>
  <sheetData>
    <row r="1" spans="1:12" x14ac:dyDescent="0.25">
      <c r="D1" s="26" t="s">
        <v>55</v>
      </c>
    </row>
    <row r="2" spans="1:12" x14ac:dyDescent="0.25">
      <c r="A2" s="19" t="s">
        <v>222</v>
      </c>
      <c r="B2" s="6" t="s">
        <v>309</v>
      </c>
      <c r="C2" s="20"/>
    </row>
    <row r="3" spans="1:12" x14ac:dyDescent="0.25">
      <c r="A3" s="19" t="s">
        <v>221</v>
      </c>
      <c r="B3" s="6" t="s">
        <v>309</v>
      </c>
      <c r="C3" s="20"/>
    </row>
    <row r="4" spans="1:12" s="2" customFormat="1" x14ac:dyDescent="0.25">
      <c r="A4" s="18" t="s">
        <v>36</v>
      </c>
      <c r="B4" s="8">
        <v>26</v>
      </c>
      <c r="C4" s="16" t="s">
        <v>39</v>
      </c>
      <c r="D4" s="27"/>
      <c r="E4" s="17"/>
      <c r="F4" s="17"/>
      <c r="G4" s="4"/>
      <c r="H4" s="4"/>
      <c r="I4" s="4"/>
      <c r="J4" s="4"/>
      <c r="K4" s="4"/>
      <c r="L4" s="4"/>
    </row>
    <row r="5" spans="1:12" x14ac:dyDescent="0.25">
      <c r="A5" s="18" t="s">
        <v>37</v>
      </c>
      <c r="B5" s="8">
        <v>62.5</v>
      </c>
      <c r="C5" s="3" t="s">
        <v>40</v>
      </c>
      <c r="D5" s="27"/>
    </row>
    <row r="6" spans="1:12" x14ac:dyDescent="0.25">
      <c r="A6" s="19" t="s">
        <v>11</v>
      </c>
      <c r="B6" s="8">
        <v>62.5</v>
      </c>
      <c r="C6" s="3" t="s">
        <v>40</v>
      </c>
      <c r="D6" s="27"/>
    </row>
    <row r="7" spans="1:12" x14ac:dyDescent="0.25">
      <c r="A7" s="19" t="s">
        <v>41</v>
      </c>
      <c r="B7" s="3" t="s">
        <v>24</v>
      </c>
    </row>
    <row r="8" spans="1:12" x14ac:dyDescent="0.25">
      <c r="A8" s="19" t="s">
        <v>38</v>
      </c>
      <c r="B8" s="23">
        <v>8</v>
      </c>
      <c r="C8" s="20" t="s">
        <v>23</v>
      </c>
    </row>
    <row r="9" spans="1:12" x14ac:dyDescent="0.25">
      <c r="A9" s="19" t="s">
        <v>153</v>
      </c>
      <c r="B9" s="23">
        <v>16.36</v>
      </c>
      <c r="C9" s="20" t="s">
        <v>23</v>
      </c>
    </row>
    <row r="10" spans="1:12" x14ac:dyDescent="0.25">
      <c r="A10" s="19" t="s">
        <v>44</v>
      </c>
      <c r="B10" s="24">
        <v>17.84</v>
      </c>
      <c r="C10" s="20" t="s">
        <v>23</v>
      </c>
    </row>
    <row r="11" spans="1:12" x14ac:dyDescent="0.25">
      <c r="A11" s="19" t="s">
        <v>273</v>
      </c>
      <c r="B11" s="24">
        <v>2</v>
      </c>
      <c r="C11" s="20" t="s">
        <v>274</v>
      </c>
    </row>
    <row r="12" spans="1:12" x14ac:dyDescent="0.25">
      <c r="A12" s="19" t="s">
        <v>43</v>
      </c>
      <c r="B12" s="8">
        <f>1/0.043205693</f>
        <v>23.145098031409887</v>
      </c>
      <c r="C12" s="20" t="s">
        <v>23</v>
      </c>
      <c r="G12" s="68"/>
      <c r="H12" s="68"/>
      <c r="I12" s="68"/>
    </row>
    <row r="13" spans="1:12" x14ac:dyDescent="0.25">
      <c r="A13" s="19" t="s">
        <v>154</v>
      </c>
      <c r="B13" s="8">
        <f>1/0.043205693</f>
        <v>23.145098031409887</v>
      </c>
      <c r="C13" s="20" t="s">
        <v>23</v>
      </c>
      <c r="G13" s="22"/>
      <c r="H13" s="22"/>
      <c r="I13" s="22"/>
    </row>
    <row r="14" spans="1:12" x14ac:dyDescent="0.25">
      <c r="A14" s="19" t="s">
        <v>45</v>
      </c>
      <c r="B14" s="8">
        <f>1/0.043205693</f>
        <v>23.145098031409887</v>
      </c>
      <c r="C14" s="20" t="s">
        <v>23</v>
      </c>
      <c r="G14" s="22"/>
      <c r="H14" s="22"/>
      <c r="I14" s="22"/>
    </row>
    <row r="15" spans="1:12" x14ac:dyDescent="0.25">
      <c r="A15" s="19" t="s">
        <v>52</v>
      </c>
      <c r="B15" s="8">
        <v>0</v>
      </c>
      <c r="C15" s="20" t="s">
        <v>202</v>
      </c>
      <c r="G15" s="22"/>
      <c r="H15" s="22"/>
      <c r="I15" s="22"/>
    </row>
    <row r="16" spans="1:12" x14ac:dyDescent="0.25">
      <c r="A16" s="19" t="s">
        <v>53</v>
      </c>
      <c r="B16" s="8">
        <v>0</v>
      </c>
      <c r="C16" s="20" t="s">
        <v>202</v>
      </c>
      <c r="G16" s="22"/>
      <c r="H16" s="22"/>
      <c r="I16" s="22"/>
    </row>
    <row r="17" spans="1:9" x14ac:dyDescent="0.25">
      <c r="A17" s="19" t="s">
        <v>50</v>
      </c>
      <c r="B17" s="8" t="s">
        <v>47</v>
      </c>
      <c r="C17" s="20" t="s">
        <v>23</v>
      </c>
      <c r="D17" s="66" t="s">
        <v>305</v>
      </c>
      <c r="G17" s="22"/>
      <c r="H17" s="22"/>
      <c r="I17" s="22"/>
    </row>
    <row r="18" spans="1:9" x14ac:dyDescent="0.25">
      <c r="A18" s="19" t="s">
        <v>46</v>
      </c>
      <c r="B18" s="25">
        <v>2</v>
      </c>
      <c r="C18" s="3" t="s">
        <v>155</v>
      </c>
    </row>
    <row r="19" spans="1:9" x14ac:dyDescent="0.25">
      <c r="A19" s="19" t="s">
        <v>270</v>
      </c>
      <c r="B19" s="3">
        <v>3</v>
      </c>
      <c r="C19" s="3" t="s">
        <v>83</v>
      </c>
    </row>
    <row r="20" spans="1:9" x14ac:dyDescent="0.25">
      <c r="A20" s="19" t="s">
        <v>298</v>
      </c>
      <c r="B20" s="3">
        <f>1.4</f>
        <v>1.4</v>
      </c>
      <c r="C20" s="20" t="s">
        <v>23</v>
      </c>
    </row>
    <row r="21" spans="1:9" x14ac:dyDescent="0.25">
      <c r="A21" s="19" t="s">
        <v>299</v>
      </c>
      <c r="B21" s="3">
        <f>0.007</f>
        <v>7.0000000000000001E-3</v>
      </c>
      <c r="C21" s="20" t="s">
        <v>171</v>
      </c>
    </row>
    <row r="22" spans="1:9" x14ac:dyDescent="0.25">
      <c r="A22" s="19" t="s">
        <v>294</v>
      </c>
      <c r="B22" s="3">
        <f>0.1</f>
        <v>0.1</v>
      </c>
      <c r="C22" s="3" t="s">
        <v>83</v>
      </c>
    </row>
    <row r="23" spans="1:9" x14ac:dyDescent="0.25">
      <c r="A23" s="19" t="s">
        <v>295</v>
      </c>
      <c r="B23" s="3" t="b">
        <f>TRUE</f>
        <v>1</v>
      </c>
      <c r="C23" s="20" t="s">
        <v>23</v>
      </c>
    </row>
    <row r="24" spans="1:9" x14ac:dyDescent="0.25">
      <c r="A24" s="19" t="s">
        <v>296</v>
      </c>
      <c r="B24" s="3" t="b">
        <v>1</v>
      </c>
      <c r="C24" s="20" t="s">
        <v>23</v>
      </c>
    </row>
    <row r="25" spans="1:9" x14ac:dyDescent="0.25">
      <c r="A25" s="19" t="s">
        <v>297</v>
      </c>
      <c r="B25" s="3" t="b">
        <v>0</v>
      </c>
      <c r="C25" s="20" t="s">
        <v>23</v>
      </c>
    </row>
    <row r="26" spans="1:9" x14ac:dyDescent="0.25">
      <c r="A26" s="19" t="s">
        <v>306</v>
      </c>
      <c r="B26" s="3" t="b">
        <v>1</v>
      </c>
      <c r="C26" s="20" t="s">
        <v>23</v>
      </c>
      <c r="D26" s="66" t="s">
        <v>308</v>
      </c>
    </row>
    <row r="27" spans="1:9" x14ac:dyDescent="0.25">
      <c r="A27" s="19" t="s">
        <v>307</v>
      </c>
      <c r="B27" s="3" t="b">
        <v>1</v>
      </c>
      <c r="C27" s="20" t="s">
        <v>23</v>
      </c>
      <c r="D27" s="66" t="s">
        <v>308</v>
      </c>
    </row>
  </sheetData>
  <mergeCells count="1">
    <mergeCell ref="G12:I12"/>
  </mergeCells>
  <dataValidations count="2">
    <dataValidation type="decimal" operator="greaterThan" allowBlank="1" showInputMessage="1" showErrorMessage="1" sqref="B20">
      <formula1>0</formula1>
    </dataValidation>
    <dataValidation type="decimal" operator="greaterThan" allowBlank="1" showInputMessage="1" showErrorMessage="1" sqref="B21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datavalidation!$A$1:$A$2</xm:f>
          </x14:formula1>
          <xm:sqref>B7</xm:sqref>
        </x14:dataValidation>
        <x14:dataValidation type="list" allowBlank="1" showInputMessage="1" showErrorMessage="1">
          <x14:formula1>
            <xm:f>datavalidation!$B$1:$B$3</xm:f>
          </x14:formula1>
          <xm:sqref>B17</xm:sqref>
        </x14:dataValidation>
        <x14:dataValidation type="list" allowBlank="1" showInputMessage="1" showErrorMessage="1">
          <x14:formula1>
            <xm:f>datavalidation!$D$1:$D$2</xm:f>
          </x14:formula1>
          <xm:sqref>B23:B25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H11" sqref="H11"/>
    </sheetView>
  </sheetViews>
  <sheetFormatPr defaultRowHeight="15" x14ac:dyDescent="0.25"/>
  <cols>
    <col min="1" max="1" width="33.140625" bestFit="1" customWidth="1"/>
    <col min="3" max="3" width="19.85546875" bestFit="1" customWidth="1"/>
    <col min="4" max="4" width="12" bestFit="1" customWidth="1"/>
    <col min="5" max="5" width="7.7109375" bestFit="1" customWidth="1"/>
    <col min="6" max="6" width="19.85546875" bestFit="1" customWidth="1"/>
    <col min="7" max="7" width="12" bestFit="1" customWidth="1"/>
  </cols>
  <sheetData>
    <row r="1" spans="1:8" x14ac:dyDescent="0.25">
      <c r="B1" s="69" t="s">
        <v>24</v>
      </c>
      <c r="C1" s="69"/>
      <c r="D1" s="69"/>
      <c r="E1" s="69" t="s">
        <v>42</v>
      </c>
      <c r="F1" s="69"/>
      <c r="G1" s="69"/>
    </row>
    <row r="2" spans="1:8" x14ac:dyDescent="0.25">
      <c r="A2" s="37" t="s">
        <v>11</v>
      </c>
      <c r="B2" s="3" t="s">
        <v>94</v>
      </c>
      <c r="C2" s="3" t="s">
        <v>95</v>
      </c>
      <c r="D2" s="3" t="s">
        <v>96</v>
      </c>
      <c r="E2" s="3" t="s">
        <v>94</v>
      </c>
      <c r="F2" s="3" t="s">
        <v>95</v>
      </c>
      <c r="G2" s="3" t="s">
        <v>96</v>
      </c>
      <c r="H2" s="26" t="s">
        <v>82</v>
      </c>
    </row>
    <row r="3" spans="1:8" x14ac:dyDescent="0.25">
      <c r="A3" s="37" t="s">
        <v>72</v>
      </c>
      <c r="B3" s="26"/>
      <c r="C3" s="26"/>
      <c r="D3" s="26"/>
      <c r="E3" s="26"/>
      <c r="F3" s="26"/>
      <c r="G3" s="26"/>
      <c r="H3" s="26"/>
    </row>
    <row r="4" spans="1:8" x14ac:dyDescent="0.25">
      <c r="A4" t="s">
        <v>75</v>
      </c>
      <c r="B4">
        <v>50.2</v>
      </c>
      <c r="C4">
        <v>50.2</v>
      </c>
      <c r="D4">
        <v>50.2</v>
      </c>
      <c r="E4">
        <v>50.5</v>
      </c>
      <c r="F4">
        <v>50.5</v>
      </c>
      <c r="G4">
        <v>50.5</v>
      </c>
      <c r="H4">
        <f t="shared" ref="H4:H12" si="0">CHOOSE(IF(inp_Un&lt;110,0,1)+IF(inp_Un&gt;=300,1,0)+IF(inp_Area="DK1",0,3) + 1,B4,C4,D4,E4,F4,G4)</f>
        <v>50.2</v>
      </c>
    </row>
    <row r="5" spans="1:8" x14ac:dyDescent="0.25">
      <c r="A5" t="s">
        <v>76</v>
      </c>
      <c r="B5">
        <v>5</v>
      </c>
      <c r="C5">
        <v>5</v>
      </c>
      <c r="D5">
        <v>5</v>
      </c>
      <c r="E5">
        <v>4</v>
      </c>
      <c r="F5">
        <v>4</v>
      </c>
      <c r="G5">
        <v>4</v>
      </c>
      <c r="H5">
        <f t="shared" si="0"/>
        <v>5</v>
      </c>
    </row>
    <row r="6" spans="1:8" x14ac:dyDescent="0.25">
      <c r="A6" t="s">
        <v>77</v>
      </c>
      <c r="B6">
        <v>49.8</v>
      </c>
      <c r="C6">
        <v>49.8</v>
      </c>
      <c r="D6">
        <v>49.8</v>
      </c>
      <c r="E6">
        <v>49.5</v>
      </c>
      <c r="F6">
        <v>49.5</v>
      </c>
      <c r="G6">
        <v>49.5</v>
      </c>
      <c r="H6">
        <f t="shared" si="0"/>
        <v>49.8</v>
      </c>
    </row>
    <row r="7" spans="1:8" x14ac:dyDescent="0.25">
      <c r="A7" t="s">
        <v>78</v>
      </c>
      <c r="B7">
        <v>5</v>
      </c>
      <c r="C7">
        <v>5</v>
      </c>
      <c r="D7">
        <v>5</v>
      </c>
      <c r="E7">
        <v>4</v>
      </c>
      <c r="F7">
        <v>4</v>
      </c>
      <c r="G7">
        <v>4</v>
      </c>
      <c r="H7">
        <f t="shared" si="0"/>
        <v>5</v>
      </c>
    </row>
    <row r="8" spans="1:8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0"/>
        <v>0</v>
      </c>
    </row>
    <row r="9" spans="1:8" x14ac:dyDescent="0.25">
      <c r="A9" t="s">
        <v>80</v>
      </c>
      <c r="B9">
        <v>6</v>
      </c>
      <c r="C9">
        <v>6</v>
      </c>
      <c r="D9">
        <v>6</v>
      </c>
      <c r="E9">
        <v>6</v>
      </c>
      <c r="F9">
        <v>6</v>
      </c>
      <c r="G9">
        <v>6</v>
      </c>
      <c r="H9">
        <f t="shared" si="0"/>
        <v>6</v>
      </c>
    </row>
    <row r="10" spans="1:8" x14ac:dyDescent="0.25">
      <c r="A10" t="s">
        <v>81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f t="shared" si="0"/>
        <v>10</v>
      </c>
    </row>
    <row r="11" spans="1:8" x14ac:dyDescent="0.25">
      <c r="A11" t="s">
        <v>105</v>
      </c>
      <c r="B11">
        <v>51.5</v>
      </c>
      <c r="C11">
        <v>51.5</v>
      </c>
      <c r="D11">
        <v>51.5</v>
      </c>
      <c r="E11">
        <v>51.5</v>
      </c>
      <c r="F11">
        <v>51.5</v>
      </c>
      <c r="G11">
        <v>51.5</v>
      </c>
      <c r="H11">
        <f t="shared" si="0"/>
        <v>51.5</v>
      </c>
    </row>
    <row r="12" spans="1:8" x14ac:dyDescent="0.25">
      <c r="A12" t="s">
        <v>106</v>
      </c>
      <c r="B12">
        <v>47.5</v>
      </c>
      <c r="C12">
        <v>47.5</v>
      </c>
      <c r="D12">
        <v>47.5</v>
      </c>
      <c r="E12">
        <v>47.5</v>
      </c>
      <c r="F12">
        <v>47.5</v>
      </c>
      <c r="G12">
        <v>47.5</v>
      </c>
      <c r="H12">
        <f t="shared" si="0"/>
        <v>47.5</v>
      </c>
    </row>
    <row r="13" spans="1:8" x14ac:dyDescent="0.25">
      <c r="A13" s="37" t="s">
        <v>93</v>
      </c>
    </row>
    <row r="14" spans="1:8" x14ac:dyDescent="0.25">
      <c r="A14" t="s">
        <v>87</v>
      </c>
      <c r="B14">
        <v>1.05</v>
      </c>
      <c r="C14" s="9">
        <v>1.1180000000000001</v>
      </c>
      <c r="D14" s="9">
        <v>1.05</v>
      </c>
      <c r="E14">
        <v>1.05</v>
      </c>
      <c r="F14" s="9">
        <v>1.05</v>
      </c>
      <c r="G14" s="9">
        <v>1.05</v>
      </c>
      <c r="H14" s="9">
        <f t="shared" ref="H14:H23" si="1">CHOOSE(IF(inp_Un&lt;110,0,1)+IF(inp_Un&gt;=300,1,0)+IF(inp_Area="DK1",0,3) + 1,B14,C14,D14,E14,F14,G14)</f>
        <v>1.05</v>
      </c>
    </row>
    <row r="15" spans="1:8" x14ac:dyDescent="0.25">
      <c r="A15" t="s">
        <v>88</v>
      </c>
      <c r="B15">
        <v>0.9</v>
      </c>
      <c r="C15" s="9">
        <v>0.96799999999999997</v>
      </c>
      <c r="D15" s="9">
        <v>0.9</v>
      </c>
      <c r="E15">
        <v>0.9</v>
      </c>
      <c r="F15" s="9">
        <v>0.9</v>
      </c>
      <c r="G15" s="9">
        <v>0.9</v>
      </c>
      <c r="H15" s="9">
        <f t="shared" si="1"/>
        <v>0.9</v>
      </c>
    </row>
    <row r="16" spans="1:8" x14ac:dyDescent="0.25">
      <c r="A16" t="s">
        <v>89</v>
      </c>
      <c r="B16">
        <v>1.04</v>
      </c>
      <c r="C16" s="9">
        <v>1.1080000000000001</v>
      </c>
      <c r="D16" s="9">
        <v>1.04</v>
      </c>
      <c r="E16">
        <v>1.04</v>
      </c>
      <c r="F16" s="9">
        <v>1.04</v>
      </c>
      <c r="G16" s="9">
        <v>1.04</v>
      </c>
      <c r="H16" s="9">
        <f t="shared" si="1"/>
        <v>1.04</v>
      </c>
    </row>
    <row r="17" spans="1:8" x14ac:dyDescent="0.25">
      <c r="A17" t="s">
        <v>91</v>
      </c>
      <c r="B17">
        <v>0.9</v>
      </c>
      <c r="C17" s="9">
        <v>0.96799999999999997</v>
      </c>
      <c r="D17" s="9">
        <v>0.9</v>
      </c>
      <c r="E17">
        <v>0.9</v>
      </c>
      <c r="F17" s="9">
        <v>0.9</v>
      </c>
      <c r="G17" s="9">
        <v>0.9</v>
      </c>
      <c r="H17" s="9">
        <f t="shared" si="1"/>
        <v>0.9</v>
      </c>
    </row>
    <row r="18" spans="1:8" x14ac:dyDescent="0.25">
      <c r="A18" t="s">
        <v>92</v>
      </c>
      <c r="B18">
        <v>1.05</v>
      </c>
      <c r="C18" s="9">
        <v>1.1180000000000001</v>
      </c>
      <c r="D18" s="9">
        <v>1.05</v>
      </c>
      <c r="E18">
        <v>1.05</v>
      </c>
      <c r="F18" s="9">
        <v>1.05</v>
      </c>
      <c r="G18" s="9">
        <v>1.05</v>
      </c>
      <c r="H18" s="9">
        <f t="shared" si="1"/>
        <v>1.05</v>
      </c>
    </row>
    <row r="19" spans="1:8" x14ac:dyDescent="0.25">
      <c r="A19" t="s">
        <v>90</v>
      </c>
      <c r="B19">
        <v>0.96</v>
      </c>
      <c r="C19" s="9">
        <v>1.028</v>
      </c>
      <c r="D19" s="9">
        <v>0.96</v>
      </c>
      <c r="E19">
        <v>0.96</v>
      </c>
      <c r="F19" s="9">
        <v>0.96</v>
      </c>
      <c r="G19" s="9">
        <v>0.96</v>
      </c>
      <c r="H19" s="9">
        <f t="shared" si="1"/>
        <v>0.96</v>
      </c>
    </row>
    <row r="20" spans="1:8" x14ac:dyDescent="0.25">
      <c r="A20" t="s">
        <v>102</v>
      </c>
      <c r="B20">
        <v>1.1000000000000001</v>
      </c>
      <c r="C20" s="9">
        <v>1.1180000000000001</v>
      </c>
      <c r="D20" s="9">
        <v>1.05</v>
      </c>
      <c r="E20">
        <v>1.1000000000000001</v>
      </c>
      <c r="F20" s="9">
        <v>1.05</v>
      </c>
      <c r="G20" s="9">
        <v>1.05</v>
      </c>
      <c r="H20" s="9">
        <f t="shared" si="1"/>
        <v>1.1000000000000001</v>
      </c>
    </row>
    <row r="21" spans="1:8" x14ac:dyDescent="0.25">
      <c r="A21" t="s">
        <v>103</v>
      </c>
      <c r="B21">
        <v>0.9</v>
      </c>
      <c r="C21" s="9">
        <v>0.9</v>
      </c>
      <c r="D21" s="9">
        <v>0.9</v>
      </c>
      <c r="E21">
        <v>0.9</v>
      </c>
      <c r="F21" s="9">
        <v>0.9</v>
      </c>
      <c r="G21" s="9">
        <v>0.9</v>
      </c>
      <c r="H21" s="9">
        <f t="shared" si="1"/>
        <v>0.9</v>
      </c>
    </row>
    <row r="22" spans="1:8" x14ac:dyDescent="0.25">
      <c r="A22" t="s">
        <v>101</v>
      </c>
      <c r="B22">
        <v>1.1000000000000001</v>
      </c>
      <c r="C22" s="9">
        <v>1.1499999999999999</v>
      </c>
      <c r="D22" s="9">
        <v>1.1000000000000001</v>
      </c>
      <c r="E22">
        <v>1.1000000000000001</v>
      </c>
      <c r="F22" s="9">
        <v>1.1000000000000001</v>
      </c>
      <c r="G22" s="9">
        <v>1.1000000000000001</v>
      </c>
      <c r="H22" s="9">
        <f t="shared" si="1"/>
        <v>1.1000000000000001</v>
      </c>
    </row>
    <row r="23" spans="1:8" x14ac:dyDescent="0.25">
      <c r="A23" t="s">
        <v>104</v>
      </c>
      <c r="B23">
        <v>0.9</v>
      </c>
      <c r="C23" s="9">
        <v>0.85</v>
      </c>
      <c r="D23" s="9">
        <v>0.85</v>
      </c>
      <c r="E23">
        <v>0.9</v>
      </c>
      <c r="F23" s="9">
        <v>0.9</v>
      </c>
      <c r="G23" s="9">
        <v>0.9</v>
      </c>
      <c r="H23" s="9">
        <f t="shared" si="1"/>
        <v>0.9</v>
      </c>
    </row>
    <row r="24" spans="1:8" x14ac:dyDescent="0.25">
      <c r="A24" s="37" t="s">
        <v>135</v>
      </c>
    </row>
    <row r="25" spans="1:8" x14ac:dyDescent="0.25">
      <c r="A25" t="s">
        <v>145</v>
      </c>
      <c r="B25">
        <v>0.9</v>
      </c>
      <c r="C25" s="9">
        <v>0.85</v>
      </c>
      <c r="D25" s="9">
        <v>0.85</v>
      </c>
      <c r="E25">
        <v>0.9</v>
      </c>
      <c r="F25" s="9">
        <v>0.9</v>
      </c>
      <c r="G25" s="9">
        <v>0.9</v>
      </c>
      <c r="H25" s="9">
        <f t="shared" ref="H25:H34" si="2">CHOOSE(IF(inp_Un&lt;110,0,1)+IF(inp_Un&gt;=300,1,0)+IF(inp_Area="DK1",0,3) + 1,B25,C25,D25,E25,F25,G25)</f>
        <v>0.9</v>
      </c>
    </row>
    <row r="26" spans="1:8" x14ac:dyDescent="0.25">
      <c r="A26" t="s">
        <v>146</v>
      </c>
      <c r="B26">
        <v>0.9</v>
      </c>
      <c r="C26" s="9">
        <v>0.85</v>
      </c>
      <c r="D26" s="9">
        <v>0.85</v>
      </c>
      <c r="E26">
        <v>0.9</v>
      </c>
      <c r="F26" s="9">
        <v>0.9</v>
      </c>
      <c r="G26" s="9">
        <v>0.9</v>
      </c>
      <c r="H26" s="9">
        <f t="shared" si="2"/>
        <v>0.9</v>
      </c>
    </row>
    <row r="27" spans="1:8" x14ac:dyDescent="0.25">
      <c r="A27" t="s">
        <v>127</v>
      </c>
      <c r="B27">
        <v>0.15</v>
      </c>
      <c r="C27">
        <v>0</v>
      </c>
      <c r="D27">
        <v>0</v>
      </c>
      <c r="E27">
        <v>0.15</v>
      </c>
      <c r="F27">
        <v>0</v>
      </c>
      <c r="G27">
        <v>0</v>
      </c>
      <c r="H27" s="9">
        <f t="shared" si="2"/>
        <v>0.15</v>
      </c>
    </row>
    <row r="28" spans="1:8" x14ac:dyDescent="0.25">
      <c r="A28" t="s">
        <v>128</v>
      </c>
      <c r="B28">
        <v>0.25</v>
      </c>
      <c r="C28">
        <v>0.15</v>
      </c>
      <c r="D28">
        <v>0.15</v>
      </c>
      <c r="E28">
        <v>0.25</v>
      </c>
      <c r="F28">
        <v>0.15</v>
      </c>
      <c r="G28">
        <v>0.15</v>
      </c>
      <c r="H28" s="9">
        <f t="shared" si="2"/>
        <v>0.25</v>
      </c>
    </row>
    <row r="29" spans="1:8" x14ac:dyDescent="0.25">
      <c r="A29" t="s">
        <v>129</v>
      </c>
      <c r="B29">
        <v>0.15</v>
      </c>
      <c r="C29">
        <v>0</v>
      </c>
      <c r="D29">
        <v>0</v>
      </c>
      <c r="E29">
        <v>0.15</v>
      </c>
      <c r="F29">
        <v>0</v>
      </c>
      <c r="G29">
        <v>0</v>
      </c>
      <c r="H29" s="9">
        <f t="shared" si="2"/>
        <v>0.15</v>
      </c>
    </row>
    <row r="30" spans="1:8" x14ac:dyDescent="0.25">
      <c r="A30" t="s">
        <v>134</v>
      </c>
      <c r="B30">
        <v>0.25</v>
      </c>
      <c r="C30">
        <v>0.15</v>
      </c>
      <c r="D30">
        <v>0.15</v>
      </c>
      <c r="E30">
        <v>0.25</v>
      </c>
      <c r="F30">
        <v>0.15</v>
      </c>
      <c r="G30">
        <v>0.15</v>
      </c>
      <c r="H30" s="9">
        <f t="shared" si="2"/>
        <v>0.25</v>
      </c>
    </row>
    <row r="31" spans="1:8" x14ac:dyDescent="0.25">
      <c r="A31" t="s">
        <v>130</v>
      </c>
      <c r="B31">
        <v>0.15</v>
      </c>
      <c r="C31">
        <v>0</v>
      </c>
      <c r="D31">
        <v>0</v>
      </c>
      <c r="E31">
        <v>0.15</v>
      </c>
      <c r="F31">
        <v>0</v>
      </c>
      <c r="G31">
        <v>0</v>
      </c>
      <c r="H31" s="9">
        <f t="shared" si="2"/>
        <v>0.15</v>
      </c>
    </row>
    <row r="32" spans="1:8" x14ac:dyDescent="0.25">
      <c r="A32" t="s">
        <v>131</v>
      </c>
      <c r="B32">
        <v>0.25</v>
      </c>
      <c r="C32">
        <v>0.15</v>
      </c>
      <c r="D32">
        <v>0.15</v>
      </c>
      <c r="E32">
        <v>0.25</v>
      </c>
      <c r="F32">
        <v>0.15</v>
      </c>
      <c r="G32">
        <v>0.15</v>
      </c>
      <c r="H32" s="9">
        <f t="shared" si="2"/>
        <v>0.25</v>
      </c>
    </row>
    <row r="33" spans="1:8" x14ac:dyDescent="0.25">
      <c r="A33" t="s">
        <v>132</v>
      </c>
      <c r="B33">
        <v>0.9</v>
      </c>
      <c r="C33" s="9">
        <v>0.85</v>
      </c>
      <c r="D33" s="9">
        <v>0.85</v>
      </c>
      <c r="E33">
        <v>0.9</v>
      </c>
      <c r="F33" s="9">
        <v>0.9</v>
      </c>
      <c r="G33" s="9">
        <v>0.9</v>
      </c>
      <c r="H33" s="9">
        <f t="shared" si="2"/>
        <v>0.9</v>
      </c>
    </row>
    <row r="34" spans="1:8" x14ac:dyDescent="0.25">
      <c r="A34" t="s">
        <v>133</v>
      </c>
      <c r="B34">
        <v>1.5</v>
      </c>
      <c r="C34">
        <v>1.5</v>
      </c>
      <c r="D34">
        <v>1.5</v>
      </c>
      <c r="E34">
        <v>1.5</v>
      </c>
      <c r="F34">
        <v>1.5</v>
      </c>
      <c r="G34">
        <v>1.5</v>
      </c>
      <c r="H34" s="9">
        <f t="shared" si="2"/>
        <v>1.5</v>
      </c>
    </row>
    <row r="35" spans="1:8" x14ac:dyDescent="0.25">
      <c r="A35" s="37" t="s">
        <v>136</v>
      </c>
    </row>
    <row r="36" spans="1:8" x14ac:dyDescent="0.25">
      <c r="A36" t="s">
        <v>138</v>
      </c>
      <c r="B36">
        <v>1.2</v>
      </c>
      <c r="C36" s="9">
        <v>1.3</v>
      </c>
      <c r="D36" s="9">
        <v>1.3</v>
      </c>
      <c r="E36">
        <v>1.2</v>
      </c>
      <c r="F36" s="9">
        <v>1.3</v>
      </c>
      <c r="G36" s="9">
        <v>1.3</v>
      </c>
      <c r="H36" s="9">
        <f>CHOOSE(IF(inp_Un&lt;110,0,1)+IF(inp_Un&gt;=300,1,0)+IF(inp_Area="DK1",0,3) + 1,B36,C36,D36,E36,F36,G36)</f>
        <v>1.2</v>
      </c>
    </row>
    <row r="37" spans="1:8" x14ac:dyDescent="0.25">
      <c r="A37" t="s">
        <v>137</v>
      </c>
      <c r="B37">
        <v>5</v>
      </c>
      <c r="C37">
        <v>0.1</v>
      </c>
      <c r="D37">
        <v>0.1</v>
      </c>
      <c r="E37">
        <v>5</v>
      </c>
      <c r="F37">
        <v>0.1</v>
      </c>
      <c r="G37">
        <v>0.1</v>
      </c>
      <c r="H37" s="9">
        <f>CHOOSE(IF(inp_Un&lt;110,0,1)+IF(inp_Un&gt;=300,1,0)+IF(inp_Area="DK1",0,3) + 1,B37,C37,D37,E37,F37,G37)</f>
        <v>5</v>
      </c>
    </row>
    <row r="38" spans="1:8" x14ac:dyDescent="0.25">
      <c r="A38" t="s">
        <v>139</v>
      </c>
      <c r="B38">
        <v>1.1499999999999999</v>
      </c>
      <c r="C38" s="9">
        <v>1.2</v>
      </c>
      <c r="D38" s="9">
        <v>1.2</v>
      </c>
      <c r="E38">
        <v>1.1499999999999999</v>
      </c>
      <c r="F38" s="9">
        <v>1.2</v>
      </c>
      <c r="G38" s="9">
        <v>1.2</v>
      </c>
      <c r="H38" s="9">
        <f>CHOOSE(IF(inp_Un&lt;110,0,1)+IF(inp_Un&gt;=300,1,0)+IF(inp_Area="DK1",0,3) + 1,B38,C38,D38,E38,F38,G38)</f>
        <v>1.1499999999999999</v>
      </c>
    </row>
    <row r="39" spans="1:8" x14ac:dyDescent="0.25">
      <c r="A39" t="s">
        <v>140</v>
      </c>
      <c r="B39">
        <v>60</v>
      </c>
      <c r="C39">
        <v>30</v>
      </c>
      <c r="D39">
        <v>30</v>
      </c>
      <c r="E39">
        <v>60</v>
      </c>
      <c r="F39">
        <v>30</v>
      </c>
      <c r="G39">
        <v>30</v>
      </c>
      <c r="H39" s="9">
        <f>CHOOSE(IF(inp_Un&lt;110,0,1)+IF(inp_Un&gt;=300,1,0)+IF(inp_Area="DK1",0,3) + 1,B39,C39,D39,E39,F39,G39)</f>
        <v>60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82"/>
  <sheetViews>
    <sheetView zoomScale="85" zoomScaleNormal="85" workbookViewId="0">
      <pane ySplit="2" topLeftCell="A3" activePane="bottomLeft" state="frozen"/>
      <selection pane="bottomLeft" activeCell="O72" sqref="O72"/>
    </sheetView>
  </sheetViews>
  <sheetFormatPr defaultColWidth="9.140625" defaultRowHeight="15" x14ac:dyDescent="0.25"/>
  <cols>
    <col min="1" max="1" width="12.85546875" style="1" bestFit="1" customWidth="1"/>
    <col min="2" max="2" width="12.42578125" style="1" bestFit="1" customWidth="1"/>
    <col min="3" max="3" width="12" style="1" bestFit="1" customWidth="1"/>
    <col min="4" max="4" width="23.42578125" style="1" bestFit="1" customWidth="1"/>
    <col min="5" max="6" width="10.5703125" style="1" bestFit="1" customWidth="1"/>
    <col min="7" max="7" width="12.140625" style="1" bestFit="1" customWidth="1"/>
    <col min="8" max="8" width="14.85546875" style="1" bestFit="1" customWidth="1"/>
    <col min="9" max="9" width="13.140625" style="1" customWidth="1"/>
    <col min="10" max="10" width="9.85546875" style="1" bestFit="1" customWidth="1"/>
    <col min="11" max="11" width="9.85546875" style="1" customWidth="1"/>
    <col min="12" max="12" width="21.5703125" style="1" bestFit="1" customWidth="1"/>
    <col min="13" max="13" width="22.85546875" style="31" bestFit="1" customWidth="1"/>
    <col min="14" max="14" width="9.7109375" style="31" bestFit="1" customWidth="1"/>
    <col min="15" max="15" width="35" style="31" bestFit="1" customWidth="1"/>
    <col min="16" max="16" width="16.5703125" style="31" bestFit="1" customWidth="1"/>
    <col min="17" max="17" width="17.5703125" style="1" bestFit="1" customWidth="1"/>
    <col min="18" max="18" width="9.7109375" style="1" bestFit="1" customWidth="1"/>
    <col min="19" max="19" width="25" style="1" bestFit="1" customWidth="1"/>
    <col min="20" max="20" width="16.5703125" style="1" bestFit="1" customWidth="1"/>
    <col min="21" max="21" width="12" style="31" bestFit="1" customWidth="1"/>
    <col min="22" max="22" width="9.7109375" style="31" bestFit="1" customWidth="1"/>
    <col min="23" max="23" width="12.42578125" style="31" bestFit="1" customWidth="1"/>
    <col min="24" max="24" width="16.5703125" style="31" bestFit="1" customWidth="1"/>
    <col min="25" max="25" width="12" style="1" bestFit="1" customWidth="1"/>
    <col min="26" max="26" width="9.7109375" style="1" bestFit="1" customWidth="1"/>
    <col min="27" max="27" width="12.42578125" style="1" bestFit="1" customWidth="1"/>
    <col min="28" max="28" width="16.5703125" style="1" bestFit="1" customWidth="1"/>
    <col min="29" max="29" width="12" style="31" bestFit="1" customWidth="1"/>
    <col min="30" max="30" width="9.7109375" style="31" bestFit="1" customWidth="1"/>
    <col min="31" max="31" width="12.42578125" style="31" bestFit="1" customWidth="1"/>
    <col min="32" max="32" width="16.5703125" style="31" bestFit="1" customWidth="1"/>
    <col min="33" max="33" width="12" style="1" bestFit="1" customWidth="1"/>
    <col min="34" max="34" width="9.7109375" style="59" bestFit="1" customWidth="1"/>
    <col min="35" max="35" width="12.42578125" style="59" bestFit="1" customWidth="1"/>
    <col min="36" max="36" width="16.5703125" style="59" bestFit="1" customWidth="1"/>
    <col min="37" max="37" width="10.7109375" style="31" bestFit="1" customWidth="1"/>
    <col min="38" max="38" width="9.7109375" style="31" bestFit="1" customWidth="1"/>
    <col min="39" max="39" width="12.42578125" style="31" bestFit="1" customWidth="1"/>
    <col min="40" max="40" width="16.5703125" style="31" bestFit="1" customWidth="1"/>
    <col min="41" max="41" width="9.5703125" style="1" bestFit="1" customWidth="1"/>
    <col min="42" max="42" width="9.7109375" style="1" bestFit="1" customWidth="1"/>
    <col min="43" max="43" width="12.42578125" style="1" bestFit="1" customWidth="1"/>
    <col min="44" max="44" width="16.5703125" style="1" bestFit="1" customWidth="1"/>
    <col min="45" max="45" width="9.5703125" style="31" bestFit="1" customWidth="1"/>
    <col min="46" max="46" width="9.7109375" style="31" bestFit="1" customWidth="1"/>
    <col min="47" max="47" width="12.42578125" style="31" bestFit="1" customWidth="1"/>
    <col min="48" max="48" width="16.5703125" style="31" bestFit="1" customWidth="1"/>
    <col min="49" max="49" width="9.5703125" style="1" bestFit="1" customWidth="1"/>
    <col min="50" max="50" width="9.7109375" style="1" bestFit="1" customWidth="1"/>
    <col min="51" max="51" width="12.42578125" style="1" bestFit="1" customWidth="1"/>
    <col min="52" max="52" width="16.5703125" style="1" bestFit="1" customWidth="1"/>
    <col min="53" max="53" width="9.5703125" style="31" bestFit="1" customWidth="1"/>
    <col min="54" max="54" width="9.7109375" style="31" bestFit="1" customWidth="1"/>
    <col min="55" max="55" width="12.42578125" style="31" bestFit="1" customWidth="1"/>
    <col min="56" max="56" width="16.5703125" style="31" bestFit="1" customWidth="1"/>
    <col min="57" max="57" width="9.5703125" style="1" bestFit="1" customWidth="1"/>
    <col min="58" max="58" width="9.7109375" style="1" bestFit="1" customWidth="1"/>
    <col min="59" max="59" width="12.42578125" style="1" bestFit="1" customWidth="1"/>
    <col min="60" max="60" width="16.5703125" style="1" bestFit="1" customWidth="1"/>
    <col min="61" max="16384" width="9.140625" style="1"/>
  </cols>
  <sheetData>
    <row r="1" spans="1:60" x14ac:dyDescent="0.25">
      <c r="M1" s="73" t="s">
        <v>58</v>
      </c>
      <c r="N1" s="74"/>
      <c r="O1" s="74"/>
      <c r="P1" s="75"/>
      <c r="Q1" s="70" t="s">
        <v>59</v>
      </c>
      <c r="R1" s="71"/>
      <c r="S1" s="71"/>
      <c r="T1" s="72"/>
      <c r="U1" s="73" t="s">
        <v>60</v>
      </c>
      <c r="V1" s="74"/>
      <c r="W1" s="74"/>
      <c r="X1" s="75"/>
      <c r="Y1" s="70" t="s">
        <v>61</v>
      </c>
      <c r="Z1" s="71"/>
      <c r="AA1" s="71"/>
      <c r="AB1" s="72"/>
      <c r="AC1" s="73" t="s">
        <v>62</v>
      </c>
      <c r="AD1" s="74"/>
      <c r="AE1" s="74"/>
      <c r="AF1" s="75"/>
      <c r="AG1" s="70" t="s">
        <v>63</v>
      </c>
      <c r="AH1" s="71"/>
      <c r="AI1" s="71"/>
      <c r="AJ1" s="72"/>
      <c r="AK1" s="73" t="s">
        <v>64</v>
      </c>
      <c r="AL1" s="74"/>
      <c r="AM1" s="74"/>
      <c r="AN1" s="75"/>
      <c r="AO1" s="70" t="s">
        <v>65</v>
      </c>
      <c r="AP1" s="71"/>
      <c r="AQ1" s="71"/>
      <c r="AR1" s="72"/>
      <c r="AS1" s="73" t="s">
        <v>66</v>
      </c>
      <c r="AT1" s="74"/>
      <c r="AU1" s="74"/>
      <c r="AV1" s="75"/>
      <c r="AW1" s="70" t="s">
        <v>67</v>
      </c>
      <c r="AX1" s="71"/>
      <c r="AY1" s="71"/>
      <c r="AZ1" s="72"/>
      <c r="BA1" s="73" t="s">
        <v>68</v>
      </c>
      <c r="BB1" s="74"/>
      <c r="BC1" s="74"/>
      <c r="BD1" s="75"/>
      <c r="BE1" s="70" t="s">
        <v>69</v>
      </c>
      <c r="BF1" s="71"/>
      <c r="BG1" s="71"/>
      <c r="BH1" s="72"/>
    </row>
    <row r="2" spans="1:60" s="15" customFormat="1" ht="30" customHeight="1" x14ac:dyDescent="0.25">
      <c r="A2" s="13" t="s">
        <v>272</v>
      </c>
      <c r="B2" s="14" t="s">
        <v>21</v>
      </c>
      <c r="C2" s="14" t="s">
        <v>22</v>
      </c>
      <c r="D2" s="15" t="s">
        <v>57</v>
      </c>
      <c r="E2" s="16" t="s">
        <v>31</v>
      </c>
      <c r="F2" s="16" t="s">
        <v>0</v>
      </c>
      <c r="G2" s="16" t="s">
        <v>165</v>
      </c>
      <c r="H2" s="16" t="s">
        <v>1</v>
      </c>
      <c r="I2" s="16" t="s">
        <v>159</v>
      </c>
      <c r="J2" s="16" t="s">
        <v>160</v>
      </c>
      <c r="K2" s="16" t="s">
        <v>220</v>
      </c>
      <c r="L2" s="16" t="s">
        <v>56</v>
      </c>
      <c r="M2" s="28" t="s">
        <v>70</v>
      </c>
      <c r="N2" s="28" t="s">
        <v>71</v>
      </c>
      <c r="O2" s="28" t="s">
        <v>166</v>
      </c>
      <c r="P2" s="29" t="s">
        <v>167</v>
      </c>
      <c r="Q2" s="16" t="s">
        <v>70</v>
      </c>
      <c r="R2" s="16" t="s">
        <v>71</v>
      </c>
      <c r="S2" s="16" t="s">
        <v>166</v>
      </c>
      <c r="T2" s="15" t="s">
        <v>167</v>
      </c>
      <c r="U2" s="28" t="s">
        <v>70</v>
      </c>
      <c r="V2" s="28" t="s">
        <v>71</v>
      </c>
      <c r="W2" s="28" t="s">
        <v>166</v>
      </c>
      <c r="X2" s="29" t="s">
        <v>167</v>
      </c>
      <c r="Y2" s="16" t="s">
        <v>70</v>
      </c>
      <c r="Z2" s="16" t="s">
        <v>71</v>
      </c>
      <c r="AA2" s="16" t="s">
        <v>166</v>
      </c>
      <c r="AB2" s="15" t="s">
        <v>167</v>
      </c>
      <c r="AC2" s="28" t="s">
        <v>70</v>
      </c>
      <c r="AD2" s="28" t="s">
        <v>71</v>
      </c>
      <c r="AE2" s="28" t="s">
        <v>166</v>
      </c>
      <c r="AF2" s="29" t="s">
        <v>167</v>
      </c>
      <c r="AG2" s="16" t="s">
        <v>70</v>
      </c>
      <c r="AH2" s="60" t="s">
        <v>71</v>
      </c>
      <c r="AI2" s="60" t="s">
        <v>166</v>
      </c>
      <c r="AJ2" s="61" t="s">
        <v>167</v>
      </c>
      <c r="AK2" s="28" t="s">
        <v>70</v>
      </c>
      <c r="AL2" s="28" t="s">
        <v>71</v>
      </c>
      <c r="AM2" s="28" t="s">
        <v>166</v>
      </c>
      <c r="AN2" s="29" t="s">
        <v>167</v>
      </c>
      <c r="AO2" s="16" t="s">
        <v>70</v>
      </c>
      <c r="AP2" s="16" t="s">
        <v>71</v>
      </c>
      <c r="AQ2" s="16" t="s">
        <v>166</v>
      </c>
      <c r="AR2" s="15" t="s">
        <v>167</v>
      </c>
      <c r="AS2" s="28" t="s">
        <v>70</v>
      </c>
      <c r="AT2" s="28" t="s">
        <v>71</v>
      </c>
      <c r="AU2" s="28" t="s">
        <v>166</v>
      </c>
      <c r="AV2" s="29" t="s">
        <v>167</v>
      </c>
      <c r="AW2" s="16" t="s">
        <v>70</v>
      </c>
      <c r="AX2" s="16" t="s">
        <v>71</v>
      </c>
      <c r="AY2" s="16" t="s">
        <v>166</v>
      </c>
      <c r="AZ2" s="15" t="s">
        <v>167</v>
      </c>
      <c r="BA2" s="28" t="s">
        <v>70</v>
      </c>
      <c r="BB2" s="28" t="s">
        <v>71</v>
      </c>
      <c r="BC2" s="28" t="s">
        <v>166</v>
      </c>
      <c r="BD2" s="29" t="s">
        <v>167</v>
      </c>
      <c r="BE2" s="16" t="s">
        <v>70</v>
      </c>
      <c r="BF2" s="16" t="s">
        <v>71</v>
      </c>
      <c r="BG2" s="16" t="s">
        <v>166</v>
      </c>
      <c r="BH2" s="15" t="s">
        <v>167</v>
      </c>
    </row>
    <row r="3" spans="1:60" ht="15" customHeight="1" x14ac:dyDescent="0.25">
      <c r="A3" s="1">
        <v>1</v>
      </c>
      <c r="B3" s="67" t="b">
        <f>TRUE</f>
        <v>1</v>
      </c>
      <c r="C3" s="15" t="b">
        <f>TRUE</f>
        <v>1</v>
      </c>
      <c r="D3" s="1" t="s">
        <v>27</v>
      </c>
      <c r="E3" s="5">
        <f>inp_Uc/inp_Un</f>
        <v>1</v>
      </c>
      <c r="F3" s="38">
        <v>0</v>
      </c>
      <c r="G3" s="38" t="b">
        <f>FALSE</f>
        <v>0</v>
      </c>
      <c r="H3" s="36" t="s">
        <v>47</v>
      </c>
      <c r="I3" s="38">
        <v>0</v>
      </c>
      <c r="J3" s="38">
        <f>inp_scr_min</f>
        <v>8</v>
      </c>
      <c r="K3" s="38">
        <f>inp_xr_min</f>
        <v>23.145098031409887</v>
      </c>
      <c r="L3" s="39">
        <v>60</v>
      </c>
      <c r="M3" s="30" t="s">
        <v>290</v>
      </c>
      <c r="N3" s="30"/>
      <c r="P3" s="30"/>
      <c r="Q3" s="40"/>
      <c r="S3" s="5"/>
      <c r="T3" s="5"/>
      <c r="U3" s="30"/>
      <c r="V3" s="30"/>
      <c r="X3" s="30"/>
      <c r="Y3" s="40"/>
      <c r="Z3" s="5"/>
      <c r="AB3" s="5"/>
      <c r="AC3" s="30"/>
      <c r="AD3" s="30"/>
      <c r="AF3" s="30"/>
      <c r="AG3" s="40"/>
      <c r="AH3" s="62"/>
      <c r="AI3" s="62"/>
      <c r="AK3" s="30"/>
      <c r="AL3" s="30"/>
      <c r="AN3" s="30"/>
      <c r="AO3" s="40"/>
      <c r="AS3" s="30"/>
      <c r="AT3" s="30"/>
      <c r="AV3" s="30"/>
      <c r="AW3" s="40"/>
      <c r="BA3" s="30"/>
      <c r="BB3" s="30"/>
      <c r="BD3" s="30"/>
      <c r="BE3" s="40"/>
    </row>
    <row r="4" spans="1:60" ht="15" customHeight="1" x14ac:dyDescent="0.25">
      <c r="A4" s="1">
        <v>2</v>
      </c>
      <c r="B4" s="67" t="b">
        <f>TRUE</f>
        <v>1</v>
      </c>
      <c r="C4" s="15" t="b">
        <f>TRUE</f>
        <v>1</v>
      </c>
      <c r="D4" s="1" t="s">
        <v>26</v>
      </c>
      <c r="E4" s="5">
        <f>inp_Uc/inp_Un</f>
        <v>1</v>
      </c>
      <c r="F4" s="38">
        <v>0.5</v>
      </c>
      <c r="G4" s="38" t="b">
        <f>FALSE</f>
        <v>0</v>
      </c>
      <c r="H4" s="36" t="s">
        <v>47</v>
      </c>
      <c r="I4" s="38">
        <v>0.2</v>
      </c>
      <c r="J4" s="38">
        <f>inp_scr_min</f>
        <v>8</v>
      </c>
      <c r="K4" s="38">
        <f>inp_xr_min</f>
        <v>23.145098031409887</v>
      </c>
      <c r="L4" s="39">
        <v>60</v>
      </c>
      <c r="M4" s="30" t="s">
        <v>290</v>
      </c>
      <c r="N4" s="30"/>
      <c r="P4" s="30"/>
      <c r="Q4" s="40"/>
      <c r="S4" s="5"/>
      <c r="T4" s="5"/>
      <c r="U4" s="30"/>
      <c r="V4" s="30"/>
      <c r="X4" s="30"/>
      <c r="Y4" s="40"/>
      <c r="Z4" s="5"/>
      <c r="AB4" s="5"/>
      <c r="AC4" s="30"/>
      <c r="AD4" s="30"/>
      <c r="AF4" s="30"/>
      <c r="AG4" s="40"/>
      <c r="AH4" s="62"/>
      <c r="AI4" s="62"/>
      <c r="AK4" s="30"/>
      <c r="AL4" s="30"/>
      <c r="AN4" s="30"/>
      <c r="AO4" s="40"/>
      <c r="AS4" s="30"/>
      <c r="AT4" s="30"/>
      <c r="AV4" s="30"/>
      <c r="AW4" s="40"/>
      <c r="BA4" s="30"/>
      <c r="BB4" s="30"/>
      <c r="BD4" s="30"/>
      <c r="BE4" s="40"/>
    </row>
    <row r="5" spans="1:60" x14ac:dyDescent="0.25">
      <c r="A5" s="1">
        <v>3</v>
      </c>
      <c r="B5" s="67" t="b">
        <f>TRUE</f>
        <v>1</v>
      </c>
      <c r="C5" s="15" t="b">
        <f>TRUE</f>
        <v>1</v>
      </c>
      <c r="D5" s="1" t="s">
        <v>28</v>
      </c>
      <c r="E5" s="5">
        <f>inp_Uc/inp_Un</f>
        <v>1</v>
      </c>
      <c r="F5" s="38">
        <v>0.5</v>
      </c>
      <c r="G5" s="38" t="b">
        <f>FALSE</f>
        <v>0</v>
      </c>
      <c r="H5" s="36" t="s">
        <v>47</v>
      </c>
      <c r="I5" s="38">
        <v>-0.2</v>
      </c>
      <c r="J5" s="38">
        <f>inp_scr_min</f>
        <v>8</v>
      </c>
      <c r="K5" s="38">
        <f>inp_xr_min</f>
        <v>23.145098031409887</v>
      </c>
      <c r="L5" s="39">
        <v>60</v>
      </c>
      <c r="M5" s="30" t="s">
        <v>290</v>
      </c>
      <c r="N5" s="30"/>
      <c r="P5" s="30"/>
      <c r="Q5" s="40"/>
      <c r="S5" s="5"/>
      <c r="T5" s="5"/>
      <c r="U5" s="30"/>
      <c r="V5" s="30"/>
      <c r="X5" s="30"/>
      <c r="Y5" s="40"/>
      <c r="Z5" s="5"/>
      <c r="AB5" s="5"/>
      <c r="AC5" s="30"/>
      <c r="AD5" s="30"/>
      <c r="AF5" s="30"/>
      <c r="AG5" s="40"/>
      <c r="AH5" s="62"/>
      <c r="AI5" s="62"/>
      <c r="AK5" s="30"/>
      <c r="AL5" s="30"/>
      <c r="AN5" s="30"/>
      <c r="AO5" s="40"/>
      <c r="AS5" s="30"/>
      <c r="AT5" s="30"/>
      <c r="AV5" s="30"/>
      <c r="AW5" s="40"/>
      <c r="BA5" s="30"/>
      <c r="BB5" s="30"/>
      <c r="BD5" s="30"/>
      <c r="BE5" s="40"/>
    </row>
    <row r="6" spans="1:60" x14ac:dyDescent="0.25">
      <c r="A6" s="1">
        <v>4</v>
      </c>
      <c r="B6" s="67" t="b">
        <f>TRUE</f>
        <v>1</v>
      </c>
      <c r="C6" s="15" t="b">
        <f>TRUE</f>
        <v>1</v>
      </c>
      <c r="D6" s="1" t="s">
        <v>29</v>
      </c>
      <c r="E6" s="5">
        <f>inp_Uc/inp_Un</f>
        <v>1</v>
      </c>
      <c r="F6" s="38">
        <v>1</v>
      </c>
      <c r="G6" s="38" t="b">
        <f>FALSE</f>
        <v>0</v>
      </c>
      <c r="H6" s="36" t="s">
        <v>47</v>
      </c>
      <c r="I6" s="38">
        <v>0.33</v>
      </c>
      <c r="J6" s="38">
        <f>inp_scr_min</f>
        <v>8</v>
      </c>
      <c r="K6" s="38">
        <f>inp_xr_min</f>
        <v>23.145098031409887</v>
      </c>
      <c r="L6" s="39">
        <v>60</v>
      </c>
      <c r="M6" s="30" t="s">
        <v>290</v>
      </c>
      <c r="N6" s="30"/>
      <c r="P6" s="30"/>
      <c r="Q6" s="40"/>
      <c r="S6" s="5"/>
      <c r="T6" s="5"/>
      <c r="U6" s="30"/>
      <c r="V6" s="30"/>
      <c r="X6" s="30"/>
      <c r="Y6" s="40"/>
      <c r="Z6" s="5"/>
      <c r="AB6" s="5"/>
      <c r="AC6" s="30"/>
      <c r="AD6" s="30"/>
      <c r="AF6" s="30"/>
      <c r="AG6" s="40"/>
      <c r="AH6" s="62"/>
      <c r="AI6" s="62"/>
      <c r="AK6" s="30"/>
      <c r="AL6" s="30"/>
      <c r="AN6" s="30"/>
      <c r="AO6" s="40"/>
      <c r="AS6" s="30"/>
      <c r="AT6" s="30"/>
      <c r="AV6" s="30"/>
      <c r="AW6" s="40"/>
      <c r="BA6" s="30"/>
      <c r="BB6" s="30"/>
      <c r="BD6" s="30"/>
      <c r="BE6" s="40"/>
    </row>
    <row r="7" spans="1:60" x14ac:dyDescent="0.25">
      <c r="A7" s="1">
        <v>5</v>
      </c>
      <c r="B7" s="67" t="b">
        <f>TRUE</f>
        <v>1</v>
      </c>
      <c r="C7" s="15" t="b">
        <f>TRUE</f>
        <v>1</v>
      </c>
      <c r="D7" s="1" t="s">
        <v>30</v>
      </c>
      <c r="E7" s="5">
        <f>inp_Uc/inp_Un</f>
        <v>1</v>
      </c>
      <c r="F7" s="38">
        <v>1</v>
      </c>
      <c r="G7" s="38" t="b">
        <f>FALSE</f>
        <v>0</v>
      </c>
      <c r="H7" s="36" t="s">
        <v>47</v>
      </c>
      <c r="I7" s="38">
        <v>-0.33</v>
      </c>
      <c r="J7" s="38">
        <f>inp_scr_min</f>
        <v>8</v>
      </c>
      <c r="K7" s="38">
        <f>inp_xr_min</f>
        <v>23.145098031409887</v>
      </c>
      <c r="L7" s="39">
        <v>60</v>
      </c>
      <c r="M7" s="30" t="s">
        <v>290</v>
      </c>
      <c r="N7" s="30"/>
      <c r="P7" s="30"/>
      <c r="Q7" s="40"/>
      <c r="S7" s="5"/>
      <c r="T7" s="5"/>
      <c r="U7" s="30"/>
      <c r="V7" s="30"/>
      <c r="X7" s="30"/>
      <c r="Y7" s="40"/>
      <c r="Z7" s="5"/>
      <c r="AB7" s="5"/>
      <c r="AC7" s="30"/>
      <c r="AD7" s="30"/>
      <c r="AF7" s="30"/>
      <c r="AG7" s="40"/>
      <c r="AH7" s="62"/>
      <c r="AI7" s="62"/>
      <c r="AK7" s="30"/>
      <c r="AL7" s="30"/>
      <c r="AN7" s="30"/>
      <c r="AO7" s="40"/>
      <c r="AS7" s="30"/>
      <c r="AT7" s="30"/>
      <c r="AV7" s="30"/>
      <c r="AW7" s="40"/>
      <c r="BA7" s="30"/>
      <c r="BB7" s="30"/>
      <c r="BD7" s="30"/>
      <c r="BE7" s="40"/>
    </row>
    <row r="8" spans="1:60" x14ac:dyDescent="0.25">
      <c r="A8" s="1">
        <v>6</v>
      </c>
      <c r="B8" s="67" t="b">
        <f>TRUE</f>
        <v>1</v>
      </c>
      <c r="C8" s="15" t="b">
        <f>TRUE</f>
        <v>1</v>
      </c>
      <c r="D8" s="1" t="s">
        <v>149</v>
      </c>
      <c r="E8" s="5">
        <f>sel_uq_q0.33_umin</f>
        <v>0.9</v>
      </c>
      <c r="F8" s="38">
        <v>0.7</v>
      </c>
      <c r="G8" s="38" t="b">
        <f>FALSE</f>
        <v>0</v>
      </c>
      <c r="H8" s="36" t="s">
        <v>49</v>
      </c>
      <c r="I8" s="38">
        <v>1</v>
      </c>
      <c r="J8" s="38">
        <v>-1</v>
      </c>
      <c r="K8" s="38">
        <v>0</v>
      </c>
      <c r="L8" s="39">
        <v>60</v>
      </c>
      <c r="M8" s="30" t="s">
        <v>290</v>
      </c>
      <c r="N8" s="30"/>
      <c r="P8" s="30"/>
      <c r="Q8" s="40"/>
      <c r="S8" s="5"/>
      <c r="T8" s="5"/>
      <c r="U8" s="30"/>
      <c r="V8" s="30"/>
      <c r="X8" s="30"/>
      <c r="Y8" s="40"/>
      <c r="Z8" s="5"/>
      <c r="AB8" s="5"/>
      <c r="AC8" s="30"/>
      <c r="AD8" s="30"/>
      <c r="AF8" s="30"/>
      <c r="AG8" s="40"/>
      <c r="AH8" s="62"/>
      <c r="AI8" s="62"/>
      <c r="AK8" s="30"/>
      <c r="AL8" s="30"/>
      <c r="AN8" s="30"/>
      <c r="AO8" s="40"/>
      <c r="AS8" s="30"/>
      <c r="AT8" s="30"/>
      <c r="AV8" s="30"/>
      <c r="AW8" s="40"/>
      <c r="BA8" s="30"/>
      <c r="BB8" s="30"/>
      <c r="BD8" s="30"/>
      <c r="BE8" s="40"/>
    </row>
    <row r="9" spans="1:60" x14ac:dyDescent="0.25">
      <c r="A9" s="1">
        <v>7</v>
      </c>
      <c r="B9" s="67" t="b">
        <f>TRUE</f>
        <v>1</v>
      </c>
      <c r="C9" s="15" t="b">
        <f>TRUE</f>
        <v>1</v>
      </c>
      <c r="D9" s="1" t="s">
        <v>150</v>
      </c>
      <c r="E9" s="5">
        <f>sel_uq_q0.33ue_umax</f>
        <v>1.05</v>
      </c>
      <c r="F9" s="38">
        <v>0.7</v>
      </c>
      <c r="G9" s="38" t="b">
        <f>FALSE</f>
        <v>0</v>
      </c>
      <c r="H9" s="36" t="s">
        <v>49</v>
      </c>
      <c r="I9" s="38">
        <v>1</v>
      </c>
      <c r="J9" s="38">
        <v>-1</v>
      </c>
      <c r="K9" s="38">
        <v>0</v>
      </c>
      <c r="L9" s="39">
        <v>60</v>
      </c>
      <c r="M9" s="30" t="s">
        <v>290</v>
      </c>
      <c r="N9" s="30"/>
      <c r="P9" s="30"/>
      <c r="Q9" s="40"/>
      <c r="S9" s="5"/>
      <c r="T9" s="5"/>
      <c r="U9" s="30"/>
      <c r="V9" s="30"/>
      <c r="X9" s="30"/>
      <c r="Y9" s="40"/>
      <c r="Z9" s="5"/>
      <c r="AB9" s="5"/>
      <c r="AC9" s="30"/>
      <c r="AD9" s="30"/>
      <c r="AF9" s="30"/>
      <c r="AG9" s="40"/>
      <c r="AH9" s="62"/>
      <c r="AI9" s="62"/>
      <c r="AK9" s="30"/>
      <c r="AL9" s="30"/>
      <c r="AN9" s="30"/>
      <c r="AO9" s="40"/>
      <c r="AS9" s="30"/>
      <c r="AT9" s="30"/>
      <c r="AV9" s="30"/>
      <c r="AW9" s="40"/>
      <c r="BA9" s="30"/>
      <c r="BB9" s="30"/>
      <c r="BD9" s="30"/>
      <c r="BE9" s="40"/>
    </row>
    <row r="10" spans="1:60" x14ac:dyDescent="0.25">
      <c r="A10" s="1">
        <v>8</v>
      </c>
      <c r="B10" s="67" t="b">
        <f>TRUE</f>
        <v>1</v>
      </c>
      <c r="C10" s="15" t="b">
        <f>TRUE</f>
        <v>1</v>
      </c>
      <c r="D10" s="1" t="s">
        <v>25</v>
      </c>
      <c r="E10" s="5">
        <f t="shared" ref="E10:E30" si="0">inp_Uc/inp_Un</f>
        <v>1</v>
      </c>
      <c r="F10" s="38">
        <v>0.7</v>
      </c>
      <c r="G10" s="38" t="b">
        <f>FALSE</f>
        <v>0</v>
      </c>
      <c r="H10" s="36" t="s">
        <v>48</v>
      </c>
      <c r="I10" s="38">
        <v>0.94899999999999995</v>
      </c>
      <c r="J10" s="38">
        <f t="shared" ref="J10:J23" si="1">inp_scr_min</f>
        <v>8</v>
      </c>
      <c r="K10" s="38">
        <f t="shared" ref="K10:K23" si="2">inp_xr_min</f>
        <v>23.145098031409887</v>
      </c>
      <c r="L10" s="39">
        <v>60</v>
      </c>
      <c r="M10" s="30" t="s">
        <v>290</v>
      </c>
      <c r="N10" s="30"/>
      <c r="P10" s="30"/>
      <c r="Q10" s="40"/>
      <c r="S10" s="5"/>
      <c r="T10" s="5"/>
      <c r="U10" s="30"/>
      <c r="V10" s="30"/>
      <c r="X10" s="30"/>
      <c r="Y10" s="40"/>
      <c r="Z10" s="5"/>
      <c r="AB10" s="5"/>
      <c r="AC10" s="30"/>
      <c r="AD10" s="30"/>
      <c r="AF10" s="30"/>
      <c r="AG10" s="40"/>
      <c r="AH10" s="62"/>
      <c r="AI10" s="62"/>
      <c r="AK10" s="30"/>
      <c r="AL10" s="30"/>
      <c r="AN10" s="30"/>
      <c r="AO10" s="40"/>
      <c r="AS10" s="30"/>
      <c r="AT10" s="30"/>
      <c r="AV10" s="30"/>
      <c r="AW10" s="40"/>
      <c r="BA10" s="30"/>
      <c r="BB10" s="30"/>
      <c r="BD10" s="30"/>
      <c r="BE10" s="40"/>
    </row>
    <row r="11" spans="1:60" x14ac:dyDescent="0.25">
      <c r="A11" s="1">
        <v>9</v>
      </c>
      <c r="B11" s="67" t="b">
        <f>TRUE</f>
        <v>1</v>
      </c>
      <c r="C11" s="41" t="b">
        <f>FALSE</f>
        <v>0</v>
      </c>
      <c r="D11" s="1" t="s">
        <v>6</v>
      </c>
      <c r="E11" s="5">
        <f t="shared" si="0"/>
        <v>1</v>
      </c>
      <c r="F11" s="42">
        <v>0</v>
      </c>
      <c r="G11" s="38" t="b">
        <f>FALSE</f>
        <v>0</v>
      </c>
      <c r="H11" s="36" t="s">
        <v>51</v>
      </c>
      <c r="I11" s="42">
        <f t="shared" ref="I11:I23" si="3">IF(inp_default="Q(U)",E11,IF(inp_default="PF",1,0))</f>
        <v>0</v>
      </c>
      <c r="J11" s="38">
        <f t="shared" si="1"/>
        <v>8</v>
      </c>
      <c r="K11" s="38">
        <f t="shared" si="2"/>
        <v>23.145098031409887</v>
      </c>
      <c r="L11" s="38">
        <v>155</v>
      </c>
      <c r="M11" s="30" t="s">
        <v>223</v>
      </c>
      <c r="N11" s="30">
        <v>0</v>
      </c>
      <c r="O11" s="30">
        <v>0.5</v>
      </c>
      <c r="P11" s="30">
        <v>0</v>
      </c>
      <c r="Q11" s="40"/>
      <c r="R11" s="5"/>
      <c r="S11" s="5"/>
      <c r="T11" s="5"/>
      <c r="U11" s="30"/>
      <c r="V11" s="30"/>
      <c r="W11" s="30"/>
      <c r="X11" s="30"/>
      <c r="Y11" s="40"/>
      <c r="Z11" s="5"/>
      <c r="AA11" s="5"/>
      <c r="AB11" s="5"/>
      <c r="AC11" s="30"/>
      <c r="AD11" s="30"/>
      <c r="AE11" s="30"/>
      <c r="AF11" s="30"/>
      <c r="AG11" s="40"/>
      <c r="AH11" s="62"/>
      <c r="AK11" s="30"/>
      <c r="AL11" s="30"/>
      <c r="AM11" s="30"/>
      <c r="AN11" s="30"/>
      <c r="AO11" s="40"/>
      <c r="AS11" s="30"/>
      <c r="AT11" s="30"/>
      <c r="AU11" s="30"/>
      <c r="AV11" s="30"/>
      <c r="AW11" s="40"/>
      <c r="BA11" s="30"/>
      <c r="BB11" s="30"/>
      <c r="BC11" s="30"/>
      <c r="BD11" s="30"/>
      <c r="BE11" s="40"/>
    </row>
    <row r="12" spans="1:60" x14ac:dyDescent="0.25">
      <c r="A12" s="1">
        <v>10</v>
      </c>
      <c r="B12" s="67" t="b">
        <f>TRUE</f>
        <v>1</v>
      </c>
      <c r="C12" s="15" t="b">
        <f>TRUE</f>
        <v>1</v>
      </c>
      <c r="D12" s="1" t="s">
        <v>2</v>
      </c>
      <c r="E12" s="5">
        <f t="shared" si="0"/>
        <v>1</v>
      </c>
      <c r="F12" s="42">
        <v>0.5</v>
      </c>
      <c r="G12" s="38" t="b">
        <f>FALSE</f>
        <v>0</v>
      </c>
      <c r="H12" s="36" t="s">
        <v>51</v>
      </c>
      <c r="I12" s="42">
        <f t="shared" si="3"/>
        <v>0</v>
      </c>
      <c r="J12" s="38">
        <f t="shared" si="1"/>
        <v>8</v>
      </c>
      <c r="K12" s="38">
        <f t="shared" si="2"/>
        <v>23.145098031409887</v>
      </c>
      <c r="L12" s="38">
        <v>65</v>
      </c>
      <c r="M12" s="30" t="s">
        <v>223</v>
      </c>
      <c r="N12" s="30">
        <v>0</v>
      </c>
      <c r="O12" s="30">
        <v>0.7</v>
      </c>
      <c r="P12" s="30">
        <v>0</v>
      </c>
      <c r="Q12" s="40"/>
      <c r="R12" s="5"/>
      <c r="S12" s="5"/>
      <c r="T12" s="5"/>
      <c r="U12" s="30"/>
      <c r="V12" s="30"/>
      <c r="W12" s="30"/>
      <c r="X12" s="30"/>
      <c r="Y12" s="40"/>
      <c r="Z12" s="5"/>
      <c r="AA12" s="5"/>
      <c r="AB12" s="5"/>
      <c r="AC12" s="30"/>
      <c r="AD12" s="30"/>
      <c r="AE12" s="30"/>
      <c r="AF12" s="30"/>
      <c r="AG12" s="40"/>
      <c r="AH12" s="62"/>
      <c r="AK12" s="30"/>
      <c r="AL12" s="30"/>
      <c r="AM12" s="30"/>
      <c r="AN12" s="30"/>
      <c r="AO12" s="40"/>
      <c r="AS12" s="30"/>
      <c r="AT12" s="30"/>
      <c r="AU12" s="30"/>
      <c r="AV12" s="30"/>
      <c r="AW12" s="40"/>
      <c r="BA12" s="30"/>
      <c r="BB12" s="30"/>
      <c r="BC12" s="30"/>
      <c r="BD12" s="30"/>
      <c r="BE12" s="40"/>
    </row>
    <row r="13" spans="1:60" x14ac:dyDescent="0.25">
      <c r="A13" s="1">
        <v>11</v>
      </c>
      <c r="B13" s="67" t="b">
        <f>TRUE</f>
        <v>1</v>
      </c>
      <c r="C13" s="41" t="b">
        <f>FALSE</f>
        <v>0</v>
      </c>
      <c r="D13" s="1" t="s">
        <v>7</v>
      </c>
      <c r="E13" s="5">
        <f t="shared" si="0"/>
        <v>1</v>
      </c>
      <c r="F13" s="42">
        <v>0.7</v>
      </c>
      <c r="G13" s="38" t="b">
        <f>FALSE</f>
        <v>0</v>
      </c>
      <c r="H13" s="36" t="s">
        <v>51</v>
      </c>
      <c r="I13" s="42">
        <f t="shared" si="3"/>
        <v>0</v>
      </c>
      <c r="J13" s="38">
        <f t="shared" si="1"/>
        <v>8</v>
      </c>
      <c r="K13" s="38">
        <f t="shared" si="2"/>
        <v>23.145098031409887</v>
      </c>
      <c r="L13" s="38">
        <v>95</v>
      </c>
      <c r="M13" s="30" t="s">
        <v>223</v>
      </c>
      <c r="N13" s="30">
        <v>0</v>
      </c>
      <c r="O13" s="30">
        <v>1</v>
      </c>
      <c r="P13" s="30">
        <v>0</v>
      </c>
      <c r="Q13" s="40"/>
      <c r="R13" s="5"/>
      <c r="S13" s="5"/>
      <c r="T13" s="5"/>
      <c r="U13" s="30"/>
      <c r="V13" s="30"/>
      <c r="W13" s="30"/>
      <c r="X13" s="30"/>
      <c r="Y13" s="40"/>
      <c r="Z13" s="5"/>
      <c r="AA13" s="5"/>
      <c r="AB13" s="5"/>
      <c r="AC13" s="30"/>
      <c r="AD13" s="30"/>
      <c r="AE13" s="30"/>
      <c r="AF13" s="30"/>
      <c r="AG13" s="40"/>
      <c r="AH13" s="62"/>
      <c r="AK13" s="30"/>
      <c r="AL13" s="30"/>
      <c r="AM13" s="30"/>
      <c r="AN13" s="30"/>
      <c r="AO13" s="40"/>
      <c r="AS13" s="30"/>
      <c r="AT13" s="30"/>
      <c r="AU13" s="30"/>
      <c r="AV13" s="30"/>
      <c r="AW13" s="40"/>
      <c r="BA13" s="30"/>
      <c r="BB13" s="30"/>
      <c r="BC13" s="30"/>
      <c r="BD13" s="30"/>
      <c r="BE13" s="40"/>
    </row>
    <row r="14" spans="1:60" x14ac:dyDescent="0.25">
      <c r="A14" s="1">
        <v>12</v>
      </c>
      <c r="B14" s="67" t="b">
        <f>TRUE</f>
        <v>1</v>
      </c>
      <c r="C14" s="41" t="b">
        <f>FALSE</f>
        <v>0</v>
      </c>
      <c r="D14" s="1" t="s">
        <v>8</v>
      </c>
      <c r="E14" s="5">
        <f t="shared" si="0"/>
        <v>1</v>
      </c>
      <c r="F14" s="42">
        <v>1</v>
      </c>
      <c r="G14" s="38" t="b">
        <f>FALSE</f>
        <v>0</v>
      </c>
      <c r="H14" s="36" t="s">
        <v>51</v>
      </c>
      <c r="I14" s="42">
        <f t="shared" si="3"/>
        <v>0</v>
      </c>
      <c r="J14" s="38">
        <f t="shared" si="1"/>
        <v>8</v>
      </c>
      <c r="K14" s="38">
        <f t="shared" si="2"/>
        <v>23.145098031409887</v>
      </c>
      <c r="L14" s="38">
        <v>95</v>
      </c>
      <c r="M14" s="30" t="s">
        <v>223</v>
      </c>
      <c r="N14" s="30">
        <v>0</v>
      </c>
      <c r="O14" s="30">
        <v>0.7</v>
      </c>
      <c r="P14" s="30">
        <v>0</v>
      </c>
      <c r="Q14" s="40"/>
      <c r="R14" s="5"/>
      <c r="S14" s="5"/>
      <c r="T14" s="5"/>
      <c r="U14" s="30"/>
      <c r="V14" s="30"/>
      <c r="W14" s="30"/>
      <c r="X14" s="30"/>
      <c r="Y14" s="40"/>
      <c r="Z14" s="5"/>
      <c r="AA14" s="5"/>
      <c r="AB14" s="5"/>
      <c r="AC14" s="30"/>
      <c r="AD14" s="30"/>
      <c r="AE14" s="30"/>
      <c r="AF14" s="30"/>
      <c r="AG14" s="40"/>
      <c r="AH14" s="62"/>
      <c r="AK14" s="30"/>
      <c r="AL14" s="30"/>
      <c r="AM14" s="30"/>
      <c r="AN14" s="30"/>
      <c r="AO14" s="40"/>
      <c r="AS14" s="30"/>
      <c r="AT14" s="30"/>
      <c r="AU14" s="30"/>
      <c r="AV14" s="30"/>
      <c r="AW14" s="40"/>
      <c r="BA14" s="30"/>
      <c r="BB14" s="30"/>
      <c r="BC14" s="30"/>
      <c r="BD14" s="30"/>
      <c r="BE14" s="40"/>
    </row>
    <row r="15" spans="1:60" x14ac:dyDescent="0.25">
      <c r="A15" s="1">
        <v>13</v>
      </c>
      <c r="B15" s="67" t="b">
        <f>TRUE</f>
        <v>1</v>
      </c>
      <c r="C15" s="41" t="b">
        <f>FALSE</f>
        <v>0</v>
      </c>
      <c r="D15" s="1" t="s">
        <v>3</v>
      </c>
      <c r="E15" s="5">
        <f t="shared" si="0"/>
        <v>1</v>
      </c>
      <c r="F15" s="42">
        <v>0.7</v>
      </c>
      <c r="G15" s="38" t="b">
        <f>FALSE</f>
        <v>0</v>
      </c>
      <c r="H15" s="36" t="s">
        <v>51</v>
      </c>
      <c r="I15" s="42">
        <f t="shared" si="3"/>
        <v>0</v>
      </c>
      <c r="J15" s="38">
        <f t="shared" si="1"/>
        <v>8</v>
      </c>
      <c r="K15" s="38">
        <f t="shared" si="2"/>
        <v>23.145098031409887</v>
      </c>
      <c r="L15" s="38">
        <v>65</v>
      </c>
      <c r="M15" s="30" t="s">
        <v>223</v>
      </c>
      <c r="N15" s="30">
        <v>0</v>
      </c>
      <c r="O15" s="30">
        <v>0.5</v>
      </c>
      <c r="P15" s="30">
        <v>0</v>
      </c>
      <c r="Q15" s="40"/>
      <c r="R15" s="5"/>
      <c r="S15" s="5"/>
      <c r="T15" s="5"/>
      <c r="U15" s="30"/>
      <c r="V15" s="30"/>
      <c r="W15" s="30"/>
      <c r="X15" s="30"/>
      <c r="Y15" s="40"/>
      <c r="Z15" s="5"/>
      <c r="AA15" s="5"/>
      <c r="AB15" s="5"/>
      <c r="AC15" s="30"/>
      <c r="AD15" s="30"/>
      <c r="AE15" s="30"/>
      <c r="AF15" s="30"/>
      <c r="AG15" s="40"/>
      <c r="AH15" s="62"/>
      <c r="AK15" s="30"/>
      <c r="AL15" s="30"/>
      <c r="AM15" s="30"/>
      <c r="AN15" s="30"/>
      <c r="AO15" s="40"/>
      <c r="AS15" s="30"/>
      <c r="AT15" s="30"/>
      <c r="AU15" s="30"/>
      <c r="AV15" s="30"/>
      <c r="AW15" s="40"/>
      <c r="BA15" s="30"/>
      <c r="BB15" s="30"/>
      <c r="BC15" s="30"/>
      <c r="BD15" s="30"/>
      <c r="BE15" s="40"/>
    </row>
    <row r="16" spans="1:60" x14ac:dyDescent="0.25">
      <c r="A16" s="1">
        <v>14</v>
      </c>
      <c r="B16" s="67" t="b">
        <f>TRUE</f>
        <v>1</v>
      </c>
      <c r="C16" s="41" t="b">
        <f>FALSE</f>
        <v>0</v>
      </c>
      <c r="D16" s="1" t="s">
        <v>9</v>
      </c>
      <c r="E16" s="5">
        <f t="shared" si="0"/>
        <v>1</v>
      </c>
      <c r="F16" s="42">
        <v>0.5</v>
      </c>
      <c r="G16" s="38" t="b">
        <f>FALSE</f>
        <v>0</v>
      </c>
      <c r="H16" s="36" t="s">
        <v>51</v>
      </c>
      <c r="I16" s="42">
        <f t="shared" si="3"/>
        <v>0</v>
      </c>
      <c r="J16" s="38">
        <f t="shared" si="1"/>
        <v>8</v>
      </c>
      <c r="K16" s="38">
        <f t="shared" si="2"/>
        <v>23.145098031409887</v>
      </c>
      <c r="L16" s="38">
        <v>155</v>
      </c>
      <c r="M16" s="30" t="s">
        <v>223</v>
      </c>
      <c r="N16" s="30">
        <v>0</v>
      </c>
      <c r="O16" s="30">
        <v>0</v>
      </c>
      <c r="P16" s="30">
        <v>0</v>
      </c>
      <c r="Q16" s="40"/>
      <c r="R16" s="5"/>
      <c r="S16" s="5"/>
      <c r="T16" s="5"/>
      <c r="U16" s="30"/>
      <c r="V16" s="30"/>
      <c r="W16" s="30"/>
      <c r="X16" s="30"/>
      <c r="Y16" s="40"/>
      <c r="Z16" s="5"/>
      <c r="AA16" s="5"/>
      <c r="AB16" s="5"/>
      <c r="AC16" s="30"/>
      <c r="AD16" s="30"/>
      <c r="AE16" s="30"/>
      <c r="AF16" s="30"/>
      <c r="AG16" s="40"/>
      <c r="AH16" s="62"/>
      <c r="AK16" s="30"/>
      <c r="AL16" s="30"/>
      <c r="AM16" s="30"/>
      <c r="AN16" s="30"/>
      <c r="AO16" s="40"/>
      <c r="AS16" s="30"/>
      <c r="AT16" s="30"/>
      <c r="AU16" s="30"/>
      <c r="AV16" s="30"/>
      <c r="AW16" s="40"/>
      <c r="BA16" s="30"/>
      <c r="BB16" s="30"/>
      <c r="BC16" s="30"/>
      <c r="BD16" s="30"/>
      <c r="BE16" s="40"/>
    </row>
    <row r="17" spans="1:60" x14ac:dyDescent="0.25">
      <c r="A17" s="1">
        <v>15</v>
      </c>
      <c r="B17" s="67" t="b">
        <f>TRUE</f>
        <v>1</v>
      </c>
      <c r="C17" s="15" t="b">
        <f>TRUE</f>
        <v>1</v>
      </c>
      <c r="D17" s="1" t="s">
        <v>74</v>
      </c>
      <c r="E17" s="5">
        <f t="shared" si="0"/>
        <v>1</v>
      </c>
      <c r="F17" s="42">
        <v>0.7</v>
      </c>
      <c r="G17" s="36" t="b">
        <f>TRUE</f>
        <v>1</v>
      </c>
      <c r="H17" s="36" t="s">
        <v>51</v>
      </c>
      <c r="I17" s="42">
        <f t="shared" si="3"/>
        <v>0</v>
      </c>
      <c r="J17" s="38">
        <f t="shared" si="1"/>
        <v>8</v>
      </c>
      <c r="K17" s="38">
        <f t="shared" si="2"/>
        <v>23.145098031409887</v>
      </c>
      <c r="L17" s="38">
        <v>48</v>
      </c>
      <c r="M17" s="30" t="s">
        <v>33</v>
      </c>
      <c r="N17" s="30">
        <v>0</v>
      </c>
      <c r="O17" s="30">
        <f>MIN(50 + 50 * sel_fsm_prov/100 * sel_fsm_droop/100 + sel_fsm_db, sel_lfsmo_start - 0.001)</f>
        <v>50.199000000000005</v>
      </c>
      <c r="P17" s="30"/>
      <c r="Q17" s="40" t="s">
        <v>33</v>
      </c>
      <c r="R17" s="5">
        <v>8</v>
      </c>
      <c r="S17" s="5">
        <v>50</v>
      </c>
      <c r="T17" s="5"/>
      <c r="U17" s="30" t="s">
        <v>33</v>
      </c>
      <c r="V17" s="30">
        <v>16</v>
      </c>
      <c r="W17" s="30">
        <f>MAX(50 - 50 * sel_fsm_prov/100 * sel_fsm_droop/100 - sel_fsm_db, sel_lfsmu_start + 0.001)</f>
        <v>49.800999999999995</v>
      </c>
      <c r="X17" s="30"/>
      <c r="Y17" s="40" t="s">
        <v>33</v>
      </c>
      <c r="Z17" s="38">
        <v>24</v>
      </c>
      <c r="AA17" s="5">
        <v>50</v>
      </c>
      <c r="AB17" s="5"/>
      <c r="AC17" s="30" t="s">
        <v>33</v>
      </c>
      <c r="AD17" s="30">
        <v>32</v>
      </c>
      <c r="AE17" s="30">
        <f>MIN(50 + 50 * sel_fsm_prov/100 * sel_fsm_droop/100 * 1/2 + sel_fsm_db, sel_lfsmo_start - 0.001)</f>
        <v>50.15</v>
      </c>
      <c r="AF17" s="30"/>
      <c r="AG17" s="40" t="s">
        <v>33</v>
      </c>
      <c r="AH17" s="62">
        <v>40</v>
      </c>
      <c r="AI17" s="62">
        <f>MAX(50 - 50 * sel_fsm_prov/100 * sel_fsm_droop/100 * 1/2 - sel_fsm_db, sel_lfsmu_start + 0.001)</f>
        <v>49.85</v>
      </c>
      <c r="AK17" s="30"/>
      <c r="AL17" s="30"/>
      <c r="AM17" s="30"/>
      <c r="AN17" s="30"/>
      <c r="AO17" s="40"/>
      <c r="AS17" s="30"/>
      <c r="AT17" s="30"/>
      <c r="AU17" s="30"/>
      <c r="AV17" s="30"/>
      <c r="AW17" s="40"/>
      <c r="BA17" s="30"/>
      <c r="BB17" s="30"/>
      <c r="BC17" s="30"/>
      <c r="BD17" s="30"/>
      <c r="BE17" s="40"/>
    </row>
    <row r="18" spans="1:60" x14ac:dyDescent="0.25">
      <c r="A18" s="1">
        <v>16</v>
      </c>
      <c r="B18" s="67" t="b">
        <f>TRUE</f>
        <v>1</v>
      </c>
      <c r="C18" s="15" t="b">
        <f>TRUE</f>
        <v>1</v>
      </c>
      <c r="D18" s="1" t="s">
        <v>84</v>
      </c>
      <c r="E18" s="5">
        <f t="shared" si="0"/>
        <v>1</v>
      </c>
      <c r="F18" s="42">
        <v>0.5</v>
      </c>
      <c r="G18" s="36" t="b">
        <f>TRUE</f>
        <v>1</v>
      </c>
      <c r="H18" s="36" t="s">
        <v>51</v>
      </c>
      <c r="I18" s="42">
        <f t="shared" si="3"/>
        <v>0</v>
      </c>
      <c r="J18" s="38">
        <f t="shared" si="1"/>
        <v>8</v>
      </c>
      <c r="K18" s="38">
        <f t="shared" si="2"/>
        <v>23.145098031409887</v>
      </c>
      <c r="L18" s="38">
        <v>40</v>
      </c>
      <c r="M18" s="30" t="s">
        <v>33</v>
      </c>
      <c r="N18" s="30">
        <v>0</v>
      </c>
      <c r="O18" s="31">
        <v>50</v>
      </c>
      <c r="P18" s="30">
        <f xml:space="preserve"> ($F$18 * 50 * sel_lfsmo_droop/100 + sel_lfsmo_start - 50)/20</f>
        <v>7.2500000000000148E-2</v>
      </c>
      <c r="Q18" s="40" t="s">
        <v>33</v>
      </c>
      <c r="R18" s="5">
        <v>30</v>
      </c>
      <c r="S18" s="5">
        <v>50</v>
      </c>
      <c r="T18" s="5"/>
      <c r="U18" s="30"/>
      <c r="V18" s="30"/>
      <c r="W18" s="30"/>
      <c r="X18" s="30"/>
      <c r="Y18" s="40"/>
      <c r="Z18" s="38"/>
      <c r="AA18" s="5"/>
      <c r="AB18" s="5"/>
      <c r="AC18" s="30"/>
      <c r="AD18" s="30"/>
      <c r="AE18" s="30"/>
      <c r="AF18" s="30"/>
      <c r="AG18" s="40"/>
      <c r="AH18" s="62"/>
      <c r="AK18" s="30"/>
      <c r="AL18" s="30"/>
      <c r="AM18" s="30"/>
      <c r="AN18" s="30"/>
      <c r="AO18" s="40"/>
      <c r="AS18" s="30"/>
      <c r="AT18" s="30"/>
      <c r="AU18" s="30"/>
      <c r="AV18" s="30"/>
      <c r="AW18" s="40"/>
      <c r="BA18" s="30"/>
      <c r="BB18" s="30"/>
      <c r="BC18" s="30"/>
      <c r="BD18" s="30"/>
      <c r="BE18" s="40"/>
    </row>
    <row r="19" spans="1:60" x14ac:dyDescent="0.25">
      <c r="A19" s="1">
        <v>17</v>
      </c>
      <c r="B19" s="67" t="b">
        <f>TRUE</f>
        <v>1</v>
      </c>
      <c r="C19" s="15" t="b">
        <f>TRUE</f>
        <v>1</v>
      </c>
      <c r="D19" s="1" t="s">
        <v>85</v>
      </c>
      <c r="E19" s="5">
        <f t="shared" si="0"/>
        <v>1</v>
      </c>
      <c r="F19" s="42">
        <v>0.5</v>
      </c>
      <c r="G19" s="36" t="b">
        <f>TRUE</f>
        <v>1</v>
      </c>
      <c r="H19" s="36" t="s">
        <v>51</v>
      </c>
      <c r="I19" s="42">
        <f t="shared" si="3"/>
        <v>0</v>
      </c>
      <c r="J19" s="38">
        <f t="shared" si="1"/>
        <v>8</v>
      </c>
      <c r="K19" s="38">
        <f t="shared" si="2"/>
        <v>23.145098031409887</v>
      </c>
      <c r="L19" s="38">
        <v>40</v>
      </c>
      <c r="M19" s="30" t="s">
        <v>33</v>
      </c>
      <c r="N19" s="30">
        <v>0</v>
      </c>
      <c r="O19" s="31">
        <v>50</v>
      </c>
      <c r="P19" s="30">
        <f xml:space="preserve"> (-(1-$F$19) * 50 * sel_lfsmu_droop/100 + sel_lfsmu_start - 50)/20</f>
        <v>-7.2500000000000148E-2</v>
      </c>
      <c r="Q19" s="40" t="s">
        <v>33</v>
      </c>
      <c r="R19" s="5">
        <v>30</v>
      </c>
      <c r="S19" s="5">
        <v>50</v>
      </c>
      <c r="T19" s="5"/>
      <c r="U19" s="30"/>
      <c r="V19" s="30"/>
      <c r="W19" s="30"/>
      <c r="X19" s="30"/>
      <c r="Y19" s="40"/>
      <c r="Z19" s="38"/>
      <c r="AA19" s="5"/>
      <c r="AB19" s="5"/>
      <c r="AC19" s="30"/>
      <c r="AD19" s="30"/>
      <c r="AE19" s="30"/>
      <c r="AF19" s="30"/>
      <c r="AG19" s="40"/>
      <c r="AH19" s="62"/>
      <c r="AK19" s="30"/>
      <c r="AL19" s="30"/>
      <c r="AM19" s="30"/>
      <c r="AN19" s="30"/>
      <c r="AO19" s="40"/>
      <c r="AS19" s="30"/>
      <c r="AT19" s="30"/>
      <c r="AU19" s="30"/>
      <c r="AV19" s="30"/>
      <c r="AW19" s="40"/>
      <c r="BA19" s="30"/>
      <c r="BB19" s="30"/>
      <c r="BC19" s="30"/>
      <c r="BD19" s="30"/>
      <c r="BE19" s="40"/>
    </row>
    <row r="20" spans="1:60" s="12" customFormat="1" x14ac:dyDescent="0.25">
      <c r="A20" s="1">
        <v>18</v>
      </c>
      <c r="B20" s="67" t="b">
        <f>TRUE</f>
        <v>1</v>
      </c>
      <c r="C20" s="15" t="b">
        <f>TRUE</f>
        <v>1</v>
      </c>
      <c r="D20" s="1" t="s">
        <v>73</v>
      </c>
      <c r="E20" s="5">
        <f t="shared" si="0"/>
        <v>1</v>
      </c>
      <c r="F20" s="42">
        <v>0.7</v>
      </c>
      <c r="G20" s="36" t="b">
        <f>TRUE</f>
        <v>1</v>
      </c>
      <c r="H20" s="36" t="s">
        <v>51</v>
      </c>
      <c r="I20" s="42">
        <f t="shared" si="3"/>
        <v>0</v>
      </c>
      <c r="J20" s="38">
        <f t="shared" si="1"/>
        <v>8</v>
      </c>
      <c r="K20" s="38">
        <f t="shared" si="2"/>
        <v>23.145098031409887</v>
      </c>
      <c r="L20" s="38"/>
      <c r="M20" s="30" t="s">
        <v>230</v>
      </c>
      <c r="N20" s="30"/>
      <c r="O20" s="53" t="s">
        <v>301</v>
      </c>
      <c r="P20" s="30">
        <v>1</v>
      </c>
      <c r="Q20" s="40" t="s">
        <v>223</v>
      </c>
      <c r="R20" s="5">
        <v>1</v>
      </c>
      <c r="S20" s="5">
        <v>0</v>
      </c>
      <c r="T20" s="5">
        <v>0</v>
      </c>
      <c r="U20" s="30"/>
      <c r="V20" s="30"/>
      <c r="W20" s="30"/>
      <c r="X20" s="30"/>
      <c r="Y20" s="40"/>
      <c r="Z20" s="38"/>
      <c r="AA20" s="5"/>
      <c r="AB20" s="5"/>
      <c r="AC20" s="30"/>
      <c r="AD20" s="30"/>
      <c r="AE20" s="30"/>
      <c r="AF20" s="30"/>
      <c r="AG20" s="40"/>
      <c r="AH20" s="62"/>
      <c r="AI20" s="59"/>
      <c r="AJ20" s="59"/>
      <c r="AK20" s="30"/>
      <c r="AL20" s="30"/>
      <c r="AM20" s="30"/>
      <c r="AN20" s="30"/>
      <c r="AO20" s="40"/>
      <c r="AP20" s="1"/>
      <c r="AQ20" s="1"/>
      <c r="AR20" s="1"/>
      <c r="AS20" s="30"/>
      <c r="AT20" s="30"/>
      <c r="AU20" s="30"/>
      <c r="AV20" s="30"/>
      <c r="AW20" s="40"/>
      <c r="AX20" s="1"/>
      <c r="AY20" s="1"/>
      <c r="AZ20" s="1"/>
      <c r="BA20" s="30"/>
      <c r="BB20" s="30"/>
      <c r="BC20" s="30"/>
      <c r="BD20" s="30"/>
      <c r="BE20" s="40"/>
      <c r="BF20" s="1"/>
      <c r="BG20" s="1"/>
      <c r="BH20" s="1"/>
    </row>
    <row r="21" spans="1:60" x14ac:dyDescent="0.25">
      <c r="A21" s="1">
        <v>19</v>
      </c>
      <c r="B21" s="67" t="b">
        <f>TRUE</f>
        <v>1</v>
      </c>
      <c r="C21" s="15" t="b">
        <f>TRUE</f>
        <v>1</v>
      </c>
      <c r="D21" s="1" t="s">
        <v>10</v>
      </c>
      <c r="E21" s="5">
        <f t="shared" si="0"/>
        <v>1</v>
      </c>
      <c r="F21" s="42">
        <v>0.5</v>
      </c>
      <c r="G21" s="38" t="b">
        <f>FALSE</f>
        <v>0</v>
      </c>
      <c r="H21" s="36" t="s">
        <v>51</v>
      </c>
      <c r="I21" s="42">
        <f t="shared" si="3"/>
        <v>0</v>
      </c>
      <c r="J21" s="38">
        <f t="shared" si="1"/>
        <v>8</v>
      </c>
      <c r="K21" s="38">
        <f t="shared" si="2"/>
        <v>23.145098031409887</v>
      </c>
      <c r="L21" s="38">
        <v>60</v>
      </c>
      <c r="M21" s="30" t="s">
        <v>33</v>
      </c>
      <c r="N21" s="30">
        <v>0</v>
      </c>
      <c r="O21" s="30">
        <f>0.1 * 50 * sel_lfsmo_droop/100 + sel_lfsmo_start</f>
        <v>50.45</v>
      </c>
      <c r="P21" s="30"/>
      <c r="Q21" s="40" t="s">
        <v>33</v>
      </c>
      <c r="R21" s="5">
        <v>8</v>
      </c>
      <c r="S21" s="5">
        <v>50</v>
      </c>
      <c r="T21" s="5"/>
      <c r="U21" s="30" t="s">
        <v>33</v>
      </c>
      <c r="V21" s="30">
        <v>16</v>
      </c>
      <c r="W21" s="30">
        <f>-0.1 * 50 * sel_lfsmu_droop/100 + sel_lfsmu_start</f>
        <v>49.55</v>
      </c>
      <c r="X21" s="30"/>
      <c r="Y21" s="40" t="s">
        <v>33</v>
      </c>
      <c r="Z21" s="38">
        <v>24</v>
      </c>
      <c r="AA21" s="5">
        <v>50</v>
      </c>
      <c r="AB21" s="5"/>
      <c r="AC21" s="30" t="s">
        <v>33</v>
      </c>
      <c r="AD21" s="30">
        <v>32</v>
      </c>
      <c r="AE21" s="30">
        <f>$F$21 * 50 * sel_lfsmu_droop/100 + sel_lfsmu_start</f>
        <v>51.05</v>
      </c>
      <c r="AF21" s="30"/>
      <c r="AG21" s="40" t="s">
        <v>33</v>
      </c>
      <c r="AH21" s="62">
        <v>46</v>
      </c>
      <c r="AI21" s="62">
        <f>(1-$F$21) * 50 * sel_lfsmo_droop/100 + sel_lfsmo_start</f>
        <v>51.45</v>
      </c>
      <c r="AK21" s="30"/>
      <c r="AL21" s="30"/>
      <c r="AM21" s="30"/>
      <c r="AN21" s="30"/>
      <c r="AO21" s="40"/>
      <c r="AS21" s="30"/>
      <c r="AT21" s="30"/>
      <c r="AU21" s="30"/>
      <c r="AV21" s="30"/>
      <c r="AW21" s="40"/>
      <c r="BA21" s="30"/>
      <c r="BB21" s="30"/>
      <c r="BC21" s="30"/>
      <c r="BD21" s="30"/>
      <c r="BE21" s="40"/>
    </row>
    <row r="22" spans="1:60" x14ac:dyDescent="0.25">
      <c r="A22" s="1">
        <v>20</v>
      </c>
      <c r="B22" s="67" t="b">
        <f>TRUE</f>
        <v>1</v>
      </c>
      <c r="C22" s="15" t="b">
        <f>TRUE</f>
        <v>1</v>
      </c>
      <c r="D22" s="1" t="s">
        <v>190</v>
      </c>
      <c r="E22" s="5">
        <f t="shared" si="0"/>
        <v>1</v>
      </c>
      <c r="F22" s="42">
        <v>0.5</v>
      </c>
      <c r="G22" s="36" t="b">
        <v>0</v>
      </c>
      <c r="H22" s="36" t="s">
        <v>51</v>
      </c>
      <c r="I22" s="42">
        <f t="shared" si="3"/>
        <v>0</v>
      </c>
      <c r="J22" s="38">
        <f t="shared" si="1"/>
        <v>8</v>
      </c>
      <c r="K22" s="38">
        <f t="shared" si="2"/>
        <v>23.145098031409887</v>
      </c>
      <c r="L22" s="38">
        <v>40</v>
      </c>
      <c r="M22" s="30" t="s">
        <v>33</v>
      </c>
      <c r="N22" s="30">
        <v>0</v>
      </c>
      <c r="P22" s="30">
        <f xml:space="preserve"> (sel_30min_fmax-50)/20</f>
        <v>7.4999999999999997E-2</v>
      </c>
      <c r="Q22" s="40" t="s">
        <v>33</v>
      </c>
      <c r="R22" s="5">
        <v>20</v>
      </c>
      <c r="S22" s="5"/>
      <c r="T22" s="5">
        <v>0</v>
      </c>
      <c r="U22" s="30" t="s">
        <v>223</v>
      </c>
      <c r="V22" s="30">
        <v>2</v>
      </c>
      <c r="W22" s="30">
        <v>1</v>
      </c>
      <c r="X22" s="30"/>
      <c r="Y22" s="40"/>
      <c r="Z22" s="38"/>
      <c r="AA22" s="5"/>
      <c r="AB22" s="5"/>
      <c r="AC22" s="30"/>
      <c r="AD22" s="30"/>
      <c r="AE22" s="30"/>
      <c r="AF22" s="30"/>
      <c r="AG22" s="40"/>
      <c r="AH22" s="62"/>
      <c r="AK22" s="30"/>
      <c r="AL22" s="30"/>
      <c r="AM22" s="30"/>
      <c r="AN22" s="30"/>
      <c r="AO22" s="40"/>
      <c r="AS22" s="30"/>
      <c r="AT22" s="30"/>
      <c r="AU22" s="30"/>
      <c r="AV22" s="30"/>
      <c r="AW22" s="40"/>
      <c r="BA22" s="30"/>
      <c r="BB22" s="30"/>
      <c r="BC22" s="30"/>
      <c r="BD22" s="30"/>
      <c r="BE22" s="40"/>
    </row>
    <row r="23" spans="1:60" x14ac:dyDescent="0.25">
      <c r="A23" s="1">
        <v>21</v>
      </c>
      <c r="B23" s="67" t="b">
        <f>TRUE</f>
        <v>1</v>
      </c>
      <c r="C23" s="15" t="b">
        <f>TRUE</f>
        <v>1</v>
      </c>
      <c r="D23" s="1" t="s">
        <v>86</v>
      </c>
      <c r="E23" s="5">
        <f t="shared" si="0"/>
        <v>1</v>
      </c>
      <c r="F23" s="42">
        <v>0.5</v>
      </c>
      <c r="G23" s="36" t="b">
        <v>0</v>
      </c>
      <c r="H23" s="36" t="s">
        <v>51</v>
      </c>
      <c r="I23" s="42">
        <f t="shared" si="3"/>
        <v>0</v>
      </c>
      <c r="J23" s="38">
        <f t="shared" si="1"/>
        <v>8</v>
      </c>
      <c r="K23" s="38">
        <f t="shared" si="2"/>
        <v>23.145098031409887</v>
      </c>
      <c r="L23" s="38">
        <v>40</v>
      </c>
      <c r="M23" s="30" t="s">
        <v>33</v>
      </c>
      <c r="N23" s="30">
        <v>0</v>
      </c>
      <c r="P23" s="30">
        <f xml:space="preserve"> (sel_30min_fmin-50)/20</f>
        <v>-0.125</v>
      </c>
      <c r="Q23" s="40" t="s">
        <v>33</v>
      </c>
      <c r="R23" s="5">
        <v>20</v>
      </c>
      <c r="S23" s="5"/>
      <c r="T23" s="5">
        <v>0</v>
      </c>
      <c r="U23" s="30"/>
      <c r="V23" s="30"/>
      <c r="W23" s="30"/>
      <c r="X23" s="30"/>
      <c r="Y23" s="40"/>
      <c r="Z23" s="38"/>
      <c r="AA23" s="5"/>
      <c r="AB23" s="5"/>
      <c r="AC23" s="30"/>
      <c r="AD23" s="30"/>
      <c r="AE23" s="30"/>
      <c r="AF23" s="30"/>
      <c r="AG23" s="40"/>
      <c r="AH23" s="62"/>
      <c r="AK23" s="30"/>
      <c r="AL23" s="30"/>
      <c r="AM23" s="30"/>
      <c r="AN23" s="30"/>
      <c r="AO23" s="40"/>
      <c r="AS23" s="30"/>
      <c r="AT23" s="30"/>
      <c r="AU23" s="30"/>
      <c r="AV23" s="30"/>
      <c r="AW23" s="40"/>
      <c r="BA23" s="30"/>
      <c r="BB23" s="30"/>
      <c r="BC23" s="30"/>
      <c r="BD23" s="30"/>
      <c r="BE23" s="40"/>
    </row>
    <row r="24" spans="1:60" x14ac:dyDescent="0.25">
      <c r="A24" s="1">
        <v>22</v>
      </c>
      <c r="B24" s="67" t="b">
        <f>TRUE</f>
        <v>1</v>
      </c>
      <c r="C24" s="15" t="b">
        <f>TRUE</f>
        <v>1</v>
      </c>
      <c r="D24" s="1" t="s">
        <v>12</v>
      </c>
      <c r="E24" s="5">
        <f t="shared" si="0"/>
        <v>1</v>
      </c>
      <c r="F24" s="42">
        <v>1</v>
      </c>
      <c r="G24" s="38" t="b">
        <f>FALSE</f>
        <v>0</v>
      </c>
      <c r="H24" s="36" t="s">
        <v>47</v>
      </c>
      <c r="I24" s="42">
        <v>0</v>
      </c>
      <c r="J24" s="38">
        <v>-1</v>
      </c>
      <c r="K24" s="38">
        <v>0</v>
      </c>
      <c r="L24" s="38">
        <v>50</v>
      </c>
      <c r="M24" s="30" t="s">
        <v>158</v>
      </c>
      <c r="N24" s="30">
        <v>0</v>
      </c>
      <c r="O24" s="30">
        <f>sel_uq_q0_umax</f>
        <v>1.05</v>
      </c>
      <c r="P24" s="30"/>
      <c r="Q24" s="40"/>
      <c r="R24" s="21"/>
      <c r="S24" s="21"/>
      <c r="T24" s="21"/>
      <c r="U24" s="30"/>
      <c r="V24" s="30"/>
      <c r="W24" s="30"/>
      <c r="X24" s="30"/>
      <c r="Y24" s="40"/>
      <c r="Z24" s="38"/>
      <c r="AA24" s="5"/>
      <c r="AB24" s="5"/>
      <c r="AC24" s="30"/>
      <c r="AD24" s="30"/>
      <c r="AE24" s="30"/>
      <c r="AF24" s="30"/>
      <c r="AG24" s="40"/>
      <c r="AH24" s="62"/>
      <c r="AK24" s="30"/>
      <c r="AL24" s="30"/>
      <c r="AM24" s="30"/>
      <c r="AN24" s="30"/>
      <c r="AO24" s="40"/>
      <c r="AS24" s="30"/>
      <c r="AT24" s="30"/>
      <c r="AU24" s="30"/>
      <c r="AV24" s="30"/>
      <c r="AW24" s="40"/>
      <c r="BA24" s="30"/>
      <c r="BB24" s="30"/>
      <c r="BC24" s="30"/>
      <c r="BD24" s="30"/>
      <c r="BE24" s="40"/>
    </row>
    <row r="25" spans="1:60" x14ac:dyDescent="0.25">
      <c r="A25" s="1">
        <v>23</v>
      </c>
      <c r="B25" s="67" t="b">
        <f>TRUE</f>
        <v>1</v>
      </c>
      <c r="C25" s="15" t="b">
        <f>TRUE</f>
        <v>1</v>
      </c>
      <c r="D25" s="1" t="s">
        <v>13</v>
      </c>
      <c r="E25" s="5">
        <f t="shared" si="0"/>
        <v>1</v>
      </c>
      <c r="F25" s="42">
        <v>1</v>
      </c>
      <c r="G25" s="38" t="b">
        <f>FALSE</f>
        <v>0</v>
      </c>
      <c r="H25" s="36" t="s">
        <v>47</v>
      </c>
      <c r="I25" s="42">
        <v>0</v>
      </c>
      <c r="J25" s="38">
        <v>-1</v>
      </c>
      <c r="K25" s="38">
        <v>0</v>
      </c>
      <c r="L25" s="38">
        <v>50</v>
      </c>
      <c r="M25" s="30" t="s">
        <v>158</v>
      </c>
      <c r="N25" s="30">
        <v>0</v>
      </c>
      <c r="O25" s="30">
        <f>sel_uq_q0_umin</f>
        <v>0.9</v>
      </c>
      <c r="P25" s="30"/>
      <c r="Q25" s="40"/>
      <c r="R25" s="21"/>
      <c r="S25" s="21"/>
      <c r="T25" s="21"/>
      <c r="U25" s="30"/>
      <c r="V25" s="30"/>
      <c r="W25" s="30"/>
      <c r="X25" s="30"/>
      <c r="Y25" s="40"/>
      <c r="Z25" s="38"/>
      <c r="AA25" s="5"/>
      <c r="AB25" s="5"/>
      <c r="AC25" s="30"/>
      <c r="AD25" s="30"/>
      <c r="AE25" s="30"/>
      <c r="AF25" s="30"/>
      <c r="AG25" s="40"/>
      <c r="AH25" s="62"/>
      <c r="AK25" s="30"/>
      <c r="AL25" s="30"/>
      <c r="AM25" s="30"/>
      <c r="AN25" s="30"/>
      <c r="AO25" s="40"/>
      <c r="AS25" s="30"/>
      <c r="AT25" s="30"/>
      <c r="AU25" s="30"/>
      <c r="AV25" s="30"/>
      <c r="AW25" s="40"/>
      <c r="BA25" s="30"/>
      <c r="BB25" s="30"/>
      <c r="BC25" s="30"/>
      <c r="BD25" s="30"/>
      <c r="BE25" s="40"/>
    </row>
    <row r="26" spans="1:60" x14ac:dyDescent="0.25">
      <c r="A26" s="1">
        <v>24</v>
      </c>
      <c r="B26" s="67" t="b">
        <f>TRUE</f>
        <v>1</v>
      </c>
      <c r="C26" s="15" t="b">
        <f>TRUE</f>
        <v>1</v>
      </c>
      <c r="D26" s="1" t="s">
        <v>14</v>
      </c>
      <c r="E26" s="5">
        <f t="shared" si="0"/>
        <v>1</v>
      </c>
      <c r="F26" s="42">
        <v>1</v>
      </c>
      <c r="G26" s="38" t="b">
        <f>FALSE</f>
        <v>0</v>
      </c>
      <c r="H26" s="36" t="s">
        <v>47</v>
      </c>
      <c r="I26" s="42">
        <v>-0.33</v>
      </c>
      <c r="J26" s="38">
        <v>-1</v>
      </c>
      <c r="K26" s="38">
        <v>0</v>
      </c>
      <c r="L26" s="38">
        <v>50</v>
      </c>
      <c r="M26" s="30" t="s">
        <v>158</v>
      </c>
      <c r="N26" s="30">
        <v>0</v>
      </c>
      <c r="O26" s="30">
        <f>sel_uq_q0.33ue_umax</f>
        <v>1.05</v>
      </c>
      <c r="P26" s="30"/>
      <c r="Q26" s="40"/>
      <c r="R26" s="21"/>
      <c r="S26" s="21"/>
      <c r="T26" s="21"/>
      <c r="U26" s="30"/>
      <c r="V26" s="30"/>
      <c r="W26" s="30"/>
      <c r="X26" s="30"/>
      <c r="Y26" s="40"/>
      <c r="Z26" s="38"/>
      <c r="AA26" s="5"/>
      <c r="AB26" s="5"/>
      <c r="AC26" s="30"/>
      <c r="AD26" s="30"/>
      <c r="AE26" s="30"/>
      <c r="AF26" s="30"/>
      <c r="AG26" s="40"/>
      <c r="AH26" s="62"/>
      <c r="AK26" s="30"/>
      <c r="AL26" s="30"/>
      <c r="AM26" s="30"/>
      <c r="AN26" s="30"/>
      <c r="AO26" s="40"/>
      <c r="AS26" s="30"/>
      <c r="AT26" s="30"/>
      <c r="AU26" s="30"/>
      <c r="AV26" s="30"/>
      <c r="AW26" s="40"/>
      <c r="BA26" s="30"/>
      <c r="BB26" s="30"/>
      <c r="BC26" s="30"/>
      <c r="BD26" s="30"/>
      <c r="BE26" s="40"/>
    </row>
    <row r="27" spans="1:60" x14ac:dyDescent="0.25">
      <c r="A27" s="1">
        <v>25</v>
      </c>
      <c r="B27" s="67" t="b">
        <f>TRUE</f>
        <v>1</v>
      </c>
      <c r="C27" s="15" t="b">
        <f>TRUE</f>
        <v>1</v>
      </c>
      <c r="D27" s="1" t="s">
        <v>15</v>
      </c>
      <c r="E27" s="5">
        <f t="shared" si="0"/>
        <v>1</v>
      </c>
      <c r="F27" s="42">
        <v>1</v>
      </c>
      <c r="G27" s="38" t="b">
        <f>FALSE</f>
        <v>0</v>
      </c>
      <c r="H27" s="36" t="s">
        <v>47</v>
      </c>
      <c r="I27" s="42">
        <v>-0.33</v>
      </c>
      <c r="J27" s="38">
        <v>-1</v>
      </c>
      <c r="K27" s="38">
        <v>0</v>
      </c>
      <c r="L27" s="38">
        <v>50</v>
      </c>
      <c r="M27" s="30" t="s">
        <v>158</v>
      </c>
      <c r="N27" s="30">
        <v>0</v>
      </c>
      <c r="O27" s="30">
        <f>sel_uq_q0.33ue_umin</f>
        <v>0.96</v>
      </c>
      <c r="P27" s="30"/>
      <c r="Q27" s="40"/>
      <c r="R27" s="21"/>
      <c r="S27" s="21"/>
      <c r="T27" s="21"/>
      <c r="U27" s="30"/>
      <c r="V27" s="30"/>
      <c r="W27" s="30"/>
      <c r="X27" s="30"/>
      <c r="Y27" s="40"/>
      <c r="Z27" s="38"/>
      <c r="AA27" s="5"/>
      <c r="AB27" s="5"/>
      <c r="AC27" s="30"/>
      <c r="AD27" s="30"/>
      <c r="AE27" s="30"/>
      <c r="AF27" s="30"/>
      <c r="AG27" s="40"/>
      <c r="AH27" s="62"/>
      <c r="AK27" s="30"/>
      <c r="AL27" s="30"/>
      <c r="AM27" s="30"/>
      <c r="AN27" s="30"/>
      <c r="AO27" s="40"/>
      <c r="AS27" s="30"/>
      <c r="AT27" s="30"/>
      <c r="AU27" s="30"/>
      <c r="AV27" s="30"/>
      <c r="AW27" s="40"/>
      <c r="BA27" s="30"/>
      <c r="BB27" s="30"/>
      <c r="BC27" s="30"/>
      <c r="BD27" s="30"/>
      <c r="BE27" s="40"/>
    </row>
    <row r="28" spans="1:60" x14ac:dyDescent="0.25">
      <c r="A28" s="1">
        <v>26</v>
      </c>
      <c r="B28" s="67" t="b">
        <f>TRUE</f>
        <v>1</v>
      </c>
      <c r="C28" s="15" t="b">
        <f>TRUE</f>
        <v>1</v>
      </c>
      <c r="D28" s="1" t="s">
        <v>16</v>
      </c>
      <c r="E28" s="5">
        <f t="shared" si="0"/>
        <v>1</v>
      </c>
      <c r="F28" s="42">
        <v>1</v>
      </c>
      <c r="G28" s="38" t="b">
        <f>FALSE</f>
        <v>0</v>
      </c>
      <c r="H28" s="36" t="s">
        <v>47</v>
      </c>
      <c r="I28" s="42">
        <v>0.33</v>
      </c>
      <c r="J28" s="38">
        <v>-1</v>
      </c>
      <c r="K28" s="38">
        <v>0</v>
      </c>
      <c r="L28" s="38">
        <v>50</v>
      </c>
      <c r="M28" s="30" t="s">
        <v>158</v>
      </c>
      <c r="N28" s="30">
        <v>0</v>
      </c>
      <c r="O28" s="30">
        <f>sel_uq_q0.33_umax</f>
        <v>1.04</v>
      </c>
      <c r="P28" s="30"/>
      <c r="Q28" s="40"/>
      <c r="R28" s="21"/>
      <c r="S28" s="21"/>
      <c r="T28" s="21"/>
      <c r="U28" s="30"/>
      <c r="V28" s="30"/>
      <c r="W28" s="30"/>
      <c r="X28" s="30"/>
      <c r="Y28" s="40"/>
      <c r="Z28" s="38"/>
      <c r="AA28" s="5"/>
      <c r="AB28" s="5"/>
      <c r="AC28" s="30"/>
      <c r="AD28" s="30"/>
      <c r="AE28" s="30"/>
      <c r="AF28" s="30"/>
      <c r="AG28" s="40"/>
      <c r="AH28" s="62"/>
      <c r="AK28" s="30"/>
      <c r="AL28" s="30"/>
      <c r="AM28" s="30"/>
      <c r="AN28" s="30"/>
      <c r="AO28" s="40"/>
      <c r="AS28" s="30"/>
      <c r="AT28" s="30"/>
      <c r="AU28" s="30"/>
      <c r="AV28" s="30"/>
      <c r="AW28" s="40"/>
      <c r="BA28" s="30"/>
      <c r="BB28" s="30"/>
      <c r="BC28" s="30"/>
      <c r="BD28" s="30"/>
      <c r="BE28" s="40"/>
    </row>
    <row r="29" spans="1:60" x14ac:dyDescent="0.25">
      <c r="A29" s="1">
        <v>27</v>
      </c>
      <c r="B29" s="67" t="b">
        <f>TRUE</f>
        <v>1</v>
      </c>
      <c r="C29" s="15" t="b">
        <f>TRUE</f>
        <v>1</v>
      </c>
      <c r="D29" s="1" t="s">
        <v>17</v>
      </c>
      <c r="E29" s="5">
        <f t="shared" si="0"/>
        <v>1</v>
      </c>
      <c r="F29" s="42">
        <v>1</v>
      </c>
      <c r="G29" s="38" t="b">
        <f>FALSE</f>
        <v>0</v>
      </c>
      <c r="H29" s="36" t="s">
        <v>47</v>
      </c>
      <c r="I29" s="42">
        <v>0.33</v>
      </c>
      <c r="J29" s="38">
        <v>-1</v>
      </c>
      <c r="K29" s="38">
        <v>0</v>
      </c>
      <c r="L29" s="38">
        <v>50</v>
      </c>
      <c r="M29" s="30" t="s">
        <v>158</v>
      </c>
      <c r="N29" s="30">
        <v>0</v>
      </c>
      <c r="O29" s="30">
        <f>sel_uq_q0.33_umin</f>
        <v>0.9</v>
      </c>
      <c r="P29" s="30"/>
      <c r="Q29" s="40"/>
      <c r="R29" s="21"/>
      <c r="S29" s="21"/>
      <c r="T29" s="21"/>
      <c r="U29" s="30"/>
      <c r="V29" s="30"/>
      <c r="W29" s="30"/>
      <c r="X29" s="30"/>
      <c r="Y29" s="40"/>
      <c r="Z29" s="38"/>
      <c r="AA29" s="5"/>
      <c r="AB29" s="5"/>
      <c r="AC29" s="30"/>
      <c r="AD29" s="30"/>
      <c r="AE29" s="30"/>
      <c r="AF29" s="30"/>
      <c r="AG29" s="40"/>
      <c r="AH29" s="62"/>
      <c r="AK29" s="30"/>
      <c r="AL29" s="30"/>
      <c r="AM29" s="30"/>
      <c r="AN29" s="30"/>
      <c r="AO29" s="40"/>
      <c r="AS29" s="30"/>
      <c r="AT29" s="30"/>
      <c r="AU29" s="30"/>
      <c r="AV29" s="30"/>
      <c r="AW29" s="40"/>
      <c r="BA29" s="30"/>
      <c r="BB29" s="30"/>
      <c r="BC29" s="30"/>
      <c r="BD29" s="30"/>
      <c r="BE29" s="40"/>
    </row>
    <row r="30" spans="1:60" x14ac:dyDescent="0.25">
      <c r="A30" s="1">
        <v>28</v>
      </c>
      <c r="B30" s="67" t="b">
        <f>TRUE</f>
        <v>1</v>
      </c>
      <c r="C30" s="41" t="b">
        <v>1</v>
      </c>
      <c r="D30" s="1" t="s">
        <v>107</v>
      </c>
      <c r="E30" s="5">
        <f t="shared" si="0"/>
        <v>1</v>
      </c>
      <c r="F30" s="42">
        <v>1</v>
      </c>
      <c r="G30" s="38" t="b">
        <f>FALSE</f>
        <v>0</v>
      </c>
      <c r="H30" s="36" t="s">
        <v>49</v>
      </c>
      <c r="I30" s="42">
        <v>1</v>
      </c>
      <c r="J30" s="38">
        <v>-1</v>
      </c>
      <c r="K30" s="38">
        <v>0</v>
      </c>
      <c r="L30" s="38">
        <v>30</v>
      </c>
      <c r="M30" s="30" t="s">
        <v>158</v>
      </c>
      <c r="N30" s="30">
        <v>0</v>
      </c>
      <c r="O30" s="30">
        <f>sel_uq_q0.33ue_umax</f>
        <v>1.05</v>
      </c>
      <c r="P30" s="30"/>
      <c r="Q30" s="40"/>
      <c r="R30" s="5"/>
      <c r="S30" s="5"/>
      <c r="T30" s="21"/>
      <c r="U30" s="30"/>
      <c r="V30" s="30"/>
      <c r="W30" s="30"/>
      <c r="X30" s="30"/>
      <c r="Y30" s="40"/>
      <c r="Z30" s="38"/>
      <c r="AA30" s="5"/>
      <c r="AB30" s="5"/>
      <c r="AC30" s="30"/>
      <c r="AD30" s="30"/>
      <c r="AE30" s="30"/>
      <c r="AF30" s="30"/>
      <c r="AG30" s="40"/>
      <c r="AH30" s="62"/>
      <c r="AK30" s="30"/>
      <c r="AL30" s="30"/>
      <c r="AM30" s="30"/>
      <c r="AN30" s="30"/>
      <c r="AO30" s="40"/>
      <c r="AS30" s="30"/>
      <c r="AT30" s="30"/>
      <c r="AU30" s="30"/>
      <c r="AV30" s="30"/>
      <c r="AW30" s="40"/>
      <c r="BA30" s="30"/>
      <c r="BB30" s="30"/>
      <c r="BC30" s="30"/>
      <c r="BD30" s="30"/>
      <c r="BE30" s="40"/>
    </row>
    <row r="31" spans="1:60" x14ac:dyDescent="0.25">
      <c r="A31" s="1">
        <v>29</v>
      </c>
      <c r="B31" s="67" t="b">
        <f>TRUE</f>
        <v>1</v>
      </c>
      <c r="C31" s="41" t="b">
        <f>$O31&gt;$E31</f>
        <v>1</v>
      </c>
      <c r="D31" s="1" t="s">
        <v>108</v>
      </c>
      <c r="E31" s="5">
        <f>O30</f>
        <v>1.05</v>
      </c>
      <c r="F31" s="42">
        <v>1</v>
      </c>
      <c r="G31" s="38" t="b">
        <f>FALSE</f>
        <v>0</v>
      </c>
      <c r="H31" s="36" t="s">
        <v>49</v>
      </c>
      <c r="I31" s="42">
        <v>1</v>
      </c>
      <c r="J31" s="38">
        <v>-1</v>
      </c>
      <c r="K31" s="38">
        <v>0</v>
      </c>
      <c r="L31" s="38">
        <v>30</v>
      </c>
      <c r="M31" s="30" t="s">
        <v>158</v>
      </c>
      <c r="N31" s="30">
        <v>0</v>
      </c>
      <c r="O31" s="30">
        <f>sel_contop_umax</f>
        <v>1.1000000000000001</v>
      </c>
      <c r="P31" s="30"/>
      <c r="Q31" s="40"/>
      <c r="R31" s="5"/>
      <c r="S31" s="5"/>
      <c r="T31" s="21"/>
      <c r="U31" s="30"/>
      <c r="V31" s="30"/>
      <c r="W31" s="30"/>
      <c r="X31" s="30"/>
      <c r="Y31" s="40"/>
      <c r="Z31" s="38"/>
      <c r="AA31" s="5"/>
      <c r="AB31" s="5"/>
      <c r="AC31" s="30"/>
      <c r="AD31" s="30"/>
      <c r="AE31" s="30"/>
      <c r="AF31" s="30"/>
      <c r="AG31" s="40"/>
      <c r="AH31" s="62"/>
      <c r="AK31" s="30"/>
      <c r="AL31" s="30"/>
      <c r="AM31" s="30"/>
      <c r="AN31" s="30"/>
      <c r="AO31" s="40"/>
      <c r="AS31" s="30"/>
      <c r="AT31" s="30"/>
      <c r="AU31" s="30"/>
      <c r="AV31" s="30"/>
      <c r="AW31" s="40"/>
      <c r="BA31" s="30"/>
      <c r="BB31" s="30"/>
      <c r="BC31" s="30"/>
      <c r="BD31" s="30"/>
      <c r="BE31" s="40"/>
    </row>
    <row r="32" spans="1:60" x14ac:dyDescent="0.25">
      <c r="A32" s="1">
        <v>30</v>
      </c>
      <c r="B32" s="67" t="b">
        <f>TRUE</f>
        <v>1</v>
      </c>
      <c r="C32" s="41" t="b">
        <f>$O32&gt;$E32</f>
        <v>0</v>
      </c>
      <c r="D32" s="1" t="s">
        <v>109</v>
      </c>
      <c r="E32" s="5">
        <f>O31</f>
        <v>1.1000000000000001</v>
      </c>
      <c r="F32" s="42">
        <v>1</v>
      </c>
      <c r="G32" s="38" t="b">
        <f>FALSE</f>
        <v>0</v>
      </c>
      <c r="H32" s="36" t="s">
        <v>49</v>
      </c>
      <c r="I32" s="42">
        <v>1</v>
      </c>
      <c r="J32" s="38">
        <v>-1</v>
      </c>
      <c r="K32" s="38">
        <v>0</v>
      </c>
      <c r="L32" s="38">
        <v>30</v>
      </c>
      <c r="M32" s="30" t="s">
        <v>158</v>
      </c>
      <c r="N32" s="30">
        <v>0</v>
      </c>
      <c r="O32" s="30">
        <f>sel_60min_umax</f>
        <v>1.1000000000000001</v>
      </c>
      <c r="P32" s="30"/>
      <c r="Q32" s="40"/>
      <c r="R32" s="5"/>
      <c r="S32" s="5"/>
      <c r="T32" s="21"/>
      <c r="U32" s="30"/>
      <c r="V32" s="30"/>
      <c r="W32" s="30"/>
      <c r="X32" s="30"/>
      <c r="Y32" s="40"/>
      <c r="Z32" s="38"/>
      <c r="AA32" s="5"/>
      <c r="AB32" s="5"/>
      <c r="AC32" s="30"/>
      <c r="AD32" s="30"/>
      <c r="AE32" s="30"/>
      <c r="AF32" s="30"/>
      <c r="AG32" s="40"/>
      <c r="AH32" s="62"/>
      <c r="AK32" s="30"/>
      <c r="AL32" s="30"/>
      <c r="AM32" s="30"/>
      <c r="AN32" s="30"/>
      <c r="AO32" s="40"/>
      <c r="AS32" s="30"/>
      <c r="AT32" s="30"/>
      <c r="AU32" s="30"/>
      <c r="AV32" s="30"/>
      <c r="AW32" s="40"/>
      <c r="BA32" s="30"/>
      <c r="BB32" s="30"/>
      <c r="BC32" s="30"/>
      <c r="BD32" s="30"/>
      <c r="BE32" s="40"/>
    </row>
    <row r="33" spans="1:57" x14ac:dyDescent="0.25">
      <c r="A33" s="1">
        <v>31</v>
      </c>
      <c r="B33" s="67" t="b">
        <f>TRUE</f>
        <v>1</v>
      </c>
      <c r="C33" s="41" t="b">
        <v>1</v>
      </c>
      <c r="D33" s="1" t="s">
        <v>110</v>
      </c>
      <c r="E33" s="5">
        <f>inp_Uc/inp_Un</f>
        <v>1</v>
      </c>
      <c r="F33" s="42">
        <v>1</v>
      </c>
      <c r="G33" s="38" t="b">
        <f>FALSE</f>
        <v>0</v>
      </c>
      <c r="H33" s="36" t="s">
        <v>49</v>
      </c>
      <c r="I33" s="42">
        <v>1</v>
      </c>
      <c r="J33" s="38">
        <v>-1</v>
      </c>
      <c r="K33" s="38">
        <v>0</v>
      </c>
      <c r="L33" s="38">
        <v>30</v>
      </c>
      <c r="M33" s="30" t="s">
        <v>158</v>
      </c>
      <c r="N33" s="30">
        <v>0</v>
      </c>
      <c r="O33" s="30">
        <f>sel_uq_q0.33_umin</f>
        <v>0.9</v>
      </c>
      <c r="P33" s="30"/>
      <c r="Q33" s="40"/>
      <c r="R33" s="5"/>
      <c r="S33" s="5"/>
      <c r="T33" s="21"/>
      <c r="U33" s="30"/>
      <c r="V33" s="30"/>
      <c r="W33" s="30"/>
      <c r="X33" s="30"/>
      <c r="Y33" s="40"/>
      <c r="Z33" s="38"/>
      <c r="AA33" s="5"/>
      <c r="AB33" s="5"/>
      <c r="AC33" s="30"/>
      <c r="AD33" s="30"/>
      <c r="AE33" s="30"/>
      <c r="AF33" s="30"/>
      <c r="AG33" s="40"/>
      <c r="AH33" s="62"/>
      <c r="AK33" s="30"/>
      <c r="AL33" s="30"/>
      <c r="AM33" s="30"/>
      <c r="AN33" s="30"/>
      <c r="AO33" s="40"/>
      <c r="AS33" s="30"/>
      <c r="AT33" s="30"/>
      <c r="AU33" s="30"/>
      <c r="AV33" s="30"/>
      <c r="AW33" s="40"/>
      <c r="BA33" s="30"/>
      <c r="BB33" s="30"/>
      <c r="BC33" s="30"/>
      <c r="BD33" s="30"/>
      <c r="BE33" s="40"/>
    </row>
    <row r="34" spans="1:57" x14ac:dyDescent="0.25">
      <c r="A34" s="1">
        <v>32</v>
      </c>
      <c r="B34" s="67" t="b">
        <f>TRUE</f>
        <v>1</v>
      </c>
      <c r="C34" s="41" t="b">
        <f>$O34&lt;$E34</f>
        <v>0</v>
      </c>
      <c r="D34" s="1" t="s">
        <v>111</v>
      </c>
      <c r="E34" s="5">
        <f>O33</f>
        <v>0.9</v>
      </c>
      <c r="F34" s="42">
        <v>1</v>
      </c>
      <c r="G34" s="38" t="b">
        <f>FALSE</f>
        <v>0</v>
      </c>
      <c r="H34" s="36" t="s">
        <v>49</v>
      </c>
      <c r="I34" s="42">
        <v>1</v>
      </c>
      <c r="J34" s="38">
        <v>-1</v>
      </c>
      <c r="K34" s="38">
        <v>0</v>
      </c>
      <c r="L34" s="38">
        <v>30</v>
      </c>
      <c r="M34" s="30" t="s">
        <v>158</v>
      </c>
      <c r="N34" s="30">
        <v>0</v>
      </c>
      <c r="O34" s="30">
        <f>sel_contop_umin</f>
        <v>0.9</v>
      </c>
      <c r="P34" s="30"/>
      <c r="Q34" s="40"/>
      <c r="R34" s="5"/>
      <c r="S34" s="5"/>
      <c r="T34" s="21"/>
      <c r="U34" s="30"/>
      <c r="V34" s="30"/>
      <c r="W34" s="30"/>
      <c r="X34" s="30"/>
      <c r="Y34" s="40"/>
      <c r="Z34" s="38"/>
      <c r="AA34" s="5"/>
      <c r="AB34" s="5"/>
      <c r="AC34" s="30"/>
      <c r="AD34" s="30"/>
      <c r="AE34" s="30"/>
      <c r="AF34" s="30"/>
      <c r="AG34" s="40"/>
      <c r="AH34" s="62"/>
      <c r="AK34" s="30"/>
      <c r="AL34" s="30"/>
      <c r="AM34" s="30"/>
      <c r="AN34" s="30"/>
      <c r="AO34" s="40"/>
      <c r="AS34" s="30"/>
      <c r="AT34" s="30"/>
      <c r="AU34" s="30"/>
      <c r="AV34" s="30"/>
      <c r="AW34" s="40"/>
      <c r="BA34" s="30"/>
      <c r="BB34" s="30"/>
      <c r="BC34" s="30"/>
      <c r="BD34" s="30"/>
      <c r="BE34" s="40"/>
    </row>
    <row r="35" spans="1:57" x14ac:dyDescent="0.25">
      <c r="A35" s="1">
        <v>33</v>
      </c>
      <c r="B35" s="67" t="b">
        <f>TRUE</f>
        <v>1</v>
      </c>
      <c r="C35" s="41" t="b">
        <f>$O35&lt;$E35</f>
        <v>0</v>
      </c>
      <c r="D35" s="1" t="s">
        <v>112</v>
      </c>
      <c r="E35" s="5">
        <f>O34</f>
        <v>0.9</v>
      </c>
      <c r="F35" s="42">
        <v>1</v>
      </c>
      <c r="G35" s="38" t="b">
        <f>FALSE</f>
        <v>0</v>
      </c>
      <c r="H35" s="36" t="s">
        <v>49</v>
      </c>
      <c r="I35" s="42">
        <v>1</v>
      </c>
      <c r="J35" s="38">
        <v>-1</v>
      </c>
      <c r="K35" s="38">
        <v>0</v>
      </c>
      <c r="L35" s="38">
        <v>30</v>
      </c>
      <c r="M35" s="30" t="s">
        <v>158</v>
      </c>
      <c r="N35" s="30">
        <v>0</v>
      </c>
      <c r="O35" s="30">
        <f>sel_60min_umin</f>
        <v>0.9</v>
      </c>
      <c r="P35" s="30"/>
      <c r="Q35" s="40"/>
      <c r="R35" s="5"/>
      <c r="S35" s="5"/>
      <c r="T35" s="21"/>
      <c r="U35" s="30"/>
      <c r="V35" s="30"/>
      <c r="W35" s="30"/>
      <c r="X35" s="30"/>
      <c r="Y35" s="40"/>
      <c r="Z35" s="38"/>
      <c r="AA35" s="5"/>
      <c r="AB35" s="5"/>
      <c r="AC35" s="30"/>
      <c r="AD35" s="30"/>
      <c r="AE35" s="30"/>
      <c r="AF35" s="30"/>
      <c r="AG35" s="40"/>
      <c r="AH35" s="62"/>
      <c r="AK35" s="30"/>
      <c r="AL35" s="30"/>
      <c r="AM35" s="30"/>
      <c r="AN35" s="30"/>
      <c r="AO35" s="40"/>
      <c r="AS35" s="30"/>
      <c r="AT35" s="30"/>
      <c r="AU35" s="30"/>
      <c r="AV35" s="30"/>
      <c r="AW35" s="40"/>
      <c r="BA35" s="30"/>
      <c r="BB35" s="30"/>
      <c r="BC35" s="30"/>
      <c r="BD35" s="30"/>
      <c r="BE35" s="40"/>
    </row>
    <row r="36" spans="1:57" x14ac:dyDescent="0.25">
      <c r="A36" s="1">
        <v>34</v>
      </c>
      <c r="B36" s="67" t="b">
        <f>TRUE</f>
        <v>1</v>
      </c>
      <c r="C36" s="41" t="b">
        <v>1</v>
      </c>
      <c r="D36" s="1" t="s">
        <v>113</v>
      </c>
      <c r="E36" s="5">
        <f>inp_Uc/inp_Un</f>
        <v>1</v>
      </c>
      <c r="F36" s="42">
        <v>1</v>
      </c>
      <c r="G36" s="38" t="b">
        <f>FALSE</f>
        <v>0</v>
      </c>
      <c r="H36" s="36" t="s">
        <v>47</v>
      </c>
      <c r="I36" s="42">
        <v>0</v>
      </c>
      <c r="J36" s="38">
        <v>-1</v>
      </c>
      <c r="K36" s="38">
        <v>0</v>
      </c>
      <c r="L36" s="38">
        <v>30</v>
      </c>
      <c r="M36" s="30" t="s">
        <v>158</v>
      </c>
      <c r="N36" s="30">
        <v>0</v>
      </c>
      <c r="O36" s="30">
        <f>sel_uq_q0.33ue_umax</f>
        <v>1.05</v>
      </c>
      <c r="P36" s="30"/>
      <c r="Q36" s="40"/>
      <c r="R36" s="5"/>
      <c r="S36" s="5"/>
      <c r="T36" s="21"/>
      <c r="U36" s="30"/>
      <c r="V36" s="30"/>
      <c r="W36" s="30"/>
      <c r="X36" s="30"/>
      <c r="Y36" s="40"/>
      <c r="Z36" s="38"/>
      <c r="AA36" s="5"/>
      <c r="AB36" s="5"/>
      <c r="AC36" s="30"/>
      <c r="AD36" s="30"/>
      <c r="AE36" s="30"/>
      <c r="AF36" s="30"/>
      <c r="AG36" s="40"/>
      <c r="AH36" s="62"/>
      <c r="AK36" s="30"/>
      <c r="AL36" s="30"/>
      <c r="AM36" s="30"/>
      <c r="AN36" s="30"/>
      <c r="AO36" s="40"/>
      <c r="AS36" s="30"/>
      <c r="AT36" s="30"/>
      <c r="AU36" s="30"/>
      <c r="AV36" s="30"/>
      <c r="AW36" s="40"/>
      <c r="BA36" s="30"/>
      <c r="BB36" s="30"/>
      <c r="BC36" s="30"/>
      <c r="BD36" s="30"/>
      <c r="BE36" s="40"/>
    </row>
    <row r="37" spans="1:57" x14ac:dyDescent="0.25">
      <c r="A37" s="1">
        <v>35</v>
      </c>
      <c r="B37" s="67" t="b">
        <f>TRUE</f>
        <v>1</v>
      </c>
      <c r="C37" s="41" t="b">
        <f>$O37&gt;$E37</f>
        <v>1</v>
      </c>
      <c r="D37" s="1" t="s">
        <v>114</v>
      </c>
      <c r="E37" s="5">
        <f>O36</f>
        <v>1.05</v>
      </c>
      <c r="F37" s="42">
        <v>1</v>
      </c>
      <c r="G37" s="38" t="b">
        <f>FALSE</f>
        <v>0</v>
      </c>
      <c r="H37" s="36" t="s">
        <v>47</v>
      </c>
      <c r="I37" s="42">
        <v>0</v>
      </c>
      <c r="J37" s="38">
        <v>-1</v>
      </c>
      <c r="K37" s="38">
        <v>0</v>
      </c>
      <c r="L37" s="38">
        <v>30</v>
      </c>
      <c r="M37" s="30" t="s">
        <v>158</v>
      </c>
      <c r="N37" s="30">
        <v>0</v>
      </c>
      <c r="O37" s="30">
        <f>sel_contop_umax</f>
        <v>1.1000000000000001</v>
      </c>
      <c r="P37" s="30"/>
      <c r="Q37" s="40"/>
      <c r="R37" s="5"/>
      <c r="S37" s="5"/>
      <c r="T37" s="21"/>
      <c r="U37" s="30"/>
      <c r="V37" s="30"/>
      <c r="W37" s="30"/>
      <c r="X37" s="30"/>
      <c r="Y37" s="40"/>
      <c r="Z37" s="38"/>
      <c r="AA37" s="5"/>
      <c r="AB37" s="5"/>
      <c r="AC37" s="30"/>
      <c r="AD37" s="30"/>
      <c r="AE37" s="30"/>
      <c r="AF37" s="30"/>
      <c r="AG37" s="40"/>
      <c r="AH37" s="62"/>
      <c r="AK37" s="30"/>
      <c r="AL37" s="30"/>
      <c r="AM37" s="30"/>
      <c r="AN37" s="30"/>
      <c r="AO37" s="40"/>
      <c r="AS37" s="30"/>
      <c r="AT37" s="30"/>
      <c r="AU37" s="30"/>
      <c r="AV37" s="30"/>
      <c r="AW37" s="40"/>
      <c r="BA37" s="30"/>
      <c r="BB37" s="30"/>
      <c r="BC37" s="30"/>
      <c r="BD37" s="30"/>
      <c r="BE37" s="40"/>
    </row>
    <row r="38" spans="1:57" x14ac:dyDescent="0.25">
      <c r="A38" s="1">
        <v>36</v>
      </c>
      <c r="B38" s="67" t="b">
        <f>TRUE</f>
        <v>1</v>
      </c>
      <c r="C38" s="41" t="b">
        <f>$O38&gt;$E38</f>
        <v>0</v>
      </c>
      <c r="D38" s="1" t="s">
        <v>115</v>
      </c>
      <c r="E38" s="5">
        <f>O37</f>
        <v>1.1000000000000001</v>
      </c>
      <c r="F38" s="42">
        <v>1</v>
      </c>
      <c r="G38" s="38" t="b">
        <f>FALSE</f>
        <v>0</v>
      </c>
      <c r="H38" s="36" t="s">
        <v>47</v>
      </c>
      <c r="I38" s="42">
        <v>0</v>
      </c>
      <c r="J38" s="38">
        <v>-1</v>
      </c>
      <c r="K38" s="38">
        <v>0</v>
      </c>
      <c r="L38" s="38">
        <v>30</v>
      </c>
      <c r="M38" s="30" t="s">
        <v>158</v>
      </c>
      <c r="N38" s="30">
        <v>0</v>
      </c>
      <c r="O38" s="30">
        <f>sel_60min_umax</f>
        <v>1.1000000000000001</v>
      </c>
      <c r="P38" s="30"/>
      <c r="Q38" s="40"/>
      <c r="R38" s="5"/>
      <c r="S38" s="5"/>
      <c r="T38" s="21"/>
      <c r="U38" s="30"/>
      <c r="V38" s="30"/>
      <c r="W38" s="30"/>
      <c r="X38" s="30"/>
      <c r="Y38" s="40"/>
      <c r="Z38" s="38"/>
      <c r="AA38" s="5"/>
      <c r="AB38" s="5"/>
      <c r="AC38" s="30"/>
      <c r="AD38" s="30"/>
      <c r="AE38" s="30"/>
      <c r="AF38" s="30"/>
      <c r="AG38" s="40"/>
      <c r="AH38" s="62"/>
      <c r="AK38" s="30"/>
      <c r="AL38" s="30"/>
      <c r="AM38" s="30"/>
      <c r="AN38" s="30"/>
      <c r="AO38" s="40"/>
      <c r="AS38" s="30"/>
      <c r="AT38" s="30"/>
      <c r="AU38" s="30"/>
      <c r="AV38" s="30"/>
      <c r="AW38" s="40"/>
      <c r="BA38" s="30"/>
      <c r="BB38" s="30"/>
      <c r="BC38" s="30"/>
      <c r="BD38" s="30"/>
      <c r="BE38" s="40"/>
    </row>
    <row r="39" spans="1:57" x14ac:dyDescent="0.25">
      <c r="A39" s="1">
        <v>37</v>
      </c>
      <c r="B39" s="67" t="b">
        <f>TRUE</f>
        <v>1</v>
      </c>
      <c r="C39" s="41" t="b">
        <v>1</v>
      </c>
      <c r="D39" s="1" t="s">
        <v>116</v>
      </c>
      <c r="E39" s="5">
        <f>inp_Uc/inp_Un</f>
        <v>1</v>
      </c>
      <c r="F39" s="42">
        <v>1</v>
      </c>
      <c r="G39" s="38" t="b">
        <f>FALSE</f>
        <v>0</v>
      </c>
      <c r="H39" s="36" t="s">
        <v>47</v>
      </c>
      <c r="I39" s="42">
        <v>0</v>
      </c>
      <c r="J39" s="38">
        <v>-1</v>
      </c>
      <c r="K39" s="38">
        <v>0</v>
      </c>
      <c r="L39" s="38">
        <v>30</v>
      </c>
      <c r="M39" s="30" t="s">
        <v>158</v>
      </c>
      <c r="N39" s="30">
        <v>0</v>
      </c>
      <c r="O39" s="30">
        <f>sel_uq_q0.33_umin</f>
        <v>0.9</v>
      </c>
      <c r="P39" s="30"/>
      <c r="Q39" s="40"/>
      <c r="R39" s="5"/>
      <c r="S39" s="5"/>
      <c r="T39" s="21"/>
      <c r="U39" s="30"/>
      <c r="V39" s="30"/>
      <c r="W39" s="30"/>
      <c r="X39" s="30"/>
      <c r="Y39" s="40"/>
      <c r="Z39" s="38"/>
      <c r="AA39" s="5"/>
      <c r="AB39" s="5"/>
      <c r="AC39" s="30"/>
      <c r="AD39" s="30"/>
      <c r="AE39" s="30"/>
      <c r="AF39" s="30"/>
      <c r="AG39" s="40"/>
      <c r="AH39" s="62"/>
      <c r="AK39" s="30"/>
      <c r="AL39" s="30"/>
      <c r="AM39" s="30"/>
      <c r="AN39" s="30"/>
      <c r="AO39" s="40"/>
      <c r="AS39" s="30"/>
      <c r="AT39" s="30"/>
      <c r="AU39" s="30"/>
      <c r="AV39" s="30"/>
      <c r="AW39" s="40"/>
      <c r="BA39" s="30"/>
      <c r="BB39" s="30"/>
      <c r="BC39" s="30"/>
      <c r="BD39" s="30"/>
      <c r="BE39" s="40"/>
    </row>
    <row r="40" spans="1:57" x14ac:dyDescent="0.25">
      <c r="A40" s="1">
        <v>38</v>
      </c>
      <c r="B40" s="67" t="b">
        <f>TRUE</f>
        <v>1</v>
      </c>
      <c r="C40" s="41" t="b">
        <f>$O40&lt;$E40</f>
        <v>0</v>
      </c>
      <c r="D40" s="1" t="s">
        <v>117</v>
      </c>
      <c r="E40" s="5">
        <f>O39</f>
        <v>0.9</v>
      </c>
      <c r="F40" s="42">
        <v>1</v>
      </c>
      <c r="G40" s="38" t="b">
        <f>FALSE</f>
        <v>0</v>
      </c>
      <c r="H40" s="36" t="s">
        <v>47</v>
      </c>
      <c r="I40" s="42">
        <v>0</v>
      </c>
      <c r="J40" s="38">
        <v>-1</v>
      </c>
      <c r="K40" s="38">
        <v>0</v>
      </c>
      <c r="L40" s="38">
        <v>30</v>
      </c>
      <c r="M40" s="30" t="s">
        <v>158</v>
      </c>
      <c r="N40" s="30">
        <v>0</v>
      </c>
      <c r="O40" s="30">
        <f>sel_contop_umin</f>
        <v>0.9</v>
      </c>
      <c r="P40" s="30"/>
      <c r="Q40" s="40"/>
      <c r="R40" s="5"/>
      <c r="S40" s="5"/>
      <c r="T40" s="21"/>
      <c r="U40" s="30"/>
      <c r="V40" s="30"/>
      <c r="W40" s="30"/>
      <c r="X40" s="30"/>
      <c r="Y40" s="40"/>
      <c r="Z40" s="38"/>
      <c r="AA40" s="5"/>
      <c r="AB40" s="5"/>
      <c r="AC40" s="30"/>
      <c r="AD40" s="30"/>
      <c r="AE40" s="30"/>
      <c r="AF40" s="30"/>
      <c r="AG40" s="40"/>
      <c r="AH40" s="62"/>
      <c r="AK40" s="30"/>
      <c r="AL40" s="30"/>
      <c r="AM40" s="30"/>
      <c r="AN40" s="30"/>
      <c r="AO40" s="40"/>
      <c r="AS40" s="30"/>
      <c r="AT40" s="30"/>
      <c r="AU40" s="30"/>
      <c r="AV40" s="30"/>
      <c r="AW40" s="40"/>
      <c r="BA40" s="30"/>
      <c r="BB40" s="30"/>
      <c r="BC40" s="30"/>
      <c r="BD40" s="30"/>
      <c r="BE40" s="40"/>
    </row>
    <row r="41" spans="1:57" x14ac:dyDescent="0.25">
      <c r="A41" s="1">
        <v>39</v>
      </c>
      <c r="B41" s="67" t="b">
        <f>TRUE</f>
        <v>1</v>
      </c>
      <c r="C41" s="41" t="b">
        <f>$O41&lt;$E41</f>
        <v>0</v>
      </c>
      <c r="D41" s="1" t="s">
        <v>118</v>
      </c>
      <c r="E41" s="5">
        <f>O40</f>
        <v>0.9</v>
      </c>
      <c r="F41" s="42">
        <v>1</v>
      </c>
      <c r="G41" s="38" t="b">
        <f>FALSE</f>
        <v>0</v>
      </c>
      <c r="H41" s="36" t="s">
        <v>47</v>
      </c>
      <c r="I41" s="42">
        <v>0</v>
      </c>
      <c r="J41" s="38">
        <v>-1</v>
      </c>
      <c r="K41" s="38">
        <v>0</v>
      </c>
      <c r="L41" s="38">
        <v>30</v>
      </c>
      <c r="M41" s="30" t="s">
        <v>158</v>
      </c>
      <c r="N41" s="30">
        <v>0</v>
      </c>
      <c r="O41" s="30">
        <f>sel_60min_umin</f>
        <v>0.9</v>
      </c>
      <c r="P41" s="30"/>
      <c r="Q41" s="40"/>
      <c r="R41" s="5"/>
      <c r="S41" s="5"/>
      <c r="T41" s="21"/>
      <c r="U41" s="30"/>
      <c r="V41" s="30"/>
      <c r="W41" s="30"/>
      <c r="X41" s="30"/>
      <c r="Y41" s="40"/>
      <c r="Z41" s="38"/>
      <c r="AA41" s="5"/>
      <c r="AB41" s="5"/>
      <c r="AC41" s="30"/>
      <c r="AD41" s="30"/>
      <c r="AE41" s="30"/>
      <c r="AF41" s="30"/>
      <c r="AG41" s="40"/>
      <c r="AH41" s="62"/>
      <c r="AK41" s="30"/>
      <c r="AL41" s="30"/>
      <c r="AM41" s="30"/>
      <c r="AN41" s="30"/>
      <c r="AO41" s="40"/>
      <c r="AS41" s="30"/>
      <c r="AT41" s="30"/>
      <c r="AU41" s="30"/>
      <c r="AV41" s="30"/>
      <c r="AW41" s="40"/>
      <c r="BA41" s="30"/>
      <c r="BB41" s="30"/>
      <c r="BC41" s="30"/>
      <c r="BD41" s="30"/>
      <c r="BE41" s="40"/>
    </row>
    <row r="42" spans="1:57" x14ac:dyDescent="0.25">
      <c r="A42" s="1">
        <v>40</v>
      </c>
      <c r="B42" s="67" t="b">
        <f>TRUE</f>
        <v>1</v>
      </c>
      <c r="C42" s="41" t="b">
        <v>0</v>
      </c>
      <c r="D42" s="1" t="s">
        <v>19</v>
      </c>
      <c r="E42" s="5">
        <f t="shared" ref="E42:E56" si="4">inp_Uc/inp_Un</f>
        <v>1</v>
      </c>
      <c r="F42" s="42">
        <v>1</v>
      </c>
      <c r="G42" s="38" t="b">
        <f>FALSE</f>
        <v>0</v>
      </c>
      <c r="H42" s="36" t="s">
        <v>47</v>
      </c>
      <c r="I42" s="42">
        <v>0.33</v>
      </c>
      <c r="J42" s="38">
        <v>-1</v>
      </c>
      <c r="K42" s="38">
        <v>0</v>
      </c>
      <c r="L42" s="38">
        <v>300</v>
      </c>
      <c r="M42" s="30" t="s">
        <v>223</v>
      </c>
      <c r="N42" s="30">
        <v>0</v>
      </c>
      <c r="O42" s="30">
        <v>0</v>
      </c>
      <c r="P42" s="30"/>
      <c r="Q42" s="40"/>
      <c r="R42" s="21"/>
      <c r="S42" s="21"/>
      <c r="T42" s="10"/>
      <c r="U42" s="30"/>
      <c r="V42" s="30"/>
      <c r="W42" s="30"/>
      <c r="X42" s="30"/>
      <c r="Y42" s="40"/>
      <c r="Z42" s="38"/>
      <c r="AA42" s="5"/>
      <c r="AB42" s="5"/>
      <c r="AC42" s="30"/>
      <c r="AD42" s="30"/>
      <c r="AE42" s="30"/>
      <c r="AF42" s="30"/>
      <c r="AG42" s="40"/>
      <c r="AH42" s="62"/>
      <c r="AK42" s="30"/>
      <c r="AL42" s="30"/>
      <c r="AM42" s="30"/>
      <c r="AN42" s="30"/>
      <c r="AO42" s="40"/>
      <c r="AS42" s="30"/>
      <c r="AT42" s="30"/>
      <c r="AU42" s="30"/>
      <c r="AV42" s="30"/>
      <c r="AW42" s="40"/>
      <c r="BA42" s="30"/>
      <c r="BB42" s="30"/>
      <c r="BC42" s="30"/>
      <c r="BD42" s="30"/>
      <c r="BE42" s="40"/>
    </row>
    <row r="43" spans="1:57" x14ac:dyDescent="0.25">
      <c r="A43" s="1">
        <v>41</v>
      </c>
      <c r="B43" s="67" t="b">
        <f>TRUE</f>
        <v>1</v>
      </c>
      <c r="C43" s="41" t="b">
        <v>0</v>
      </c>
      <c r="D43" s="1" t="s">
        <v>18</v>
      </c>
      <c r="E43" s="5">
        <f t="shared" si="4"/>
        <v>1</v>
      </c>
      <c r="F43" s="42">
        <v>1</v>
      </c>
      <c r="G43" s="38" t="b">
        <f>FALSE</f>
        <v>0</v>
      </c>
      <c r="H43" s="36" t="s">
        <v>47</v>
      </c>
      <c r="I43" s="42">
        <v>-0.33</v>
      </c>
      <c r="J43" s="38">
        <v>-1</v>
      </c>
      <c r="K43" s="38">
        <v>0</v>
      </c>
      <c r="L43" s="38">
        <v>300</v>
      </c>
      <c r="M43" s="30" t="s">
        <v>223</v>
      </c>
      <c r="N43" s="30">
        <v>0</v>
      </c>
      <c r="O43" s="30">
        <v>0</v>
      </c>
      <c r="P43" s="30"/>
      <c r="Q43" s="40"/>
      <c r="R43" s="21"/>
      <c r="S43" s="21"/>
      <c r="T43" s="10"/>
      <c r="U43" s="30"/>
      <c r="V43" s="30"/>
      <c r="W43" s="30"/>
      <c r="X43" s="30"/>
      <c r="Y43" s="40"/>
      <c r="Z43" s="38"/>
      <c r="AA43" s="5"/>
      <c r="AB43" s="5"/>
      <c r="AC43" s="30"/>
      <c r="AD43" s="30"/>
      <c r="AE43" s="30"/>
      <c r="AF43" s="30"/>
      <c r="AG43" s="40"/>
      <c r="AH43" s="62"/>
      <c r="AK43" s="30"/>
      <c r="AL43" s="30"/>
      <c r="AM43" s="30"/>
      <c r="AN43" s="30"/>
      <c r="AO43" s="40"/>
      <c r="AS43" s="30"/>
      <c r="AT43" s="30"/>
      <c r="AU43" s="30"/>
      <c r="AV43" s="30"/>
      <c r="AW43" s="40"/>
      <c r="BA43" s="30"/>
      <c r="BB43" s="30"/>
      <c r="BC43" s="30"/>
      <c r="BD43" s="30"/>
      <c r="BE43" s="40"/>
    </row>
    <row r="44" spans="1:57" x14ac:dyDescent="0.25">
      <c r="A44" s="1">
        <v>42</v>
      </c>
      <c r="B44" s="67" t="b">
        <f>TRUE</f>
        <v>1</v>
      </c>
      <c r="C44" s="41" t="b">
        <v>1</v>
      </c>
      <c r="D44" s="1" t="s">
        <v>119</v>
      </c>
      <c r="E44" s="5">
        <f t="shared" si="4"/>
        <v>1</v>
      </c>
      <c r="F44" s="42">
        <v>1</v>
      </c>
      <c r="G44" s="38" t="b">
        <f>FALSE</f>
        <v>0</v>
      </c>
      <c r="H44" s="36" t="s">
        <v>47</v>
      </c>
      <c r="I44" s="42">
        <v>0</v>
      </c>
      <c r="J44" s="38">
        <f>inp_scr_min</f>
        <v>8</v>
      </c>
      <c r="K44" s="38">
        <f>inp_xr_min</f>
        <v>23.145098031409887</v>
      </c>
      <c r="L44" s="38">
        <v>30</v>
      </c>
      <c r="M44" s="30" t="s">
        <v>224</v>
      </c>
      <c r="N44" s="30">
        <v>0</v>
      </c>
      <c r="O44" s="30">
        <v>0.15</v>
      </c>
      <c r="P44" s="30"/>
      <c r="Q44" s="40" t="s">
        <v>224</v>
      </c>
      <c r="R44" s="5">
        <v>15</v>
      </c>
      <c r="S44" s="5">
        <v>0.33</v>
      </c>
      <c r="T44" s="21"/>
      <c r="U44" s="30"/>
      <c r="V44" s="30"/>
      <c r="W44" s="30"/>
      <c r="X44" s="30"/>
      <c r="Y44" s="40"/>
      <c r="Z44" s="38"/>
      <c r="AA44" s="5"/>
      <c r="AB44" s="5"/>
      <c r="AC44" s="30"/>
      <c r="AD44" s="30"/>
      <c r="AE44" s="30"/>
      <c r="AF44" s="30"/>
      <c r="AG44" s="40"/>
      <c r="AH44" s="62"/>
      <c r="AK44" s="30"/>
      <c r="AL44" s="30"/>
      <c r="AM44" s="30"/>
      <c r="AN44" s="30"/>
      <c r="AO44" s="40"/>
      <c r="AS44" s="30"/>
      <c r="AT44" s="30"/>
      <c r="AU44" s="30"/>
      <c r="AV44" s="30"/>
      <c r="AW44" s="40"/>
      <c r="BA44" s="30"/>
      <c r="BB44" s="30"/>
      <c r="BC44" s="30"/>
      <c r="BD44" s="30"/>
      <c r="BE44" s="40"/>
    </row>
    <row r="45" spans="1:57" x14ac:dyDescent="0.25">
      <c r="A45" s="1">
        <v>43</v>
      </c>
      <c r="B45" s="67" t="b">
        <f>TRUE</f>
        <v>1</v>
      </c>
      <c r="C45" s="41" t="b">
        <v>1</v>
      </c>
      <c r="D45" s="1" t="s">
        <v>120</v>
      </c>
      <c r="E45" s="5">
        <f t="shared" si="4"/>
        <v>1</v>
      </c>
      <c r="F45" s="42">
        <v>1</v>
      </c>
      <c r="G45" s="38" t="b">
        <f>FALSE</f>
        <v>0</v>
      </c>
      <c r="H45" s="36" t="s">
        <v>47</v>
      </c>
      <c r="I45" s="42">
        <v>0.33</v>
      </c>
      <c r="J45" s="38">
        <f>inp_scr_min</f>
        <v>8</v>
      </c>
      <c r="K45" s="38">
        <f>inp_xr_min</f>
        <v>23.145098031409887</v>
      </c>
      <c r="L45" s="38">
        <v>30</v>
      </c>
      <c r="M45" s="30" t="s">
        <v>224</v>
      </c>
      <c r="N45" s="30">
        <v>0</v>
      </c>
      <c r="O45" s="30">
        <v>-0.15</v>
      </c>
      <c r="P45" s="30"/>
      <c r="Q45" s="40" t="s">
        <v>224</v>
      </c>
      <c r="R45" s="5">
        <v>15</v>
      </c>
      <c r="S45" s="5">
        <v>-0.33</v>
      </c>
      <c r="T45" s="21"/>
      <c r="U45" s="30"/>
      <c r="V45" s="30"/>
      <c r="W45" s="30"/>
      <c r="X45" s="30"/>
      <c r="Y45" s="40"/>
      <c r="Z45" s="38"/>
      <c r="AA45" s="5"/>
      <c r="AB45" s="5"/>
      <c r="AC45" s="30"/>
      <c r="AD45" s="30"/>
      <c r="AE45" s="30"/>
      <c r="AF45" s="30"/>
      <c r="AG45" s="40"/>
      <c r="AH45" s="62"/>
      <c r="AK45" s="30"/>
      <c r="AL45" s="30"/>
      <c r="AM45" s="30"/>
      <c r="AN45" s="30"/>
      <c r="AO45" s="40"/>
      <c r="AS45" s="30"/>
      <c r="AT45" s="30"/>
      <c r="AU45" s="30"/>
      <c r="AV45" s="30"/>
      <c r="AW45" s="40"/>
      <c r="BA45" s="30"/>
      <c r="BB45" s="30"/>
      <c r="BC45" s="30"/>
      <c r="BD45" s="30"/>
      <c r="BE45" s="40"/>
    </row>
    <row r="46" spans="1:57" x14ac:dyDescent="0.25">
      <c r="A46" s="1">
        <v>44</v>
      </c>
      <c r="B46" s="67" t="b">
        <f>TRUE</f>
        <v>1</v>
      </c>
      <c r="C46" s="41" t="b">
        <v>1</v>
      </c>
      <c r="D46" s="1" t="s">
        <v>121</v>
      </c>
      <c r="E46" s="5">
        <f t="shared" si="4"/>
        <v>1</v>
      </c>
      <c r="F46" s="42">
        <v>1</v>
      </c>
      <c r="G46" s="38" t="b">
        <f>FALSE</f>
        <v>0</v>
      </c>
      <c r="H46" s="36" t="s">
        <v>48</v>
      </c>
      <c r="I46" s="42">
        <v>1</v>
      </c>
      <c r="J46" s="38">
        <f>inp_scr_min</f>
        <v>8</v>
      </c>
      <c r="K46" s="38">
        <f>inp_xr_min</f>
        <v>23.145098031409887</v>
      </c>
      <c r="L46" s="38">
        <v>30</v>
      </c>
      <c r="M46" s="30" t="s">
        <v>224</v>
      </c>
      <c r="N46" s="30">
        <v>0</v>
      </c>
      <c r="O46" s="30">
        <v>0.95</v>
      </c>
      <c r="P46" s="30"/>
      <c r="Q46" s="40"/>
      <c r="R46" s="5"/>
      <c r="S46" s="5"/>
      <c r="T46" s="21"/>
      <c r="U46" s="30"/>
      <c r="V46" s="30"/>
      <c r="W46" s="30"/>
      <c r="X46" s="30"/>
      <c r="Y46" s="40"/>
      <c r="Z46" s="38"/>
      <c r="AA46" s="5"/>
      <c r="AB46" s="5"/>
      <c r="AC46" s="30"/>
      <c r="AD46" s="30"/>
      <c r="AE46" s="30"/>
      <c r="AF46" s="30"/>
      <c r="AG46" s="40"/>
      <c r="AH46" s="62"/>
      <c r="AK46" s="30"/>
      <c r="AL46" s="30"/>
      <c r="AM46" s="30"/>
      <c r="AN46" s="30"/>
      <c r="AO46" s="40"/>
      <c r="AS46" s="30"/>
      <c r="AT46" s="30"/>
      <c r="AU46" s="30"/>
      <c r="AV46" s="30"/>
      <c r="AW46" s="40"/>
      <c r="BA46" s="30"/>
      <c r="BB46" s="30"/>
      <c r="BC46" s="30"/>
      <c r="BD46" s="30"/>
      <c r="BE46" s="40"/>
    </row>
    <row r="47" spans="1:57" x14ac:dyDescent="0.25">
      <c r="A47" s="1">
        <v>45</v>
      </c>
      <c r="B47" s="67" t="b">
        <f>TRUE</f>
        <v>1</v>
      </c>
      <c r="C47" s="41" t="b">
        <v>1</v>
      </c>
      <c r="D47" s="1" t="s">
        <v>122</v>
      </c>
      <c r="E47" s="5">
        <f t="shared" si="4"/>
        <v>1</v>
      </c>
      <c r="F47" s="42">
        <v>1</v>
      </c>
      <c r="G47" s="38" t="b">
        <f>FALSE</f>
        <v>0</v>
      </c>
      <c r="H47" s="36" t="s">
        <v>48</v>
      </c>
      <c r="I47" s="42">
        <v>-0.95</v>
      </c>
      <c r="J47" s="38">
        <f>inp_scr_min</f>
        <v>8</v>
      </c>
      <c r="K47" s="38">
        <f>inp_xr_min</f>
        <v>23.145098031409887</v>
      </c>
      <c r="L47" s="38">
        <v>30</v>
      </c>
      <c r="M47" s="30" t="s">
        <v>223</v>
      </c>
      <c r="N47" s="30">
        <v>0</v>
      </c>
      <c r="O47" s="30">
        <v>0</v>
      </c>
      <c r="P47" s="30"/>
      <c r="Q47" s="40"/>
      <c r="R47" s="5"/>
      <c r="S47" s="5"/>
      <c r="T47" s="21"/>
      <c r="U47" s="30"/>
      <c r="V47" s="30"/>
      <c r="W47" s="30"/>
      <c r="X47" s="30"/>
      <c r="Y47" s="40"/>
      <c r="Z47" s="38"/>
      <c r="AA47" s="5"/>
      <c r="AB47" s="5"/>
      <c r="AC47" s="30"/>
      <c r="AD47" s="30"/>
      <c r="AE47" s="30"/>
      <c r="AF47" s="30"/>
      <c r="AG47" s="40"/>
      <c r="AH47" s="62"/>
      <c r="AK47" s="30"/>
      <c r="AL47" s="30"/>
      <c r="AM47" s="30"/>
      <c r="AN47" s="30"/>
      <c r="AO47" s="40"/>
      <c r="AS47" s="30"/>
      <c r="AT47" s="30"/>
      <c r="AU47" s="30"/>
      <c r="AV47" s="30"/>
      <c r="AW47" s="40"/>
      <c r="BA47" s="30"/>
      <c r="BB47" s="30"/>
      <c r="BC47" s="30"/>
      <c r="BD47" s="30"/>
      <c r="BE47" s="40"/>
    </row>
    <row r="48" spans="1:57" x14ac:dyDescent="0.25">
      <c r="A48" s="1">
        <v>46</v>
      </c>
      <c r="B48" s="67" t="b">
        <f>TRUE</f>
        <v>1</v>
      </c>
      <c r="C48" s="41" t="b">
        <v>1</v>
      </c>
      <c r="D48" s="1" t="s">
        <v>123</v>
      </c>
      <c r="E48" s="5">
        <f t="shared" si="4"/>
        <v>1</v>
      </c>
      <c r="F48" s="42">
        <v>1</v>
      </c>
      <c r="G48" s="38" t="b">
        <f>FALSE</f>
        <v>0</v>
      </c>
      <c r="H48" s="36" t="s">
        <v>49</v>
      </c>
      <c r="I48" s="42">
        <v>1</v>
      </c>
      <c r="J48" s="38">
        <f>inp_scr_min</f>
        <v>8</v>
      </c>
      <c r="K48" s="38">
        <f>inp_xr_min</f>
        <v>23.145098031409887</v>
      </c>
      <c r="L48" s="7">
        <v>42</v>
      </c>
      <c r="M48" s="30" t="s">
        <v>126</v>
      </c>
      <c r="N48" s="30">
        <v>0</v>
      </c>
      <c r="O48" s="30">
        <f>sel_uq_q0.33ue_umax-$E48</f>
        <v>5.0000000000000044E-2</v>
      </c>
      <c r="P48" s="32"/>
      <c r="Q48" s="40" t="s">
        <v>126</v>
      </c>
      <c r="R48" s="5">
        <v>7</v>
      </c>
      <c r="S48" s="7">
        <v>0</v>
      </c>
      <c r="T48" s="7"/>
      <c r="U48" s="30" t="s">
        <v>126</v>
      </c>
      <c r="V48" s="30">
        <v>14</v>
      </c>
      <c r="W48" s="30">
        <f>sel_uq_q0.33_umin-$E48</f>
        <v>-9.9999999999999978E-2</v>
      </c>
      <c r="X48" s="32"/>
      <c r="Y48" s="40" t="s">
        <v>126</v>
      </c>
      <c r="Z48" s="7">
        <v>21</v>
      </c>
      <c r="AA48" s="7">
        <v>0</v>
      </c>
      <c r="AB48" s="7"/>
      <c r="AC48" s="30" t="s">
        <v>126</v>
      </c>
      <c r="AD48" s="30">
        <v>28</v>
      </c>
      <c r="AE48" s="30">
        <f>(sel_uq_q0.33ue_umax-$E48)/2</f>
        <v>2.5000000000000022E-2</v>
      </c>
      <c r="AF48" s="32"/>
      <c r="AG48" s="40" t="s">
        <v>126</v>
      </c>
      <c r="AH48" s="63">
        <v>35</v>
      </c>
      <c r="AI48" s="62">
        <f>(sel_uq_q0.33_umin-$E48)/2</f>
        <v>-4.9999999999999989E-2</v>
      </c>
      <c r="AK48" s="30"/>
      <c r="AL48" s="30"/>
      <c r="AM48" s="30"/>
      <c r="AN48" s="32"/>
      <c r="AO48" s="40"/>
      <c r="AS48" s="30"/>
      <c r="AT48" s="30"/>
      <c r="AU48" s="30"/>
      <c r="AV48" s="32"/>
      <c r="AW48" s="40"/>
      <c r="BA48" s="30"/>
      <c r="BB48" s="30"/>
      <c r="BC48" s="30"/>
      <c r="BD48" s="32"/>
      <c r="BE48" s="40"/>
    </row>
    <row r="49" spans="1:60" x14ac:dyDescent="0.25">
      <c r="A49" s="1">
        <v>47</v>
      </c>
      <c r="B49" s="67" t="b">
        <f>TRUE</f>
        <v>1</v>
      </c>
      <c r="C49" s="41" t="b">
        <v>1</v>
      </c>
      <c r="D49" s="1" t="s">
        <v>124</v>
      </c>
      <c r="E49" s="5">
        <f t="shared" si="4"/>
        <v>1</v>
      </c>
      <c r="F49" s="42">
        <v>1</v>
      </c>
      <c r="G49" s="38" t="b">
        <f>FALSE</f>
        <v>0</v>
      </c>
      <c r="H49" s="36" t="s">
        <v>49</v>
      </c>
      <c r="I49" s="42">
        <v>1</v>
      </c>
      <c r="J49" s="38">
        <f>inp_scr_tun</f>
        <v>16.36</v>
      </c>
      <c r="K49" s="38">
        <f>inp_xr_tun</f>
        <v>23.145098031409887</v>
      </c>
      <c r="L49" s="7">
        <v>42</v>
      </c>
      <c r="M49" s="30" t="s">
        <v>126</v>
      </c>
      <c r="N49" s="30">
        <v>0</v>
      </c>
      <c r="O49" s="30">
        <f>sel_uq_q0.33ue_umax-$E49</f>
        <v>5.0000000000000044E-2</v>
      </c>
      <c r="P49" s="32"/>
      <c r="Q49" s="40" t="s">
        <v>126</v>
      </c>
      <c r="R49" s="5">
        <v>7</v>
      </c>
      <c r="S49" s="7">
        <v>0</v>
      </c>
      <c r="T49" s="7"/>
      <c r="U49" s="30" t="s">
        <v>126</v>
      </c>
      <c r="V49" s="30">
        <v>14</v>
      </c>
      <c r="W49" s="30">
        <f>sel_uq_q0.33_umin-$E49</f>
        <v>-9.9999999999999978E-2</v>
      </c>
      <c r="X49" s="32"/>
      <c r="Y49" s="40" t="s">
        <v>126</v>
      </c>
      <c r="Z49" s="7">
        <v>21</v>
      </c>
      <c r="AA49" s="7">
        <v>0</v>
      </c>
      <c r="AB49" s="7"/>
      <c r="AC49" s="30" t="s">
        <v>126</v>
      </c>
      <c r="AD49" s="30">
        <v>28</v>
      </c>
      <c r="AE49" s="30">
        <f>(sel_uq_q0.33ue_umax-$E49)/2</f>
        <v>2.5000000000000022E-2</v>
      </c>
      <c r="AF49" s="32"/>
      <c r="AG49" s="40" t="s">
        <v>126</v>
      </c>
      <c r="AH49" s="63">
        <v>35</v>
      </c>
      <c r="AI49" s="62">
        <f>(sel_uq_q0.33_umin-$E49)/2</f>
        <v>-4.9999999999999989E-2</v>
      </c>
      <c r="AK49" s="30"/>
      <c r="AL49" s="30"/>
      <c r="AM49" s="30"/>
      <c r="AN49" s="32"/>
      <c r="AO49" s="40"/>
      <c r="AS49" s="30"/>
      <c r="AT49" s="30"/>
      <c r="AU49" s="30"/>
      <c r="AV49" s="32"/>
      <c r="AW49" s="40"/>
      <c r="BA49" s="30"/>
      <c r="BB49" s="30"/>
      <c r="BC49" s="30"/>
      <c r="BD49" s="32"/>
      <c r="BE49" s="40"/>
    </row>
    <row r="50" spans="1:60" x14ac:dyDescent="0.25">
      <c r="A50" s="1">
        <v>48</v>
      </c>
      <c r="B50" s="67" t="b">
        <f>TRUE</f>
        <v>1</v>
      </c>
      <c r="C50" s="41" t="b">
        <v>1</v>
      </c>
      <c r="D50" s="1" t="s">
        <v>125</v>
      </c>
      <c r="E50" s="5">
        <f t="shared" si="4"/>
        <v>1</v>
      </c>
      <c r="F50" s="42">
        <v>1</v>
      </c>
      <c r="G50" s="38" t="b">
        <f>FALSE</f>
        <v>0</v>
      </c>
      <c r="H50" s="36" t="s">
        <v>49</v>
      </c>
      <c r="I50" s="42">
        <v>1</v>
      </c>
      <c r="J50" s="38">
        <f>inp_scr_max</f>
        <v>17.84</v>
      </c>
      <c r="K50" s="38">
        <f>inp_xr_max</f>
        <v>23.145098031409887</v>
      </c>
      <c r="L50" s="7">
        <v>42</v>
      </c>
      <c r="M50" s="30" t="s">
        <v>126</v>
      </c>
      <c r="N50" s="30">
        <v>0</v>
      </c>
      <c r="O50" s="30">
        <f>sel_uq_q0.33ue_umax-$E50</f>
        <v>5.0000000000000044E-2</v>
      </c>
      <c r="P50" s="32"/>
      <c r="Q50" s="40" t="s">
        <v>126</v>
      </c>
      <c r="R50" s="5">
        <v>7</v>
      </c>
      <c r="S50" s="7">
        <v>0</v>
      </c>
      <c r="T50" s="7"/>
      <c r="U50" s="30" t="s">
        <v>126</v>
      </c>
      <c r="V50" s="30">
        <v>14</v>
      </c>
      <c r="W50" s="30">
        <f>sel_uq_q0.33_umin-$E50</f>
        <v>-9.9999999999999978E-2</v>
      </c>
      <c r="X50" s="32"/>
      <c r="Y50" s="40" t="s">
        <v>126</v>
      </c>
      <c r="Z50" s="7">
        <v>21</v>
      </c>
      <c r="AA50" s="7">
        <v>0</v>
      </c>
      <c r="AB50" s="7"/>
      <c r="AC50" s="30" t="s">
        <v>126</v>
      </c>
      <c r="AD50" s="30">
        <v>28</v>
      </c>
      <c r="AE50" s="30">
        <f>(sel_uq_q0.33ue_umax-$E50)/2</f>
        <v>2.5000000000000022E-2</v>
      </c>
      <c r="AF50" s="32"/>
      <c r="AG50" s="40" t="s">
        <v>126</v>
      </c>
      <c r="AH50" s="63">
        <v>35</v>
      </c>
      <c r="AI50" s="62">
        <f>(sel_uq_q0.33_umin-$E50)/2</f>
        <v>-4.9999999999999989E-2</v>
      </c>
      <c r="AK50" s="30"/>
      <c r="AL50" s="30"/>
      <c r="AM50" s="30"/>
      <c r="AN50" s="32"/>
      <c r="AO50" s="40"/>
      <c r="AS50" s="30"/>
      <c r="AT50" s="30"/>
      <c r="AU50" s="30"/>
      <c r="AV50" s="32"/>
      <c r="AW50" s="40"/>
      <c r="BA50" s="30"/>
      <c r="BB50" s="30"/>
      <c r="BC50" s="30"/>
      <c r="BD50" s="32"/>
      <c r="BE50" s="40"/>
    </row>
    <row r="51" spans="1:60" x14ac:dyDescent="0.25">
      <c r="A51" s="1">
        <v>49</v>
      </c>
      <c r="B51" s="67" t="b">
        <f>TRUE</f>
        <v>1</v>
      </c>
      <c r="C51" s="41" t="b">
        <v>1</v>
      </c>
      <c r="D51" s="1" t="s">
        <v>20</v>
      </c>
      <c r="E51" s="5">
        <f t="shared" si="4"/>
        <v>1</v>
      </c>
      <c r="F51" s="42">
        <v>1</v>
      </c>
      <c r="G51" s="38" t="b">
        <f>FALSE</f>
        <v>0</v>
      </c>
      <c r="H51" s="36" t="s">
        <v>51</v>
      </c>
      <c r="I51" s="42">
        <f>IF(inp_default="Q(U)",E51,IF(inp_default="PF",1,0))</f>
        <v>0</v>
      </c>
      <c r="J51" s="38">
        <v>-1</v>
      </c>
      <c r="K51" s="38">
        <v>0</v>
      </c>
      <c r="L51" s="39">
        <v>60</v>
      </c>
      <c r="M51" s="30" t="s">
        <v>158</v>
      </c>
      <c r="N51" s="30">
        <v>0</v>
      </c>
      <c r="O51" s="30">
        <f>sel_ures</f>
        <v>0.15</v>
      </c>
      <c r="P51" s="30">
        <v>0</v>
      </c>
      <c r="Q51" s="40" t="s">
        <v>158</v>
      </c>
      <c r="R51" s="5">
        <f>sel_tclear</f>
        <v>0.25</v>
      </c>
      <c r="S51" s="5">
        <f>sel_uclear</f>
        <v>0.15</v>
      </c>
      <c r="T51" s="7">
        <f>IF(sel_trec1&gt;sel_tclear,(sel_urec1-sel_uclear)/(sel_trec1-sel_tclear),0)</f>
        <v>0</v>
      </c>
      <c r="U51" s="30" t="s">
        <v>158</v>
      </c>
      <c r="V51" s="30">
        <f>sel_trec1</f>
        <v>0.25</v>
      </c>
      <c r="W51" s="30">
        <f>sel_urec1</f>
        <v>0.15</v>
      </c>
      <c r="X51" s="32">
        <v>0</v>
      </c>
      <c r="Y51" s="40" t="s">
        <v>158</v>
      </c>
      <c r="Z51" s="7">
        <f>sel_trec2</f>
        <v>0.25</v>
      </c>
      <c r="AA51" s="7">
        <f>sel_urec1</f>
        <v>0.15</v>
      </c>
      <c r="AB51" s="7">
        <f>IF(sel_trec3&gt;sel_trec2,(sel_urec2-sel_urec1)/(sel_trec3-sel_trec2),0)</f>
        <v>0.6</v>
      </c>
      <c r="AC51" s="30" t="s">
        <v>158</v>
      </c>
      <c r="AD51" s="30">
        <f>sel_trec3</f>
        <v>1.5</v>
      </c>
      <c r="AE51" s="30">
        <f>sel_urec2</f>
        <v>0.9</v>
      </c>
      <c r="AF51" s="32">
        <v>0</v>
      </c>
      <c r="AG51" s="40"/>
      <c r="AH51" s="64"/>
      <c r="AK51" s="30"/>
      <c r="AL51" s="30"/>
      <c r="AM51" s="30"/>
      <c r="AN51" s="32"/>
      <c r="AO51" s="40"/>
      <c r="AS51" s="30"/>
      <c r="AT51" s="30"/>
      <c r="AU51" s="30"/>
      <c r="AV51" s="32"/>
      <c r="AW51" s="40"/>
      <c r="BA51" s="30"/>
      <c r="BB51" s="30"/>
      <c r="BC51" s="30"/>
      <c r="BD51" s="32"/>
      <c r="BE51" s="40"/>
    </row>
    <row r="52" spans="1:60" x14ac:dyDescent="0.25">
      <c r="A52" s="1">
        <v>50</v>
      </c>
      <c r="B52" s="67" t="b">
        <f>TRUE</f>
        <v>1</v>
      </c>
      <c r="C52" s="41" t="b">
        <v>1</v>
      </c>
      <c r="D52" s="1" t="s">
        <v>141</v>
      </c>
      <c r="E52" s="5">
        <f t="shared" si="4"/>
        <v>1</v>
      </c>
      <c r="F52" s="42">
        <v>1</v>
      </c>
      <c r="G52" s="38" t="b">
        <f>FALSE</f>
        <v>0</v>
      </c>
      <c r="H52" s="36" t="s">
        <v>51</v>
      </c>
      <c r="I52" s="42">
        <f>IF(inp_default="Q(U)",E52,IF(inp_default="PF",1,0))</f>
        <v>0</v>
      </c>
      <c r="J52" s="38">
        <v>-1</v>
      </c>
      <c r="K52" s="38">
        <v>0</v>
      </c>
      <c r="L52" s="39">
        <f>_xlfn.CEILING.MATH(V52+5)</f>
        <v>70</v>
      </c>
      <c r="M52" s="30" t="s">
        <v>158</v>
      </c>
      <c r="N52" s="30">
        <v>0</v>
      </c>
      <c r="O52" s="30">
        <f>sel_u1</f>
        <v>1.2</v>
      </c>
      <c r="P52" s="30"/>
      <c r="Q52" s="40" t="s">
        <v>158</v>
      </c>
      <c r="R52" s="5">
        <f>sel_t1</f>
        <v>5</v>
      </c>
      <c r="S52" s="7">
        <f>sel_u2</f>
        <v>1.1499999999999999</v>
      </c>
      <c r="T52" s="7"/>
      <c r="U52" s="30" t="s">
        <v>158</v>
      </c>
      <c r="V52" s="30">
        <f>sel_t1+sel_t2</f>
        <v>65</v>
      </c>
      <c r="W52" s="30">
        <v>1</v>
      </c>
      <c r="X52" s="32"/>
      <c r="Y52" s="40"/>
      <c r="Z52" s="39"/>
      <c r="AA52" s="7"/>
      <c r="AB52" s="7"/>
      <c r="AC52" s="30"/>
      <c r="AD52" s="30"/>
      <c r="AE52" s="30"/>
      <c r="AF52" s="32"/>
      <c r="AG52" s="40"/>
      <c r="AH52" s="64"/>
      <c r="AK52" s="30"/>
      <c r="AL52" s="30"/>
      <c r="AM52" s="30"/>
      <c r="AN52" s="32"/>
      <c r="AO52" s="40"/>
      <c r="AS52" s="30"/>
      <c r="AT52" s="30"/>
      <c r="AU52" s="30"/>
      <c r="AV52" s="32"/>
      <c r="AW52" s="40"/>
      <c r="BA52" s="30"/>
      <c r="BB52" s="30"/>
      <c r="BC52" s="30"/>
      <c r="BD52" s="32"/>
      <c r="BE52" s="40"/>
    </row>
    <row r="53" spans="1:60" x14ac:dyDescent="0.25">
      <c r="A53" s="1">
        <v>51</v>
      </c>
      <c r="B53" s="67" t="b">
        <f>TRUE</f>
        <v>1</v>
      </c>
      <c r="C53" s="15" t="b">
        <f>TRUE</f>
        <v>1</v>
      </c>
      <c r="D53" s="1" t="s">
        <v>144</v>
      </c>
      <c r="E53" s="5">
        <f t="shared" si="4"/>
        <v>1</v>
      </c>
      <c r="F53" s="42">
        <v>1</v>
      </c>
      <c r="G53" s="38" t="b">
        <v>0</v>
      </c>
      <c r="H53" s="36" t="s">
        <v>51</v>
      </c>
      <c r="I53" s="42">
        <f>IF(inp_default="Q(U)",E53,IF(inp_default="PF",1,0))</f>
        <v>0</v>
      </c>
      <c r="J53" s="38">
        <v>-1</v>
      </c>
      <c r="K53" s="38">
        <v>0</v>
      </c>
      <c r="L53" s="39"/>
      <c r="M53" s="30" t="s">
        <v>161</v>
      </c>
      <c r="N53" s="30"/>
      <c r="O53" s="52" t="s">
        <v>302</v>
      </c>
      <c r="P53" s="52">
        <v>1</v>
      </c>
      <c r="Q53" s="40"/>
      <c r="R53" s="5"/>
      <c r="S53" s="7"/>
      <c r="T53" s="7"/>
      <c r="U53" s="30"/>
      <c r="V53" s="30"/>
      <c r="W53" s="30"/>
      <c r="X53" s="32"/>
      <c r="Y53" s="40"/>
      <c r="Z53" s="39"/>
      <c r="AA53" s="7"/>
      <c r="AB53" s="7"/>
      <c r="AC53" s="30"/>
      <c r="AD53" s="30"/>
      <c r="AE53" s="30"/>
      <c r="AF53" s="32"/>
      <c r="AG53" s="40"/>
      <c r="AH53" s="64"/>
      <c r="AK53" s="30"/>
      <c r="AL53" s="30"/>
      <c r="AM53" s="30"/>
      <c r="AN53" s="32"/>
      <c r="AO53" s="40"/>
      <c r="AS53" s="30"/>
      <c r="AT53" s="30"/>
      <c r="AU53" s="30"/>
      <c r="AV53" s="32"/>
      <c r="AW53" s="40"/>
      <c r="BA53" s="30"/>
      <c r="BB53" s="30"/>
      <c r="BC53" s="30"/>
      <c r="BD53" s="32"/>
      <c r="BE53" s="40"/>
    </row>
    <row r="54" spans="1:60" x14ac:dyDescent="0.25">
      <c r="A54" s="1">
        <v>52</v>
      </c>
      <c r="B54" s="67" t="b">
        <f>TRUE</f>
        <v>1</v>
      </c>
      <c r="C54" s="15" t="b">
        <f>TRUE</f>
        <v>1</v>
      </c>
      <c r="D54" s="1" t="s">
        <v>147</v>
      </c>
      <c r="E54" s="5">
        <f t="shared" si="4"/>
        <v>1</v>
      </c>
      <c r="F54" s="42">
        <v>1</v>
      </c>
      <c r="G54" s="38" t="b">
        <v>0</v>
      </c>
      <c r="H54" s="38" t="str">
        <f>IF(inp_default="Q(U)","Q", "Q(U)")</f>
        <v>Q(U)</v>
      </c>
      <c r="I54" s="42">
        <f>IF(H54="Q(U)",E54, 0)</f>
        <v>1</v>
      </c>
      <c r="J54" s="38">
        <v>-1</v>
      </c>
      <c r="K54" s="38">
        <v>0</v>
      </c>
      <c r="L54" s="39"/>
      <c r="M54" s="30" t="s">
        <v>161</v>
      </c>
      <c r="N54" s="30"/>
      <c r="O54" s="52" t="s">
        <v>302</v>
      </c>
      <c r="P54" s="52">
        <f>inp_Uc/inp_Un</f>
        <v>1</v>
      </c>
      <c r="Q54" s="40"/>
      <c r="R54" s="5"/>
      <c r="S54" s="7"/>
      <c r="T54" s="7"/>
      <c r="U54" s="30"/>
      <c r="V54" s="30"/>
      <c r="W54" s="30"/>
      <c r="X54" s="32"/>
      <c r="Y54" s="40"/>
      <c r="Z54" s="39"/>
      <c r="AA54" s="7"/>
      <c r="AB54" s="7"/>
      <c r="AC54" s="30"/>
      <c r="AD54" s="30"/>
      <c r="AE54" s="30"/>
      <c r="AF54" s="32"/>
      <c r="AG54" s="40"/>
      <c r="AH54" s="64"/>
      <c r="AK54" s="30"/>
      <c r="AL54" s="30"/>
      <c r="AM54" s="30"/>
      <c r="AN54" s="32"/>
      <c r="AO54" s="40"/>
      <c r="AS54" s="30"/>
      <c r="AT54" s="30"/>
      <c r="AU54" s="30"/>
      <c r="AV54" s="32"/>
      <c r="AW54" s="40"/>
      <c r="BA54" s="30"/>
      <c r="BB54" s="30"/>
      <c r="BC54" s="30"/>
      <c r="BD54" s="32"/>
      <c r="BE54" s="40"/>
    </row>
    <row r="55" spans="1:60" x14ac:dyDescent="0.25">
      <c r="A55" s="1">
        <v>53</v>
      </c>
      <c r="B55" s="67" t="b">
        <f>TRUE</f>
        <v>1</v>
      </c>
      <c r="C55" s="15" t="b">
        <f>TRUE</f>
        <v>1</v>
      </c>
      <c r="D55" s="1" t="s">
        <v>143</v>
      </c>
      <c r="E55" s="5">
        <f t="shared" si="4"/>
        <v>1</v>
      </c>
      <c r="F55" s="42">
        <v>1</v>
      </c>
      <c r="G55" s="38" t="b">
        <v>0</v>
      </c>
      <c r="H55" s="36" t="s">
        <v>51</v>
      </c>
      <c r="I55" s="42">
        <f>IF(inp_default="Q(U)",E55,IF(inp_default="PF",1,0))</f>
        <v>0</v>
      </c>
      <c r="J55" s="38">
        <v>-1</v>
      </c>
      <c r="K55" s="38">
        <v>0</v>
      </c>
      <c r="L55" s="39"/>
      <c r="M55" s="30" t="s">
        <v>161</v>
      </c>
      <c r="N55" s="30"/>
      <c r="O55" s="52" t="s">
        <v>303</v>
      </c>
      <c r="P55" s="52">
        <f>inp_Uc/inp_Un</f>
        <v>1</v>
      </c>
      <c r="Q55" s="40"/>
      <c r="R55" s="5"/>
      <c r="S55" s="7"/>
      <c r="T55" s="7"/>
      <c r="U55" s="30"/>
      <c r="V55" s="30"/>
      <c r="W55" s="30"/>
      <c r="X55" s="32"/>
      <c r="Y55" s="40"/>
      <c r="Z55" s="39"/>
      <c r="AA55" s="7"/>
      <c r="AB55" s="7"/>
      <c r="AC55" s="30"/>
      <c r="AD55" s="30"/>
      <c r="AE55" s="30"/>
      <c r="AF55" s="32"/>
      <c r="AG55" s="40"/>
      <c r="AH55" s="64"/>
      <c r="AK55" s="30"/>
      <c r="AL55" s="30"/>
      <c r="AM55" s="30"/>
      <c r="AN55" s="32"/>
      <c r="AO55" s="40"/>
      <c r="AS55" s="30"/>
      <c r="AT55" s="30"/>
      <c r="AU55" s="30"/>
      <c r="AV55" s="32"/>
      <c r="AW55" s="40"/>
      <c r="BA55" s="30"/>
      <c r="BB55" s="30"/>
      <c r="BC55" s="30"/>
      <c r="BD55" s="32"/>
      <c r="BE55" s="40"/>
    </row>
    <row r="56" spans="1:60" x14ac:dyDescent="0.25">
      <c r="A56" s="1">
        <v>54</v>
      </c>
      <c r="B56" s="67" t="b">
        <f>TRUE</f>
        <v>1</v>
      </c>
      <c r="C56" s="15" t="b">
        <f>TRUE</f>
        <v>1</v>
      </c>
      <c r="D56" s="1" t="s">
        <v>148</v>
      </c>
      <c r="E56" s="5">
        <f t="shared" si="4"/>
        <v>1</v>
      </c>
      <c r="F56" s="42">
        <v>1</v>
      </c>
      <c r="G56" s="38" t="b">
        <v>0</v>
      </c>
      <c r="H56" s="38" t="str">
        <f>IF(inp_default="Q(U)","Q", "Q(U)")</f>
        <v>Q(U)</v>
      </c>
      <c r="I56" s="42">
        <f>IF(H56="Q(U)",E56, 0)</f>
        <v>1</v>
      </c>
      <c r="J56" s="38">
        <v>-1</v>
      </c>
      <c r="K56" s="38">
        <v>0</v>
      </c>
      <c r="L56" s="39"/>
      <c r="M56" s="30" t="s">
        <v>161</v>
      </c>
      <c r="N56" s="30"/>
      <c r="O56" s="52" t="s">
        <v>303</v>
      </c>
      <c r="P56" s="52">
        <f>inp_Uc/inp_Un</f>
        <v>1</v>
      </c>
      <c r="Q56" s="40"/>
      <c r="R56" s="5"/>
      <c r="S56" s="7"/>
      <c r="T56" s="7"/>
      <c r="U56" s="30"/>
      <c r="V56" s="30"/>
      <c r="W56" s="30"/>
      <c r="X56" s="32"/>
      <c r="Y56" s="40"/>
      <c r="Z56" s="39"/>
      <c r="AA56" s="7"/>
      <c r="AB56" s="7"/>
      <c r="AC56" s="30"/>
      <c r="AD56" s="30"/>
      <c r="AE56" s="30"/>
      <c r="AF56" s="32"/>
      <c r="AG56" s="40"/>
      <c r="AH56" s="64"/>
      <c r="AK56" s="30"/>
      <c r="AL56" s="30"/>
      <c r="AM56" s="30"/>
      <c r="AN56" s="32"/>
      <c r="AO56" s="40"/>
      <c r="AS56" s="30"/>
      <c r="AT56" s="30"/>
      <c r="AU56" s="30"/>
      <c r="AV56" s="32"/>
      <c r="AW56" s="40"/>
      <c r="BA56" s="30"/>
      <c r="BB56" s="30"/>
      <c r="BC56" s="30"/>
      <c r="BD56" s="32"/>
      <c r="BE56" s="40"/>
    </row>
    <row r="57" spans="1:60" x14ac:dyDescent="0.25">
      <c r="A57" s="1">
        <v>55</v>
      </c>
      <c r="B57" s="67" t="b">
        <f>TRUE</f>
        <v>1</v>
      </c>
      <c r="C57" s="41" t="b">
        <v>1</v>
      </c>
      <c r="D57" s="1" t="s">
        <v>175</v>
      </c>
      <c r="E57" s="5">
        <f t="shared" ref="E57:E82" si="5">inp_Uc/inp_Un</f>
        <v>1</v>
      </c>
      <c r="F57" s="42">
        <v>1</v>
      </c>
      <c r="G57" s="38" t="b">
        <f>FALSE</f>
        <v>0</v>
      </c>
      <c r="H57" s="36" t="s">
        <v>51</v>
      </c>
      <c r="I57" s="42">
        <f t="shared" ref="I57:I76" si="6">IF(inp_default="Q(U)",E57,IF(inp_default="PF",1,0))</f>
        <v>0</v>
      </c>
      <c r="J57" s="38">
        <f t="shared" ref="J57:J75" si="7">inp_scr_min</f>
        <v>8</v>
      </c>
      <c r="K57" s="38">
        <f t="shared" ref="K57:K75" si="8">inp_xr_min</f>
        <v>23.145098031409887</v>
      </c>
      <c r="L57" s="39">
        <v>30</v>
      </c>
      <c r="M57" s="30" t="s">
        <v>34</v>
      </c>
      <c r="N57" s="30">
        <v>0</v>
      </c>
      <c r="O57" s="47">
        <f>sel_ures</f>
        <v>0.15</v>
      </c>
      <c r="P57" s="30">
        <f t="shared" ref="P57:P73" si="9">IF(O57&lt;sel_ures,0,
IF(AND(sel_uclear&gt;=O57, O57&gt;=sel_ures),sel_tclear,
IF(AND(sel_urec1&gt;=O57,O57&gt;sel_uclear),IF(sel_urec1&gt;sel_uclear,sel_tclear+(O57-sel_uclear)*(sel_trec1-sel_tclear)/(sel_urec1-sel_uclear),sel_tclear),
IF(AND(sel_urec2&gt;=O57,O57&gt;sel_urec1),IF(sel_urec2&gt;sel_urec1,sel_trec2+(O57-sel_urec1)*(sel_trec3-sel_trec2)/(sel_urec2-sel_urec1),-99999),5
))))</f>
        <v>0.25</v>
      </c>
      <c r="Q57" s="40"/>
      <c r="R57" s="5"/>
      <c r="S57" s="7"/>
      <c r="T57" s="7"/>
      <c r="U57" s="30"/>
      <c r="V57" s="30"/>
      <c r="W57" s="30"/>
      <c r="X57" s="32"/>
      <c r="Y57" s="40"/>
      <c r="Z57" s="39"/>
      <c r="AA57" s="7"/>
      <c r="AB57" s="7"/>
      <c r="AC57" s="30"/>
      <c r="AD57" s="30"/>
      <c r="AE57" s="30"/>
      <c r="AF57" s="32"/>
      <c r="AG57" s="40"/>
      <c r="AH57" s="64"/>
      <c r="AK57" s="30"/>
      <c r="AL57" s="30"/>
      <c r="AM57" s="30"/>
      <c r="AN57" s="32"/>
      <c r="AO57" s="40"/>
      <c r="AS57" s="30"/>
      <c r="AT57" s="30"/>
      <c r="AU57" s="30"/>
      <c r="AV57" s="32"/>
      <c r="AW57" s="40"/>
      <c r="BA57" s="30"/>
      <c r="BB57" s="30"/>
      <c r="BC57" s="30"/>
      <c r="BD57" s="32"/>
      <c r="BE57" s="40"/>
    </row>
    <row r="58" spans="1:60" x14ac:dyDescent="0.25">
      <c r="A58" s="1">
        <v>56</v>
      </c>
      <c r="B58" s="67" t="b">
        <f>TRUE</f>
        <v>1</v>
      </c>
      <c r="C58" s="41" t="b">
        <v>1</v>
      </c>
      <c r="D58" s="1" t="s">
        <v>176</v>
      </c>
      <c r="E58" s="5">
        <f t="shared" si="5"/>
        <v>1</v>
      </c>
      <c r="F58" s="42">
        <v>1</v>
      </c>
      <c r="G58" s="38" t="b">
        <f>FALSE</f>
        <v>0</v>
      </c>
      <c r="H58" s="36" t="s">
        <v>51</v>
      </c>
      <c r="I58" s="42">
        <f t="shared" si="6"/>
        <v>0</v>
      </c>
      <c r="J58" s="38">
        <f t="shared" si="7"/>
        <v>8</v>
      </c>
      <c r="K58" s="38">
        <f t="shared" si="8"/>
        <v>23.145098031409887</v>
      </c>
      <c r="L58" s="39">
        <v>30</v>
      </c>
      <c r="M58" s="30" t="s">
        <v>34</v>
      </c>
      <c r="N58" s="30">
        <v>0</v>
      </c>
      <c r="O58" s="47">
        <v>0.25</v>
      </c>
      <c r="P58" s="30">
        <f t="shared" si="9"/>
        <v>0.41666666666666663</v>
      </c>
      <c r="Q58" s="40"/>
      <c r="R58" s="5"/>
      <c r="S58" s="7"/>
      <c r="T58" s="7"/>
      <c r="U58" s="30"/>
      <c r="V58" s="30"/>
      <c r="W58" s="30"/>
      <c r="X58" s="32"/>
      <c r="Y58" s="40"/>
      <c r="Z58" s="39"/>
      <c r="AA58" s="7"/>
      <c r="AB58" s="7"/>
      <c r="AC58" s="30"/>
      <c r="AD58" s="30"/>
      <c r="AE58" s="30"/>
      <c r="AF58" s="32"/>
      <c r="AG58" s="40"/>
      <c r="AH58" s="64"/>
      <c r="AK58" s="30"/>
      <c r="AL58" s="30"/>
      <c r="AM58" s="30"/>
      <c r="AN58" s="32"/>
      <c r="AO58" s="40"/>
      <c r="AS58" s="30"/>
      <c r="AT58" s="30"/>
      <c r="AU58" s="30"/>
      <c r="AV58" s="32"/>
      <c r="AW58" s="40"/>
      <c r="BA58" s="30"/>
      <c r="BB58" s="30"/>
      <c r="BC58" s="30"/>
      <c r="BD58" s="32"/>
      <c r="BE58" s="40"/>
    </row>
    <row r="59" spans="1:60" s="12" customFormat="1" x14ac:dyDescent="0.25">
      <c r="A59" s="1">
        <v>57</v>
      </c>
      <c r="B59" s="67" t="b">
        <f>TRUE</f>
        <v>1</v>
      </c>
      <c r="C59" s="41" t="b">
        <v>1</v>
      </c>
      <c r="D59" s="1" t="s">
        <v>177</v>
      </c>
      <c r="E59" s="5">
        <f t="shared" si="5"/>
        <v>1</v>
      </c>
      <c r="F59" s="42">
        <v>1</v>
      </c>
      <c r="G59" s="38" t="b">
        <f>FALSE</f>
        <v>0</v>
      </c>
      <c r="H59" s="36" t="s">
        <v>51</v>
      </c>
      <c r="I59" s="42">
        <f t="shared" si="6"/>
        <v>0</v>
      </c>
      <c r="J59" s="38">
        <f t="shared" si="7"/>
        <v>8</v>
      </c>
      <c r="K59" s="38">
        <f t="shared" si="8"/>
        <v>23.145098031409887</v>
      </c>
      <c r="L59" s="39">
        <v>30</v>
      </c>
      <c r="M59" s="30" t="s">
        <v>34</v>
      </c>
      <c r="N59" s="30">
        <v>0</v>
      </c>
      <c r="O59" s="47">
        <v>0.5</v>
      </c>
      <c r="P59" s="30">
        <f t="shared" si="9"/>
        <v>0.83333333333333337</v>
      </c>
      <c r="Q59" s="40"/>
      <c r="R59" s="43"/>
      <c r="S59" s="44"/>
      <c r="T59" s="44"/>
      <c r="U59" s="30"/>
      <c r="V59" s="33"/>
      <c r="W59" s="33"/>
      <c r="X59" s="34"/>
      <c r="Y59" s="40"/>
      <c r="Z59" s="45"/>
      <c r="AA59" s="44"/>
      <c r="AB59" s="44"/>
      <c r="AC59" s="30"/>
      <c r="AD59" s="33"/>
      <c r="AE59" s="33"/>
      <c r="AF59" s="34"/>
      <c r="AG59" s="40"/>
      <c r="AH59" s="64"/>
      <c r="AI59" s="59"/>
      <c r="AJ59" s="59"/>
      <c r="AK59" s="30"/>
      <c r="AL59" s="33"/>
      <c r="AM59" s="33"/>
      <c r="AN59" s="34"/>
      <c r="AO59" s="40"/>
      <c r="AP59" s="1"/>
      <c r="AQ59" s="1"/>
      <c r="AR59" s="1"/>
      <c r="AS59" s="30"/>
      <c r="AT59" s="33"/>
      <c r="AU59" s="33"/>
      <c r="AV59" s="34"/>
      <c r="AW59" s="40"/>
      <c r="AX59" s="1"/>
      <c r="AY59" s="1"/>
      <c r="AZ59" s="1"/>
      <c r="BA59" s="30"/>
      <c r="BB59" s="33"/>
      <c r="BC59" s="33"/>
      <c r="BD59" s="34"/>
      <c r="BE59" s="40"/>
      <c r="BF59" s="1"/>
      <c r="BG59" s="1"/>
      <c r="BH59" s="1"/>
    </row>
    <row r="60" spans="1:60" s="12" customFormat="1" x14ac:dyDescent="0.25">
      <c r="A60" s="1">
        <v>58</v>
      </c>
      <c r="B60" s="67" t="b">
        <f>TRUE</f>
        <v>1</v>
      </c>
      <c r="C60" s="41" t="b">
        <v>1</v>
      </c>
      <c r="D60" s="1" t="s">
        <v>178</v>
      </c>
      <c r="E60" s="5">
        <f t="shared" si="5"/>
        <v>1</v>
      </c>
      <c r="F60" s="42">
        <v>1</v>
      </c>
      <c r="G60" s="38" t="b">
        <f>FALSE</f>
        <v>0</v>
      </c>
      <c r="H60" s="36" t="s">
        <v>51</v>
      </c>
      <c r="I60" s="42">
        <f t="shared" si="6"/>
        <v>0</v>
      </c>
      <c r="J60" s="38">
        <f t="shared" si="7"/>
        <v>8</v>
      </c>
      <c r="K60" s="38">
        <f t="shared" si="8"/>
        <v>23.145098031409887</v>
      </c>
      <c r="L60" s="39">
        <v>30</v>
      </c>
      <c r="M60" s="30" t="s">
        <v>34</v>
      </c>
      <c r="N60" s="30">
        <v>0</v>
      </c>
      <c r="O60" s="47">
        <v>0.75</v>
      </c>
      <c r="P60" s="30">
        <f t="shared" si="9"/>
        <v>1.25</v>
      </c>
      <c r="Q60" s="40"/>
      <c r="R60" s="43"/>
      <c r="S60" s="44"/>
      <c r="T60" s="44"/>
      <c r="U60" s="30"/>
      <c r="V60" s="33"/>
      <c r="W60" s="33"/>
      <c r="X60" s="34"/>
      <c r="Y60" s="40"/>
      <c r="Z60" s="45"/>
      <c r="AA60" s="44"/>
      <c r="AB60" s="44"/>
      <c r="AC60" s="30"/>
      <c r="AD60" s="33"/>
      <c r="AE60" s="33"/>
      <c r="AF60" s="34"/>
      <c r="AG60" s="40"/>
      <c r="AH60" s="64"/>
      <c r="AI60" s="59"/>
      <c r="AJ60" s="59"/>
      <c r="AK60" s="30"/>
      <c r="AL60" s="33"/>
      <c r="AM60" s="33"/>
      <c r="AN60" s="34"/>
      <c r="AO60" s="40"/>
      <c r="AP60" s="1"/>
      <c r="AQ60" s="1"/>
      <c r="AR60" s="1"/>
      <c r="AS60" s="30"/>
      <c r="AT60" s="33"/>
      <c r="AU60" s="33"/>
      <c r="AV60" s="34"/>
      <c r="AW60" s="40"/>
      <c r="AX60" s="1"/>
      <c r="AY60" s="1"/>
      <c r="AZ60" s="1"/>
      <c r="BA60" s="30"/>
      <c r="BB60" s="33"/>
      <c r="BC60" s="33"/>
      <c r="BD60" s="34"/>
      <c r="BE60" s="40"/>
      <c r="BF60" s="1"/>
      <c r="BG60" s="1"/>
      <c r="BH60" s="1"/>
    </row>
    <row r="61" spans="1:60" s="12" customFormat="1" x14ac:dyDescent="0.25">
      <c r="A61" s="1">
        <v>59</v>
      </c>
      <c r="B61" s="67" t="b">
        <f>TRUE</f>
        <v>1</v>
      </c>
      <c r="C61" s="41" t="b">
        <v>1</v>
      </c>
      <c r="D61" s="1" t="s">
        <v>179</v>
      </c>
      <c r="E61" s="5">
        <f t="shared" si="5"/>
        <v>1</v>
      </c>
      <c r="F61" s="42">
        <v>1</v>
      </c>
      <c r="G61" s="38" t="b">
        <f>FALSE</f>
        <v>0</v>
      </c>
      <c r="H61" s="36" t="s">
        <v>51</v>
      </c>
      <c r="I61" s="42">
        <f t="shared" si="6"/>
        <v>0</v>
      </c>
      <c r="J61" s="38">
        <f t="shared" si="7"/>
        <v>8</v>
      </c>
      <c r="K61" s="38">
        <f t="shared" si="8"/>
        <v>23.145098031409887</v>
      </c>
      <c r="L61" s="39">
        <v>30</v>
      </c>
      <c r="M61" s="30" t="s">
        <v>34</v>
      </c>
      <c r="N61" s="30">
        <v>0</v>
      </c>
      <c r="O61" s="47">
        <f>sel_lvfrt_start</f>
        <v>0.9</v>
      </c>
      <c r="P61" s="30">
        <f t="shared" si="9"/>
        <v>1.5</v>
      </c>
      <c r="Q61" s="40"/>
      <c r="R61" s="43"/>
      <c r="S61" s="44"/>
      <c r="T61" s="44"/>
      <c r="U61" s="30"/>
      <c r="V61" s="33"/>
      <c r="W61" s="33"/>
      <c r="X61" s="34"/>
      <c r="Y61" s="40"/>
      <c r="Z61" s="45"/>
      <c r="AA61" s="44"/>
      <c r="AB61" s="44"/>
      <c r="AC61" s="30"/>
      <c r="AD61" s="33"/>
      <c r="AE61" s="33"/>
      <c r="AF61" s="34"/>
      <c r="AG61" s="40"/>
      <c r="AH61" s="64"/>
      <c r="AI61" s="59"/>
      <c r="AJ61" s="59"/>
      <c r="AK61" s="30"/>
      <c r="AL61" s="33"/>
      <c r="AM61" s="33"/>
      <c r="AN61" s="34"/>
      <c r="AO61" s="40"/>
      <c r="AP61" s="1"/>
      <c r="AQ61" s="1"/>
      <c r="AR61" s="1"/>
      <c r="AS61" s="30"/>
      <c r="AT61" s="33"/>
      <c r="AU61" s="33"/>
      <c r="AV61" s="34"/>
      <c r="AW61" s="40"/>
      <c r="AX61" s="1"/>
      <c r="AY61" s="1"/>
      <c r="AZ61" s="1"/>
      <c r="BA61" s="30"/>
      <c r="BB61" s="33"/>
      <c r="BC61" s="33"/>
      <c r="BD61" s="34"/>
      <c r="BE61" s="40"/>
      <c r="BF61" s="1"/>
      <c r="BG61" s="1"/>
      <c r="BH61" s="1"/>
    </row>
    <row r="62" spans="1:60" x14ac:dyDescent="0.25">
      <c r="A62" s="1">
        <v>60</v>
      </c>
      <c r="B62" s="67" t="b">
        <f>TRUE</f>
        <v>1</v>
      </c>
      <c r="C62" s="41" t="b">
        <v>1</v>
      </c>
      <c r="D62" s="1" t="s">
        <v>180</v>
      </c>
      <c r="E62" s="5">
        <f t="shared" si="5"/>
        <v>1</v>
      </c>
      <c r="F62" s="42">
        <v>1</v>
      </c>
      <c r="G62" s="38" t="b">
        <f>FALSE</f>
        <v>0</v>
      </c>
      <c r="H62" s="36" t="s">
        <v>51</v>
      </c>
      <c r="I62" s="42">
        <f t="shared" si="6"/>
        <v>0</v>
      </c>
      <c r="J62" s="38">
        <f t="shared" si="7"/>
        <v>8</v>
      </c>
      <c r="K62" s="38">
        <f t="shared" si="8"/>
        <v>23.145098031409887</v>
      </c>
      <c r="L62" s="39">
        <v>30</v>
      </c>
      <c r="M62" s="30" t="s">
        <v>142</v>
      </c>
      <c r="N62" s="30">
        <v>0</v>
      </c>
      <c r="O62" s="47">
        <f>sel_ures</f>
        <v>0.15</v>
      </c>
      <c r="P62" s="30">
        <f t="shared" si="9"/>
        <v>0.25</v>
      </c>
      <c r="Q62" s="40"/>
      <c r="R62" s="7"/>
      <c r="S62" s="7"/>
      <c r="T62" s="7"/>
      <c r="U62" s="30"/>
      <c r="V62" s="30"/>
      <c r="W62" s="30"/>
      <c r="X62" s="32"/>
      <c r="Y62" s="40"/>
      <c r="Z62" s="7"/>
      <c r="AA62" s="7"/>
      <c r="AB62" s="7"/>
      <c r="AC62" s="30"/>
      <c r="AD62" s="30"/>
      <c r="AE62" s="30"/>
      <c r="AF62" s="32"/>
      <c r="AG62" s="40"/>
      <c r="AH62" s="64"/>
      <c r="AK62" s="30"/>
      <c r="AL62" s="30"/>
      <c r="AM62" s="30"/>
      <c r="AN62" s="32"/>
      <c r="AO62" s="40"/>
      <c r="AS62" s="30"/>
      <c r="AT62" s="30"/>
      <c r="AU62" s="30"/>
      <c r="AV62" s="32"/>
      <c r="AW62" s="40"/>
      <c r="BA62" s="30"/>
      <c r="BB62" s="30"/>
      <c r="BC62" s="30"/>
      <c r="BD62" s="32"/>
      <c r="BE62" s="40"/>
    </row>
    <row r="63" spans="1:60" x14ac:dyDescent="0.25">
      <c r="A63" s="1">
        <v>61</v>
      </c>
      <c r="B63" s="67" t="b">
        <f>TRUE</f>
        <v>1</v>
      </c>
      <c r="C63" s="41" t="b">
        <v>1</v>
      </c>
      <c r="D63" s="1" t="s">
        <v>181</v>
      </c>
      <c r="E63" s="5">
        <f t="shared" si="5"/>
        <v>1</v>
      </c>
      <c r="F63" s="42">
        <v>1</v>
      </c>
      <c r="G63" s="38" t="b">
        <f>FALSE</f>
        <v>0</v>
      </c>
      <c r="H63" s="36" t="s">
        <v>51</v>
      </c>
      <c r="I63" s="42">
        <f t="shared" si="6"/>
        <v>0</v>
      </c>
      <c r="J63" s="38">
        <f t="shared" si="7"/>
        <v>8</v>
      </c>
      <c r="K63" s="38">
        <f t="shared" si="8"/>
        <v>23.145098031409887</v>
      </c>
      <c r="L63" s="39">
        <v>30</v>
      </c>
      <c r="M63" s="30" t="s">
        <v>142</v>
      </c>
      <c r="N63" s="30">
        <v>0</v>
      </c>
      <c r="O63" s="47">
        <v>0.25</v>
      </c>
      <c r="P63" s="30">
        <f t="shared" si="9"/>
        <v>0.41666666666666663</v>
      </c>
      <c r="Q63" s="40"/>
      <c r="R63" s="7"/>
      <c r="S63" s="7"/>
      <c r="T63" s="7"/>
      <c r="U63" s="30"/>
      <c r="V63" s="30"/>
      <c r="W63" s="30"/>
      <c r="X63" s="32"/>
      <c r="Y63" s="40"/>
      <c r="Z63" s="7"/>
      <c r="AA63" s="7"/>
      <c r="AB63" s="7"/>
      <c r="AC63" s="30"/>
      <c r="AD63" s="30"/>
      <c r="AE63" s="30"/>
      <c r="AF63" s="32"/>
      <c r="AG63" s="40"/>
      <c r="AH63" s="64"/>
      <c r="AK63" s="30"/>
      <c r="AL63" s="30"/>
      <c r="AM63" s="30"/>
      <c r="AN63" s="32"/>
      <c r="AO63" s="40"/>
      <c r="AS63" s="30"/>
      <c r="AT63" s="30"/>
      <c r="AU63" s="30"/>
      <c r="AV63" s="32"/>
      <c r="AW63" s="40"/>
      <c r="BA63" s="30"/>
      <c r="BB63" s="30"/>
      <c r="BC63" s="30"/>
      <c r="BD63" s="32"/>
      <c r="BE63" s="40"/>
    </row>
    <row r="64" spans="1:60" x14ac:dyDescent="0.25">
      <c r="A64" s="1">
        <v>62</v>
      </c>
      <c r="B64" s="67" t="b">
        <f>TRUE</f>
        <v>1</v>
      </c>
      <c r="C64" s="41" t="b">
        <v>1</v>
      </c>
      <c r="D64" s="1" t="s">
        <v>182</v>
      </c>
      <c r="E64" s="5">
        <f t="shared" si="5"/>
        <v>1</v>
      </c>
      <c r="F64" s="42">
        <v>1</v>
      </c>
      <c r="G64" s="38" t="b">
        <f>FALSE</f>
        <v>0</v>
      </c>
      <c r="H64" s="36" t="s">
        <v>51</v>
      </c>
      <c r="I64" s="42">
        <f t="shared" si="6"/>
        <v>0</v>
      </c>
      <c r="J64" s="38">
        <f t="shared" si="7"/>
        <v>8</v>
      </c>
      <c r="K64" s="38">
        <f t="shared" si="8"/>
        <v>23.145098031409887</v>
      </c>
      <c r="L64" s="39">
        <v>30</v>
      </c>
      <c r="M64" s="30" t="s">
        <v>142</v>
      </c>
      <c r="N64" s="30">
        <v>0</v>
      </c>
      <c r="O64" s="47">
        <v>0.5</v>
      </c>
      <c r="P64" s="30">
        <f t="shared" si="9"/>
        <v>0.83333333333333337</v>
      </c>
      <c r="Q64" s="40"/>
      <c r="R64" s="7"/>
      <c r="S64" s="7"/>
      <c r="T64" s="7"/>
      <c r="U64" s="30"/>
      <c r="V64" s="30"/>
      <c r="W64" s="30"/>
      <c r="X64" s="32"/>
      <c r="Y64" s="40"/>
      <c r="Z64" s="7"/>
      <c r="AA64" s="7"/>
      <c r="AB64" s="7"/>
      <c r="AC64" s="30"/>
      <c r="AD64" s="30"/>
      <c r="AE64" s="30"/>
      <c r="AF64" s="32"/>
      <c r="AG64" s="40"/>
      <c r="AH64" s="64"/>
      <c r="AK64" s="30"/>
      <c r="AL64" s="30"/>
      <c r="AM64" s="30"/>
      <c r="AN64" s="32"/>
      <c r="AO64" s="40"/>
      <c r="AS64" s="30"/>
      <c r="AT64" s="30"/>
      <c r="AU64" s="30"/>
      <c r="AV64" s="32"/>
      <c r="AW64" s="40"/>
      <c r="BA64" s="30"/>
      <c r="BB64" s="30"/>
      <c r="BC64" s="30"/>
      <c r="BD64" s="32"/>
      <c r="BE64" s="40"/>
    </row>
    <row r="65" spans="1:60" x14ac:dyDescent="0.25">
      <c r="A65" s="1">
        <v>63</v>
      </c>
      <c r="B65" s="67" t="b">
        <f>TRUE</f>
        <v>1</v>
      </c>
      <c r="C65" s="41" t="b">
        <v>1</v>
      </c>
      <c r="D65" s="1" t="s">
        <v>183</v>
      </c>
      <c r="E65" s="5">
        <f t="shared" si="5"/>
        <v>1</v>
      </c>
      <c r="F65" s="42">
        <v>1</v>
      </c>
      <c r="G65" s="38" t="b">
        <f>FALSE</f>
        <v>0</v>
      </c>
      <c r="H65" s="36" t="s">
        <v>51</v>
      </c>
      <c r="I65" s="42">
        <f t="shared" si="6"/>
        <v>0</v>
      </c>
      <c r="J65" s="38">
        <f t="shared" si="7"/>
        <v>8</v>
      </c>
      <c r="K65" s="38">
        <f t="shared" si="8"/>
        <v>23.145098031409887</v>
      </c>
      <c r="L65" s="39">
        <v>30</v>
      </c>
      <c r="M65" s="30" t="s">
        <v>142</v>
      </c>
      <c r="N65" s="30">
        <v>0</v>
      </c>
      <c r="O65" s="47">
        <v>0.75</v>
      </c>
      <c r="P65" s="30">
        <f t="shared" si="9"/>
        <v>1.25</v>
      </c>
      <c r="Q65" s="40"/>
      <c r="R65" s="7"/>
      <c r="S65" s="7"/>
      <c r="T65" s="7"/>
      <c r="U65" s="30"/>
      <c r="V65" s="30"/>
      <c r="W65" s="30"/>
      <c r="X65" s="32"/>
      <c r="Y65" s="40"/>
      <c r="Z65" s="7"/>
      <c r="AA65" s="7"/>
      <c r="AB65" s="7"/>
      <c r="AC65" s="30"/>
      <c r="AD65" s="30"/>
      <c r="AE65" s="30"/>
      <c r="AF65" s="32"/>
      <c r="AG65" s="40"/>
      <c r="AH65" s="64"/>
      <c r="AK65" s="30"/>
      <c r="AL65" s="30"/>
      <c r="AM65" s="30"/>
      <c r="AN65" s="32"/>
      <c r="AO65" s="40"/>
      <c r="AS65" s="30"/>
      <c r="AT65" s="30"/>
      <c r="AU65" s="30"/>
      <c r="AV65" s="32"/>
      <c r="AW65" s="40"/>
      <c r="BA65" s="30"/>
      <c r="BB65" s="30"/>
      <c r="BC65" s="30"/>
      <c r="BD65" s="32"/>
      <c r="BE65" s="40"/>
    </row>
    <row r="66" spans="1:60" x14ac:dyDescent="0.25">
      <c r="A66" s="1">
        <v>64</v>
      </c>
      <c r="B66" s="67" t="b">
        <f>TRUE</f>
        <v>1</v>
      </c>
      <c r="C66" s="41" t="b">
        <v>1</v>
      </c>
      <c r="D66" s="1" t="s">
        <v>184</v>
      </c>
      <c r="E66" s="5">
        <f t="shared" si="5"/>
        <v>1</v>
      </c>
      <c r="F66" s="42">
        <v>1</v>
      </c>
      <c r="G66" s="38" t="b">
        <f>FALSE</f>
        <v>0</v>
      </c>
      <c r="H66" s="36" t="s">
        <v>51</v>
      </c>
      <c r="I66" s="42">
        <f t="shared" si="6"/>
        <v>0</v>
      </c>
      <c r="J66" s="38">
        <f t="shared" si="7"/>
        <v>8</v>
      </c>
      <c r="K66" s="38">
        <f t="shared" si="8"/>
        <v>23.145098031409887</v>
      </c>
      <c r="L66" s="39">
        <v>30</v>
      </c>
      <c r="M66" s="30" t="s">
        <v>142</v>
      </c>
      <c r="N66" s="30">
        <v>0</v>
      </c>
      <c r="O66" s="47">
        <f>sel_lvfrt_start</f>
        <v>0.9</v>
      </c>
      <c r="P66" s="30">
        <f t="shared" si="9"/>
        <v>1.5</v>
      </c>
      <c r="Q66" s="40"/>
      <c r="R66" s="7"/>
      <c r="S66" s="7"/>
      <c r="T66" s="7"/>
      <c r="U66" s="30"/>
      <c r="V66" s="30"/>
      <c r="W66" s="30"/>
      <c r="X66" s="32"/>
      <c r="Y66" s="40"/>
      <c r="Z66" s="7"/>
      <c r="AA66" s="7"/>
      <c r="AB66" s="7"/>
      <c r="AC66" s="30"/>
      <c r="AD66" s="30"/>
      <c r="AE66" s="30"/>
      <c r="AF66" s="32"/>
      <c r="AG66" s="40"/>
      <c r="AH66" s="64"/>
      <c r="AK66" s="30"/>
      <c r="AL66" s="30"/>
      <c r="AM66" s="30"/>
      <c r="AN66" s="32"/>
      <c r="AO66" s="40"/>
      <c r="AS66" s="30"/>
      <c r="AT66" s="30"/>
      <c r="AU66" s="30"/>
      <c r="AV66" s="32"/>
      <c r="AW66" s="40"/>
      <c r="BA66" s="30"/>
      <c r="BB66" s="30"/>
      <c r="BC66" s="30"/>
      <c r="BD66" s="32"/>
      <c r="BE66" s="40"/>
    </row>
    <row r="67" spans="1:60" x14ac:dyDescent="0.25">
      <c r="A67" s="1">
        <v>65</v>
      </c>
      <c r="B67" s="67" t="b">
        <f>TRUE</f>
        <v>1</v>
      </c>
      <c r="C67" s="41" t="b">
        <v>1</v>
      </c>
      <c r="D67" s="1" t="s">
        <v>185</v>
      </c>
      <c r="E67" s="5">
        <f t="shared" si="5"/>
        <v>1</v>
      </c>
      <c r="F67" s="42">
        <v>1</v>
      </c>
      <c r="G67" s="38" t="b">
        <f>FALSE</f>
        <v>0</v>
      </c>
      <c r="H67" s="36" t="s">
        <v>51</v>
      </c>
      <c r="I67" s="42">
        <f t="shared" si="6"/>
        <v>0</v>
      </c>
      <c r="J67" s="38">
        <f t="shared" si="7"/>
        <v>8</v>
      </c>
      <c r="K67" s="38">
        <f t="shared" si="8"/>
        <v>23.145098031409887</v>
      </c>
      <c r="L67" s="39">
        <v>30</v>
      </c>
      <c r="M67" s="30" t="s">
        <v>35</v>
      </c>
      <c r="N67" s="30">
        <v>0</v>
      </c>
      <c r="O67" s="47">
        <f>sel_ures</f>
        <v>0.15</v>
      </c>
      <c r="P67" s="30">
        <f t="shared" si="9"/>
        <v>0.25</v>
      </c>
      <c r="Q67" s="40"/>
      <c r="R67" s="7"/>
      <c r="S67" s="7"/>
      <c r="T67" s="7"/>
      <c r="U67" s="30"/>
      <c r="V67" s="30"/>
      <c r="W67" s="30"/>
      <c r="X67" s="32"/>
      <c r="Y67" s="40"/>
      <c r="Z67" s="7"/>
      <c r="AA67" s="7"/>
      <c r="AB67" s="7"/>
      <c r="AC67" s="30"/>
      <c r="AD67" s="30"/>
      <c r="AE67" s="30"/>
      <c r="AF67" s="32"/>
      <c r="AG67" s="40"/>
      <c r="AH67" s="64"/>
      <c r="AK67" s="30"/>
      <c r="AL67" s="30"/>
      <c r="AM67" s="30"/>
      <c r="AN67" s="32"/>
      <c r="AO67" s="40"/>
      <c r="AS67" s="30"/>
      <c r="AT67" s="30"/>
      <c r="AU67" s="30"/>
      <c r="AV67" s="32"/>
      <c r="AW67" s="40"/>
      <c r="BA67" s="30"/>
      <c r="BB67" s="30"/>
      <c r="BC67" s="30"/>
      <c r="BD67" s="32"/>
      <c r="BE67" s="40"/>
    </row>
    <row r="68" spans="1:60" x14ac:dyDescent="0.25">
      <c r="A68" s="1">
        <v>66</v>
      </c>
      <c r="B68" s="67" t="b">
        <f>TRUE</f>
        <v>1</v>
      </c>
      <c r="C68" s="41" t="b">
        <v>1</v>
      </c>
      <c r="D68" s="1" t="s">
        <v>186</v>
      </c>
      <c r="E68" s="5">
        <f t="shared" si="5"/>
        <v>1</v>
      </c>
      <c r="F68" s="42">
        <v>1</v>
      </c>
      <c r="G68" s="38" t="b">
        <f>FALSE</f>
        <v>0</v>
      </c>
      <c r="H68" s="36" t="s">
        <v>51</v>
      </c>
      <c r="I68" s="42">
        <f t="shared" si="6"/>
        <v>0</v>
      </c>
      <c r="J68" s="38">
        <f t="shared" si="7"/>
        <v>8</v>
      </c>
      <c r="K68" s="38">
        <f t="shared" si="8"/>
        <v>23.145098031409887</v>
      </c>
      <c r="L68" s="39">
        <v>30</v>
      </c>
      <c r="M68" s="30" t="s">
        <v>35</v>
      </c>
      <c r="N68" s="30">
        <v>0</v>
      </c>
      <c r="O68" s="47">
        <v>0.25</v>
      </c>
      <c r="P68" s="30">
        <f t="shared" si="9"/>
        <v>0.41666666666666663</v>
      </c>
      <c r="Q68" s="40"/>
      <c r="R68" s="7"/>
      <c r="S68" s="7"/>
      <c r="T68" s="7"/>
      <c r="U68" s="30"/>
      <c r="V68" s="30"/>
      <c r="W68" s="30"/>
      <c r="X68" s="32"/>
      <c r="Y68" s="40"/>
      <c r="Z68" s="7"/>
      <c r="AA68" s="7"/>
      <c r="AB68" s="7"/>
      <c r="AC68" s="30"/>
      <c r="AD68" s="30"/>
      <c r="AE68" s="30"/>
      <c r="AF68" s="32"/>
      <c r="AG68" s="40"/>
      <c r="AH68" s="64"/>
      <c r="AK68" s="30"/>
      <c r="AL68" s="30"/>
      <c r="AM68" s="30"/>
      <c r="AN68" s="32"/>
      <c r="AO68" s="40"/>
      <c r="AS68" s="30"/>
      <c r="AT68" s="30"/>
      <c r="AU68" s="30"/>
      <c r="AV68" s="32"/>
      <c r="AW68" s="40"/>
      <c r="BA68" s="30"/>
      <c r="BB68" s="30"/>
      <c r="BC68" s="30"/>
      <c r="BD68" s="32"/>
      <c r="BE68" s="40"/>
    </row>
    <row r="69" spans="1:60" x14ac:dyDescent="0.25">
      <c r="A69" s="1">
        <v>67</v>
      </c>
      <c r="B69" s="67" t="b">
        <f>TRUE</f>
        <v>1</v>
      </c>
      <c r="C69" s="41" t="b">
        <v>1</v>
      </c>
      <c r="D69" s="1" t="s">
        <v>187</v>
      </c>
      <c r="E69" s="5">
        <f t="shared" si="5"/>
        <v>1</v>
      </c>
      <c r="F69" s="42">
        <v>1</v>
      </c>
      <c r="G69" s="38" t="b">
        <f>FALSE</f>
        <v>0</v>
      </c>
      <c r="H69" s="36" t="s">
        <v>51</v>
      </c>
      <c r="I69" s="42">
        <f t="shared" si="6"/>
        <v>0</v>
      </c>
      <c r="J69" s="38">
        <f t="shared" si="7"/>
        <v>8</v>
      </c>
      <c r="K69" s="38">
        <f t="shared" si="8"/>
        <v>23.145098031409887</v>
      </c>
      <c r="L69" s="39">
        <v>30</v>
      </c>
      <c r="M69" s="30" t="s">
        <v>35</v>
      </c>
      <c r="N69" s="30">
        <v>0</v>
      </c>
      <c r="O69" s="47">
        <v>0.5</v>
      </c>
      <c r="P69" s="30">
        <f t="shared" si="9"/>
        <v>0.83333333333333337</v>
      </c>
      <c r="Q69" s="40"/>
      <c r="R69" s="7"/>
      <c r="S69" s="7"/>
      <c r="T69" s="7"/>
      <c r="U69" s="30"/>
      <c r="V69" s="30"/>
      <c r="W69" s="30"/>
      <c r="X69" s="32"/>
      <c r="Y69" s="40"/>
      <c r="Z69" s="7"/>
      <c r="AA69" s="7"/>
      <c r="AB69" s="7"/>
      <c r="AC69" s="30"/>
      <c r="AD69" s="30"/>
      <c r="AE69" s="30"/>
      <c r="AF69" s="32"/>
      <c r="AG69" s="40"/>
      <c r="AH69" s="64"/>
      <c r="AK69" s="30"/>
      <c r="AL69" s="30"/>
      <c r="AM69" s="30"/>
      <c r="AN69" s="32"/>
      <c r="AO69" s="40"/>
      <c r="AS69" s="30"/>
      <c r="AT69" s="30"/>
      <c r="AU69" s="30"/>
      <c r="AV69" s="32"/>
      <c r="AW69" s="40"/>
      <c r="BA69" s="30"/>
      <c r="BB69" s="30"/>
      <c r="BC69" s="30"/>
      <c r="BD69" s="32"/>
      <c r="BE69" s="40"/>
    </row>
    <row r="70" spans="1:60" x14ac:dyDescent="0.25">
      <c r="A70" s="1">
        <v>68</v>
      </c>
      <c r="B70" s="67" t="b">
        <f>TRUE</f>
        <v>1</v>
      </c>
      <c r="C70" s="41" t="b">
        <v>1</v>
      </c>
      <c r="D70" s="1" t="s">
        <v>188</v>
      </c>
      <c r="E70" s="5">
        <f t="shared" si="5"/>
        <v>1</v>
      </c>
      <c r="F70" s="42">
        <v>1</v>
      </c>
      <c r="G70" s="38" t="b">
        <f>FALSE</f>
        <v>0</v>
      </c>
      <c r="H70" s="36" t="s">
        <v>51</v>
      </c>
      <c r="I70" s="42">
        <f t="shared" si="6"/>
        <v>0</v>
      </c>
      <c r="J70" s="38">
        <f t="shared" si="7"/>
        <v>8</v>
      </c>
      <c r="K70" s="38">
        <f t="shared" si="8"/>
        <v>23.145098031409887</v>
      </c>
      <c r="L70" s="39">
        <v>30</v>
      </c>
      <c r="M70" s="30" t="s">
        <v>35</v>
      </c>
      <c r="N70" s="30">
        <v>0</v>
      </c>
      <c r="O70" s="47">
        <v>0.75</v>
      </c>
      <c r="P70" s="30">
        <f t="shared" si="9"/>
        <v>1.25</v>
      </c>
      <c r="Q70" s="40"/>
      <c r="R70" s="7"/>
      <c r="S70" s="7"/>
      <c r="T70" s="7"/>
      <c r="U70" s="30"/>
      <c r="V70" s="30"/>
      <c r="W70" s="30"/>
      <c r="X70" s="32"/>
      <c r="Y70" s="40"/>
      <c r="Z70" s="7"/>
      <c r="AA70" s="7"/>
      <c r="AB70" s="7"/>
      <c r="AC70" s="30"/>
      <c r="AD70" s="30"/>
      <c r="AE70" s="30"/>
      <c r="AF70" s="32"/>
      <c r="AG70" s="40"/>
      <c r="AH70" s="64"/>
      <c r="AK70" s="30"/>
      <c r="AL70" s="30"/>
      <c r="AM70" s="30"/>
      <c r="AN70" s="32"/>
      <c r="AO70" s="40"/>
      <c r="AS70" s="30"/>
      <c r="AT70" s="30"/>
      <c r="AU70" s="30"/>
      <c r="AV70" s="32"/>
      <c r="AW70" s="40"/>
      <c r="BA70" s="30"/>
      <c r="BB70" s="30"/>
      <c r="BC70" s="30"/>
      <c r="BD70" s="32"/>
      <c r="BE70" s="40"/>
    </row>
    <row r="71" spans="1:60" x14ac:dyDescent="0.25">
      <c r="A71" s="1">
        <v>69</v>
      </c>
      <c r="B71" s="67" t="b">
        <f>TRUE</f>
        <v>1</v>
      </c>
      <c r="C71" s="41" t="b">
        <v>1</v>
      </c>
      <c r="D71" s="1" t="s">
        <v>189</v>
      </c>
      <c r="E71" s="5">
        <f t="shared" si="5"/>
        <v>1</v>
      </c>
      <c r="F71" s="42">
        <v>1</v>
      </c>
      <c r="G71" s="38" t="b">
        <f>FALSE</f>
        <v>0</v>
      </c>
      <c r="H71" s="36" t="s">
        <v>51</v>
      </c>
      <c r="I71" s="42">
        <f t="shared" si="6"/>
        <v>0</v>
      </c>
      <c r="J71" s="38">
        <f t="shared" si="7"/>
        <v>8</v>
      </c>
      <c r="K71" s="38">
        <f t="shared" si="8"/>
        <v>23.145098031409887</v>
      </c>
      <c r="L71" s="39">
        <v>30</v>
      </c>
      <c r="M71" s="30" t="s">
        <v>35</v>
      </c>
      <c r="N71" s="30">
        <v>0</v>
      </c>
      <c r="O71" s="47">
        <f>sel_lvfrt_start</f>
        <v>0.9</v>
      </c>
      <c r="P71" s="30">
        <f t="shared" si="9"/>
        <v>1.5</v>
      </c>
      <c r="Q71" s="40"/>
      <c r="R71" s="7"/>
      <c r="S71" s="7"/>
      <c r="T71" s="7"/>
      <c r="U71" s="30"/>
      <c r="V71" s="30"/>
      <c r="W71" s="30"/>
      <c r="X71" s="32"/>
      <c r="Y71" s="40"/>
      <c r="Z71" s="7"/>
      <c r="AA71" s="7"/>
      <c r="AB71" s="7"/>
      <c r="AC71" s="30"/>
      <c r="AD71" s="30"/>
      <c r="AE71" s="30"/>
      <c r="AF71" s="32"/>
      <c r="AG71" s="40"/>
      <c r="AH71" s="64"/>
      <c r="AK71" s="30"/>
      <c r="AL71" s="30"/>
      <c r="AM71" s="30"/>
      <c r="AN71" s="32"/>
      <c r="AO71" s="40"/>
      <c r="AS71" s="30"/>
      <c r="AT71" s="30"/>
      <c r="AU71" s="30"/>
      <c r="AV71" s="32"/>
      <c r="AW71" s="40"/>
      <c r="BA71" s="30"/>
      <c r="BB71" s="30"/>
      <c r="BC71" s="30"/>
      <c r="BD71" s="32"/>
      <c r="BE71" s="40"/>
    </row>
    <row r="72" spans="1:60" x14ac:dyDescent="0.25">
      <c r="A72" s="1">
        <v>70</v>
      </c>
      <c r="B72" s="67" t="b">
        <f>TRUE</f>
        <v>1</v>
      </c>
      <c r="C72" s="41" t="b">
        <v>1</v>
      </c>
      <c r="D72" s="1" t="s">
        <v>151</v>
      </c>
      <c r="E72" s="5">
        <f t="shared" si="5"/>
        <v>1</v>
      </c>
      <c r="F72" s="42">
        <v>1</v>
      </c>
      <c r="G72" s="38" t="b">
        <v>0</v>
      </c>
      <c r="H72" s="36" t="s">
        <v>51</v>
      </c>
      <c r="I72" s="42">
        <f t="shared" si="6"/>
        <v>0</v>
      </c>
      <c r="J72" s="38">
        <f t="shared" si="7"/>
        <v>8</v>
      </c>
      <c r="K72" s="38">
        <f t="shared" si="8"/>
        <v>23.145098031409887</v>
      </c>
      <c r="L72" s="39">
        <f>_xlfn.CEILING.MATH(AD72+AF72+30)</f>
        <v>30</v>
      </c>
      <c r="M72" s="30" t="s">
        <v>34</v>
      </c>
      <c r="N72" s="30">
        <v>0</v>
      </c>
      <c r="O72" s="47">
        <f>sel_ures</f>
        <v>0.15</v>
      </c>
      <c r="P72" s="30">
        <f t="shared" si="9"/>
        <v>0.25</v>
      </c>
      <c r="Q72" s="40" t="s">
        <v>34</v>
      </c>
      <c r="R72" s="7">
        <f>P72+0.2</f>
        <v>0.45</v>
      </c>
      <c r="S72" s="7">
        <v>0.15</v>
      </c>
      <c r="T72" s="7">
        <f t="shared" ref="T72:T73" si="10">IF(S72&lt;sel_ures,0,
IF(AND(sel_uclear&gt;=S72, S72&gt;=sel_ures),sel_tclear,
IF(AND(sel_urec1&gt;=S72,S72&gt;sel_uclear),IF(sel_urec1&gt;sel_uclear,sel_tclear+(S72-sel_uclear)*(sel_trec1-sel_tclear)/(sel_urec1-sel_uclear),sel_tclear),
IF(AND(sel_urec2&gt;=S72,S72&gt;sel_urec1),IF(sel_urec2&gt;sel_urec1,sel_trec2+(S72-sel_urec1)*(sel_trec3-sel_trec2)/(sel_urec2-sel_urec1),-99999),5
))))</f>
        <v>0.25</v>
      </c>
      <c r="U72" s="30"/>
      <c r="V72" s="30"/>
      <c r="W72" s="30"/>
      <c r="X72" s="32"/>
      <c r="Y72" s="40"/>
      <c r="Z72" s="7"/>
      <c r="AA72" s="7"/>
      <c r="AB72" s="7"/>
      <c r="AC72" s="30"/>
      <c r="AD72" s="30"/>
      <c r="AE72" s="30"/>
      <c r="AF72" s="32"/>
      <c r="AG72" s="40"/>
      <c r="AH72" s="64"/>
      <c r="AK72" s="30"/>
      <c r="AL72" s="30"/>
      <c r="AM72" s="30"/>
      <c r="AN72" s="32"/>
      <c r="AO72" s="40"/>
      <c r="AS72" s="30"/>
      <c r="AT72" s="30"/>
      <c r="AU72" s="30"/>
      <c r="AV72" s="32"/>
      <c r="AW72" s="40"/>
      <c r="BA72" s="30"/>
      <c r="BB72" s="30"/>
      <c r="BC72" s="30"/>
      <c r="BD72" s="32"/>
      <c r="BE72" s="40"/>
    </row>
    <row r="73" spans="1:60" x14ac:dyDescent="0.25">
      <c r="A73" s="1">
        <v>71</v>
      </c>
      <c r="B73" s="67" t="b">
        <f>TRUE</f>
        <v>1</v>
      </c>
      <c r="C73" s="41" t="b">
        <v>1</v>
      </c>
      <c r="D73" s="1" t="s">
        <v>152</v>
      </c>
      <c r="E73" s="5">
        <f t="shared" si="5"/>
        <v>1</v>
      </c>
      <c r="F73" s="42">
        <v>1</v>
      </c>
      <c r="G73" s="38" t="b">
        <v>0</v>
      </c>
      <c r="H73" s="36" t="s">
        <v>51</v>
      </c>
      <c r="I73" s="42">
        <f t="shared" si="6"/>
        <v>0</v>
      </c>
      <c r="J73" s="38">
        <f t="shared" si="7"/>
        <v>8</v>
      </c>
      <c r="K73" s="38">
        <f t="shared" si="8"/>
        <v>23.145098031409887</v>
      </c>
      <c r="L73" s="39">
        <f>_xlfn.CEILING.MATH(AD73+AF73+30)</f>
        <v>30</v>
      </c>
      <c r="M73" s="30" t="s">
        <v>35</v>
      </c>
      <c r="N73" s="30">
        <v>0</v>
      </c>
      <c r="O73" s="47">
        <f>sel_ures</f>
        <v>0.15</v>
      </c>
      <c r="P73" s="30">
        <f t="shared" si="9"/>
        <v>0.25</v>
      </c>
      <c r="Q73" s="40" t="s">
        <v>35</v>
      </c>
      <c r="R73" s="7">
        <f>P73+0.2</f>
        <v>0.45</v>
      </c>
      <c r="S73" s="7">
        <v>0.15</v>
      </c>
      <c r="T73" s="7">
        <f t="shared" si="10"/>
        <v>0.25</v>
      </c>
      <c r="U73" s="30"/>
      <c r="V73" s="30"/>
      <c r="W73" s="30"/>
      <c r="X73" s="32"/>
      <c r="Y73" s="40"/>
      <c r="Z73" s="7"/>
      <c r="AA73" s="7"/>
      <c r="AB73" s="7"/>
      <c r="AC73" s="30"/>
      <c r="AD73" s="30"/>
      <c r="AE73" s="30"/>
      <c r="AF73" s="32"/>
      <c r="AG73" s="40"/>
      <c r="AH73" s="64"/>
      <c r="AK73" s="30"/>
      <c r="AL73" s="30"/>
      <c r="AM73" s="30"/>
      <c r="AN73" s="32"/>
      <c r="AO73" s="40"/>
      <c r="AS73" s="30"/>
      <c r="AT73" s="30"/>
      <c r="AU73" s="30"/>
      <c r="AV73" s="32"/>
      <c r="AW73" s="40"/>
      <c r="BA73" s="30"/>
      <c r="BB73" s="30"/>
      <c r="BC73" s="30"/>
      <c r="BD73" s="32"/>
      <c r="BE73" s="40"/>
    </row>
    <row r="74" spans="1:60" x14ac:dyDescent="0.25">
      <c r="A74" s="1">
        <v>72</v>
      </c>
      <c r="B74" s="67" t="b">
        <f>TRUE</f>
        <v>1</v>
      </c>
      <c r="C74" s="41" t="b">
        <v>1</v>
      </c>
      <c r="D74" s="1" t="s">
        <v>5</v>
      </c>
      <c r="E74" s="5">
        <f t="shared" si="5"/>
        <v>1</v>
      </c>
      <c r="F74" s="42">
        <v>1</v>
      </c>
      <c r="G74" s="38" t="b">
        <f>FALSE</f>
        <v>0</v>
      </c>
      <c r="H74" s="36" t="s">
        <v>51</v>
      </c>
      <c r="I74" s="42">
        <f t="shared" si="6"/>
        <v>0</v>
      </c>
      <c r="J74" s="38">
        <f t="shared" si="7"/>
        <v>8</v>
      </c>
      <c r="K74" s="38">
        <f t="shared" si="8"/>
        <v>23.145098031409887</v>
      </c>
      <c r="L74" s="39">
        <v>10</v>
      </c>
      <c r="M74" s="30" t="s">
        <v>32</v>
      </c>
      <c r="N74" s="30">
        <v>0</v>
      </c>
      <c r="O74" s="30">
        <v>20</v>
      </c>
      <c r="P74" s="30"/>
      <c r="Q74" s="40" t="s">
        <v>32</v>
      </c>
      <c r="R74" s="7">
        <v>2.5</v>
      </c>
      <c r="S74" s="7">
        <v>0</v>
      </c>
      <c r="T74" s="7"/>
      <c r="U74" s="30" t="s">
        <v>32</v>
      </c>
      <c r="V74" s="30">
        <v>5</v>
      </c>
      <c r="W74" s="30">
        <v>-20</v>
      </c>
      <c r="X74" s="32"/>
      <c r="Y74" s="40" t="s">
        <v>32</v>
      </c>
      <c r="Z74" s="7">
        <v>7.5</v>
      </c>
      <c r="AA74" s="7">
        <v>0</v>
      </c>
      <c r="AB74" s="7"/>
      <c r="AC74" s="30"/>
      <c r="AD74" s="30"/>
      <c r="AE74" s="30"/>
      <c r="AF74" s="32"/>
      <c r="AG74" s="40"/>
      <c r="AH74" s="64"/>
      <c r="AK74" s="30"/>
      <c r="AL74" s="30"/>
      <c r="AM74" s="30"/>
      <c r="AN74" s="32"/>
      <c r="AO74" s="40"/>
      <c r="AS74" s="30"/>
      <c r="AT74" s="30"/>
      <c r="AU74" s="30"/>
      <c r="AV74" s="32"/>
      <c r="AW74" s="40"/>
      <c r="BA74" s="30"/>
      <c r="BB74" s="30"/>
      <c r="BC74" s="30"/>
      <c r="BD74" s="32"/>
      <c r="BE74" s="40"/>
    </row>
    <row r="75" spans="1:60" x14ac:dyDescent="0.25">
      <c r="A75" s="1">
        <v>73</v>
      </c>
      <c r="B75" s="67" t="b">
        <f>TRUE</f>
        <v>1</v>
      </c>
      <c r="C75" s="41" t="b">
        <v>1</v>
      </c>
      <c r="D75" s="1" t="s">
        <v>4</v>
      </c>
      <c r="E75" s="5">
        <f t="shared" si="5"/>
        <v>1</v>
      </c>
      <c r="F75" s="42">
        <v>0.7</v>
      </c>
      <c r="G75" s="38" t="b">
        <f>FALSE</f>
        <v>0</v>
      </c>
      <c r="H75" s="36" t="s">
        <v>51</v>
      </c>
      <c r="I75" s="42">
        <f t="shared" si="6"/>
        <v>0</v>
      </c>
      <c r="J75" s="38">
        <f t="shared" si="7"/>
        <v>8</v>
      </c>
      <c r="K75" s="38">
        <f t="shared" si="8"/>
        <v>23.145098031409887</v>
      </c>
      <c r="L75" s="39">
        <v>5</v>
      </c>
      <c r="M75" s="30" t="s">
        <v>33</v>
      </c>
      <c r="N75" s="30">
        <v>0</v>
      </c>
      <c r="O75" s="30">
        <v>50</v>
      </c>
      <c r="P75" s="30">
        <v>-2</v>
      </c>
      <c r="Q75" s="40" t="s">
        <v>33</v>
      </c>
      <c r="R75" s="7">
        <f>(sel_30min_fmin - 50)/P75</f>
        <v>1.25</v>
      </c>
      <c r="S75" s="7"/>
      <c r="T75" s="7">
        <v>2</v>
      </c>
      <c r="U75" s="30" t="s">
        <v>33</v>
      </c>
      <c r="V75" s="30">
        <f>(sel_30min_fmax-sel_30min_fmin)/T75 + R75</f>
        <v>3.25</v>
      </c>
      <c r="W75" s="30"/>
      <c r="X75" s="32">
        <v>-2</v>
      </c>
      <c r="Y75" s="40" t="s">
        <v>33</v>
      </c>
      <c r="Z75" s="7">
        <f>(50-sel_30min_fmax)/X75 + V75</f>
        <v>4</v>
      </c>
      <c r="AA75" s="7"/>
      <c r="AB75" s="7"/>
      <c r="AC75" s="30"/>
      <c r="AD75" s="30"/>
      <c r="AE75" s="30"/>
      <c r="AF75" s="32"/>
      <c r="AG75" s="40"/>
      <c r="AH75" s="64"/>
      <c r="AK75" s="30"/>
      <c r="AL75" s="30"/>
      <c r="AM75" s="30"/>
      <c r="AN75" s="32"/>
      <c r="AO75" s="40"/>
      <c r="AS75" s="30"/>
      <c r="AT75" s="30"/>
      <c r="AU75" s="30"/>
      <c r="AV75" s="32"/>
      <c r="AW75" s="40"/>
      <c r="BA75" s="30"/>
      <c r="BB75" s="30"/>
      <c r="BC75" s="30"/>
      <c r="BD75" s="32"/>
      <c r="BE75" s="40"/>
    </row>
    <row r="76" spans="1:60" s="11" customFormat="1" x14ac:dyDescent="0.25">
      <c r="A76" s="1">
        <v>74</v>
      </c>
      <c r="B76" s="67" t="b">
        <f>TRUE</f>
        <v>1</v>
      </c>
      <c r="C76" s="41" t="b">
        <v>1</v>
      </c>
      <c r="D76" s="1" t="s">
        <v>266</v>
      </c>
      <c r="E76" s="5">
        <f t="shared" si="5"/>
        <v>1</v>
      </c>
      <c r="F76" s="42">
        <v>1</v>
      </c>
      <c r="G76" s="38" t="b">
        <f>FALSE</f>
        <v>0</v>
      </c>
      <c r="H76" s="36" t="s">
        <v>51</v>
      </c>
      <c r="I76" s="42">
        <f t="shared" si="6"/>
        <v>0</v>
      </c>
      <c r="J76" s="38">
        <f>inp_scr_max</f>
        <v>17.84</v>
      </c>
      <c r="K76" s="38">
        <f>inp_xr_max</f>
        <v>23.145098031409887</v>
      </c>
      <c r="L76" s="39">
        <v>10</v>
      </c>
      <c r="M76" s="30" t="s">
        <v>197</v>
      </c>
      <c r="N76" s="30">
        <v>0</v>
      </c>
      <c r="O76" s="30">
        <f>inp_scr_min</f>
        <v>8</v>
      </c>
      <c r="P76" s="30"/>
      <c r="Q76" s="40" t="s">
        <v>197</v>
      </c>
      <c r="R76" s="7">
        <v>5</v>
      </c>
      <c r="S76" s="5">
        <f>inp_scr_max</f>
        <v>17.84</v>
      </c>
      <c r="T76" s="7">
        <f>inp_xr_max</f>
        <v>23.145098031409887</v>
      </c>
      <c r="U76" s="30"/>
      <c r="V76" s="30"/>
      <c r="W76" s="30"/>
      <c r="X76" s="32"/>
      <c r="Y76" s="40"/>
      <c r="Z76" s="7"/>
      <c r="AA76" s="5"/>
      <c r="AB76" s="7"/>
      <c r="AC76" s="30"/>
      <c r="AD76" s="30"/>
      <c r="AE76" s="30"/>
      <c r="AF76" s="32"/>
      <c r="AG76" s="40"/>
      <c r="AH76" s="59"/>
      <c r="AI76" s="59"/>
      <c r="AJ76" s="59"/>
      <c r="AK76" s="30"/>
      <c r="AL76" s="35"/>
      <c r="AM76" s="30"/>
      <c r="AN76" s="35"/>
      <c r="AO76" s="40"/>
      <c r="AP76" s="46"/>
      <c r="AQ76" s="46"/>
      <c r="AR76" s="46"/>
      <c r="AS76" s="30"/>
      <c r="AT76" s="35"/>
      <c r="AU76" s="30"/>
      <c r="AV76" s="35"/>
      <c r="AW76" s="40"/>
      <c r="AX76" s="46"/>
      <c r="AY76" s="46"/>
      <c r="AZ76" s="46"/>
      <c r="BA76" s="30"/>
      <c r="BB76" s="35"/>
      <c r="BC76" s="30"/>
      <c r="BD76" s="35"/>
      <c r="BE76" s="40"/>
      <c r="BF76" s="46"/>
      <c r="BG76" s="46"/>
      <c r="BH76" s="46"/>
    </row>
    <row r="77" spans="1:60" s="11" customFormat="1" x14ac:dyDescent="0.25">
      <c r="A77" s="1">
        <v>75</v>
      </c>
      <c r="B77" s="67" t="b">
        <f>TRUE</f>
        <v>1</v>
      </c>
      <c r="C77" s="41" t="b">
        <v>1</v>
      </c>
      <c r="D77" s="1" t="s">
        <v>267</v>
      </c>
      <c r="E77" s="5">
        <f t="shared" si="5"/>
        <v>1</v>
      </c>
      <c r="F77" s="42">
        <v>1</v>
      </c>
      <c r="G77" s="38" t="b">
        <f>FALSE</f>
        <v>0</v>
      </c>
      <c r="H77" s="38" t="str">
        <f>IF(inp_default="Q(U)","Q", "Q(U)")</f>
        <v>Q(U)</v>
      </c>
      <c r="I77" s="42">
        <f>IF(H77="Q(U)",E77, 0)</f>
        <v>1</v>
      </c>
      <c r="J77" s="38">
        <f>inp_scr_max</f>
        <v>17.84</v>
      </c>
      <c r="K77" s="38">
        <f>inp_xr_max</f>
        <v>23.145098031409887</v>
      </c>
      <c r="L77" s="39">
        <v>10</v>
      </c>
      <c r="M77" s="30" t="s">
        <v>197</v>
      </c>
      <c r="N77" s="30">
        <v>0</v>
      </c>
      <c r="O77" s="30">
        <f>inp_scr_min</f>
        <v>8</v>
      </c>
      <c r="P77" s="30"/>
      <c r="Q77" s="40" t="s">
        <v>197</v>
      </c>
      <c r="R77" s="7">
        <v>5</v>
      </c>
      <c r="S77" s="5">
        <f>inp_scr_max</f>
        <v>17.84</v>
      </c>
      <c r="T77" s="7">
        <f>inp_xr_max</f>
        <v>23.145098031409887</v>
      </c>
      <c r="U77" s="30"/>
      <c r="V77" s="30"/>
      <c r="W77" s="30"/>
      <c r="X77" s="32"/>
      <c r="Y77" s="40"/>
      <c r="Z77" s="7"/>
      <c r="AA77" s="5"/>
      <c r="AB77" s="7"/>
      <c r="AC77" s="30"/>
      <c r="AD77" s="30"/>
      <c r="AE77" s="30"/>
      <c r="AF77" s="32"/>
      <c r="AG77" s="40"/>
      <c r="AH77" s="59"/>
      <c r="AI77" s="59"/>
      <c r="AJ77" s="59"/>
      <c r="AK77" s="30"/>
      <c r="AL77" s="35"/>
      <c r="AM77" s="30"/>
      <c r="AN77" s="35"/>
      <c r="AO77" s="40"/>
      <c r="AP77" s="46"/>
      <c r="AQ77" s="46"/>
      <c r="AR77" s="46"/>
      <c r="AS77" s="30"/>
      <c r="AT77" s="35"/>
      <c r="AU77" s="30"/>
      <c r="AV77" s="35"/>
      <c r="AW77" s="40"/>
      <c r="AX77" s="46"/>
      <c r="AY77" s="46"/>
      <c r="AZ77" s="46"/>
      <c r="BA77" s="30"/>
      <c r="BB77" s="35"/>
      <c r="BC77" s="30"/>
      <c r="BD77" s="35"/>
      <c r="BE77" s="40"/>
      <c r="BF77" s="46"/>
      <c r="BG77" s="46"/>
      <c r="BH77" s="46"/>
    </row>
    <row r="78" spans="1:60" s="11" customFormat="1" x14ac:dyDescent="0.25">
      <c r="A78" s="1">
        <v>76</v>
      </c>
      <c r="B78" s="67" t="b">
        <f>TRUE</f>
        <v>1</v>
      </c>
      <c r="C78" s="41" t="b">
        <v>1</v>
      </c>
      <c r="D78" s="1" t="s">
        <v>268</v>
      </c>
      <c r="E78" s="5">
        <f t="shared" si="5"/>
        <v>1</v>
      </c>
      <c r="F78" s="42">
        <v>1</v>
      </c>
      <c r="G78" s="38" t="b">
        <f>FALSE</f>
        <v>0</v>
      </c>
      <c r="H78" s="36" t="s">
        <v>51</v>
      </c>
      <c r="I78" s="42">
        <f>IF(inp_default="Q(U)",E78,IF(inp_default="PF",1,0))</f>
        <v>0</v>
      </c>
      <c r="J78" s="38">
        <f>inp_scr_max</f>
        <v>17.84</v>
      </c>
      <c r="K78" s="38">
        <f>inp_xr_max</f>
        <v>23.145098031409887</v>
      </c>
      <c r="L78" s="39">
        <v>10</v>
      </c>
      <c r="M78" s="30" t="s">
        <v>34</v>
      </c>
      <c r="N78" s="30">
        <v>0</v>
      </c>
      <c r="O78" s="30">
        <v>0</v>
      </c>
      <c r="P78" s="30">
        <v>0.1</v>
      </c>
      <c r="Q78" s="40" t="s">
        <v>197</v>
      </c>
      <c r="R78" s="7">
        <f>N78+P78-0.001</f>
        <v>9.9000000000000005E-2</v>
      </c>
      <c r="S78" s="5">
        <f>inp_scr_min</f>
        <v>8</v>
      </c>
      <c r="T78" s="7">
        <f>inp_xr_min</f>
        <v>23.145098031409887</v>
      </c>
      <c r="U78" s="30"/>
      <c r="V78" s="30"/>
      <c r="W78" s="30"/>
      <c r="X78" s="32"/>
      <c r="Y78" s="40"/>
      <c r="Z78" s="7"/>
      <c r="AA78" s="5"/>
      <c r="AB78" s="7"/>
      <c r="AC78" s="30"/>
      <c r="AD78" s="30"/>
      <c r="AE78" s="30"/>
      <c r="AF78" s="32"/>
      <c r="AG78" s="40"/>
      <c r="AH78" s="59"/>
      <c r="AI78" s="59"/>
      <c r="AJ78" s="59"/>
      <c r="AK78" s="30"/>
      <c r="AL78" s="35"/>
      <c r="AM78" s="30"/>
      <c r="AN78" s="35"/>
      <c r="AO78" s="40"/>
      <c r="AP78" s="46"/>
      <c r="AQ78" s="46"/>
      <c r="AR78" s="46"/>
      <c r="AS78" s="30"/>
      <c r="AT78" s="35"/>
      <c r="AU78" s="30"/>
      <c r="AV78" s="35"/>
      <c r="AW78" s="40"/>
      <c r="AX78" s="46"/>
      <c r="AY78" s="46"/>
      <c r="AZ78" s="46"/>
      <c r="BA78" s="30"/>
      <c r="BB78" s="35"/>
      <c r="BC78" s="30"/>
      <c r="BD78" s="35"/>
      <c r="BE78" s="40"/>
      <c r="BF78" s="46"/>
      <c r="BG78" s="46"/>
      <c r="BH78" s="46"/>
    </row>
    <row r="79" spans="1:60" s="11" customFormat="1" x14ac:dyDescent="0.25">
      <c r="A79" s="1">
        <v>77</v>
      </c>
      <c r="B79" s="67" t="b">
        <f>TRUE</f>
        <v>1</v>
      </c>
      <c r="C79" s="41" t="b">
        <v>1</v>
      </c>
      <c r="D79" s="1" t="s">
        <v>269</v>
      </c>
      <c r="E79" s="5">
        <f t="shared" si="5"/>
        <v>1</v>
      </c>
      <c r="F79" s="42">
        <v>1</v>
      </c>
      <c r="G79" s="38" t="b">
        <f>FALSE</f>
        <v>0</v>
      </c>
      <c r="H79" s="38" t="str">
        <f>IF(inp_default="Q(U)","Q", "Q(U)")</f>
        <v>Q(U)</v>
      </c>
      <c r="I79" s="42">
        <f>IF(H79="Q(U)",E79, 0)</f>
        <v>1</v>
      </c>
      <c r="J79" s="38">
        <f>inp_scr_max</f>
        <v>17.84</v>
      </c>
      <c r="K79" s="38">
        <f>inp_xr_max</f>
        <v>23.145098031409887</v>
      </c>
      <c r="L79" s="39">
        <v>10</v>
      </c>
      <c r="M79" s="30" t="s">
        <v>34</v>
      </c>
      <c r="N79" s="30">
        <v>0</v>
      </c>
      <c r="O79" s="30">
        <v>0</v>
      </c>
      <c r="P79" s="30">
        <v>0.1</v>
      </c>
      <c r="Q79" s="40" t="s">
        <v>197</v>
      </c>
      <c r="R79" s="7">
        <f>N79+P79-0.001</f>
        <v>9.9000000000000005E-2</v>
      </c>
      <c r="S79" s="5">
        <f>inp_scr_min</f>
        <v>8</v>
      </c>
      <c r="T79" s="7">
        <f>inp_xr_min</f>
        <v>23.145098031409887</v>
      </c>
      <c r="U79" s="30"/>
      <c r="V79" s="30"/>
      <c r="W79" s="30"/>
      <c r="X79" s="32"/>
      <c r="Y79" s="40"/>
      <c r="Z79" s="7"/>
      <c r="AA79" s="5"/>
      <c r="AB79" s="7"/>
      <c r="AC79" s="30"/>
      <c r="AD79" s="30"/>
      <c r="AE79" s="30"/>
      <c r="AF79" s="32"/>
      <c r="AG79" s="40"/>
      <c r="AH79" s="59"/>
      <c r="AI79" s="59"/>
      <c r="AJ79" s="59"/>
      <c r="AK79" s="30"/>
      <c r="AL79" s="35"/>
      <c r="AM79" s="30"/>
      <c r="AN79" s="35"/>
      <c r="AO79" s="40"/>
      <c r="AP79" s="46"/>
      <c r="AQ79" s="46"/>
      <c r="AR79" s="46"/>
      <c r="AS79" s="30"/>
      <c r="AT79" s="35"/>
      <c r="AU79" s="30"/>
      <c r="AV79" s="35"/>
      <c r="AW79" s="40"/>
      <c r="AX79" s="46"/>
      <c r="AY79" s="46"/>
      <c r="AZ79" s="46"/>
      <c r="BA79" s="30"/>
      <c r="BB79" s="35"/>
      <c r="BC79" s="30"/>
      <c r="BD79" s="35"/>
      <c r="BE79" s="40"/>
      <c r="BF79" s="46"/>
      <c r="BG79" s="46"/>
      <c r="BH79" s="46"/>
    </row>
    <row r="80" spans="1:60" s="11" customFormat="1" x14ac:dyDescent="0.25">
      <c r="A80" s="1">
        <v>78</v>
      </c>
      <c r="B80" s="67" t="b">
        <f>TRUE</f>
        <v>1</v>
      </c>
      <c r="C80" s="41" t="b">
        <v>1</v>
      </c>
      <c r="D80" s="1" t="s">
        <v>271</v>
      </c>
      <c r="E80" s="5">
        <f t="shared" si="5"/>
        <v>1</v>
      </c>
      <c r="F80" s="42">
        <v>1</v>
      </c>
      <c r="G80" s="38" t="b">
        <f>FALSE</f>
        <v>0</v>
      </c>
      <c r="H80" s="36" t="s">
        <v>51</v>
      </c>
      <c r="I80" s="42">
        <f>IF(inp_default="Q(U)",E80,IF(inp_default="PF",1,0))</f>
        <v>0</v>
      </c>
      <c r="J80" s="38">
        <f>inp_scr_max</f>
        <v>17.84</v>
      </c>
      <c r="K80" s="38">
        <f>inp_xr_max</f>
        <v>23.145098031409887</v>
      </c>
      <c r="L80" s="39">
        <v>30</v>
      </c>
      <c r="M80" s="30" t="s">
        <v>34</v>
      </c>
      <c r="N80" s="30">
        <v>0</v>
      </c>
      <c r="O80" s="30">
        <v>0</v>
      </c>
      <c r="P80" s="30">
        <v>0.1</v>
      </c>
      <c r="Q80" s="40" t="s">
        <v>197</v>
      </c>
      <c r="R80" s="7">
        <f>N80+P80-0.001</f>
        <v>9.9000000000000005E-2</v>
      </c>
      <c r="S80" s="5">
        <f>inp_scr_min</f>
        <v>8</v>
      </c>
      <c r="T80" s="7">
        <f>inp_xr_min</f>
        <v>23.145098031409887</v>
      </c>
      <c r="U80" s="30" t="s">
        <v>33</v>
      </c>
      <c r="V80" s="30">
        <v>0.05</v>
      </c>
      <c r="W80" s="30">
        <v>51</v>
      </c>
      <c r="X80" s="32"/>
      <c r="Y80" s="40"/>
      <c r="Z80" s="7"/>
      <c r="AA80" s="5"/>
      <c r="AB80" s="7"/>
      <c r="AC80" s="30"/>
      <c r="AD80" s="30"/>
      <c r="AE80" s="30"/>
      <c r="AF80" s="32"/>
      <c r="AG80" s="40"/>
      <c r="AH80" s="59"/>
      <c r="AI80" s="59"/>
      <c r="AJ80" s="59"/>
      <c r="AK80" s="30"/>
      <c r="AL80" s="35"/>
      <c r="AM80" s="30"/>
      <c r="AN80" s="35"/>
      <c r="AO80" s="40"/>
      <c r="AP80" s="46"/>
      <c r="AQ80" s="46"/>
      <c r="AR80" s="46"/>
      <c r="AS80" s="30"/>
      <c r="AT80" s="35"/>
      <c r="AU80" s="30"/>
      <c r="AV80" s="35"/>
      <c r="AW80" s="40"/>
      <c r="AX80" s="46"/>
      <c r="AY80" s="46"/>
      <c r="AZ80" s="46"/>
      <c r="BA80" s="30"/>
      <c r="BB80" s="35"/>
      <c r="BC80" s="30"/>
      <c r="BD80" s="35"/>
      <c r="BE80" s="40"/>
      <c r="BF80" s="46"/>
      <c r="BG80" s="46"/>
      <c r="BH80" s="46"/>
    </row>
    <row r="81" spans="1:60" s="11" customFormat="1" x14ac:dyDescent="0.25">
      <c r="A81" s="1">
        <v>79</v>
      </c>
      <c r="B81" s="67" t="b">
        <f>TRUE</f>
        <v>1</v>
      </c>
      <c r="C81" s="41" t="b">
        <v>1</v>
      </c>
      <c r="D81" s="1" t="s">
        <v>196</v>
      </c>
      <c r="E81" s="5">
        <f t="shared" si="5"/>
        <v>1</v>
      </c>
      <c r="F81" s="42">
        <v>0.7</v>
      </c>
      <c r="G81" s="38" t="b">
        <f>FALSE</f>
        <v>0</v>
      </c>
      <c r="H81" s="36" t="s">
        <v>51</v>
      </c>
      <c r="I81" s="42">
        <f>IF(inp_default="Q(U)",E81,IF(inp_default="PF",1,0))</f>
        <v>0</v>
      </c>
      <c r="J81" s="38">
        <v>-1</v>
      </c>
      <c r="K81" s="38">
        <v>0</v>
      </c>
      <c r="L81" s="39"/>
      <c r="M81" s="51" t="s">
        <v>229</v>
      </c>
      <c r="N81" s="30"/>
      <c r="O81" s="54" t="s">
        <v>304</v>
      </c>
      <c r="P81" s="55">
        <v>1</v>
      </c>
      <c r="Q81" s="40" t="s">
        <v>161</v>
      </c>
      <c r="R81" s="7"/>
      <c r="S81" s="5" t="s">
        <v>302</v>
      </c>
      <c r="T81" s="7">
        <v>1</v>
      </c>
      <c r="U81" s="51"/>
      <c r="V81" s="30"/>
      <c r="W81" s="30"/>
      <c r="X81" s="32"/>
      <c r="Y81" s="40"/>
      <c r="Z81" s="7"/>
      <c r="AA81" s="5"/>
      <c r="AB81" s="7"/>
      <c r="AC81" s="30"/>
      <c r="AD81" s="30"/>
      <c r="AE81" s="30"/>
      <c r="AF81" s="32"/>
      <c r="AG81" s="40"/>
      <c r="AH81" s="59"/>
      <c r="AI81" s="59"/>
      <c r="AJ81" s="59"/>
      <c r="AK81" s="30"/>
      <c r="AL81" s="35"/>
      <c r="AM81" s="30"/>
      <c r="AN81" s="35"/>
      <c r="AO81" s="40"/>
      <c r="AP81" s="46"/>
      <c r="AQ81" s="46"/>
      <c r="AR81" s="46"/>
      <c r="AS81" s="30"/>
      <c r="AT81" s="35"/>
      <c r="AU81" s="30"/>
      <c r="AV81" s="35"/>
      <c r="AW81" s="40"/>
      <c r="AX81" s="46"/>
      <c r="AY81" s="46"/>
      <c r="AZ81" s="46"/>
      <c r="BA81" s="30"/>
      <c r="BB81" s="35"/>
      <c r="BC81" s="30"/>
      <c r="BD81" s="35"/>
      <c r="BE81" s="40"/>
      <c r="BF81" s="46"/>
      <c r="BG81" s="46"/>
      <c r="BH81" s="46"/>
    </row>
    <row r="82" spans="1:60" s="11" customFormat="1" x14ac:dyDescent="0.25">
      <c r="A82" s="1">
        <v>80</v>
      </c>
      <c r="B82" s="67" t="b">
        <f>TRUE</f>
        <v>1</v>
      </c>
      <c r="C82" s="41" t="b">
        <v>1</v>
      </c>
      <c r="D82" s="1" t="s">
        <v>300</v>
      </c>
      <c r="E82" s="5">
        <f t="shared" si="5"/>
        <v>1</v>
      </c>
      <c r="F82" s="42">
        <v>0.7</v>
      </c>
      <c r="G82" s="38" t="b">
        <f>FALSE</f>
        <v>0</v>
      </c>
      <c r="H82" s="36" t="s">
        <v>51</v>
      </c>
      <c r="I82" s="42">
        <f>IF(inp_default="Q(U)",E82,IF(inp_default="PF",1,0))</f>
        <v>0</v>
      </c>
      <c r="J82" s="38">
        <f t="shared" ref="J82" si="11">inp_scr_min</f>
        <v>8</v>
      </c>
      <c r="K82" s="38">
        <v>0</v>
      </c>
      <c r="L82" s="39"/>
      <c r="M82" s="51" t="s">
        <v>164</v>
      </c>
      <c r="N82" s="30"/>
      <c r="O82" s="58" t="s">
        <v>302</v>
      </c>
      <c r="P82" s="55">
        <v>1</v>
      </c>
      <c r="Q82" s="40" t="s">
        <v>240</v>
      </c>
      <c r="R82" s="7">
        <v>0.3</v>
      </c>
      <c r="S82" s="5"/>
      <c r="T82" s="7">
        <v>-10</v>
      </c>
      <c r="U82" s="30" t="s">
        <v>240</v>
      </c>
      <c r="V82" s="30">
        <v>1.3</v>
      </c>
      <c r="W82" s="30"/>
      <c r="X82" s="32">
        <v>0</v>
      </c>
      <c r="Y82" s="40" t="s">
        <v>158</v>
      </c>
      <c r="Z82" s="7">
        <v>2</v>
      </c>
      <c r="AA82" s="5">
        <v>0.5</v>
      </c>
      <c r="AB82" s="7"/>
      <c r="AC82" s="30" t="s">
        <v>34</v>
      </c>
      <c r="AD82" s="30">
        <v>2</v>
      </c>
      <c r="AE82" s="30">
        <v>0.4</v>
      </c>
      <c r="AF82" s="32">
        <v>0.1</v>
      </c>
      <c r="AG82" s="40" t="s">
        <v>195</v>
      </c>
      <c r="AH82" s="59">
        <f>2.5</f>
        <v>2.5</v>
      </c>
      <c r="AI82" s="59">
        <v>0</v>
      </c>
      <c r="AJ82" s="59">
        <v>0.01</v>
      </c>
      <c r="AK82" s="30" t="s">
        <v>215</v>
      </c>
      <c r="AL82" s="65">
        <v>3</v>
      </c>
      <c r="AM82" s="30"/>
      <c r="AN82" s="35"/>
      <c r="AO82" s="40"/>
      <c r="AP82" s="46"/>
      <c r="AQ82" s="46"/>
      <c r="AR82" s="46"/>
      <c r="AS82" s="30"/>
      <c r="AT82" s="35"/>
      <c r="AU82" s="30"/>
      <c r="AV82" s="35"/>
      <c r="AW82" s="40"/>
      <c r="AX82" s="46"/>
      <c r="AY82" s="46"/>
      <c r="AZ82" s="46"/>
      <c r="BA82" s="30"/>
      <c r="BB82" s="35"/>
      <c r="BC82" s="30"/>
      <c r="BD82" s="35"/>
      <c r="BE82" s="40"/>
      <c r="BF82" s="46"/>
      <c r="BG82" s="46"/>
      <c r="BH82" s="46"/>
    </row>
  </sheetData>
  <autoFilter ref="A2:BH75"/>
  <mergeCells count="12">
    <mergeCell ref="BE1:BH1"/>
    <mergeCell ref="M1:P1"/>
    <mergeCell ref="Q1:T1"/>
    <mergeCell ref="U1:X1"/>
    <mergeCell ref="Y1:AB1"/>
    <mergeCell ref="AC1:AF1"/>
    <mergeCell ref="AG1:AJ1"/>
    <mergeCell ref="AK1:AN1"/>
    <mergeCell ref="AO1:AR1"/>
    <mergeCell ref="AS1:AV1"/>
    <mergeCell ref="AW1:AZ1"/>
    <mergeCell ref="BA1:BD1"/>
  </mergeCells>
  <phoneticPr fontId="6" type="noConversion"/>
  <pageMargins left="0.7" right="0.7" top="0.75" bottom="0.75" header="0.3" footer="0.3"/>
  <pageSetup paperSize="9" orientation="portrait" r:id="rId1"/>
  <ignoredErrors>
    <ignoredError sqref="C11:C12 E33 E36 E39 I77:I79 I54 I56" 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'Event types'!$A$2:$A$989</xm:f>
          </x14:formula1>
          <xm:sqref>BA3:BA75 AW3:AW75 AS3:AS75 AO3:AO75 AK3:AK75 AC3:AC75 AG3:AG75 BE3:BE75 AK82 Y3:Y80 Q3:Q82 U3:U82 Y82 AC82 AG82 M3:M1048576</xm:sqref>
        </x14:dataValidation>
        <x14:dataValidation type="list" allowBlank="1" showInputMessage="1" showErrorMessage="1">
          <x14:formula1>
            <xm:f>datavalidation!$B$1:$B$4</xm:f>
          </x14:formula1>
          <xm:sqref>H3:H82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Q43" sqref="Q43"/>
    </sheetView>
  </sheetViews>
  <sheetFormatPr defaultRowHeight="15" x14ac:dyDescent="0.25"/>
  <cols>
    <col min="1" max="1" width="21.42578125" bestFit="1" customWidth="1"/>
    <col min="2" max="2" width="41.7109375" bestFit="1" customWidth="1"/>
    <col min="3" max="3" width="45.140625" bestFit="1" customWidth="1"/>
    <col min="4" max="4" width="12.5703125" customWidth="1"/>
    <col min="5" max="5" width="14.28515625" bestFit="1" customWidth="1"/>
  </cols>
  <sheetData>
    <row r="1" spans="1:6" x14ac:dyDescent="0.25">
      <c r="B1" t="s">
        <v>204</v>
      </c>
      <c r="C1" t="s">
        <v>174</v>
      </c>
      <c r="D1" t="s">
        <v>169</v>
      </c>
      <c r="E1" t="s">
        <v>216</v>
      </c>
      <c r="F1" t="s">
        <v>170</v>
      </c>
    </row>
    <row r="2" spans="1:6" x14ac:dyDescent="0.25">
      <c r="A2" t="s">
        <v>223</v>
      </c>
      <c r="B2" t="s">
        <v>207</v>
      </c>
      <c r="C2" t="s">
        <v>218</v>
      </c>
      <c r="D2" t="s">
        <v>54</v>
      </c>
      <c r="E2" t="s">
        <v>173</v>
      </c>
      <c r="F2" t="s">
        <v>171</v>
      </c>
    </row>
    <row r="3" spans="1:6" x14ac:dyDescent="0.25">
      <c r="A3" t="s">
        <v>224</v>
      </c>
      <c r="B3" t="s">
        <v>208</v>
      </c>
      <c r="C3" t="s">
        <v>218</v>
      </c>
      <c r="D3" t="s">
        <v>54</v>
      </c>
      <c r="E3" t="s">
        <v>173</v>
      </c>
      <c r="F3" t="s">
        <v>171</v>
      </c>
    </row>
    <row r="4" spans="1:6" x14ac:dyDescent="0.25">
      <c r="A4" t="s">
        <v>158</v>
      </c>
      <c r="B4" t="s">
        <v>226</v>
      </c>
      <c r="C4" t="s">
        <v>219</v>
      </c>
      <c r="D4" t="s">
        <v>54</v>
      </c>
      <c r="E4" t="s">
        <v>173</v>
      </c>
      <c r="F4" t="s">
        <v>171</v>
      </c>
    </row>
    <row r="5" spans="1:6" x14ac:dyDescent="0.25">
      <c r="A5" t="s">
        <v>126</v>
      </c>
      <c r="B5" t="s">
        <v>227</v>
      </c>
      <c r="C5" t="s">
        <v>219</v>
      </c>
      <c r="D5" t="s">
        <v>54</v>
      </c>
      <c r="E5" t="s">
        <v>173</v>
      </c>
      <c r="F5" t="s">
        <v>171</v>
      </c>
    </row>
    <row r="6" spans="1:6" x14ac:dyDescent="0.25">
      <c r="A6" t="s">
        <v>32</v>
      </c>
      <c r="B6" t="s">
        <v>228</v>
      </c>
      <c r="C6" t="s">
        <v>168</v>
      </c>
      <c r="D6" t="s">
        <v>198</v>
      </c>
      <c r="E6" t="s">
        <v>173</v>
      </c>
      <c r="F6" t="s">
        <v>172</v>
      </c>
    </row>
    <row r="7" spans="1:6" x14ac:dyDescent="0.25">
      <c r="A7" t="s">
        <v>33</v>
      </c>
      <c r="B7" t="s">
        <v>209</v>
      </c>
      <c r="C7" t="s">
        <v>168</v>
      </c>
      <c r="D7" t="s">
        <v>156</v>
      </c>
      <c r="E7" t="s">
        <v>173</v>
      </c>
      <c r="F7" t="s">
        <v>157</v>
      </c>
    </row>
    <row r="8" spans="1:6" x14ac:dyDescent="0.25">
      <c r="A8" t="s">
        <v>197</v>
      </c>
      <c r="B8" t="s">
        <v>210</v>
      </c>
      <c r="C8" t="s">
        <v>197</v>
      </c>
      <c r="D8" s="48" t="s">
        <v>23</v>
      </c>
      <c r="E8" t="s">
        <v>199</v>
      </c>
      <c r="F8" s="48" t="s">
        <v>23</v>
      </c>
    </row>
    <row r="9" spans="1:6" x14ac:dyDescent="0.25">
      <c r="A9" t="s">
        <v>34</v>
      </c>
      <c r="B9" t="s">
        <v>211</v>
      </c>
      <c r="C9" t="s">
        <v>217</v>
      </c>
      <c r="D9" t="s">
        <v>54</v>
      </c>
      <c r="E9" t="s">
        <v>200</v>
      </c>
      <c r="F9" t="s">
        <v>83</v>
      </c>
    </row>
    <row r="10" spans="1:6" x14ac:dyDescent="0.25">
      <c r="A10" t="s">
        <v>142</v>
      </c>
      <c r="B10" t="s">
        <v>212</v>
      </c>
      <c r="C10" t="s">
        <v>217</v>
      </c>
      <c r="D10" t="s">
        <v>54</v>
      </c>
      <c r="E10" t="s">
        <v>200</v>
      </c>
      <c r="F10" t="s">
        <v>83</v>
      </c>
    </row>
    <row r="11" spans="1:6" x14ac:dyDescent="0.25">
      <c r="A11" t="s">
        <v>191</v>
      </c>
      <c r="B11" t="s">
        <v>213</v>
      </c>
      <c r="C11" t="s">
        <v>217</v>
      </c>
      <c r="D11" t="s">
        <v>54</v>
      </c>
      <c r="E11" t="s">
        <v>200</v>
      </c>
      <c r="F11" t="s">
        <v>83</v>
      </c>
    </row>
    <row r="12" spans="1:6" x14ac:dyDescent="0.25">
      <c r="A12" t="s">
        <v>35</v>
      </c>
      <c r="B12" t="s">
        <v>214</v>
      </c>
      <c r="C12" t="s">
        <v>217</v>
      </c>
      <c r="D12" t="s">
        <v>54</v>
      </c>
      <c r="E12" t="s">
        <v>200</v>
      </c>
      <c r="F12" t="s">
        <v>83</v>
      </c>
    </row>
    <row r="13" spans="1:6" x14ac:dyDescent="0.25">
      <c r="A13" t="s">
        <v>192</v>
      </c>
      <c r="B13" t="s">
        <v>211</v>
      </c>
      <c r="C13" t="s">
        <v>203</v>
      </c>
      <c r="D13" t="s">
        <v>202</v>
      </c>
      <c r="E13" t="s">
        <v>201</v>
      </c>
      <c r="F13" t="s">
        <v>202</v>
      </c>
    </row>
    <row r="14" spans="1:6" x14ac:dyDescent="0.25">
      <c r="A14" t="s">
        <v>193</v>
      </c>
      <c r="B14" t="s">
        <v>212</v>
      </c>
      <c r="C14" t="s">
        <v>203</v>
      </c>
      <c r="D14" t="s">
        <v>202</v>
      </c>
      <c r="E14" t="s">
        <v>201</v>
      </c>
      <c r="F14" t="s">
        <v>202</v>
      </c>
    </row>
    <row r="15" spans="1:6" x14ac:dyDescent="0.25">
      <c r="A15" t="s">
        <v>194</v>
      </c>
      <c r="B15" t="s">
        <v>213</v>
      </c>
      <c r="C15" t="s">
        <v>203</v>
      </c>
      <c r="D15" t="s">
        <v>202</v>
      </c>
      <c r="E15" t="s">
        <v>201</v>
      </c>
      <c r="F15" t="s">
        <v>202</v>
      </c>
    </row>
    <row r="16" spans="1:6" x14ac:dyDescent="0.25">
      <c r="A16" t="s">
        <v>195</v>
      </c>
      <c r="B16" t="s">
        <v>214</v>
      </c>
      <c r="C16" t="s">
        <v>203</v>
      </c>
      <c r="D16" t="s">
        <v>202</v>
      </c>
      <c r="E16" t="s">
        <v>201</v>
      </c>
      <c r="F16" t="s">
        <v>202</v>
      </c>
    </row>
    <row r="17" spans="1:6" x14ac:dyDescent="0.25">
      <c r="A17" t="s">
        <v>215</v>
      </c>
      <c r="B17" t="s">
        <v>205</v>
      </c>
      <c r="C17" t="s">
        <v>206</v>
      </c>
      <c r="D17" t="s">
        <v>206</v>
      </c>
      <c r="E17" t="s">
        <v>206</v>
      </c>
      <c r="F17" t="s">
        <v>206</v>
      </c>
    </row>
    <row r="18" spans="1:6" ht="45" x14ac:dyDescent="0.25">
      <c r="A18" s="2" t="s">
        <v>163</v>
      </c>
      <c r="B18" s="49" t="s">
        <v>275</v>
      </c>
      <c r="C18" s="2" t="s">
        <v>225</v>
      </c>
      <c r="D18" s="2" t="s">
        <v>206</v>
      </c>
      <c r="E18" s="2" t="s">
        <v>264</v>
      </c>
      <c r="F18" s="50" t="s">
        <v>23</v>
      </c>
    </row>
    <row r="19" spans="1:6" ht="45" x14ac:dyDescent="0.25">
      <c r="A19" s="2" t="s">
        <v>164</v>
      </c>
      <c r="B19" s="49" t="s">
        <v>276</v>
      </c>
      <c r="C19" s="2" t="s">
        <v>225</v>
      </c>
      <c r="D19" s="2" t="s">
        <v>206</v>
      </c>
      <c r="E19" s="2" t="s">
        <v>264</v>
      </c>
      <c r="F19" s="50" t="s">
        <v>23</v>
      </c>
    </row>
    <row r="20" spans="1:6" ht="45" x14ac:dyDescent="0.25">
      <c r="A20" s="2" t="s">
        <v>161</v>
      </c>
      <c r="B20" s="49" t="s">
        <v>277</v>
      </c>
      <c r="C20" s="2" t="s">
        <v>225</v>
      </c>
      <c r="D20" s="2" t="s">
        <v>206</v>
      </c>
      <c r="E20" s="2" t="s">
        <v>264</v>
      </c>
      <c r="F20" s="50" t="s">
        <v>23</v>
      </c>
    </row>
    <row r="21" spans="1:6" ht="45" x14ac:dyDescent="0.25">
      <c r="A21" s="2" t="s">
        <v>229</v>
      </c>
      <c r="B21" s="49" t="s">
        <v>265</v>
      </c>
      <c r="C21" s="2" t="s">
        <v>225</v>
      </c>
      <c r="D21" s="2" t="s">
        <v>206</v>
      </c>
      <c r="E21" s="2" t="s">
        <v>264</v>
      </c>
      <c r="F21" s="50" t="s">
        <v>23</v>
      </c>
    </row>
    <row r="22" spans="1:6" ht="45" x14ac:dyDescent="0.25">
      <c r="A22" s="2" t="s">
        <v>162</v>
      </c>
      <c r="B22" s="49" t="s">
        <v>278</v>
      </c>
      <c r="C22" s="2" t="s">
        <v>225</v>
      </c>
      <c r="D22" s="2" t="s">
        <v>206</v>
      </c>
      <c r="E22" s="2" t="s">
        <v>264</v>
      </c>
      <c r="F22" s="50" t="s">
        <v>23</v>
      </c>
    </row>
    <row r="23" spans="1:6" ht="44.25" customHeight="1" x14ac:dyDescent="0.25">
      <c r="A23" s="2" t="s">
        <v>230</v>
      </c>
      <c r="B23" s="49" t="s">
        <v>279</v>
      </c>
      <c r="C23" s="2" t="s">
        <v>225</v>
      </c>
      <c r="D23" s="2" t="s">
        <v>206</v>
      </c>
      <c r="E23" s="2" t="s">
        <v>264</v>
      </c>
      <c r="F23" s="50" t="s">
        <v>23</v>
      </c>
    </row>
    <row r="24" spans="1:6" x14ac:dyDescent="0.25">
      <c r="A24" s="2" t="s">
        <v>234</v>
      </c>
      <c r="B24" s="49" t="s">
        <v>255</v>
      </c>
      <c r="C24" s="2" t="s">
        <v>231</v>
      </c>
      <c r="D24" s="50" t="s">
        <v>233</v>
      </c>
      <c r="E24" s="2" t="s">
        <v>173</v>
      </c>
      <c r="F24" s="50" t="s">
        <v>232</v>
      </c>
    </row>
    <row r="25" spans="1:6" x14ac:dyDescent="0.25">
      <c r="A25" s="2" t="s">
        <v>236</v>
      </c>
      <c r="B25" s="49" t="s">
        <v>254</v>
      </c>
      <c r="C25" s="2" t="s">
        <v>231</v>
      </c>
      <c r="D25" s="50" t="s">
        <v>233</v>
      </c>
      <c r="E25" s="2" t="s">
        <v>173</v>
      </c>
      <c r="F25" s="50" t="s">
        <v>232</v>
      </c>
    </row>
    <row r="26" spans="1:6" x14ac:dyDescent="0.25">
      <c r="A26" s="2" t="s">
        <v>238</v>
      </c>
      <c r="B26" s="49" t="s">
        <v>256</v>
      </c>
      <c r="C26" s="2" t="s">
        <v>231</v>
      </c>
      <c r="D26" s="50" t="s">
        <v>233</v>
      </c>
      <c r="E26" s="2" t="s">
        <v>173</v>
      </c>
      <c r="F26" s="50" t="s">
        <v>232</v>
      </c>
    </row>
    <row r="27" spans="1:6" x14ac:dyDescent="0.25">
      <c r="A27" s="2" t="s">
        <v>239</v>
      </c>
      <c r="B27" s="49" t="s">
        <v>257</v>
      </c>
      <c r="C27" s="2" t="s">
        <v>231</v>
      </c>
      <c r="D27" s="50" t="s">
        <v>233</v>
      </c>
      <c r="E27" s="2" t="s">
        <v>173</v>
      </c>
      <c r="F27" s="50" t="s">
        <v>232</v>
      </c>
    </row>
    <row r="28" spans="1:6" x14ac:dyDescent="0.25">
      <c r="A28" s="2" t="s">
        <v>240</v>
      </c>
      <c r="B28" s="49" t="s">
        <v>258</v>
      </c>
      <c r="C28" s="2" t="s">
        <v>231</v>
      </c>
      <c r="D28" s="50" t="s">
        <v>233</v>
      </c>
      <c r="E28" s="2" t="s">
        <v>173</v>
      </c>
      <c r="F28" s="50" t="s">
        <v>232</v>
      </c>
    </row>
    <row r="29" spans="1:6" x14ac:dyDescent="0.25">
      <c r="A29" s="2" t="s">
        <v>241</v>
      </c>
      <c r="B29" s="49" t="s">
        <v>259</v>
      </c>
      <c r="C29" s="2" t="s">
        <v>231</v>
      </c>
      <c r="D29" s="50" t="s">
        <v>233</v>
      </c>
      <c r="E29" s="2" t="s">
        <v>173</v>
      </c>
      <c r="F29" s="50" t="s">
        <v>232</v>
      </c>
    </row>
    <row r="30" spans="1:6" x14ac:dyDescent="0.25">
      <c r="A30" s="2" t="s">
        <v>242</v>
      </c>
      <c r="B30" s="49" t="s">
        <v>260</v>
      </c>
      <c r="C30" s="2" t="s">
        <v>231</v>
      </c>
      <c r="D30" s="50" t="s">
        <v>233</v>
      </c>
      <c r="E30" s="2" t="s">
        <v>173</v>
      </c>
      <c r="F30" s="50" t="s">
        <v>232</v>
      </c>
    </row>
    <row r="31" spans="1:6" x14ac:dyDescent="0.25">
      <c r="A31" s="2" t="s">
        <v>243</v>
      </c>
      <c r="B31" s="49" t="s">
        <v>261</v>
      </c>
      <c r="C31" s="2" t="s">
        <v>231</v>
      </c>
      <c r="D31" s="50" t="s">
        <v>233</v>
      </c>
      <c r="E31" s="2" t="s">
        <v>173</v>
      </c>
      <c r="F31" s="50" t="s">
        <v>232</v>
      </c>
    </row>
    <row r="32" spans="1:6" x14ac:dyDescent="0.25">
      <c r="A32" s="2" t="s">
        <v>244</v>
      </c>
      <c r="B32" s="49" t="s">
        <v>262</v>
      </c>
      <c r="C32" s="2" t="s">
        <v>231</v>
      </c>
      <c r="D32" s="50" t="s">
        <v>233</v>
      </c>
      <c r="E32" s="2" t="s">
        <v>173</v>
      </c>
      <c r="F32" s="50" t="s">
        <v>232</v>
      </c>
    </row>
    <row r="33" spans="1:6" x14ac:dyDescent="0.25">
      <c r="A33" s="2" t="s">
        <v>245</v>
      </c>
      <c r="B33" s="49" t="s">
        <v>263</v>
      </c>
      <c r="C33" s="2" t="s">
        <v>231</v>
      </c>
      <c r="D33" s="50" t="s">
        <v>233</v>
      </c>
      <c r="E33" s="2" t="s">
        <v>173</v>
      </c>
      <c r="F33" s="50" t="s">
        <v>232</v>
      </c>
    </row>
    <row r="34" spans="1:6" ht="45" x14ac:dyDescent="0.25">
      <c r="A34" s="2" t="s">
        <v>235</v>
      </c>
      <c r="B34" s="49" t="s">
        <v>280</v>
      </c>
      <c r="C34" s="2" t="s">
        <v>225</v>
      </c>
      <c r="D34" s="2" t="s">
        <v>206</v>
      </c>
      <c r="E34" s="2" t="s">
        <v>264</v>
      </c>
      <c r="F34" s="50" t="s">
        <v>23</v>
      </c>
    </row>
    <row r="35" spans="1:6" ht="45" x14ac:dyDescent="0.25">
      <c r="A35" s="2" t="s">
        <v>237</v>
      </c>
      <c r="B35" s="49" t="s">
        <v>281</v>
      </c>
      <c r="C35" s="2" t="s">
        <v>225</v>
      </c>
      <c r="D35" s="2" t="s">
        <v>206</v>
      </c>
      <c r="E35" s="2" t="s">
        <v>264</v>
      </c>
      <c r="F35" s="50" t="s">
        <v>23</v>
      </c>
    </row>
    <row r="36" spans="1:6" ht="45" x14ac:dyDescent="0.25">
      <c r="A36" s="2" t="s">
        <v>246</v>
      </c>
      <c r="B36" s="49" t="s">
        <v>282</v>
      </c>
      <c r="C36" s="2" t="s">
        <v>225</v>
      </c>
      <c r="D36" s="2" t="s">
        <v>206</v>
      </c>
      <c r="E36" s="2" t="s">
        <v>264</v>
      </c>
      <c r="F36" s="50" t="s">
        <v>23</v>
      </c>
    </row>
    <row r="37" spans="1:6" ht="45" x14ac:dyDescent="0.25">
      <c r="A37" s="2" t="s">
        <v>247</v>
      </c>
      <c r="B37" s="49" t="s">
        <v>283</v>
      </c>
      <c r="C37" s="2" t="s">
        <v>225</v>
      </c>
      <c r="D37" s="2" t="s">
        <v>206</v>
      </c>
      <c r="E37" s="2" t="s">
        <v>264</v>
      </c>
      <c r="F37" s="50" t="s">
        <v>23</v>
      </c>
    </row>
    <row r="38" spans="1:6" ht="45" x14ac:dyDescent="0.25">
      <c r="A38" s="2" t="s">
        <v>248</v>
      </c>
      <c r="B38" s="49" t="s">
        <v>284</v>
      </c>
      <c r="C38" s="2" t="s">
        <v>225</v>
      </c>
      <c r="D38" s="2" t="s">
        <v>206</v>
      </c>
      <c r="E38" s="2" t="s">
        <v>264</v>
      </c>
      <c r="F38" s="50" t="s">
        <v>23</v>
      </c>
    </row>
    <row r="39" spans="1:6" ht="45" x14ac:dyDescent="0.25">
      <c r="A39" s="2" t="s">
        <v>249</v>
      </c>
      <c r="B39" s="49" t="s">
        <v>285</v>
      </c>
      <c r="C39" s="2" t="s">
        <v>225</v>
      </c>
      <c r="D39" s="2" t="s">
        <v>206</v>
      </c>
      <c r="E39" s="2" t="s">
        <v>264</v>
      </c>
      <c r="F39" s="50" t="s">
        <v>23</v>
      </c>
    </row>
    <row r="40" spans="1:6" ht="45" x14ac:dyDescent="0.25">
      <c r="A40" s="2" t="s">
        <v>250</v>
      </c>
      <c r="B40" s="49" t="s">
        <v>286</v>
      </c>
      <c r="C40" s="2" t="s">
        <v>225</v>
      </c>
      <c r="D40" s="2" t="s">
        <v>206</v>
      </c>
      <c r="E40" s="2" t="s">
        <v>264</v>
      </c>
      <c r="F40" s="50" t="s">
        <v>23</v>
      </c>
    </row>
    <row r="41" spans="1:6" ht="45" x14ac:dyDescent="0.25">
      <c r="A41" s="2" t="s">
        <v>251</v>
      </c>
      <c r="B41" s="49" t="s">
        <v>287</v>
      </c>
      <c r="C41" s="2" t="s">
        <v>225</v>
      </c>
      <c r="D41" s="2" t="s">
        <v>206</v>
      </c>
      <c r="E41" s="2" t="s">
        <v>264</v>
      </c>
      <c r="F41" s="50" t="s">
        <v>23</v>
      </c>
    </row>
    <row r="42" spans="1:6" ht="45" x14ac:dyDescent="0.25">
      <c r="A42" s="2" t="s">
        <v>252</v>
      </c>
      <c r="B42" s="49" t="s">
        <v>288</v>
      </c>
      <c r="C42" s="2" t="s">
        <v>225</v>
      </c>
      <c r="D42" s="2" t="s">
        <v>206</v>
      </c>
      <c r="E42" s="2" t="s">
        <v>264</v>
      </c>
      <c r="F42" s="50" t="s">
        <v>23</v>
      </c>
    </row>
    <row r="43" spans="1:6" ht="45" x14ac:dyDescent="0.25">
      <c r="A43" s="2" t="s">
        <v>253</v>
      </c>
      <c r="B43" s="49" t="s">
        <v>289</v>
      </c>
      <c r="C43" s="2" t="s">
        <v>225</v>
      </c>
      <c r="D43" s="2" t="s">
        <v>206</v>
      </c>
      <c r="E43" s="2" t="s">
        <v>264</v>
      </c>
      <c r="F43" s="50" t="s">
        <v>23</v>
      </c>
    </row>
    <row r="44" spans="1:6" ht="45" x14ac:dyDescent="0.25">
      <c r="A44" s="56" t="s">
        <v>290</v>
      </c>
      <c r="B44" s="57" t="s">
        <v>293</v>
      </c>
      <c r="C44" s="56" t="s">
        <v>206</v>
      </c>
      <c r="D44" s="56" t="s">
        <v>206</v>
      </c>
      <c r="E44" s="56" t="s">
        <v>206</v>
      </c>
      <c r="F44" s="56" t="s">
        <v>206</v>
      </c>
    </row>
    <row r="45" spans="1:6" x14ac:dyDescent="0.25">
      <c r="A45" s="56" t="s">
        <v>292</v>
      </c>
      <c r="B45" s="57" t="s">
        <v>291</v>
      </c>
      <c r="C45" s="56" t="s">
        <v>206</v>
      </c>
      <c r="D45" s="56" t="s">
        <v>206</v>
      </c>
      <c r="E45" s="56" t="s">
        <v>206</v>
      </c>
      <c r="F45" s="56" t="s">
        <v>206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3" sqref="D3"/>
    </sheetView>
  </sheetViews>
  <sheetFormatPr defaultRowHeight="15" x14ac:dyDescent="0.25"/>
  <sheetData>
    <row r="1" spans="1:4" x14ac:dyDescent="0.25">
      <c r="A1" t="s">
        <v>24</v>
      </c>
      <c r="B1" t="s">
        <v>47</v>
      </c>
      <c r="C1" t="s">
        <v>97</v>
      </c>
      <c r="D1" t="b">
        <f>TRUE</f>
        <v>1</v>
      </c>
    </row>
    <row r="2" spans="1:4" x14ac:dyDescent="0.25">
      <c r="A2" t="s">
        <v>42</v>
      </c>
      <c r="B2" t="s">
        <v>48</v>
      </c>
      <c r="C2" t="s">
        <v>98</v>
      </c>
      <c r="D2" t="b">
        <f>FALSE</f>
        <v>0</v>
      </c>
    </row>
    <row r="3" spans="1:4" x14ac:dyDescent="0.25">
      <c r="B3" t="s">
        <v>49</v>
      </c>
      <c r="C3" t="s">
        <v>99</v>
      </c>
    </row>
    <row r="4" spans="1:4" x14ac:dyDescent="0.25">
      <c r="B4" t="s">
        <v>51</v>
      </c>
      <c r="C4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44</vt:i4>
      </vt:variant>
    </vt:vector>
  </HeadingPairs>
  <TitlesOfParts>
    <vt:vector size="49" baseType="lpstr">
      <vt:lpstr>Settings</vt:lpstr>
      <vt:lpstr>Area values</vt:lpstr>
      <vt:lpstr>Cases</vt:lpstr>
      <vt:lpstr>Event types</vt:lpstr>
      <vt:lpstr>datavalidation</vt:lpstr>
      <vt:lpstr>inp_Area</vt:lpstr>
      <vt:lpstr>inp_default</vt:lpstr>
      <vt:lpstr>inp_init</vt:lpstr>
      <vt:lpstr>inp_scr_max</vt:lpstr>
      <vt:lpstr>inp_scr_min</vt:lpstr>
      <vt:lpstr>inp_scr_tun</vt:lpstr>
      <vt:lpstr>inp_Uc</vt:lpstr>
      <vt:lpstr>inp_Un</vt:lpstr>
      <vt:lpstr>inp_xr_max</vt:lpstr>
      <vt:lpstr>inp_xr_min</vt:lpstr>
      <vt:lpstr>inp_xr_tun</vt:lpstr>
      <vt:lpstr>sel_30min_fmax</vt:lpstr>
      <vt:lpstr>sel_30min_fmin</vt:lpstr>
      <vt:lpstr>sel_60min_umax</vt:lpstr>
      <vt:lpstr>sel_60min_umin</vt:lpstr>
      <vt:lpstr>sel_contop_umax</vt:lpstr>
      <vt:lpstr>sel_contop_umin</vt:lpstr>
      <vt:lpstr>sel_fsm_db</vt:lpstr>
      <vt:lpstr>sel_fsm_droop</vt:lpstr>
      <vt:lpstr>sel_fsm_prov</vt:lpstr>
      <vt:lpstr>sel_lfsmo_droop</vt:lpstr>
      <vt:lpstr>sel_lfsmo_start</vt:lpstr>
      <vt:lpstr>sel_lfsmu_droop</vt:lpstr>
      <vt:lpstr>sel_lfsmu_start</vt:lpstr>
      <vt:lpstr>sel_lvfrt_start</vt:lpstr>
      <vt:lpstr>sel_lvfrt_stop</vt:lpstr>
      <vt:lpstr>sel_t1</vt:lpstr>
      <vt:lpstr>sel_t2</vt:lpstr>
      <vt:lpstr>sel_tclear</vt:lpstr>
      <vt:lpstr>sel_trec1</vt:lpstr>
      <vt:lpstr>sel_trec2</vt:lpstr>
      <vt:lpstr>sel_trec3</vt:lpstr>
      <vt:lpstr>sel_u1</vt:lpstr>
      <vt:lpstr>sel_u2</vt:lpstr>
      <vt:lpstr>sel_uclear</vt:lpstr>
      <vt:lpstr>sel_uq_q0.33_umax</vt:lpstr>
      <vt:lpstr>sel_uq_q0.33_umin</vt:lpstr>
      <vt:lpstr>sel_uq_q0.33ue_umax</vt:lpstr>
      <vt:lpstr>sel_uq_q0.33ue_umin</vt:lpstr>
      <vt:lpstr>sel_uq_q0_umax</vt:lpstr>
      <vt:lpstr>sel_uq_q0_umin</vt:lpstr>
      <vt:lpstr>sel_urec1</vt:lpstr>
      <vt:lpstr>sel_urec2</vt:lpstr>
      <vt:lpstr>sel_ures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Lu</dc:creator>
  <cp:lastModifiedBy>Mathias Bernhardt Bødker Kristensen</cp:lastModifiedBy>
  <dcterms:created xsi:type="dcterms:W3CDTF">2015-06-05T18:19:34Z</dcterms:created>
  <dcterms:modified xsi:type="dcterms:W3CDTF">2023-12-21T14:05:19Z</dcterms:modified>
</cp:coreProperties>
</file>