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0" yWindow="0" windowWidth="19200" windowHeight="6900" tabRatio="308"/>
  </bookViews>
  <sheets>
    <sheet name="Input" sheetId="8" r:id="rId1"/>
    <sheet name="Area values" sheetId="12" r:id="rId2"/>
    <sheet name="Cases" sheetId="6" r:id="rId3"/>
    <sheet name="datavalidation" sheetId="11" r:id="rId4"/>
  </sheets>
  <definedNames>
    <definedName name="_xlnm._FilterDatabase" localSheetId="0" hidden="1">Input!$A$3:$J$3</definedName>
    <definedName name="inp_Area">Input!$B$6</definedName>
    <definedName name="inp_cto">Input!$B$19</definedName>
    <definedName name="inp_default">Input!$B$15</definedName>
    <definedName name="inp_Uc">Input!$B$4</definedName>
    <definedName name="inp_Un">Input!$B$5</definedName>
    <definedName name="prot_dFneg">Input!$B$34</definedName>
    <definedName name="prot_dFneg_t">Input!$B$35</definedName>
    <definedName name="prot_dFpos">Input!$B$32</definedName>
    <definedName name="prot_dFpos_t">Input!$B$33</definedName>
    <definedName name="prot_Fo">Input!$B$28</definedName>
    <definedName name="prot_Fo_t">Input!$B$29</definedName>
    <definedName name="prot_Fu">Input!$B$30</definedName>
    <definedName name="prot_Fu_t">Input!$B$31</definedName>
    <definedName name="prot_Uo1">Input!$B$20</definedName>
    <definedName name="prot_Uo1_t">Input!$B$21</definedName>
    <definedName name="prot_Uo2">Input!$B$22</definedName>
    <definedName name="prot_Uo2_t">Input!$B$23</definedName>
    <definedName name="prot_Uo3">Input!$B$24</definedName>
    <definedName name="prot_Uo3_t">Input!$B$25</definedName>
    <definedName name="prot_Uu">Input!$B$26</definedName>
    <definedName name="prot_Uu_t">Input!$B$27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6" l="1"/>
  <c r="AJ83" i="6"/>
  <c r="AH83" i="6"/>
  <c r="AF83" i="6"/>
  <c r="AD83" i="6"/>
  <c r="Z83" i="6"/>
  <c r="X83" i="6"/>
  <c r="V83" i="6"/>
  <c r="T83" i="6"/>
  <c r="J83" i="6"/>
  <c r="G83" i="6"/>
  <c r="AI82" i="6"/>
  <c r="AH82" i="6"/>
  <c r="AE82" i="6"/>
  <c r="AD82" i="6"/>
  <c r="Z82" i="6"/>
  <c r="W82" i="6"/>
  <c r="V82" i="6"/>
  <c r="S82" i="6"/>
  <c r="J82" i="6"/>
  <c r="G82" i="6"/>
  <c r="W81" i="6"/>
  <c r="V81" i="6"/>
  <c r="S81" i="6"/>
  <c r="J81" i="6"/>
  <c r="G81" i="6"/>
  <c r="AM80" i="6"/>
  <c r="AL80" i="6"/>
  <c r="AI80" i="6"/>
  <c r="AH80" i="6"/>
  <c r="AE80" i="6"/>
  <c r="AD80" i="6"/>
  <c r="AA80" i="6"/>
  <c r="Z80" i="6"/>
  <c r="W80" i="6"/>
  <c r="V80" i="6"/>
  <c r="S80" i="6"/>
  <c r="J80" i="6"/>
  <c r="G80" i="6"/>
  <c r="V79" i="6"/>
  <c r="Z79" i="6" s="1"/>
  <c r="AD79" i="6" s="1"/>
  <c r="G79" i="6"/>
  <c r="G78" i="6"/>
  <c r="T77" i="6"/>
  <c r="J77" i="6"/>
  <c r="AA76" i="6"/>
  <c r="AB76" i="6" s="1"/>
  <c r="S76" i="6"/>
  <c r="T76" i="6" s="1"/>
  <c r="J76" i="6"/>
  <c r="S75" i="6"/>
  <c r="T75" i="6" s="1"/>
  <c r="G75" i="6"/>
  <c r="S74" i="6"/>
  <c r="T74" i="6" s="1"/>
  <c r="G74" i="6"/>
  <c r="S73" i="6"/>
  <c r="T73" i="6" s="1"/>
  <c r="G73" i="6"/>
  <c r="S72" i="6"/>
  <c r="T72" i="6" s="1"/>
  <c r="G72" i="6"/>
  <c r="T71" i="6"/>
  <c r="G71" i="6"/>
  <c r="S70" i="6"/>
  <c r="T70" i="6" s="1"/>
  <c r="G70" i="6"/>
  <c r="S69" i="6"/>
  <c r="T69" i="6" s="1"/>
  <c r="G69" i="6"/>
  <c r="S68" i="6"/>
  <c r="T68" i="6" s="1"/>
  <c r="G68" i="6"/>
  <c r="S67" i="6"/>
  <c r="T67" i="6" s="1"/>
  <c r="G67" i="6"/>
  <c r="T66" i="6"/>
  <c r="G66" i="6"/>
  <c r="S65" i="6"/>
  <c r="T65" i="6" s="1"/>
  <c r="G65" i="6"/>
  <c r="S64" i="6"/>
  <c r="T64" i="6" s="1"/>
  <c r="G64" i="6"/>
  <c r="S63" i="6"/>
  <c r="T63" i="6" s="1"/>
  <c r="G63" i="6"/>
  <c r="S62" i="6"/>
  <c r="T62" i="6" s="1"/>
  <c r="G62" i="6"/>
  <c r="T61" i="6"/>
  <c r="G61" i="6"/>
  <c r="H60" i="6"/>
  <c r="H58" i="6"/>
  <c r="H56" i="6"/>
  <c r="H54" i="6"/>
  <c r="Z52" i="6"/>
  <c r="W52" i="6"/>
  <c r="V52" i="6"/>
  <c r="S52" i="6"/>
  <c r="J52" i="6"/>
  <c r="G52" i="6"/>
  <c r="AH51" i="6"/>
  <c r="AF51" i="6"/>
  <c r="AD51" i="6"/>
  <c r="Z51" i="6"/>
  <c r="X51" i="6"/>
  <c r="W51" i="6"/>
  <c r="V51" i="6"/>
  <c r="S51" i="6"/>
  <c r="G51" i="6"/>
  <c r="AM50" i="6"/>
  <c r="AI50" i="6"/>
  <c r="AA50" i="6"/>
  <c r="S50" i="6"/>
  <c r="G50" i="6"/>
  <c r="AM49" i="6"/>
  <c r="AI49" i="6"/>
  <c r="AA49" i="6"/>
  <c r="S49" i="6"/>
  <c r="G49" i="6"/>
  <c r="AM48" i="6"/>
  <c r="AI48" i="6"/>
  <c r="AA48" i="6"/>
  <c r="S48" i="6"/>
  <c r="G48" i="6"/>
  <c r="G47" i="6"/>
  <c r="G46" i="6"/>
  <c r="G45" i="6"/>
  <c r="G44" i="6"/>
  <c r="G43" i="6"/>
  <c r="G42" i="6"/>
  <c r="S41" i="6"/>
  <c r="G41" i="6"/>
  <c r="S40" i="6"/>
  <c r="E41" i="6" s="1"/>
  <c r="G40" i="6"/>
  <c r="S39" i="6"/>
  <c r="E40" i="6" s="1"/>
  <c r="G39" i="6"/>
  <c r="S38" i="6"/>
  <c r="G38" i="6"/>
  <c r="S37" i="6"/>
  <c r="E38" i="6" s="1"/>
  <c r="G37" i="6"/>
  <c r="S36" i="6"/>
  <c r="E37" i="6" s="1"/>
  <c r="G36" i="6"/>
  <c r="S35" i="6"/>
  <c r="G35" i="6"/>
  <c r="S34" i="6"/>
  <c r="E35" i="6" s="1"/>
  <c r="G34" i="6"/>
  <c r="S33" i="6"/>
  <c r="E34" i="6" s="1"/>
  <c r="G33" i="6"/>
  <c r="S32" i="6"/>
  <c r="G32" i="6"/>
  <c r="S31" i="6"/>
  <c r="E32" i="6" s="1"/>
  <c r="B32" i="6" s="1"/>
  <c r="G31" i="6"/>
  <c r="S30" i="6"/>
  <c r="E31" i="6" s="1"/>
  <c r="G30" i="6"/>
  <c r="S29" i="6"/>
  <c r="G29" i="6"/>
  <c r="C29" i="6"/>
  <c r="B29" i="6"/>
  <c r="S28" i="6"/>
  <c r="G28" i="6"/>
  <c r="C28" i="6"/>
  <c r="B28" i="6"/>
  <c r="S27" i="6"/>
  <c r="G27" i="6"/>
  <c r="C27" i="6"/>
  <c r="B27" i="6"/>
  <c r="S26" i="6"/>
  <c r="G26" i="6"/>
  <c r="C26" i="6"/>
  <c r="B26" i="6"/>
  <c r="S25" i="6"/>
  <c r="G25" i="6"/>
  <c r="C25" i="6"/>
  <c r="B25" i="6"/>
  <c r="S24" i="6"/>
  <c r="G24" i="6"/>
  <c r="C24" i="6"/>
  <c r="B24" i="6"/>
  <c r="T23" i="6"/>
  <c r="C23" i="6"/>
  <c r="B23" i="6"/>
  <c r="T22" i="6"/>
  <c r="C22" i="6"/>
  <c r="B22" i="6"/>
  <c r="AM21" i="6"/>
  <c r="AI21" i="6"/>
  <c r="AA21" i="6"/>
  <c r="S21" i="6"/>
  <c r="G21" i="6"/>
  <c r="C21" i="6"/>
  <c r="B21" i="6"/>
  <c r="G20" i="6"/>
  <c r="C20" i="6"/>
  <c r="B20" i="6"/>
  <c r="T19" i="6"/>
  <c r="G19" i="6"/>
  <c r="C19" i="6"/>
  <c r="B19" i="6"/>
  <c r="T18" i="6"/>
  <c r="G18" i="6"/>
  <c r="C18" i="6"/>
  <c r="B18" i="6"/>
  <c r="AM17" i="6"/>
  <c r="AI17" i="6"/>
  <c r="AA17" i="6"/>
  <c r="S17" i="6"/>
  <c r="G17" i="6"/>
  <c r="C17" i="6"/>
  <c r="B17" i="6"/>
  <c r="G16" i="6"/>
  <c r="C16" i="6"/>
  <c r="B16" i="6"/>
  <c r="G15" i="6"/>
  <c r="C15" i="6"/>
  <c r="B15" i="6"/>
  <c r="G14" i="6"/>
  <c r="C14" i="6"/>
  <c r="B14" i="6"/>
  <c r="G13" i="6"/>
  <c r="C13" i="6"/>
  <c r="B13" i="6"/>
  <c r="G12" i="6"/>
  <c r="C12" i="6"/>
  <c r="B12" i="6"/>
  <c r="G11" i="6"/>
  <c r="C11" i="6"/>
  <c r="B11" i="6"/>
  <c r="G10" i="6"/>
  <c r="C10" i="6"/>
  <c r="B10" i="6"/>
  <c r="G9" i="6"/>
  <c r="C9" i="6"/>
  <c r="B9" i="6"/>
  <c r="G8" i="6"/>
  <c r="C8" i="6"/>
  <c r="B8" i="6"/>
  <c r="G7" i="6"/>
  <c r="C7" i="6"/>
  <c r="B7" i="6"/>
  <c r="G6" i="6"/>
  <c r="C6" i="6"/>
  <c r="B6" i="6"/>
  <c r="G5" i="6"/>
  <c r="C5" i="6"/>
  <c r="B5" i="6"/>
  <c r="G4" i="6"/>
  <c r="C4" i="6"/>
  <c r="B4" i="6"/>
  <c r="G3" i="6"/>
  <c r="C3" i="6"/>
  <c r="B3" i="6"/>
  <c r="B35" i="6" l="1"/>
  <c r="C35" i="6"/>
  <c r="C31" i="6"/>
  <c r="B31" i="6"/>
  <c r="C32" i="6"/>
  <c r="B37" i="6"/>
  <c r="C37" i="6"/>
  <c r="B38" i="6"/>
  <c r="C40" i="6"/>
  <c r="B40" i="6"/>
  <c r="C34" i="6"/>
  <c r="B34" i="6"/>
  <c r="C41" i="6"/>
  <c r="B41" i="6"/>
  <c r="C38" i="6"/>
  <c r="G26" i="12"/>
  <c r="F26" i="12"/>
  <c r="G25" i="12"/>
  <c r="F25" i="12"/>
  <c r="D26" i="12"/>
  <c r="D25" i="12"/>
  <c r="C26" i="12"/>
  <c r="C25" i="12"/>
  <c r="H25" i="12"/>
  <c r="H26" i="12"/>
  <c r="H37" i="12"/>
  <c r="H39" i="12"/>
  <c r="G38" i="12"/>
  <c r="G36" i="12"/>
  <c r="F38" i="12"/>
  <c r="F36" i="12"/>
  <c r="D38" i="12"/>
  <c r="D36" i="12"/>
  <c r="C38" i="12"/>
  <c r="H38" i="12" s="1"/>
  <c r="C36" i="12"/>
  <c r="H36" i="12" s="1"/>
  <c r="D33" i="12"/>
  <c r="D31" i="12"/>
  <c r="D30" i="12"/>
  <c r="D29" i="12"/>
  <c r="D28" i="12"/>
  <c r="D27" i="12"/>
  <c r="C33" i="12"/>
  <c r="H33" i="12" s="1"/>
  <c r="C31" i="12"/>
  <c r="H31" i="12" s="1"/>
  <c r="C30" i="12"/>
  <c r="C29" i="12"/>
  <c r="H29" i="12" s="1"/>
  <c r="C28" i="12"/>
  <c r="C27" i="12"/>
  <c r="H27" i="12" s="1"/>
  <c r="H28" i="12"/>
  <c r="H30" i="12"/>
  <c r="H32" i="12"/>
  <c r="H34" i="12"/>
  <c r="G33" i="12"/>
  <c r="G31" i="12"/>
  <c r="G30" i="12"/>
  <c r="G29" i="12"/>
  <c r="G28" i="12"/>
  <c r="G27" i="12"/>
  <c r="F33" i="12"/>
  <c r="F28" i="12"/>
  <c r="F30" i="12"/>
  <c r="F31" i="12"/>
  <c r="F29" i="12"/>
  <c r="F27" i="12"/>
  <c r="G23" i="12"/>
  <c r="G22" i="12"/>
  <c r="G21" i="12"/>
  <c r="G20" i="12"/>
  <c r="F23" i="12"/>
  <c r="F22" i="12"/>
  <c r="F21" i="12"/>
  <c r="F20" i="12"/>
  <c r="D20" i="12"/>
  <c r="D22" i="12"/>
  <c r="D21" i="12"/>
  <c r="D23" i="12"/>
  <c r="C23" i="12"/>
  <c r="H23" i="12" s="1"/>
  <c r="C22" i="12"/>
  <c r="H22" i="12" s="1"/>
  <c r="C21" i="12"/>
  <c r="H21" i="12" s="1"/>
  <c r="C20" i="12"/>
  <c r="H20" i="12" s="1"/>
  <c r="H11" i="12"/>
  <c r="H12" i="12"/>
  <c r="G19" i="12"/>
  <c r="G18" i="12"/>
  <c r="G17" i="12"/>
  <c r="G16" i="12"/>
  <c r="G15" i="12"/>
  <c r="G14" i="12"/>
  <c r="F19" i="12"/>
  <c r="F18" i="12"/>
  <c r="F17" i="12"/>
  <c r="F16" i="12"/>
  <c r="F15" i="12"/>
  <c r="F14" i="12"/>
  <c r="D19" i="12"/>
  <c r="D18" i="12"/>
  <c r="D17" i="12"/>
  <c r="D16" i="12"/>
  <c r="D15" i="12"/>
  <c r="D14" i="12"/>
  <c r="C19" i="12"/>
  <c r="H19" i="12" s="1"/>
  <c r="C16" i="12"/>
  <c r="H16" i="12" s="1"/>
  <c r="C18" i="12"/>
  <c r="H18" i="12" s="1"/>
  <c r="C17" i="12"/>
  <c r="H17" i="12" s="1"/>
  <c r="C15" i="12"/>
  <c r="C14" i="12"/>
  <c r="H14" i="12" s="1"/>
  <c r="H15" i="12"/>
  <c r="H5" i="12"/>
  <c r="H6" i="12"/>
  <c r="H7" i="12"/>
  <c r="H8" i="12"/>
  <c r="H9" i="12"/>
  <c r="H10" i="12"/>
  <c r="H4" i="12"/>
</calcChain>
</file>

<file path=xl/sharedStrings.xml><?xml version="1.0" encoding="utf-8"?>
<sst xmlns="http://schemas.openxmlformats.org/spreadsheetml/2006/main" count="530" uniqueCount="226">
  <si>
    <t>P0</t>
  </si>
  <si>
    <t>SCR</t>
  </si>
  <si>
    <t>Qmode</t>
  </si>
  <si>
    <t>P_step_up_0.5_0.7</t>
  </si>
  <si>
    <t>P_step_down_0.7_0.5</t>
  </si>
  <si>
    <t>MaxRoCoF</t>
  </si>
  <si>
    <t>MaxPhaseJump</t>
  </si>
  <si>
    <t>ProjectName</t>
  </si>
  <si>
    <t>Volley</t>
  </si>
  <si>
    <t>P_step_up_0.0_0.5</t>
  </si>
  <si>
    <t>P_step_up_0.7_1.0</t>
  </si>
  <si>
    <t>P_step_down_1.0_0.7</t>
  </si>
  <si>
    <t>P_step_down_0.5_0.0</t>
  </si>
  <si>
    <t>LFSM-OU_step</t>
  </si>
  <si>
    <t>Un</t>
  </si>
  <si>
    <t>U-Q/Pn_N_up</t>
  </si>
  <si>
    <t>U-Q/Pn_N_down</t>
  </si>
  <si>
    <t>U-Q/Pn_UE_up</t>
  </si>
  <si>
    <t>U-Q/Pn_UE_down</t>
  </si>
  <si>
    <t>U-Q/Pn_OE_up</t>
  </si>
  <si>
    <t>U-Q/Pn_OE_down</t>
  </si>
  <si>
    <t>PQ_UE</t>
  </si>
  <si>
    <t>PQ_OE</t>
  </si>
  <si>
    <t>LVFRT_profile</t>
  </si>
  <si>
    <t>Protection UV</t>
  </si>
  <si>
    <t>Protection OV</t>
  </si>
  <si>
    <t>Protection ROCOF</t>
  </si>
  <si>
    <t>RMS</t>
  </si>
  <si>
    <t>EMT</t>
  </si>
  <si>
    <t>Systemprotection scheme</t>
  </si>
  <si>
    <t>-</t>
  </si>
  <si>
    <t>DK1</t>
  </si>
  <si>
    <t>SS_PFctrl</t>
  </si>
  <si>
    <t>SS_Q2</t>
  </si>
  <si>
    <t>SS_Q1</t>
  </si>
  <si>
    <t>SS_Q3</t>
  </si>
  <si>
    <t>SS_Q4</t>
  </si>
  <si>
    <t>SS_Q5</t>
  </si>
  <si>
    <t>U0</t>
  </si>
  <si>
    <t>Rank/Id</t>
  </si>
  <si>
    <t>FSM enabled</t>
  </si>
  <si>
    <t xml:space="preserve">Voltage </t>
  </si>
  <si>
    <t>Qctrl ref.</t>
  </si>
  <si>
    <t>Pctrl ref.</t>
  </si>
  <si>
    <t>Phase</t>
  </si>
  <si>
    <t>Frequency</t>
  </si>
  <si>
    <t>3p fault</t>
  </si>
  <si>
    <t>1p fault</t>
  </si>
  <si>
    <t>Pctrl meas. File</t>
  </si>
  <si>
    <t>Qctrl meas. File</t>
  </si>
  <si>
    <t>Voltage meas. File</t>
  </si>
  <si>
    <t>Phase meas. File</t>
  </si>
  <si>
    <t>Frequency meas. File</t>
  </si>
  <si>
    <t>Pn</t>
  </si>
  <si>
    <t>Uc</t>
  </si>
  <si>
    <t>SCR min</t>
  </si>
  <si>
    <t>MW</t>
  </si>
  <si>
    <t>kV</t>
  </si>
  <si>
    <t>Area</t>
  </si>
  <si>
    <t>DK2</t>
  </si>
  <si>
    <t>X/R SCR min</t>
  </si>
  <si>
    <t>SCR max</t>
  </si>
  <si>
    <t>X/R SCR max</t>
  </si>
  <si>
    <t>PSCAD Timestep</t>
  </si>
  <si>
    <t>Q</t>
  </si>
  <si>
    <t>PF</t>
  </si>
  <si>
    <t>Q(U)</t>
  </si>
  <si>
    <t>Default Q mode</t>
  </si>
  <si>
    <t>Default</t>
  </si>
  <si>
    <t>R0</t>
  </si>
  <si>
    <t>X0</t>
  </si>
  <si>
    <t>Q(u) droop</t>
  </si>
  <si>
    <t>%</t>
  </si>
  <si>
    <t>pu</t>
  </si>
  <si>
    <t>Range</t>
  </si>
  <si>
    <t>2-7</t>
  </si>
  <si>
    <t>Q ref. Initial</t>
  </si>
  <si>
    <t>Simulationtime</t>
  </si>
  <si>
    <t>Name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</si>
  <si>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</si>
  <si>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</si>
  <si>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</si>
  <si>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</si>
  <si>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</si>
  <si>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</si>
  <si>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</si>
  <si>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</si>
  <si>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</si>
  <si>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</si>
  <si>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</si>
  <si>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</si>
  <si>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type</t>
  </si>
  <si>
    <t>time</t>
  </si>
  <si>
    <t>Sp or res. U</t>
  </si>
  <si>
    <t>ramp/periode</t>
  </si>
  <si>
    <t>Power-frequency control</t>
  </si>
  <si>
    <t>FSM_rec_pstep</t>
  </si>
  <si>
    <t>FSM_rec_pstep.csv</t>
  </si>
  <si>
    <t>FSM_step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</si>
  <si>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</si>
  <si>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</si>
  <si>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</si>
  <si>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</si>
  <si>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</si>
  <si>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</si>
  <si>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</si>
  <si>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Selected</t>
  </si>
  <si>
    <t>Case time offset</t>
  </si>
  <si>
    <t>s</t>
  </si>
  <si>
    <t>FSM_LFSMO_ramp</t>
  </si>
  <si>
    <t>FSM_LFSMU_ramp</t>
  </si>
  <si>
    <t>LFSMO_ramp</t>
  </si>
  <si>
    <t>LFSMU_ramp</t>
  </si>
  <si>
    <t>UQ Q=0pu Umax</t>
  </si>
  <si>
    <t>UQ Q=0pu Umin</t>
  </si>
  <si>
    <t>UQ Q=+0.33pu Umax</t>
  </si>
  <si>
    <t>UQ Q=-0.33pu Umin</t>
  </si>
  <si>
    <t>UQ Q=+0.33pu Umin</t>
  </si>
  <si>
    <t>UQ Q=-0.33pu Umax</t>
  </si>
  <si>
    <t>Reactive power capability (base Uc)</t>
  </si>
  <si>
    <t>&lt;110 kV</t>
  </si>
  <si>
    <t>110 kV &lt;= Un &lt; 300 kV</t>
  </si>
  <si>
    <t>300 kV &lt;= Un</t>
  </si>
  <si>
    <t>Max</t>
  </si>
  <si>
    <t>Min</t>
  </si>
  <si>
    <t>Tuning</t>
  </si>
  <si>
    <t>Ideal</t>
  </si>
  <si>
    <t>60min operation Umax</t>
  </si>
  <si>
    <t>Cont. operation Umax</t>
  </si>
  <si>
    <t>Cont. operation Umin</t>
  </si>
  <si>
    <t>60min operation Umin</t>
  </si>
  <si>
    <t>30min operation Fmax</t>
  </si>
  <si>
    <t>30min operation Fmin</t>
  </si>
  <si>
    <t>Q(u)_up_1</t>
  </si>
  <si>
    <t>Q(u)_up_2</t>
  </si>
  <si>
    <t>Q(u)_up_3</t>
  </si>
  <si>
    <t>Q(u)_down_1</t>
  </si>
  <si>
    <t>Q(u)_down_2</t>
  </si>
  <si>
    <t>Q(u)_down_3</t>
  </si>
  <si>
    <t>Q_up_1</t>
  </si>
  <si>
    <t>Q_up_2</t>
  </si>
  <si>
    <t>Q_up_3</t>
  </si>
  <si>
    <t>Q_down_1</t>
  </si>
  <si>
    <t>Q_down_2</t>
  </si>
  <si>
    <t>Q_down_3</t>
  </si>
  <si>
    <t>Q_control_up</t>
  </si>
  <si>
    <t>Q_control_down</t>
  </si>
  <si>
    <t>Qpf_ref</t>
  </si>
  <si>
    <t>Qpf_p</t>
  </si>
  <si>
    <t>Q(u)_wg</t>
  </si>
  <si>
    <t>Q(u)_tuning</t>
  </si>
  <si>
    <t>Q(u)_sg</t>
  </si>
  <si>
    <t>dVoltage</t>
  </si>
  <si>
    <t>Ures</t>
  </si>
  <si>
    <t>tclear</t>
  </si>
  <si>
    <t>Uclear</t>
  </si>
  <si>
    <t>Urec1</t>
  </si>
  <si>
    <t>trec2</t>
  </si>
  <si>
    <t>Urec2</t>
  </si>
  <si>
    <t>trec3</t>
  </si>
  <si>
    <t>trec1</t>
  </si>
  <si>
    <t>LVFRT</t>
  </si>
  <si>
    <t>OVRT</t>
  </si>
  <si>
    <t>t1</t>
  </si>
  <si>
    <t>U1</t>
  </si>
  <si>
    <t>U2</t>
  </si>
  <si>
    <t>t2</t>
  </si>
  <si>
    <t>OVRT_profile</t>
  </si>
  <si>
    <t>2p-g fault</t>
  </si>
  <si>
    <t>Fault _rec_2</t>
  </si>
  <si>
    <t>Fault _rec_1</t>
  </si>
  <si>
    <t>Fault _rec_3</t>
  </si>
  <si>
    <t>Fault_rec_1.csv</t>
  </si>
  <si>
    <t>Fault_rec_3.csv</t>
  </si>
  <si>
    <t>Fault_rec_2.csv</t>
  </si>
  <si>
    <t>LVFT start</t>
  </si>
  <si>
    <t>LVFRT stop</t>
  </si>
  <si>
    <t>Fault _rec_4</t>
  </si>
  <si>
    <t>Fault _rec_1_altq</t>
  </si>
  <si>
    <t>Fault _rec_2_alt</t>
  </si>
  <si>
    <t>Fault _rec_3_altq</t>
  </si>
  <si>
    <t>Fault _rec_4_altq</t>
  </si>
  <si>
    <t>Fault_rec_4.csv</t>
  </si>
  <si>
    <t>SS_Uctrl1</t>
  </si>
  <si>
    <t>SS_Uctrl2</t>
  </si>
  <si>
    <t>Fault_1_100thres</t>
  </si>
  <si>
    <t>Fault_1_0thres</t>
  </si>
  <si>
    <t>Fault_1_25thres</t>
  </si>
  <si>
    <t>Fault_1_75thres</t>
  </si>
  <si>
    <t>Fault_1_50thres</t>
  </si>
  <si>
    <t>Fault_2_0thres</t>
  </si>
  <si>
    <t>Fault_2_25thres</t>
  </si>
  <si>
    <t>Fault_2_50thres</t>
  </si>
  <si>
    <t>Fault_2_75thres</t>
  </si>
  <si>
    <t>Fault_2_100thres</t>
  </si>
  <si>
    <t>Fault_3_100thres</t>
  </si>
  <si>
    <t>Fault_3_75thres</t>
  </si>
  <si>
    <t>Fault_3_50thres</t>
  </si>
  <si>
    <t>Fault_3_25thres</t>
  </si>
  <si>
    <t>Fault_3_0thres</t>
  </si>
  <si>
    <t>Fault_3_restrike</t>
  </si>
  <si>
    <t>Fault_1_restrike</t>
  </si>
  <si>
    <t>U&gt;</t>
  </si>
  <si>
    <t>U&gt; time</t>
  </si>
  <si>
    <t>SCR tuning</t>
  </si>
  <si>
    <t>X/R SCR tuning</t>
  </si>
  <si>
    <t>BS</t>
  </si>
  <si>
    <t>µs</t>
  </si>
  <si>
    <t>p.u.</t>
  </si>
  <si>
    <t>U&gt;&gt;</t>
  </si>
  <si>
    <t>U&gt;&gt; time</t>
  </si>
  <si>
    <t>U&gt;&gt;&gt;</t>
  </si>
  <si>
    <t>U&gt;&gt;&gt; time</t>
  </si>
  <si>
    <t>U&lt;</t>
  </si>
  <si>
    <t>U&lt; time</t>
  </si>
  <si>
    <t>f&gt;</t>
  </si>
  <si>
    <t>Hz</t>
  </si>
  <si>
    <t>f&gt; time</t>
  </si>
  <si>
    <t>f&lt;</t>
  </si>
  <si>
    <t>f&lt; time</t>
  </si>
  <si>
    <t>df/dt pos</t>
  </si>
  <si>
    <t>Hz/s</t>
  </si>
  <si>
    <t>df/dt pos time</t>
  </si>
  <si>
    <t>df/dt neg</t>
  </si>
  <si>
    <t>df/dt neg time</t>
  </si>
  <si>
    <t>Protection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</si>
</sst>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Alignment="1">
      <alignment horizontal="right" vertical="center"/>
    </xf>
    <xf numFmtId="2" fontId="3" fillId="0" borderId="0" xfId="0" applyNumberFormat="1" applyFont="1" applyFill="1" applyBorder="1" applyAlignment="1" applyProtection="1">
      <alignment horizontal="center"/>
    </xf>
    <xf numFmtId="164" fontId="0" fillId="0" borderId="0" xfId="0" applyNumberFormat="1"/>
    <xf numFmtId="164" fontId="4" fillId="0" borderId="0" xfId="1" applyNumberFormat="1" applyFill="1"/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Fill="1" applyAlignment="1">
      <alignment horizontal="center"/>
    </xf>
    <xf numFmtId="164" fontId="4" fillId="0" borderId="0" xfId="1" applyNumberFormat="1" applyFill="1" applyAlignment="1">
      <alignment horizontal="right" vertical="center"/>
    </xf>
    <xf numFmtId="0" fontId="0" fillId="0" borderId="0" xfId="0" applyFill="1" applyAlignment="1">
      <alignment horizontal="left" wrapText="1"/>
    </xf>
    <xf numFmtId="165" fontId="3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quotePrefix="1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2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130" zoomScaleNormal="130" workbookViewId="0"/>
  </sheetViews>
  <sheetFormatPr defaultRowHeight="15" x14ac:dyDescent="0.25"/>
  <cols>
    <col min="1" max="1" width="24.42578125" customWidth="1"/>
    <col min="2" max="2" width="12" style="4" bestFit="1" customWidth="1"/>
    <col min="3" max="3" width="6.7109375" style="4" customWidth="1"/>
    <col min="4" max="4" width="7.7109375" style="4" customWidth="1"/>
    <col min="5" max="5" width="8" style="4" customWidth="1"/>
    <col min="6" max="6" width="9.140625" style="4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D1" s="36" t="s">
        <v>74</v>
      </c>
    </row>
    <row r="2" spans="1:12" x14ac:dyDescent="0.25">
      <c r="A2" s="25" t="s">
        <v>7</v>
      </c>
      <c r="B2" s="7" t="s">
        <v>206</v>
      </c>
      <c r="C2" s="32"/>
    </row>
    <row r="3" spans="1:12" s="3" customFormat="1" x14ac:dyDescent="0.25">
      <c r="A3" s="24" t="s">
        <v>53</v>
      </c>
      <c r="B3" s="9">
        <v>55.5</v>
      </c>
      <c r="C3" s="35" t="s">
        <v>56</v>
      </c>
      <c r="D3" s="37"/>
      <c r="E3" s="20"/>
      <c r="F3" s="20"/>
      <c r="G3" s="21"/>
      <c r="H3" s="21"/>
      <c r="I3" s="21"/>
      <c r="J3" s="5"/>
      <c r="K3" s="5"/>
      <c r="L3" s="5"/>
    </row>
    <row r="4" spans="1:12" x14ac:dyDescent="0.25">
      <c r="A4" s="24" t="s">
        <v>54</v>
      </c>
      <c r="B4" s="9">
        <v>62.5</v>
      </c>
      <c r="C4" s="23" t="s">
        <v>57</v>
      </c>
      <c r="D4" s="37"/>
      <c r="E4" s="23"/>
      <c r="F4" s="23"/>
      <c r="G4" s="22"/>
      <c r="H4" s="22"/>
      <c r="I4" s="22"/>
    </row>
    <row r="5" spans="1:12" x14ac:dyDescent="0.25">
      <c r="A5" s="25" t="s">
        <v>14</v>
      </c>
      <c r="B5" s="9">
        <v>60</v>
      </c>
      <c r="C5" s="4" t="s">
        <v>57</v>
      </c>
      <c r="D5" s="37"/>
    </row>
    <row r="6" spans="1:12" x14ac:dyDescent="0.25">
      <c r="A6" s="25" t="s">
        <v>58</v>
      </c>
      <c r="B6" s="4" t="s">
        <v>31</v>
      </c>
    </row>
    <row r="7" spans="1:12" x14ac:dyDescent="0.25">
      <c r="A7" s="25" t="s">
        <v>55</v>
      </c>
      <c r="B7" s="29">
        <v>13.563657657657657</v>
      </c>
      <c r="C7" s="26" t="s">
        <v>30</v>
      </c>
      <c r="D7" s="23"/>
      <c r="E7" s="23"/>
      <c r="F7" s="23"/>
      <c r="G7" s="22"/>
      <c r="H7" s="22"/>
      <c r="I7" s="22"/>
    </row>
    <row r="8" spans="1:12" x14ac:dyDescent="0.25">
      <c r="A8" s="25" t="s">
        <v>204</v>
      </c>
      <c r="B8" s="29">
        <v>13.563657657657657</v>
      </c>
      <c r="C8" s="26" t="s">
        <v>30</v>
      </c>
      <c r="D8" s="23"/>
      <c r="E8" s="23"/>
      <c r="F8" s="23"/>
      <c r="G8" s="22"/>
      <c r="H8" s="22"/>
      <c r="I8" s="22"/>
    </row>
    <row r="9" spans="1:12" x14ac:dyDescent="0.25">
      <c r="A9" s="25" t="s">
        <v>61</v>
      </c>
      <c r="B9" s="30">
        <v>14.385891891891893</v>
      </c>
      <c r="C9" s="26" t="s">
        <v>30</v>
      </c>
      <c r="D9" s="23"/>
      <c r="E9" s="23"/>
      <c r="F9" s="23"/>
      <c r="G9" s="22"/>
      <c r="H9" s="22"/>
      <c r="I9" s="22"/>
    </row>
    <row r="10" spans="1:12" x14ac:dyDescent="0.25">
      <c r="A10" s="25" t="s">
        <v>60</v>
      </c>
      <c r="B10" s="9">
        <v>12.18925831202046</v>
      </c>
      <c r="C10" s="26" t="s">
        <v>30</v>
      </c>
      <c r="D10" s="23"/>
      <c r="E10" s="23"/>
      <c r="F10" s="23"/>
      <c r="G10" s="59"/>
      <c r="H10" s="59"/>
      <c r="I10" s="59"/>
    </row>
    <row r="11" spans="1:12" x14ac:dyDescent="0.25">
      <c r="A11" s="25" t="s">
        <v>205</v>
      </c>
      <c r="B11" s="9">
        <v>12.18925831202046</v>
      </c>
      <c r="C11" s="26" t="s">
        <v>30</v>
      </c>
      <c r="D11" s="23"/>
      <c r="E11" s="23"/>
      <c r="F11" s="23"/>
      <c r="G11" s="58"/>
      <c r="H11" s="58"/>
      <c r="I11" s="58"/>
    </row>
    <row r="12" spans="1:12" x14ac:dyDescent="0.25">
      <c r="A12" s="25" t="s">
        <v>62</v>
      </c>
      <c r="B12" s="9">
        <v>12.115196078431373</v>
      </c>
      <c r="C12" s="26" t="s">
        <v>30</v>
      </c>
      <c r="D12" s="23"/>
      <c r="E12" s="23"/>
      <c r="F12" s="23"/>
      <c r="G12" s="28"/>
      <c r="H12" s="28"/>
      <c r="I12" s="28"/>
    </row>
    <row r="13" spans="1:12" x14ac:dyDescent="0.25">
      <c r="A13" s="25" t="s">
        <v>69</v>
      </c>
      <c r="B13" s="9">
        <v>0</v>
      </c>
      <c r="C13" s="26" t="s">
        <v>73</v>
      </c>
      <c r="D13" s="23"/>
      <c r="E13" s="23"/>
      <c r="F13" s="23"/>
      <c r="G13" s="28"/>
      <c r="H13" s="28"/>
      <c r="I13" s="28"/>
    </row>
    <row r="14" spans="1:12" x14ac:dyDescent="0.25">
      <c r="A14" s="25" t="s">
        <v>70</v>
      </c>
      <c r="B14" s="9">
        <v>0</v>
      </c>
      <c r="C14" s="26" t="s">
        <v>73</v>
      </c>
      <c r="D14" s="23"/>
      <c r="E14" s="23"/>
      <c r="F14" s="23"/>
      <c r="G14" s="28"/>
      <c r="H14" s="28"/>
      <c r="I14" s="28"/>
    </row>
    <row r="15" spans="1:12" x14ac:dyDescent="0.25">
      <c r="A15" s="25" t="s">
        <v>67</v>
      </c>
      <c r="B15" s="9" t="s">
        <v>64</v>
      </c>
      <c r="C15" s="26" t="s">
        <v>30</v>
      </c>
      <c r="D15" s="23"/>
      <c r="E15" s="23"/>
      <c r="F15" s="23"/>
      <c r="G15" s="28"/>
      <c r="H15" s="28"/>
      <c r="I15" s="28"/>
    </row>
    <row r="16" spans="1:12" x14ac:dyDescent="0.25">
      <c r="A16" s="25" t="s">
        <v>71</v>
      </c>
      <c r="B16" s="9">
        <v>2</v>
      </c>
      <c r="C16" s="26" t="s">
        <v>72</v>
      </c>
      <c r="D16" s="26" t="s">
        <v>75</v>
      </c>
      <c r="E16" s="23"/>
      <c r="F16" s="23"/>
      <c r="G16" s="28"/>
      <c r="H16" s="28"/>
      <c r="I16" s="28"/>
    </row>
    <row r="17" spans="1:3" x14ac:dyDescent="0.25">
      <c r="A17" s="25" t="s">
        <v>63</v>
      </c>
      <c r="B17" s="31">
        <v>2</v>
      </c>
      <c r="C17" s="4" t="s">
        <v>207</v>
      </c>
    </row>
    <row r="18" spans="1:3" x14ac:dyDescent="0.25">
      <c r="A18" s="25" t="s">
        <v>8</v>
      </c>
      <c r="B18" s="31">
        <v>8</v>
      </c>
      <c r="C18" s="32" t="s">
        <v>30</v>
      </c>
    </row>
    <row r="19" spans="1:3" x14ac:dyDescent="0.25">
      <c r="A19" s="25" t="s">
        <v>107</v>
      </c>
      <c r="B19" s="4">
        <v>3</v>
      </c>
      <c r="C19" s="4" t="s">
        <v>108</v>
      </c>
    </row>
    <row r="20" spans="1:3" x14ac:dyDescent="0.25">
      <c r="A20" s="25" t="s">
        <v>202</v>
      </c>
      <c r="B20" s="4">
        <v>1.1000000000000001</v>
      </c>
      <c r="C20" s="4" t="s">
        <v>208</v>
      </c>
    </row>
    <row r="21" spans="1:3" x14ac:dyDescent="0.25">
      <c r="A21" s="25" t="s">
        <v>203</v>
      </c>
      <c r="B21" s="4">
        <v>60</v>
      </c>
      <c r="C21" s="4" t="s">
        <v>108</v>
      </c>
    </row>
    <row r="22" spans="1:3" x14ac:dyDescent="0.25">
      <c r="A22" s="25" t="s">
        <v>209</v>
      </c>
      <c r="B22" s="4">
        <v>1.1499999999999999</v>
      </c>
      <c r="C22" s="4" t="s">
        <v>208</v>
      </c>
    </row>
    <row r="23" spans="1:3" x14ac:dyDescent="0.25">
      <c r="A23" s="25" t="s">
        <v>210</v>
      </c>
      <c r="B23" s="4">
        <v>0.2</v>
      </c>
      <c r="C23" s="4" t="s">
        <v>108</v>
      </c>
    </row>
    <row r="24" spans="1:3" x14ac:dyDescent="0.25">
      <c r="A24" s="25" t="s">
        <v>211</v>
      </c>
      <c r="B24" s="4">
        <v>1.2</v>
      </c>
      <c r="C24" s="4" t="s">
        <v>208</v>
      </c>
    </row>
    <row r="25" spans="1:3" x14ac:dyDescent="0.25">
      <c r="A25" s="25" t="s">
        <v>212</v>
      </c>
      <c r="B25" s="4">
        <v>0.1</v>
      </c>
      <c r="C25" s="4" t="s">
        <v>108</v>
      </c>
    </row>
    <row r="26" spans="1:3" x14ac:dyDescent="0.25">
      <c r="A26" s="25" t="s">
        <v>213</v>
      </c>
      <c r="B26" s="4">
        <v>0.9</v>
      </c>
      <c r="C26" s="4" t="s">
        <v>208</v>
      </c>
    </row>
    <row r="27" spans="1:3" x14ac:dyDescent="0.25">
      <c r="A27" s="25" t="s">
        <v>214</v>
      </c>
      <c r="B27" s="4">
        <v>60</v>
      </c>
      <c r="C27" s="4" t="s">
        <v>108</v>
      </c>
    </row>
    <row r="28" spans="1:3" x14ac:dyDescent="0.25">
      <c r="A28" s="25" t="s">
        <v>215</v>
      </c>
      <c r="B28" s="4">
        <v>51.5</v>
      </c>
      <c r="C28" s="4" t="s">
        <v>216</v>
      </c>
    </row>
    <row r="29" spans="1:3" x14ac:dyDescent="0.25">
      <c r="A29" s="25" t="s">
        <v>217</v>
      </c>
      <c r="B29" s="4">
        <v>0.2</v>
      </c>
      <c r="C29" s="4" t="s">
        <v>108</v>
      </c>
    </row>
    <row r="30" spans="1:3" x14ac:dyDescent="0.25">
      <c r="A30" s="25" t="s">
        <v>218</v>
      </c>
      <c r="B30" s="4">
        <v>47.5</v>
      </c>
      <c r="C30" s="4" t="s">
        <v>216</v>
      </c>
    </row>
    <row r="31" spans="1:3" x14ac:dyDescent="0.25">
      <c r="A31" s="25" t="s">
        <v>219</v>
      </c>
      <c r="B31" s="4">
        <v>0.2</v>
      </c>
      <c r="C31" s="4" t="s">
        <v>108</v>
      </c>
    </row>
    <row r="32" spans="1:3" x14ac:dyDescent="0.25">
      <c r="A32" s="25" t="s">
        <v>220</v>
      </c>
      <c r="B32" s="4">
        <v>2.5</v>
      </c>
      <c r="C32" s="4" t="s">
        <v>221</v>
      </c>
    </row>
    <row r="33" spans="1:3" x14ac:dyDescent="0.25">
      <c r="A33" s="25" t="s">
        <v>222</v>
      </c>
      <c r="B33" s="4">
        <v>0.08</v>
      </c>
      <c r="C33" s="4" t="s">
        <v>108</v>
      </c>
    </row>
    <row r="34" spans="1:3" x14ac:dyDescent="0.25">
      <c r="A34" s="25" t="s">
        <v>223</v>
      </c>
      <c r="B34" s="4">
        <v>-2.5</v>
      </c>
      <c r="C34" s="4" t="s">
        <v>221</v>
      </c>
    </row>
    <row r="35" spans="1:3" x14ac:dyDescent="0.25">
      <c r="A35" s="25" t="s">
        <v>224</v>
      </c>
      <c r="B35" s="4">
        <v>0.08</v>
      </c>
      <c r="C35" s="4" t="s">
        <v>108</v>
      </c>
    </row>
  </sheetData>
  <mergeCells count="1">
    <mergeCell ref="G10:I10"/>
  </mergeCells>
  <dataValidations count="1">
    <dataValidation type="decimal" allowBlank="1" showInputMessage="1" showErrorMessage="1" sqref="B16">
      <formula1>2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datavalidation!$B$1:$B$2</xm:f>
          </x14:formula1>
          <xm:sqref>B6</xm:sqref>
        </x14:dataValidation>
        <x14:dataValidation type="list" allowBlank="1" showInputMessage="1" showErrorMessage="1">
          <x14:formula1>
            <xm:f>datavalidation!$C$1:$C$3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9" x14ac:dyDescent="0.25">
      <c r="A1" s="51"/>
      <c r="B1" s="60" t="s">
        <v>31</v>
      </c>
      <c r="C1" s="60"/>
      <c r="D1" s="60"/>
      <c r="E1" s="60" t="s">
        <v>59</v>
      </c>
      <c r="F1" s="60"/>
      <c r="G1" s="60"/>
      <c r="H1" s="51"/>
      <c r="I1" s="51"/>
    </row>
    <row r="2" spans="1:9" x14ac:dyDescent="0.25">
      <c r="A2" s="52" t="s">
        <v>14</v>
      </c>
      <c r="B2" s="49" t="s">
        <v>120</v>
      </c>
      <c r="C2" s="49" t="s">
        <v>121</v>
      </c>
      <c r="D2" s="49" t="s">
        <v>122</v>
      </c>
      <c r="E2" s="49" t="s">
        <v>120</v>
      </c>
      <c r="F2" s="49" t="s">
        <v>121</v>
      </c>
      <c r="G2" s="49" t="s">
        <v>122</v>
      </c>
      <c r="H2" s="50" t="s">
        <v>106</v>
      </c>
      <c r="I2" s="51"/>
    </row>
    <row r="3" spans="1:9" x14ac:dyDescent="0.25">
      <c r="A3" s="52" t="s">
        <v>95</v>
      </c>
      <c r="B3" s="50"/>
      <c r="C3" s="50"/>
      <c r="D3" s="50"/>
      <c r="E3" s="50"/>
      <c r="F3" s="50"/>
      <c r="G3" s="50"/>
      <c r="H3" s="50"/>
      <c r="I3" s="51"/>
    </row>
    <row r="4" spans="1:9" x14ac:dyDescent="0.25">
      <c r="A4" s="53" t="s">
        <v>99</v>
      </c>
      <c r="B4" s="51">
        <v>50.2</v>
      </c>
      <c r="C4" s="51">
        <v>50.2</v>
      </c>
      <c r="D4" s="51">
        <v>50.2</v>
      </c>
      <c r="E4" s="51">
        <v>50.5</v>
      </c>
      <c r="F4" s="51">
        <v>50.5</v>
      </c>
      <c r="G4" s="51">
        <v>50.5</v>
      </c>
      <c r="H4" s="51">
        <f t="shared" ref="H4:H12" si="0">CHOOSE(IF(inp_Un&lt;110,0,1)+IF(inp_Un&gt;=300,1,0)+IF(inp_Area="DK1",0,3) + 1,B4,C4,D4,E4,F4,G4)</f>
        <v>50.2</v>
      </c>
      <c r="I4" s="51"/>
    </row>
    <row r="5" spans="1:9" x14ac:dyDescent="0.25">
      <c r="A5" s="53" t="s">
        <v>100</v>
      </c>
      <c r="B5" s="51">
        <v>5</v>
      </c>
      <c r="C5" s="51">
        <v>5</v>
      </c>
      <c r="D5" s="51">
        <v>5</v>
      </c>
      <c r="E5" s="51">
        <v>4</v>
      </c>
      <c r="F5" s="51">
        <v>4</v>
      </c>
      <c r="G5" s="51">
        <v>4</v>
      </c>
      <c r="H5" s="51">
        <f t="shared" si="0"/>
        <v>5</v>
      </c>
      <c r="I5" s="51"/>
    </row>
    <row r="6" spans="1:9" x14ac:dyDescent="0.25">
      <c r="A6" s="53" t="s">
        <v>101</v>
      </c>
      <c r="B6" s="51">
        <v>49.8</v>
      </c>
      <c r="C6" s="51">
        <v>49.8</v>
      </c>
      <c r="D6" s="51">
        <v>49.8</v>
      </c>
      <c r="E6" s="51">
        <v>49.5</v>
      </c>
      <c r="F6" s="51">
        <v>49.5</v>
      </c>
      <c r="G6" s="51">
        <v>49.5</v>
      </c>
      <c r="H6" s="51">
        <f t="shared" si="0"/>
        <v>49.8</v>
      </c>
      <c r="I6" s="51"/>
    </row>
    <row r="7" spans="1:9" x14ac:dyDescent="0.25">
      <c r="A7" s="53" t="s">
        <v>102</v>
      </c>
      <c r="B7" s="51">
        <v>5</v>
      </c>
      <c r="C7" s="51">
        <v>5</v>
      </c>
      <c r="D7" s="51">
        <v>5</v>
      </c>
      <c r="E7" s="51">
        <v>4</v>
      </c>
      <c r="F7" s="51">
        <v>4</v>
      </c>
      <c r="G7" s="51">
        <v>4</v>
      </c>
      <c r="H7" s="51">
        <f t="shared" si="0"/>
        <v>5</v>
      </c>
      <c r="I7" s="51"/>
    </row>
    <row r="8" spans="1:9" x14ac:dyDescent="0.25">
      <c r="A8" s="53" t="s">
        <v>103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f t="shared" si="0"/>
        <v>0</v>
      </c>
      <c r="I8" s="51"/>
    </row>
    <row r="9" spans="1:9" x14ac:dyDescent="0.25">
      <c r="A9" s="53" t="s">
        <v>104</v>
      </c>
      <c r="B9" s="51">
        <v>6</v>
      </c>
      <c r="C9" s="51">
        <v>6</v>
      </c>
      <c r="D9" s="51">
        <v>6</v>
      </c>
      <c r="E9" s="51">
        <v>6</v>
      </c>
      <c r="F9" s="51">
        <v>6</v>
      </c>
      <c r="G9" s="51">
        <v>6</v>
      </c>
      <c r="H9" s="51">
        <f t="shared" si="0"/>
        <v>6</v>
      </c>
      <c r="I9" s="51"/>
    </row>
    <row r="10" spans="1:9" x14ac:dyDescent="0.25">
      <c r="A10" s="53" t="s">
        <v>105</v>
      </c>
      <c r="B10" s="51">
        <v>10</v>
      </c>
      <c r="C10" s="51">
        <v>10</v>
      </c>
      <c r="D10" s="51">
        <v>10</v>
      </c>
      <c r="E10" s="51">
        <v>10</v>
      </c>
      <c r="F10" s="51">
        <v>10</v>
      </c>
      <c r="G10" s="51">
        <v>10</v>
      </c>
      <c r="H10" s="51">
        <f t="shared" si="0"/>
        <v>10</v>
      </c>
      <c r="I10" s="51"/>
    </row>
    <row r="11" spans="1:9" x14ac:dyDescent="0.25">
      <c r="A11" s="55" t="s">
        <v>131</v>
      </c>
      <c r="B11" s="56">
        <v>51.5</v>
      </c>
      <c r="C11" s="56">
        <v>51.5</v>
      </c>
      <c r="D11" s="56">
        <v>51.5</v>
      </c>
      <c r="E11" s="56">
        <v>51.5</v>
      </c>
      <c r="F11" s="56">
        <v>51.5</v>
      </c>
      <c r="G11" s="56">
        <v>51.5</v>
      </c>
      <c r="H11" s="51">
        <f t="shared" si="0"/>
        <v>51.5</v>
      </c>
      <c r="I11" s="51"/>
    </row>
    <row r="12" spans="1:9" x14ac:dyDescent="0.25">
      <c r="A12" s="55" t="s">
        <v>132</v>
      </c>
      <c r="B12" s="56">
        <v>47.5</v>
      </c>
      <c r="C12" s="56">
        <v>47.5</v>
      </c>
      <c r="D12" s="56">
        <v>47.5</v>
      </c>
      <c r="E12" s="56">
        <v>47.5</v>
      </c>
      <c r="F12" s="56">
        <v>47.5</v>
      </c>
      <c r="G12" s="56">
        <v>47.5</v>
      </c>
      <c r="H12" s="51">
        <f t="shared" si="0"/>
        <v>47.5</v>
      </c>
      <c r="I12" s="51"/>
    </row>
    <row r="13" spans="1:9" x14ac:dyDescent="0.25">
      <c r="A13" s="52" t="s">
        <v>119</v>
      </c>
      <c r="B13" s="51"/>
      <c r="C13" s="51"/>
      <c r="D13" s="51"/>
      <c r="E13" s="51"/>
      <c r="F13" s="51"/>
      <c r="G13" s="51"/>
      <c r="H13" s="51"/>
      <c r="I13" s="51"/>
    </row>
    <row r="14" spans="1:9" x14ac:dyDescent="0.25">
      <c r="A14" s="53" t="s">
        <v>113</v>
      </c>
      <c r="B14" s="51">
        <v>1.05</v>
      </c>
      <c r="C14" s="54">
        <f xml:space="preserve"> 1.118 * inp_Un/inp_Uc</f>
        <v>1.0732800000000002</v>
      </c>
      <c r="D14" s="54">
        <f>1.05 * inp_Un/inp_Uc</f>
        <v>1.008</v>
      </c>
      <c r="E14" s="51">
        <v>1.05</v>
      </c>
      <c r="F14" s="54">
        <f>1.05 * inp_Un/inp_Uc</f>
        <v>1.008</v>
      </c>
      <c r="G14" s="54">
        <f>1.05 * inp_Un/inp_Uc</f>
        <v>1.008</v>
      </c>
      <c r="H14" s="54">
        <f t="shared" ref="H14:H23" si="1">CHOOSE(IF(inp_Un&lt;110,0,1)+IF(inp_Un&gt;=300,1,0)+IF(inp_Area="DK1",0,3) + 1,B14,C14,D14,E14,F14,G14)</f>
        <v>1.05</v>
      </c>
      <c r="I14" s="51"/>
    </row>
    <row r="15" spans="1:9" x14ac:dyDescent="0.25">
      <c r="A15" s="53" t="s">
        <v>114</v>
      </c>
      <c r="B15" s="51">
        <v>0.9</v>
      </c>
      <c r="C15" s="54">
        <f xml:space="preserve"> 0.968 * inp_Un/inp_Uc</f>
        <v>0.92927999999999999</v>
      </c>
      <c r="D15" s="54">
        <f>0.9 * inp_Un/inp_Uc</f>
        <v>0.86399999999999999</v>
      </c>
      <c r="E15" s="51">
        <v>0.9</v>
      </c>
      <c r="F15" s="54">
        <f>0.9 * inp_Un/inp_Uc</f>
        <v>0.86399999999999999</v>
      </c>
      <c r="G15" s="54">
        <f>0.9 * inp_Un/inp_Uc</f>
        <v>0.86399999999999999</v>
      </c>
      <c r="H15" s="54">
        <f t="shared" si="1"/>
        <v>0.9</v>
      </c>
      <c r="I15" s="51"/>
    </row>
    <row r="16" spans="1:9" x14ac:dyDescent="0.25">
      <c r="A16" s="53" t="s">
        <v>115</v>
      </c>
      <c r="B16" s="51">
        <v>1.04</v>
      </c>
      <c r="C16" s="54">
        <f xml:space="preserve"> 1.108 * inp_Un/inp_Uc</f>
        <v>1.06368</v>
      </c>
      <c r="D16" s="54">
        <f xml:space="preserve"> 1.04 * inp_Un/inp_Uc</f>
        <v>0.99840000000000007</v>
      </c>
      <c r="E16" s="51">
        <v>1.04</v>
      </c>
      <c r="F16" s="54">
        <f xml:space="preserve"> 1.04 * inp_Un/inp_Uc</f>
        <v>0.99840000000000007</v>
      </c>
      <c r="G16" s="54">
        <f xml:space="preserve"> 1.04 * inp_Un/inp_Uc</f>
        <v>0.99840000000000007</v>
      </c>
      <c r="H16" s="54">
        <f t="shared" si="1"/>
        <v>1.04</v>
      </c>
      <c r="I16" s="51"/>
    </row>
    <row r="17" spans="1:9" x14ac:dyDescent="0.25">
      <c r="A17" s="53" t="s">
        <v>117</v>
      </c>
      <c r="B17" s="51">
        <v>0.9</v>
      </c>
      <c r="C17" s="54">
        <f xml:space="preserve"> 0.968 * inp_Un/inp_Uc</f>
        <v>0.92927999999999999</v>
      </c>
      <c r="D17" s="54">
        <f xml:space="preserve"> 0.9 * inp_Un/inp_Uc</f>
        <v>0.86399999999999999</v>
      </c>
      <c r="E17" s="51">
        <v>0.9</v>
      </c>
      <c r="F17" s="54">
        <f xml:space="preserve"> 0.9 * inp_Un/inp_Uc</f>
        <v>0.86399999999999999</v>
      </c>
      <c r="G17" s="54">
        <f xml:space="preserve"> 0.9 * inp_Un/inp_Uc</f>
        <v>0.86399999999999999</v>
      </c>
      <c r="H17" s="54">
        <f t="shared" si="1"/>
        <v>0.9</v>
      </c>
      <c r="I17" s="51"/>
    </row>
    <row r="18" spans="1:9" x14ac:dyDescent="0.25">
      <c r="A18" s="53" t="s">
        <v>118</v>
      </c>
      <c r="B18" s="51">
        <v>1.05</v>
      </c>
      <c r="C18" s="54">
        <f xml:space="preserve"> 1.118 * inp_Un/inp_Uc</f>
        <v>1.0732800000000002</v>
      </c>
      <c r="D18" s="54">
        <f xml:space="preserve"> 1.05 * inp_Un/inp_Uc</f>
        <v>1.008</v>
      </c>
      <c r="E18" s="51">
        <v>1.05</v>
      </c>
      <c r="F18" s="54">
        <f xml:space="preserve"> 1.05 * inp_Un/inp_Uc</f>
        <v>1.008</v>
      </c>
      <c r="G18" s="54">
        <f xml:space="preserve"> 1.05 * inp_Un/inp_Uc</f>
        <v>1.008</v>
      </c>
      <c r="H18" s="54">
        <f t="shared" si="1"/>
        <v>1.05</v>
      </c>
      <c r="I18" s="51"/>
    </row>
    <row r="19" spans="1:9" x14ac:dyDescent="0.25">
      <c r="A19" s="48" t="s">
        <v>116</v>
      </c>
      <c r="B19">
        <v>0.96</v>
      </c>
      <c r="C19" s="54">
        <f xml:space="preserve"> 1.028 * inp_Un/inp_Uc</f>
        <v>0.98687999999999998</v>
      </c>
      <c r="D19" s="10">
        <f xml:space="preserve"> 0.96 * inp_Un/inp_Uc</f>
        <v>0.92159999999999986</v>
      </c>
      <c r="E19">
        <v>0.96</v>
      </c>
      <c r="F19" s="10">
        <f xml:space="preserve"> 0.96 * inp_Un/inp_Uc</f>
        <v>0.92159999999999986</v>
      </c>
      <c r="G19" s="10">
        <f xml:space="preserve"> 0.96 * inp_Un/inp_Uc</f>
        <v>0.92159999999999986</v>
      </c>
      <c r="H19" s="54">
        <f t="shared" si="1"/>
        <v>0.96</v>
      </c>
    </row>
    <row r="20" spans="1:9" x14ac:dyDescent="0.25">
      <c r="A20" s="48" t="s">
        <v>128</v>
      </c>
      <c r="B20">
        <v>1.1000000000000001</v>
      </c>
      <c r="C20" s="10">
        <f>1.118 * inp_Un/inp_Uc</f>
        <v>1.0732800000000002</v>
      </c>
      <c r="D20" s="10">
        <f>1.05 * inp_Un/inp_Uc</f>
        <v>1.008</v>
      </c>
      <c r="E20">
        <v>1.1000000000000001</v>
      </c>
      <c r="F20" s="10">
        <f>1.05 * inp_Un/inp_Uc</f>
        <v>1.008</v>
      </c>
      <c r="G20" s="10">
        <f>1.05 * inp_Un/inp_Uc</f>
        <v>1.008</v>
      </c>
      <c r="H20" s="54">
        <f t="shared" si="1"/>
        <v>1.1000000000000001</v>
      </c>
    </row>
    <row r="21" spans="1:9" x14ac:dyDescent="0.25">
      <c r="A21" s="48" t="s">
        <v>129</v>
      </c>
      <c r="B21">
        <v>0.9</v>
      </c>
      <c r="C21" s="10">
        <f xml:space="preserve"> 0.9 * inp_Un/inp_Uc</f>
        <v>0.86399999999999999</v>
      </c>
      <c r="D21" s="10">
        <f xml:space="preserve"> 0.9 * inp_Un/inp_Uc</f>
        <v>0.86399999999999999</v>
      </c>
      <c r="E21">
        <v>0.9</v>
      </c>
      <c r="F21" s="10">
        <f>0.9 * inp_Un/inp_Uc</f>
        <v>0.86399999999999999</v>
      </c>
      <c r="G21" s="10">
        <f>0.9 * inp_Un/inp_Uc</f>
        <v>0.86399999999999999</v>
      </c>
      <c r="H21" s="54">
        <f t="shared" si="1"/>
        <v>0.9</v>
      </c>
    </row>
    <row r="22" spans="1:9" x14ac:dyDescent="0.25">
      <c r="A22" s="48" t="s">
        <v>127</v>
      </c>
      <c r="B22">
        <v>1.1000000000000001</v>
      </c>
      <c r="C22" s="10">
        <f xml:space="preserve"> 1.15 * inp_Un/inp_Uc</f>
        <v>1.1040000000000001</v>
      </c>
      <c r="D22" s="10">
        <f xml:space="preserve"> 1.1 * inp_Un/inp_Uc</f>
        <v>1.056</v>
      </c>
      <c r="E22">
        <v>1.1000000000000001</v>
      </c>
      <c r="F22" s="10">
        <f>1.1 * inp_Un/inp_Uc</f>
        <v>1.056</v>
      </c>
      <c r="G22" s="10">
        <f>1.1 * inp_Un/inp_Uc</f>
        <v>1.056</v>
      </c>
      <c r="H22" s="54">
        <f t="shared" si="1"/>
        <v>1.1000000000000001</v>
      </c>
    </row>
    <row r="23" spans="1:9" x14ac:dyDescent="0.25">
      <c r="A23" s="48" t="s">
        <v>130</v>
      </c>
      <c r="B23">
        <v>0.9</v>
      </c>
      <c r="C23" s="10">
        <f xml:space="preserve"> 0.85 * inp_Un/inp_Uc</f>
        <v>0.81599999999999995</v>
      </c>
      <c r="D23" s="10">
        <f xml:space="preserve"> 0.85 * inp_Un/inp_Uc</f>
        <v>0.81599999999999995</v>
      </c>
      <c r="E23">
        <v>0.9</v>
      </c>
      <c r="F23" s="10">
        <f>0.9 * inp_Un/inp_Uc</f>
        <v>0.86399999999999999</v>
      </c>
      <c r="G23" s="10">
        <f>0.9 * inp_Un/inp_Uc</f>
        <v>0.86399999999999999</v>
      </c>
      <c r="H23" s="54">
        <f t="shared" si="1"/>
        <v>0.9</v>
      </c>
    </row>
    <row r="24" spans="1:9" x14ac:dyDescent="0.25">
      <c r="A24" s="52" t="s">
        <v>161</v>
      </c>
    </row>
    <row r="25" spans="1:9" x14ac:dyDescent="0.25">
      <c r="A25" s="53" t="s">
        <v>175</v>
      </c>
      <c r="B25">
        <v>0.9</v>
      </c>
      <c r="C25" s="10">
        <f>0.85 * inp_Un/inp_Uc</f>
        <v>0.81599999999999995</v>
      </c>
      <c r="D25" s="10">
        <f>0.85 * inp_Un/inp_Uc</f>
        <v>0.81599999999999995</v>
      </c>
      <c r="E25">
        <v>0.9</v>
      </c>
      <c r="F25" s="10">
        <f>0.9 * inp_Un/inp_Uc</f>
        <v>0.86399999999999999</v>
      </c>
      <c r="G25" s="10">
        <f>0.9 * inp_Un/inp_Uc</f>
        <v>0.86399999999999999</v>
      </c>
      <c r="H25" s="54">
        <f t="shared" ref="H25:H34" si="2">CHOOSE(IF(inp_Un&lt;110,0,1)+IF(inp_Un&gt;=300,1,0)+IF(inp_Area="DK1",0,3) + 1,B25,C25,D25,E25,F25,G25)</f>
        <v>0.9</v>
      </c>
    </row>
    <row r="26" spans="1:9" x14ac:dyDescent="0.25">
      <c r="A26" s="53" t="s">
        <v>176</v>
      </c>
      <c r="B26">
        <v>0.9</v>
      </c>
      <c r="C26" s="10">
        <f>0.85 * inp_Un/inp_Uc</f>
        <v>0.81599999999999995</v>
      </c>
      <c r="D26" s="10">
        <f>0.85 * inp_Un/inp_Uc</f>
        <v>0.81599999999999995</v>
      </c>
      <c r="E26">
        <v>0.9</v>
      </c>
      <c r="F26" s="10">
        <f>0.9 * inp_Un/inp_Uc</f>
        <v>0.86399999999999999</v>
      </c>
      <c r="G26" s="10">
        <f>0.9 * inp_Un/inp_Uc</f>
        <v>0.86399999999999999</v>
      </c>
      <c r="H26" s="54">
        <f t="shared" si="2"/>
        <v>0.9</v>
      </c>
    </row>
    <row r="27" spans="1:9" x14ac:dyDescent="0.25">
      <c r="A27" s="48" t="s">
        <v>153</v>
      </c>
      <c r="B27">
        <v>0.15</v>
      </c>
      <c r="C27">
        <f>0 * inp_Un/inp_Uc</f>
        <v>0</v>
      </c>
      <c r="D27">
        <f>0 * inp_Un/inp_Uc</f>
        <v>0</v>
      </c>
      <c r="E27">
        <v>0.15</v>
      </c>
      <c r="F27">
        <f>0 * inp_Un/inp_Uc</f>
        <v>0</v>
      </c>
      <c r="G27">
        <f>0 * inp_Un/inp_Uc</f>
        <v>0</v>
      </c>
      <c r="H27" s="54">
        <f t="shared" si="2"/>
        <v>0.15</v>
      </c>
    </row>
    <row r="28" spans="1:9" x14ac:dyDescent="0.25">
      <c r="A28" s="48" t="s">
        <v>154</v>
      </c>
      <c r="B28">
        <v>0.25</v>
      </c>
      <c r="C28">
        <f>0.15</f>
        <v>0.15</v>
      </c>
      <c r="D28">
        <f>0.15</f>
        <v>0.15</v>
      </c>
      <c r="E28">
        <v>0.25</v>
      </c>
      <c r="F28">
        <f>0.15</f>
        <v>0.15</v>
      </c>
      <c r="G28">
        <f>0.15</f>
        <v>0.15</v>
      </c>
      <c r="H28" s="54">
        <f t="shared" si="2"/>
        <v>0.25</v>
      </c>
    </row>
    <row r="29" spans="1:9" x14ac:dyDescent="0.25">
      <c r="A29" s="48" t="s">
        <v>155</v>
      </c>
      <c r="B29">
        <v>0.15</v>
      </c>
      <c r="C29">
        <f xml:space="preserve"> 0 * inp_Un/inp_Uc</f>
        <v>0</v>
      </c>
      <c r="D29">
        <f xml:space="preserve"> 0 * inp_Un/inp_Uc</f>
        <v>0</v>
      </c>
      <c r="E29">
        <v>0.15</v>
      </c>
      <c r="F29">
        <f xml:space="preserve"> 0 * inp_Un/inp_Uc</f>
        <v>0</v>
      </c>
      <c r="G29">
        <f xml:space="preserve"> 0 * inp_Un/inp_Uc</f>
        <v>0</v>
      </c>
      <c r="H29" s="54">
        <f t="shared" si="2"/>
        <v>0.15</v>
      </c>
    </row>
    <row r="30" spans="1:9" x14ac:dyDescent="0.25">
      <c r="A30" s="48" t="s">
        <v>160</v>
      </c>
      <c r="B30">
        <v>0.25</v>
      </c>
      <c r="C30">
        <f xml:space="preserve"> 0.15</f>
        <v>0.15</v>
      </c>
      <c r="D30">
        <f xml:space="preserve"> 0.15</f>
        <v>0.15</v>
      </c>
      <c r="E30">
        <v>0.25</v>
      </c>
      <c r="F30">
        <f xml:space="preserve"> 0.15</f>
        <v>0.15</v>
      </c>
      <c r="G30">
        <f xml:space="preserve"> 0.15</f>
        <v>0.15</v>
      </c>
      <c r="H30" s="54">
        <f t="shared" si="2"/>
        <v>0.25</v>
      </c>
    </row>
    <row r="31" spans="1:9" x14ac:dyDescent="0.25">
      <c r="A31" s="48" t="s">
        <v>156</v>
      </c>
      <c r="B31">
        <v>0.15</v>
      </c>
      <c r="C31">
        <f xml:space="preserve"> 0 * inp_Un/inp_Uc</f>
        <v>0</v>
      </c>
      <c r="D31">
        <f xml:space="preserve"> 0 * inp_Un/inp_Uc</f>
        <v>0</v>
      </c>
      <c r="E31">
        <v>0.15</v>
      </c>
      <c r="F31">
        <f xml:space="preserve"> 0 * inp_Un/inp_Uc</f>
        <v>0</v>
      </c>
      <c r="G31">
        <f xml:space="preserve"> 0 * inp_Un/inp_Uc</f>
        <v>0</v>
      </c>
      <c r="H31" s="54">
        <f t="shared" si="2"/>
        <v>0.15</v>
      </c>
    </row>
    <row r="32" spans="1:9" x14ac:dyDescent="0.25">
      <c r="A32" s="48" t="s">
        <v>157</v>
      </c>
      <c r="B32">
        <v>0.25</v>
      </c>
      <c r="C32">
        <v>0.15</v>
      </c>
      <c r="D32">
        <v>0.15</v>
      </c>
      <c r="E32">
        <v>0.25</v>
      </c>
      <c r="F32">
        <v>0.15</v>
      </c>
      <c r="G32">
        <v>0.15</v>
      </c>
      <c r="H32" s="54">
        <f t="shared" si="2"/>
        <v>0.25</v>
      </c>
    </row>
    <row r="33" spans="1:8" x14ac:dyDescent="0.25">
      <c r="A33" s="48" t="s">
        <v>158</v>
      </c>
      <c r="B33">
        <v>0.9</v>
      </c>
      <c r="C33" s="10">
        <f xml:space="preserve"> 0.85 * inp_Un/inp_Uc</f>
        <v>0.81599999999999995</v>
      </c>
      <c r="D33" s="10">
        <f xml:space="preserve"> 0.85 * inp_Un/inp_Uc</f>
        <v>0.81599999999999995</v>
      </c>
      <c r="E33">
        <v>0.9</v>
      </c>
      <c r="F33" s="10">
        <f xml:space="preserve"> 0.9 * inp_Un/inp_Uc</f>
        <v>0.86399999999999999</v>
      </c>
      <c r="G33" s="10">
        <f xml:space="preserve"> 0.9 * inp_Un/inp_Uc</f>
        <v>0.86399999999999999</v>
      </c>
      <c r="H33" s="54">
        <f t="shared" si="2"/>
        <v>0.9</v>
      </c>
    </row>
    <row r="34" spans="1:8" x14ac:dyDescent="0.25">
      <c r="A34" s="48" t="s">
        <v>159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 s="54">
        <f t="shared" si="2"/>
        <v>1.5</v>
      </c>
    </row>
    <row r="35" spans="1:8" x14ac:dyDescent="0.25">
      <c r="A35" s="52" t="s">
        <v>162</v>
      </c>
    </row>
    <row r="36" spans="1:8" x14ac:dyDescent="0.25">
      <c r="A36" s="48" t="s">
        <v>164</v>
      </c>
      <c r="B36">
        <v>1.2</v>
      </c>
      <c r="C36" s="10">
        <f>1.3 * inp_Un/inp_Uc</f>
        <v>1.248</v>
      </c>
      <c r="D36" s="10">
        <f>1.3 * inp_Un/inp_Uc</f>
        <v>1.248</v>
      </c>
      <c r="E36">
        <v>1.2</v>
      </c>
      <c r="F36" s="10">
        <f>1.3 * inp_Un/inp_Uc</f>
        <v>1.248</v>
      </c>
      <c r="G36" s="10">
        <f>1.3 * inp_Un/inp_Uc</f>
        <v>1.248</v>
      </c>
      <c r="H36" s="54">
        <f>CHOOSE(IF(inp_Un&lt;110,0,1)+IF(inp_Un&gt;=300,1,0)+IF(inp_Area="DK1",0,3) + 1,B36,C36,D36,E36,F36,G36)</f>
        <v>1.2</v>
      </c>
    </row>
    <row r="37" spans="1:8" x14ac:dyDescent="0.25">
      <c r="A37" s="48" t="s">
        <v>163</v>
      </c>
      <c r="B37">
        <v>5</v>
      </c>
      <c r="C37">
        <v>0.1</v>
      </c>
      <c r="D37">
        <v>0.1</v>
      </c>
      <c r="E37">
        <v>5</v>
      </c>
      <c r="F37">
        <v>0.1</v>
      </c>
      <c r="G37">
        <v>0.1</v>
      </c>
      <c r="H37" s="54">
        <f>CHOOSE(IF(inp_Un&lt;110,0,1)+IF(inp_Un&gt;=300,1,0)+IF(inp_Area="DK1",0,3) + 1,B37,C37,D37,E37,F37,G37)</f>
        <v>5</v>
      </c>
    </row>
    <row r="38" spans="1:8" x14ac:dyDescent="0.25">
      <c r="A38" s="48" t="s">
        <v>165</v>
      </c>
      <c r="B38">
        <v>1.1499999999999999</v>
      </c>
      <c r="C38" s="10">
        <f>1.2 * inp_Un/inp_Uc</f>
        <v>1.1519999999999999</v>
      </c>
      <c r="D38" s="10">
        <f>1.2 * inp_Un/inp_Uc</f>
        <v>1.1519999999999999</v>
      </c>
      <c r="E38">
        <v>1.1499999999999999</v>
      </c>
      <c r="F38" s="10">
        <f>1.2 * inp_Un/inp_Uc</f>
        <v>1.1519999999999999</v>
      </c>
      <c r="G38" s="10">
        <f>1.2 * inp_Un/inp_Uc</f>
        <v>1.1519999999999999</v>
      </c>
      <c r="H38" s="54">
        <f>CHOOSE(IF(inp_Un&lt;110,0,1)+IF(inp_Un&gt;=300,1,0)+IF(inp_Area="DK1",0,3) + 1,B38,C38,D38,E38,F38,G38)</f>
        <v>1.1499999999999999</v>
      </c>
    </row>
    <row r="39" spans="1:8" x14ac:dyDescent="0.25">
      <c r="A39" s="48" t="s">
        <v>166</v>
      </c>
      <c r="B39">
        <v>60</v>
      </c>
      <c r="C39">
        <v>30</v>
      </c>
      <c r="D39">
        <v>30</v>
      </c>
      <c r="E39">
        <v>60</v>
      </c>
      <c r="F39">
        <v>30</v>
      </c>
      <c r="G39">
        <v>30</v>
      </c>
      <c r="H39" s="54">
        <f>CHOOSE(IF(inp_Un&lt;110,0,1)+IF(inp_Un&gt;=300,1,0)+IF(inp_Area="DK1",0,3) + 1,B39,C39,D39,E39,F39,G39)</f>
        <v>60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ignoredErrors>
    <ignoredError sqref="C16 F22:G22 C30:D30 F30:G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4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9.42578125" style="1" customWidth="1"/>
    <col min="2" max="3" width="6.140625" style="1" bestFit="1" customWidth="1"/>
    <col min="4" max="4" width="36" style="2" bestFit="1" customWidth="1"/>
    <col min="5" max="5" width="6.140625" style="1" bestFit="1" customWidth="1"/>
    <col min="6" max="6" width="6.85546875" style="1" bestFit="1" customWidth="1"/>
    <col min="7" max="7" width="13.140625" style="1" bestFit="1" customWidth="1"/>
    <col min="8" max="8" width="8.28515625" style="34" customWidth="1"/>
    <col min="9" max="9" width="9.5703125" style="1" customWidth="1"/>
    <col min="10" max="10" width="16.140625" style="1" customWidth="1"/>
    <col min="11" max="11" width="10.85546875" style="1" bestFit="1" customWidth="1"/>
    <col min="12" max="12" width="16.140625" style="1" customWidth="1"/>
    <col min="13" max="13" width="16.7109375" style="1" customWidth="1"/>
    <col min="14" max="14" width="19" style="1" customWidth="1"/>
    <col min="15" max="15" width="21.28515625" style="1" customWidth="1"/>
    <col min="16" max="16" width="24" style="1" customWidth="1"/>
    <col min="17" max="17" width="10.42578125" style="41" bestFit="1" customWidth="1"/>
    <col min="18" max="18" width="8.42578125" style="41" bestFit="1" customWidth="1"/>
    <col min="19" max="19" width="12.42578125" style="41" bestFit="1" customWidth="1"/>
    <col min="20" max="20" width="16.5703125" style="41" bestFit="1" customWidth="1"/>
    <col min="21" max="21" width="7.5703125" style="2" bestFit="1" customWidth="1"/>
    <col min="22" max="22" width="7.85546875" style="2" bestFit="1" customWidth="1"/>
    <col min="23" max="23" width="12.42578125" style="2" bestFit="1" customWidth="1"/>
    <col min="24" max="24" width="16.5703125" style="2" bestFit="1" customWidth="1"/>
    <col min="25" max="25" width="8.5703125" style="41" bestFit="1" customWidth="1"/>
    <col min="26" max="26" width="8.42578125" style="41" bestFit="1" customWidth="1"/>
    <col min="27" max="27" width="12.42578125" style="41" bestFit="1" customWidth="1"/>
    <col min="28" max="28" width="16.5703125" style="41" bestFit="1" customWidth="1"/>
    <col min="29" max="29" width="7.5703125" style="2" bestFit="1" customWidth="1"/>
    <col min="30" max="30" width="7.85546875" style="2" bestFit="1" customWidth="1"/>
    <col min="31" max="31" width="12.42578125" style="2" bestFit="1" customWidth="1"/>
    <col min="32" max="32" width="16.5703125" style="2" bestFit="1" customWidth="1"/>
    <col min="33" max="33" width="8.140625" style="41" bestFit="1" customWidth="1"/>
    <col min="34" max="34" width="8.42578125" style="41" bestFit="1" customWidth="1"/>
    <col min="35" max="35" width="12.42578125" style="41" bestFit="1" customWidth="1"/>
    <col min="36" max="36" width="16.5703125" style="41" bestFit="1" customWidth="1"/>
    <col min="37" max="37" width="7.5703125" style="2" bestFit="1" customWidth="1"/>
    <col min="38" max="38" width="7.85546875" style="2" bestFit="1" customWidth="1"/>
    <col min="39" max="39" width="12.42578125" style="1" bestFit="1" customWidth="1"/>
    <col min="40" max="40" width="16.5703125" style="1" bestFit="1" customWidth="1"/>
    <col min="41" max="41" width="7.5703125" style="41" bestFit="1" customWidth="1"/>
    <col min="42" max="42" width="7.85546875" style="41" bestFit="1" customWidth="1"/>
    <col min="43" max="43" width="12.42578125" style="41" bestFit="1" customWidth="1"/>
    <col min="44" max="44" width="16.5703125" style="41" bestFit="1" customWidth="1"/>
    <col min="45" max="45" width="7.5703125" style="1" bestFit="1" customWidth="1"/>
    <col min="46" max="46" width="7.85546875" style="1" bestFit="1" customWidth="1"/>
    <col min="47" max="47" width="12.42578125" style="1" bestFit="1" customWidth="1"/>
    <col min="48" max="48" width="16.5703125" style="1" bestFit="1" customWidth="1"/>
    <col min="49" max="49" width="7.5703125" style="41" bestFit="1" customWidth="1"/>
    <col min="50" max="50" width="7.85546875" style="41" bestFit="1" customWidth="1"/>
    <col min="51" max="51" width="12.42578125" style="41" bestFit="1" customWidth="1"/>
    <col min="52" max="52" width="16.5703125" style="41" bestFit="1" customWidth="1"/>
    <col min="53" max="53" width="7.5703125" style="1" bestFit="1" customWidth="1"/>
    <col min="54" max="54" width="7.85546875" style="1" bestFit="1" customWidth="1"/>
    <col min="55" max="55" width="12.42578125" style="1" bestFit="1" customWidth="1"/>
    <col min="56" max="56" width="16.5703125" style="1" bestFit="1" customWidth="1"/>
    <col min="57" max="57" width="7.5703125" style="41" bestFit="1" customWidth="1"/>
    <col min="58" max="58" width="7.85546875" style="41" bestFit="1" customWidth="1"/>
    <col min="59" max="59" width="12.42578125" style="41" bestFit="1" customWidth="1"/>
    <col min="60" max="60" width="16.5703125" style="41" bestFit="1" customWidth="1"/>
    <col min="61" max="61" width="7.5703125" style="1" bestFit="1" customWidth="1"/>
    <col min="62" max="62" width="7.85546875" style="1" bestFit="1" customWidth="1"/>
    <col min="63" max="63" width="12.42578125" style="1" bestFit="1" customWidth="1"/>
    <col min="64" max="64" width="16.5703125" style="1" bestFit="1" customWidth="1"/>
    <col min="65" max="16384" width="9.140625" style="1"/>
  </cols>
  <sheetData>
    <row r="1" spans="1:64" x14ac:dyDescent="0.25">
      <c r="Q1" s="64" t="s">
        <v>79</v>
      </c>
      <c r="R1" s="65"/>
      <c r="S1" s="65"/>
      <c r="T1" s="66"/>
      <c r="U1" s="61" t="s">
        <v>80</v>
      </c>
      <c r="V1" s="62"/>
      <c r="W1" s="62"/>
      <c r="X1" s="63"/>
      <c r="Y1" s="64" t="s">
        <v>81</v>
      </c>
      <c r="Z1" s="65"/>
      <c r="AA1" s="65"/>
      <c r="AB1" s="66"/>
      <c r="AC1" s="61" t="s">
        <v>82</v>
      </c>
      <c r="AD1" s="62"/>
      <c r="AE1" s="62"/>
      <c r="AF1" s="63"/>
      <c r="AG1" s="64" t="s">
        <v>83</v>
      </c>
      <c r="AH1" s="65"/>
      <c r="AI1" s="65"/>
      <c r="AJ1" s="66"/>
      <c r="AK1" s="61" t="s">
        <v>84</v>
      </c>
      <c r="AL1" s="62"/>
      <c r="AM1" s="62"/>
      <c r="AN1" s="63"/>
      <c r="AO1" s="64" t="s">
        <v>85</v>
      </c>
      <c r="AP1" s="65"/>
      <c r="AQ1" s="65"/>
      <c r="AR1" s="66"/>
      <c r="AS1" s="61" t="s">
        <v>86</v>
      </c>
      <c r="AT1" s="62"/>
      <c r="AU1" s="62"/>
      <c r="AV1" s="63"/>
      <c r="AW1" s="64" t="s">
        <v>87</v>
      </c>
      <c r="AX1" s="65"/>
      <c r="AY1" s="65"/>
      <c r="AZ1" s="66"/>
      <c r="BA1" s="61" t="s">
        <v>88</v>
      </c>
      <c r="BB1" s="62"/>
      <c r="BC1" s="62"/>
      <c r="BD1" s="63"/>
      <c r="BE1" s="64" t="s">
        <v>89</v>
      </c>
      <c r="BF1" s="65"/>
      <c r="BG1" s="65"/>
      <c r="BH1" s="66"/>
      <c r="BI1" s="61" t="s">
        <v>90</v>
      </c>
      <c r="BJ1" s="62"/>
      <c r="BK1" s="62"/>
      <c r="BL1" s="63"/>
    </row>
    <row r="2" spans="1:64" s="19" customFormat="1" ht="30" x14ac:dyDescent="0.25">
      <c r="A2" s="14" t="s">
        <v>39</v>
      </c>
      <c r="B2" s="15" t="s">
        <v>27</v>
      </c>
      <c r="C2" s="15" t="s">
        <v>28</v>
      </c>
      <c r="D2" s="16" t="s">
        <v>78</v>
      </c>
      <c r="E2" s="17" t="s">
        <v>38</v>
      </c>
      <c r="F2" s="17" t="s">
        <v>0</v>
      </c>
      <c r="G2" s="17" t="s">
        <v>40</v>
      </c>
      <c r="H2" s="33" t="s">
        <v>2</v>
      </c>
      <c r="I2" s="17" t="s">
        <v>76</v>
      </c>
      <c r="J2" s="18" t="s">
        <v>77</v>
      </c>
      <c r="K2" s="17" t="s">
        <v>1</v>
      </c>
      <c r="L2" s="17" t="s">
        <v>48</v>
      </c>
      <c r="M2" s="17" t="s">
        <v>49</v>
      </c>
      <c r="N2" s="17" t="s">
        <v>50</v>
      </c>
      <c r="O2" s="17" t="s">
        <v>51</v>
      </c>
      <c r="P2" s="17" t="s">
        <v>52</v>
      </c>
      <c r="Q2" s="38" t="s">
        <v>91</v>
      </c>
      <c r="R2" s="38" t="s">
        <v>92</v>
      </c>
      <c r="S2" s="38" t="s">
        <v>93</v>
      </c>
      <c r="T2" s="39" t="s">
        <v>94</v>
      </c>
      <c r="U2" s="18" t="s">
        <v>91</v>
      </c>
      <c r="V2" s="18" t="s">
        <v>92</v>
      </c>
      <c r="W2" s="18" t="s">
        <v>93</v>
      </c>
      <c r="X2" s="46" t="s">
        <v>94</v>
      </c>
      <c r="Y2" s="38" t="s">
        <v>91</v>
      </c>
      <c r="Z2" s="38" t="s">
        <v>92</v>
      </c>
      <c r="AA2" s="38" t="s">
        <v>93</v>
      </c>
      <c r="AB2" s="39" t="s">
        <v>94</v>
      </c>
      <c r="AC2" s="18" t="s">
        <v>91</v>
      </c>
      <c r="AD2" s="18" t="s">
        <v>92</v>
      </c>
      <c r="AE2" s="18" t="s">
        <v>93</v>
      </c>
      <c r="AF2" s="46" t="s">
        <v>94</v>
      </c>
      <c r="AG2" s="38" t="s">
        <v>91</v>
      </c>
      <c r="AH2" s="38" t="s">
        <v>92</v>
      </c>
      <c r="AI2" s="38" t="s">
        <v>93</v>
      </c>
      <c r="AJ2" s="39" t="s">
        <v>94</v>
      </c>
      <c r="AK2" s="18" t="s">
        <v>91</v>
      </c>
      <c r="AL2" s="18" t="s">
        <v>92</v>
      </c>
      <c r="AM2" s="18" t="s">
        <v>93</v>
      </c>
      <c r="AN2" s="46" t="s">
        <v>94</v>
      </c>
      <c r="AO2" s="38" t="s">
        <v>91</v>
      </c>
      <c r="AP2" s="38" t="s">
        <v>92</v>
      </c>
      <c r="AQ2" s="38" t="s">
        <v>93</v>
      </c>
      <c r="AR2" s="39" t="s">
        <v>94</v>
      </c>
      <c r="AS2" s="18" t="s">
        <v>91</v>
      </c>
      <c r="AT2" s="18" t="s">
        <v>92</v>
      </c>
      <c r="AU2" s="18" t="s">
        <v>93</v>
      </c>
      <c r="AV2" s="46" t="s">
        <v>94</v>
      </c>
      <c r="AW2" s="38" t="s">
        <v>91</v>
      </c>
      <c r="AX2" s="38" t="s">
        <v>92</v>
      </c>
      <c r="AY2" s="38" t="s">
        <v>93</v>
      </c>
      <c r="AZ2" s="39" t="s">
        <v>94</v>
      </c>
      <c r="BA2" s="18" t="s">
        <v>91</v>
      </c>
      <c r="BB2" s="18" t="s">
        <v>92</v>
      </c>
      <c r="BC2" s="18" t="s">
        <v>93</v>
      </c>
      <c r="BD2" s="46" t="s">
        <v>94</v>
      </c>
      <c r="BE2" s="38" t="s">
        <v>91</v>
      </c>
      <c r="BF2" s="38" t="s">
        <v>92</v>
      </c>
      <c r="BG2" s="38" t="s">
        <v>93</v>
      </c>
      <c r="BH2" s="39" t="s">
        <v>94</v>
      </c>
      <c r="BI2" s="18" t="s">
        <v>91</v>
      </c>
      <c r="BJ2" s="18" t="s">
        <v>92</v>
      </c>
      <c r="BK2" s="18" t="s">
        <v>93</v>
      </c>
      <c r="BL2" s="46" t="s">
        <v>94</v>
      </c>
    </row>
    <row r="3" spans="1:64" x14ac:dyDescent="0.25">
      <c r="A3" s="1">
        <v>1</v>
      </c>
      <c r="B3" s="19" t="b">
        <f>TRUE</f>
        <v>1</v>
      </c>
      <c r="C3" s="19" t="b">
        <f>TRUE</f>
        <v>1</v>
      </c>
      <c r="D3" s="1" t="s">
        <v>34</v>
      </c>
      <c r="E3" s="6">
        <v>1</v>
      </c>
      <c r="F3" s="67">
        <v>0</v>
      </c>
      <c r="G3" s="67" t="b">
        <f>FALSE</f>
        <v>0</v>
      </c>
      <c r="H3" s="47" t="s">
        <v>64</v>
      </c>
      <c r="I3" s="67">
        <v>0</v>
      </c>
      <c r="J3" s="68">
        <v>60</v>
      </c>
      <c r="K3" s="67" t="s">
        <v>124</v>
      </c>
      <c r="L3" s="67"/>
      <c r="M3" s="67"/>
      <c r="N3" s="67"/>
      <c r="O3" s="67"/>
      <c r="P3" s="67"/>
      <c r="Q3" s="40"/>
      <c r="R3" s="40"/>
      <c r="T3" s="40"/>
      <c r="U3" s="69"/>
      <c r="V3" s="70"/>
      <c r="W3" s="6"/>
      <c r="X3" s="6"/>
      <c r="Y3" s="40"/>
      <c r="Z3" s="40"/>
      <c r="AB3" s="40"/>
      <c r="AC3" s="69"/>
      <c r="AD3" s="6"/>
      <c r="AE3" s="1"/>
      <c r="AF3" s="6"/>
      <c r="AG3" s="40"/>
      <c r="AH3" s="40"/>
      <c r="AJ3" s="40"/>
      <c r="AK3" s="69"/>
      <c r="AL3" s="6"/>
      <c r="AM3" s="6"/>
      <c r="AO3" s="40"/>
      <c r="AP3" s="40"/>
      <c r="AR3" s="40"/>
      <c r="AS3" s="69"/>
      <c r="AW3" s="40"/>
      <c r="AX3" s="40"/>
      <c r="AZ3" s="40"/>
      <c r="BA3" s="69"/>
      <c r="BE3" s="40"/>
      <c r="BF3" s="40"/>
      <c r="BH3" s="40"/>
      <c r="BI3" s="69"/>
    </row>
    <row r="4" spans="1:64" x14ac:dyDescent="0.25">
      <c r="A4" s="1">
        <v>2</v>
      </c>
      <c r="B4" s="19" t="b">
        <f>TRUE</f>
        <v>1</v>
      </c>
      <c r="C4" s="19" t="b">
        <f>TRUE</f>
        <v>1</v>
      </c>
      <c r="D4" s="1" t="s">
        <v>33</v>
      </c>
      <c r="E4" s="6">
        <v>1</v>
      </c>
      <c r="F4" s="67">
        <v>0.5</v>
      </c>
      <c r="G4" s="67" t="b">
        <f>FALSE</f>
        <v>0</v>
      </c>
      <c r="H4" s="47" t="s">
        <v>64</v>
      </c>
      <c r="I4" s="67">
        <v>0.2</v>
      </c>
      <c r="J4" s="68">
        <v>60</v>
      </c>
      <c r="K4" s="67" t="s">
        <v>124</v>
      </c>
      <c r="L4" s="67"/>
      <c r="M4" s="67"/>
      <c r="N4" s="67"/>
      <c r="O4" s="67"/>
      <c r="P4" s="67"/>
      <c r="Q4" s="40"/>
      <c r="R4" s="40"/>
      <c r="T4" s="40"/>
      <c r="U4" s="69"/>
      <c r="V4" s="1"/>
      <c r="W4" s="6"/>
      <c r="X4" s="6"/>
      <c r="Y4" s="40"/>
      <c r="Z4" s="40"/>
      <c r="AB4" s="40"/>
      <c r="AC4" s="69"/>
      <c r="AD4" s="6"/>
      <c r="AE4" s="1"/>
      <c r="AF4" s="6"/>
      <c r="AG4" s="40"/>
      <c r="AH4" s="40"/>
      <c r="AJ4" s="40"/>
      <c r="AK4" s="69"/>
      <c r="AL4" s="6"/>
      <c r="AM4" s="6"/>
      <c r="AO4" s="40"/>
      <c r="AP4" s="40"/>
      <c r="AR4" s="40"/>
      <c r="AS4" s="69"/>
      <c r="AW4" s="40"/>
      <c r="AX4" s="40"/>
      <c r="AZ4" s="40"/>
      <c r="BA4" s="69"/>
      <c r="BE4" s="40"/>
      <c r="BF4" s="40"/>
      <c r="BH4" s="40"/>
      <c r="BI4" s="69"/>
    </row>
    <row r="5" spans="1:64" x14ac:dyDescent="0.25">
      <c r="A5" s="1">
        <v>3</v>
      </c>
      <c r="B5" s="19" t="b">
        <f>TRUE</f>
        <v>1</v>
      </c>
      <c r="C5" s="19" t="b">
        <f>TRUE</f>
        <v>1</v>
      </c>
      <c r="D5" s="1" t="s">
        <v>35</v>
      </c>
      <c r="E5" s="6">
        <v>1</v>
      </c>
      <c r="F5" s="67">
        <v>0.5</v>
      </c>
      <c r="G5" s="67" t="b">
        <f>FALSE</f>
        <v>0</v>
      </c>
      <c r="H5" s="47" t="s">
        <v>64</v>
      </c>
      <c r="I5" s="67">
        <v>-0.2</v>
      </c>
      <c r="J5" s="68">
        <v>60</v>
      </c>
      <c r="K5" s="67" t="s">
        <v>124</v>
      </c>
      <c r="L5" s="67"/>
      <c r="M5" s="67"/>
      <c r="N5" s="67"/>
      <c r="O5" s="67"/>
      <c r="P5" s="67"/>
      <c r="Q5" s="40"/>
      <c r="R5" s="40"/>
      <c r="T5" s="40"/>
      <c r="U5" s="69"/>
      <c r="V5" s="1"/>
      <c r="W5" s="6"/>
      <c r="X5" s="6"/>
      <c r="Y5" s="40"/>
      <c r="Z5" s="40"/>
      <c r="AB5" s="40"/>
      <c r="AC5" s="69"/>
      <c r="AD5" s="6"/>
      <c r="AE5" s="1"/>
      <c r="AF5" s="6"/>
      <c r="AG5" s="40"/>
      <c r="AH5" s="40"/>
      <c r="AJ5" s="40"/>
      <c r="AK5" s="69"/>
      <c r="AL5" s="6"/>
      <c r="AM5" s="6"/>
      <c r="AO5" s="40"/>
      <c r="AP5" s="40"/>
      <c r="AR5" s="40"/>
      <c r="AS5" s="69"/>
      <c r="AW5" s="40"/>
      <c r="AX5" s="40"/>
      <c r="AZ5" s="40"/>
      <c r="BA5" s="69"/>
      <c r="BE5" s="40"/>
      <c r="BF5" s="40"/>
      <c r="BH5" s="40"/>
      <c r="BI5" s="69"/>
    </row>
    <row r="6" spans="1:64" x14ac:dyDescent="0.25">
      <c r="A6" s="1">
        <v>4</v>
      </c>
      <c r="B6" s="19" t="b">
        <f>TRUE</f>
        <v>1</v>
      </c>
      <c r="C6" s="19" t="b">
        <f>TRUE</f>
        <v>1</v>
      </c>
      <c r="D6" s="1" t="s">
        <v>36</v>
      </c>
      <c r="E6" s="6">
        <v>1</v>
      </c>
      <c r="F6" s="67">
        <v>1</v>
      </c>
      <c r="G6" s="67" t="b">
        <f>FALSE</f>
        <v>0</v>
      </c>
      <c r="H6" s="47" t="s">
        <v>64</v>
      </c>
      <c r="I6" s="67">
        <v>0.33</v>
      </c>
      <c r="J6" s="68">
        <v>60</v>
      </c>
      <c r="K6" s="67" t="s">
        <v>124</v>
      </c>
      <c r="L6" s="67"/>
      <c r="M6" s="67"/>
      <c r="N6" s="67"/>
      <c r="O6" s="67"/>
      <c r="P6" s="67"/>
      <c r="Q6" s="40"/>
      <c r="R6" s="40"/>
      <c r="T6" s="40"/>
      <c r="U6" s="69"/>
      <c r="V6" s="1"/>
      <c r="W6" s="6"/>
      <c r="X6" s="6"/>
      <c r="Y6" s="40"/>
      <c r="Z6" s="40"/>
      <c r="AB6" s="40"/>
      <c r="AC6" s="69"/>
      <c r="AD6" s="6"/>
      <c r="AE6" s="1"/>
      <c r="AF6" s="6"/>
      <c r="AG6" s="40"/>
      <c r="AH6" s="40"/>
      <c r="AJ6" s="40"/>
      <c r="AK6" s="69"/>
      <c r="AL6" s="6"/>
      <c r="AM6" s="6"/>
      <c r="AO6" s="40"/>
      <c r="AP6" s="40"/>
      <c r="AR6" s="40"/>
      <c r="AS6" s="69"/>
      <c r="AW6" s="40"/>
      <c r="AX6" s="40"/>
      <c r="AZ6" s="40"/>
      <c r="BA6" s="69"/>
      <c r="BE6" s="40"/>
      <c r="BF6" s="40"/>
      <c r="BH6" s="40"/>
      <c r="BI6" s="69"/>
    </row>
    <row r="7" spans="1:64" x14ac:dyDescent="0.25">
      <c r="A7" s="1">
        <v>5</v>
      </c>
      <c r="B7" s="19" t="b">
        <f>TRUE</f>
        <v>1</v>
      </c>
      <c r="C7" s="19" t="b">
        <f>TRUE</f>
        <v>1</v>
      </c>
      <c r="D7" s="1" t="s">
        <v>37</v>
      </c>
      <c r="E7" s="6">
        <v>1</v>
      </c>
      <c r="F7" s="67">
        <v>1</v>
      </c>
      <c r="G7" s="67" t="b">
        <f>FALSE</f>
        <v>0</v>
      </c>
      <c r="H7" s="47" t="s">
        <v>64</v>
      </c>
      <c r="I7" s="67">
        <v>-0.3</v>
      </c>
      <c r="J7" s="68">
        <v>60</v>
      </c>
      <c r="K7" s="67" t="s">
        <v>124</v>
      </c>
      <c r="L7" s="67"/>
      <c r="M7" s="67"/>
      <c r="N7" s="67"/>
      <c r="O7" s="67"/>
      <c r="P7" s="67"/>
      <c r="Q7" s="40"/>
      <c r="R7" s="40"/>
      <c r="T7" s="40"/>
      <c r="U7" s="69"/>
      <c r="V7" s="1"/>
      <c r="W7" s="6"/>
      <c r="X7" s="6"/>
      <c r="Y7" s="40"/>
      <c r="Z7" s="40"/>
      <c r="AB7" s="40"/>
      <c r="AC7" s="69"/>
      <c r="AD7" s="6"/>
      <c r="AE7" s="1"/>
      <c r="AF7" s="6"/>
      <c r="AG7" s="40"/>
      <c r="AH7" s="40"/>
      <c r="AJ7" s="40"/>
      <c r="AK7" s="69"/>
      <c r="AL7" s="6"/>
      <c r="AM7" s="6"/>
      <c r="AO7" s="40"/>
      <c r="AP7" s="40"/>
      <c r="AR7" s="40"/>
      <c r="AS7" s="69"/>
      <c r="AW7" s="40"/>
      <c r="AX7" s="40"/>
      <c r="AZ7" s="40"/>
      <c r="BA7" s="69"/>
      <c r="BE7" s="40"/>
      <c r="BF7" s="40"/>
      <c r="BH7" s="40"/>
      <c r="BI7" s="69"/>
    </row>
    <row r="8" spans="1:64" x14ac:dyDescent="0.25">
      <c r="A8" s="1">
        <v>6</v>
      </c>
      <c r="B8" s="19" t="b">
        <f>TRUE</f>
        <v>1</v>
      </c>
      <c r="C8" s="19" t="b">
        <f>TRUE</f>
        <v>1</v>
      </c>
      <c r="D8" s="1" t="s">
        <v>183</v>
      </c>
      <c r="E8" s="6">
        <v>0.99</v>
      </c>
      <c r="F8" s="67">
        <v>0.7</v>
      </c>
      <c r="G8" s="67" t="b">
        <f>FALSE</f>
        <v>0</v>
      </c>
      <c r="H8" s="47" t="s">
        <v>66</v>
      </c>
      <c r="I8" s="67">
        <v>1</v>
      </c>
      <c r="J8" s="68">
        <v>60</v>
      </c>
      <c r="K8" s="67" t="s">
        <v>124</v>
      </c>
      <c r="L8" s="67"/>
      <c r="M8" s="67"/>
      <c r="N8" s="67"/>
      <c r="O8" s="67"/>
      <c r="P8" s="67"/>
      <c r="Q8" s="40"/>
      <c r="R8" s="40"/>
      <c r="T8" s="40"/>
      <c r="U8" s="69"/>
      <c r="V8" s="1"/>
      <c r="W8" s="6"/>
      <c r="X8" s="6"/>
      <c r="Y8" s="40"/>
      <c r="Z8" s="40"/>
      <c r="AB8" s="40"/>
      <c r="AC8" s="69"/>
      <c r="AD8" s="6"/>
      <c r="AE8" s="1"/>
      <c r="AF8" s="6"/>
      <c r="AG8" s="40"/>
      <c r="AH8" s="40"/>
      <c r="AJ8" s="40"/>
      <c r="AK8" s="69"/>
      <c r="AL8" s="6"/>
      <c r="AM8" s="6"/>
      <c r="AO8" s="40"/>
      <c r="AP8" s="40"/>
      <c r="AR8" s="40"/>
      <c r="AS8" s="69"/>
      <c r="AW8" s="40"/>
      <c r="AX8" s="40"/>
      <c r="AZ8" s="40"/>
      <c r="BA8" s="69"/>
      <c r="BE8" s="40"/>
      <c r="BF8" s="40"/>
      <c r="BH8" s="40"/>
      <c r="BI8" s="69"/>
    </row>
    <row r="9" spans="1:64" x14ac:dyDescent="0.25">
      <c r="A9" s="1">
        <v>7</v>
      </c>
      <c r="B9" s="19" t="b">
        <f>TRUE</f>
        <v>1</v>
      </c>
      <c r="C9" s="19" t="b">
        <f>TRUE</f>
        <v>1</v>
      </c>
      <c r="D9" s="1" t="s">
        <v>184</v>
      </c>
      <c r="E9" s="6">
        <v>0.99</v>
      </c>
      <c r="F9" s="67">
        <v>0.7</v>
      </c>
      <c r="G9" s="67" t="b">
        <f>FALSE</f>
        <v>0</v>
      </c>
      <c r="H9" s="47" t="s">
        <v>66</v>
      </c>
      <c r="I9" s="67">
        <v>1</v>
      </c>
      <c r="J9" s="68">
        <v>60</v>
      </c>
      <c r="K9" s="67" t="s">
        <v>124</v>
      </c>
      <c r="L9" s="67"/>
      <c r="M9" s="67"/>
      <c r="N9" s="67"/>
      <c r="O9" s="67"/>
      <c r="P9" s="67"/>
      <c r="Q9" s="40"/>
      <c r="R9" s="40"/>
      <c r="T9" s="40"/>
      <c r="U9" s="69"/>
      <c r="V9" s="1"/>
      <c r="W9" s="6"/>
      <c r="X9" s="6"/>
      <c r="Y9" s="40"/>
      <c r="Z9" s="40"/>
      <c r="AB9" s="40"/>
      <c r="AC9" s="69"/>
      <c r="AD9" s="6"/>
      <c r="AE9" s="1"/>
      <c r="AF9" s="6"/>
      <c r="AG9" s="40"/>
      <c r="AH9" s="40"/>
      <c r="AJ9" s="40"/>
      <c r="AK9" s="69"/>
      <c r="AL9" s="6"/>
      <c r="AM9" s="6"/>
      <c r="AO9" s="40"/>
      <c r="AP9" s="40"/>
      <c r="AR9" s="40"/>
      <c r="AS9" s="69"/>
      <c r="AW9" s="40"/>
      <c r="AX9" s="40"/>
      <c r="AZ9" s="40"/>
      <c r="BA9" s="69"/>
      <c r="BE9" s="40"/>
      <c r="BF9" s="40"/>
      <c r="BH9" s="40"/>
      <c r="BI9" s="69"/>
    </row>
    <row r="10" spans="1:64" x14ac:dyDescent="0.25">
      <c r="A10" s="1">
        <v>8</v>
      </c>
      <c r="B10" s="19" t="b">
        <f>TRUE</f>
        <v>1</v>
      </c>
      <c r="C10" s="19" t="b">
        <f>TRUE</f>
        <v>1</v>
      </c>
      <c r="D10" s="1" t="s">
        <v>32</v>
      </c>
      <c r="E10" s="6">
        <v>1.01</v>
      </c>
      <c r="F10" s="67">
        <v>0.7</v>
      </c>
      <c r="G10" s="67" t="b">
        <f>FALSE</f>
        <v>0</v>
      </c>
      <c r="H10" s="47" t="s">
        <v>65</v>
      </c>
      <c r="I10" s="67">
        <v>0.94899999999999995</v>
      </c>
      <c r="J10" s="68">
        <v>60</v>
      </c>
      <c r="K10" s="67" t="s">
        <v>124</v>
      </c>
      <c r="L10" s="67"/>
      <c r="M10" s="67"/>
      <c r="N10" s="67"/>
      <c r="O10" s="67"/>
      <c r="P10" s="67"/>
      <c r="Q10" s="40"/>
      <c r="R10" s="40"/>
      <c r="T10" s="40"/>
      <c r="U10" s="69"/>
      <c r="V10" s="1"/>
      <c r="W10" s="6"/>
      <c r="X10" s="6"/>
      <c r="Y10" s="40"/>
      <c r="Z10" s="40"/>
      <c r="AB10" s="40"/>
      <c r="AC10" s="69"/>
      <c r="AD10" s="6"/>
      <c r="AE10" s="1"/>
      <c r="AF10" s="6"/>
      <c r="AG10" s="40"/>
      <c r="AH10" s="40"/>
      <c r="AJ10" s="40"/>
      <c r="AK10" s="69"/>
      <c r="AL10" s="6"/>
      <c r="AM10" s="6"/>
      <c r="AO10" s="40"/>
      <c r="AP10" s="40"/>
      <c r="AR10" s="40"/>
      <c r="AS10" s="69"/>
      <c r="AW10" s="40"/>
      <c r="AX10" s="40"/>
      <c r="AZ10" s="40"/>
      <c r="BA10" s="69"/>
      <c r="BE10" s="40"/>
      <c r="BF10" s="40"/>
      <c r="BH10" s="40"/>
      <c r="BI10" s="69"/>
    </row>
    <row r="11" spans="1:64" x14ac:dyDescent="0.25">
      <c r="A11" s="1">
        <v>9</v>
      </c>
      <c r="B11" s="19" t="b">
        <f>TRUE</f>
        <v>1</v>
      </c>
      <c r="C11" s="71" t="b">
        <f>FALSE</f>
        <v>0</v>
      </c>
      <c r="D11" s="1" t="s">
        <v>9</v>
      </c>
      <c r="E11" s="6">
        <v>1</v>
      </c>
      <c r="F11" s="72">
        <v>0</v>
      </c>
      <c r="G11" s="67" t="b">
        <f>FALSE</f>
        <v>0</v>
      </c>
      <c r="H11" s="47" t="s">
        <v>68</v>
      </c>
      <c r="I11" s="72">
        <v>0</v>
      </c>
      <c r="J11" s="67">
        <v>155</v>
      </c>
      <c r="K11" s="67" t="s">
        <v>124</v>
      </c>
      <c r="L11" s="67"/>
      <c r="M11" s="67"/>
      <c r="N11" s="67"/>
      <c r="O11" s="67"/>
      <c r="P11" s="67"/>
      <c r="Q11" s="40" t="s">
        <v>43</v>
      </c>
      <c r="R11" s="40">
        <v>0</v>
      </c>
      <c r="S11" s="40">
        <v>0.5</v>
      </c>
      <c r="T11" s="40">
        <v>0</v>
      </c>
      <c r="U11" s="69"/>
      <c r="V11" s="6"/>
      <c r="W11" s="6"/>
      <c r="X11" s="6"/>
      <c r="Y11" s="40"/>
      <c r="Z11" s="40"/>
      <c r="AA11" s="40"/>
      <c r="AB11" s="40"/>
      <c r="AC11" s="69"/>
      <c r="AD11" s="6"/>
      <c r="AE11" s="6"/>
      <c r="AF11" s="6"/>
      <c r="AG11" s="40"/>
      <c r="AH11" s="40"/>
      <c r="AI11" s="40"/>
      <c r="AJ11" s="40"/>
      <c r="AK11" s="69"/>
      <c r="AL11" s="6"/>
      <c r="AO11" s="40"/>
      <c r="AP11" s="40"/>
      <c r="AQ11" s="40"/>
      <c r="AR11" s="40"/>
      <c r="AS11" s="69"/>
      <c r="AW11" s="40"/>
      <c r="AX11" s="40"/>
      <c r="AY11" s="40"/>
      <c r="AZ11" s="40"/>
      <c r="BA11" s="69"/>
      <c r="BE11" s="40"/>
      <c r="BF11" s="40"/>
      <c r="BG11" s="40"/>
      <c r="BH11" s="40"/>
      <c r="BI11" s="69"/>
    </row>
    <row r="12" spans="1:64" x14ac:dyDescent="0.25">
      <c r="A12" s="1">
        <v>10</v>
      </c>
      <c r="B12" s="19" t="b">
        <f>TRUE</f>
        <v>1</v>
      </c>
      <c r="C12" s="19" t="b">
        <f>TRUE</f>
        <v>1</v>
      </c>
      <c r="D12" s="1" t="s">
        <v>3</v>
      </c>
      <c r="E12" s="6">
        <v>1</v>
      </c>
      <c r="F12" s="72">
        <v>0.5</v>
      </c>
      <c r="G12" s="67" t="b">
        <f>FALSE</f>
        <v>0</v>
      </c>
      <c r="H12" s="47" t="s">
        <v>68</v>
      </c>
      <c r="I12" s="72">
        <v>0</v>
      </c>
      <c r="J12" s="67">
        <v>65</v>
      </c>
      <c r="K12" s="67" t="s">
        <v>124</v>
      </c>
      <c r="L12" s="67"/>
      <c r="M12" s="67"/>
      <c r="N12" s="67"/>
      <c r="O12" s="67"/>
      <c r="P12" s="67"/>
      <c r="Q12" s="40" t="s">
        <v>43</v>
      </c>
      <c r="R12" s="40">
        <v>0</v>
      </c>
      <c r="S12" s="40">
        <v>0.7</v>
      </c>
      <c r="T12" s="40">
        <v>0</v>
      </c>
      <c r="U12" s="69"/>
      <c r="V12" s="6"/>
      <c r="W12" s="6"/>
      <c r="X12" s="6"/>
      <c r="Y12" s="40"/>
      <c r="Z12" s="40"/>
      <c r="AA12" s="40"/>
      <c r="AB12" s="40"/>
      <c r="AC12" s="69"/>
      <c r="AD12" s="6"/>
      <c r="AE12" s="6"/>
      <c r="AF12" s="6"/>
      <c r="AG12" s="40"/>
      <c r="AH12" s="40"/>
      <c r="AI12" s="40"/>
      <c r="AJ12" s="40"/>
      <c r="AK12" s="69"/>
      <c r="AL12" s="6"/>
      <c r="AO12" s="40"/>
      <c r="AP12" s="40"/>
      <c r="AQ12" s="40"/>
      <c r="AR12" s="40"/>
      <c r="AS12" s="69"/>
      <c r="AW12" s="40"/>
      <c r="AX12" s="40"/>
      <c r="AY12" s="40"/>
      <c r="AZ12" s="40"/>
      <c r="BA12" s="69"/>
      <c r="BE12" s="40"/>
      <c r="BF12" s="40"/>
      <c r="BG12" s="40"/>
      <c r="BH12" s="40"/>
      <c r="BI12" s="69"/>
    </row>
    <row r="13" spans="1:64" x14ac:dyDescent="0.25">
      <c r="A13" s="1">
        <v>11</v>
      </c>
      <c r="B13" s="19" t="b">
        <f>TRUE</f>
        <v>1</v>
      </c>
      <c r="C13" s="71" t="b">
        <f>FALSE</f>
        <v>0</v>
      </c>
      <c r="D13" s="1" t="s">
        <v>10</v>
      </c>
      <c r="E13" s="6">
        <v>1</v>
      </c>
      <c r="F13" s="72">
        <v>0.7</v>
      </c>
      <c r="G13" s="67" t="b">
        <f>FALSE</f>
        <v>0</v>
      </c>
      <c r="H13" s="47" t="s">
        <v>68</v>
      </c>
      <c r="I13" s="72">
        <v>0</v>
      </c>
      <c r="J13" s="67">
        <v>95</v>
      </c>
      <c r="K13" s="67" t="s">
        <v>124</v>
      </c>
      <c r="L13" s="67"/>
      <c r="M13" s="67"/>
      <c r="N13" s="67"/>
      <c r="O13" s="67"/>
      <c r="P13" s="67"/>
      <c r="Q13" s="40" t="s">
        <v>43</v>
      </c>
      <c r="R13" s="40">
        <v>0</v>
      </c>
      <c r="S13" s="40">
        <v>1</v>
      </c>
      <c r="T13" s="40">
        <v>0</v>
      </c>
      <c r="U13" s="69"/>
      <c r="V13" s="6"/>
      <c r="W13" s="6"/>
      <c r="X13" s="6"/>
      <c r="Y13" s="40"/>
      <c r="Z13" s="40"/>
      <c r="AA13" s="40"/>
      <c r="AB13" s="40"/>
      <c r="AC13" s="69"/>
      <c r="AD13" s="6"/>
      <c r="AE13" s="6"/>
      <c r="AF13" s="6"/>
      <c r="AG13" s="40"/>
      <c r="AH13" s="40"/>
      <c r="AI13" s="40"/>
      <c r="AJ13" s="40"/>
      <c r="AK13" s="69"/>
      <c r="AL13" s="6"/>
      <c r="AO13" s="40"/>
      <c r="AP13" s="40"/>
      <c r="AQ13" s="40"/>
      <c r="AR13" s="40"/>
      <c r="AS13" s="69"/>
      <c r="AW13" s="40"/>
      <c r="AX13" s="40"/>
      <c r="AY13" s="40"/>
      <c r="AZ13" s="40"/>
      <c r="BA13" s="69"/>
      <c r="BE13" s="40"/>
      <c r="BF13" s="40"/>
      <c r="BG13" s="40"/>
      <c r="BH13" s="40"/>
      <c r="BI13" s="69"/>
    </row>
    <row r="14" spans="1:64" x14ac:dyDescent="0.25">
      <c r="A14" s="1">
        <v>12</v>
      </c>
      <c r="B14" s="19" t="b">
        <f>TRUE</f>
        <v>1</v>
      </c>
      <c r="C14" s="71" t="b">
        <f>FALSE</f>
        <v>0</v>
      </c>
      <c r="D14" s="1" t="s">
        <v>11</v>
      </c>
      <c r="E14" s="6">
        <v>1</v>
      </c>
      <c r="F14" s="72">
        <v>1</v>
      </c>
      <c r="G14" s="67" t="b">
        <f>FALSE</f>
        <v>0</v>
      </c>
      <c r="H14" s="47" t="s">
        <v>68</v>
      </c>
      <c r="I14" s="72">
        <v>0</v>
      </c>
      <c r="J14" s="67">
        <v>95</v>
      </c>
      <c r="K14" s="67" t="s">
        <v>124</v>
      </c>
      <c r="L14" s="67"/>
      <c r="M14" s="67"/>
      <c r="N14" s="67"/>
      <c r="O14" s="67"/>
      <c r="P14" s="67"/>
      <c r="Q14" s="40" t="s">
        <v>43</v>
      </c>
      <c r="R14" s="40">
        <v>0</v>
      </c>
      <c r="S14" s="40">
        <v>0.7</v>
      </c>
      <c r="T14" s="40">
        <v>0</v>
      </c>
      <c r="U14" s="69"/>
      <c r="V14" s="6"/>
      <c r="W14" s="6"/>
      <c r="X14" s="6"/>
      <c r="Y14" s="40"/>
      <c r="Z14" s="40"/>
      <c r="AA14" s="40"/>
      <c r="AB14" s="40"/>
      <c r="AC14" s="69"/>
      <c r="AD14" s="6"/>
      <c r="AE14" s="6"/>
      <c r="AF14" s="6"/>
      <c r="AG14" s="40"/>
      <c r="AH14" s="40"/>
      <c r="AI14" s="40"/>
      <c r="AJ14" s="40"/>
      <c r="AK14" s="69"/>
      <c r="AL14" s="6"/>
      <c r="AO14" s="40"/>
      <c r="AP14" s="40"/>
      <c r="AQ14" s="40"/>
      <c r="AR14" s="40"/>
      <c r="AS14" s="69"/>
      <c r="AW14" s="40"/>
      <c r="AX14" s="40"/>
      <c r="AY14" s="40"/>
      <c r="AZ14" s="40"/>
      <c r="BA14" s="69"/>
      <c r="BE14" s="40"/>
      <c r="BF14" s="40"/>
      <c r="BG14" s="40"/>
      <c r="BH14" s="40"/>
      <c r="BI14" s="69"/>
    </row>
    <row r="15" spans="1:64" x14ac:dyDescent="0.25">
      <c r="A15" s="1">
        <v>13</v>
      </c>
      <c r="B15" s="19" t="b">
        <f>TRUE</f>
        <v>1</v>
      </c>
      <c r="C15" s="71" t="b">
        <f>FALSE</f>
        <v>0</v>
      </c>
      <c r="D15" s="1" t="s">
        <v>4</v>
      </c>
      <c r="E15" s="6">
        <v>1</v>
      </c>
      <c r="F15" s="72">
        <v>0.7</v>
      </c>
      <c r="G15" s="67" t="b">
        <f>FALSE</f>
        <v>0</v>
      </c>
      <c r="H15" s="47" t="s">
        <v>68</v>
      </c>
      <c r="I15" s="72">
        <v>0</v>
      </c>
      <c r="J15" s="67">
        <v>65</v>
      </c>
      <c r="K15" s="67" t="s">
        <v>124</v>
      </c>
      <c r="L15" s="67"/>
      <c r="M15" s="67"/>
      <c r="N15" s="67"/>
      <c r="O15" s="67"/>
      <c r="P15" s="67"/>
      <c r="Q15" s="40" t="s">
        <v>43</v>
      </c>
      <c r="R15" s="40">
        <v>0</v>
      </c>
      <c r="S15" s="40">
        <v>0.5</v>
      </c>
      <c r="T15" s="40">
        <v>0</v>
      </c>
      <c r="U15" s="69"/>
      <c r="V15" s="6"/>
      <c r="W15" s="6"/>
      <c r="X15" s="6"/>
      <c r="Y15" s="40"/>
      <c r="Z15" s="40"/>
      <c r="AA15" s="40"/>
      <c r="AB15" s="40"/>
      <c r="AC15" s="69"/>
      <c r="AD15" s="6"/>
      <c r="AE15" s="6"/>
      <c r="AF15" s="6"/>
      <c r="AG15" s="40"/>
      <c r="AH15" s="40"/>
      <c r="AI15" s="40"/>
      <c r="AJ15" s="40"/>
      <c r="AK15" s="69"/>
      <c r="AL15" s="6"/>
      <c r="AO15" s="40"/>
      <c r="AP15" s="40"/>
      <c r="AQ15" s="40"/>
      <c r="AR15" s="40"/>
      <c r="AS15" s="69"/>
      <c r="AW15" s="40"/>
      <c r="AX15" s="40"/>
      <c r="AY15" s="40"/>
      <c r="AZ15" s="40"/>
      <c r="BA15" s="69"/>
      <c r="BE15" s="40"/>
      <c r="BF15" s="40"/>
      <c r="BG15" s="40"/>
      <c r="BH15" s="40"/>
      <c r="BI15" s="69"/>
    </row>
    <row r="16" spans="1:64" x14ac:dyDescent="0.25">
      <c r="A16" s="1">
        <v>14</v>
      </c>
      <c r="B16" s="19" t="b">
        <f>TRUE</f>
        <v>1</v>
      </c>
      <c r="C16" s="71" t="b">
        <f>FALSE</f>
        <v>0</v>
      </c>
      <c r="D16" s="1" t="s">
        <v>12</v>
      </c>
      <c r="E16" s="6">
        <v>1</v>
      </c>
      <c r="F16" s="72">
        <v>0.5</v>
      </c>
      <c r="G16" s="67" t="b">
        <f>FALSE</f>
        <v>0</v>
      </c>
      <c r="H16" s="47" t="s">
        <v>68</v>
      </c>
      <c r="I16" s="72">
        <v>0</v>
      </c>
      <c r="J16" s="67">
        <v>155</v>
      </c>
      <c r="K16" s="67" t="s">
        <v>124</v>
      </c>
      <c r="L16" s="67"/>
      <c r="M16" s="67"/>
      <c r="N16" s="67"/>
      <c r="O16" s="67"/>
      <c r="P16" s="67"/>
      <c r="Q16" s="40" t="s">
        <v>43</v>
      </c>
      <c r="R16" s="40">
        <v>0</v>
      </c>
      <c r="S16" s="40">
        <v>0</v>
      </c>
      <c r="T16" s="40">
        <v>0</v>
      </c>
      <c r="U16" s="69"/>
      <c r="V16" s="6"/>
      <c r="W16" s="6"/>
      <c r="X16" s="6"/>
      <c r="Y16" s="40"/>
      <c r="Z16" s="40"/>
      <c r="AA16" s="40"/>
      <c r="AB16" s="40"/>
      <c r="AC16" s="69"/>
      <c r="AD16" s="6"/>
      <c r="AE16" s="6"/>
      <c r="AF16" s="6"/>
      <c r="AG16" s="40"/>
      <c r="AH16" s="40"/>
      <c r="AI16" s="40"/>
      <c r="AJ16" s="40"/>
      <c r="AK16" s="69"/>
      <c r="AL16" s="6"/>
      <c r="AO16" s="40"/>
      <c r="AP16" s="40"/>
      <c r="AQ16" s="40"/>
      <c r="AR16" s="40"/>
      <c r="AS16" s="69"/>
      <c r="AW16" s="40"/>
      <c r="AX16" s="40"/>
      <c r="AY16" s="40"/>
      <c r="AZ16" s="40"/>
      <c r="BA16" s="69"/>
      <c r="BE16" s="40"/>
      <c r="BF16" s="40"/>
      <c r="BG16" s="40"/>
      <c r="BH16" s="40"/>
      <c r="BI16" s="69"/>
    </row>
    <row r="17" spans="1:64" x14ac:dyDescent="0.25">
      <c r="A17" s="1">
        <v>15</v>
      </c>
      <c r="B17" s="19" t="b">
        <f>TRUE</f>
        <v>1</v>
      </c>
      <c r="C17" s="19" t="b">
        <f>TRUE</f>
        <v>1</v>
      </c>
      <c r="D17" s="1" t="s">
        <v>98</v>
      </c>
      <c r="E17" s="6">
        <v>1</v>
      </c>
      <c r="F17" s="72">
        <v>0.7</v>
      </c>
      <c r="G17" s="47" t="b">
        <f>TRUE</f>
        <v>1</v>
      </c>
      <c r="H17" s="47" t="s">
        <v>68</v>
      </c>
      <c r="I17" s="72">
        <v>0</v>
      </c>
      <c r="J17" s="67">
        <v>48</v>
      </c>
      <c r="K17" s="67" t="s">
        <v>124</v>
      </c>
      <c r="L17" s="67"/>
      <c r="M17" s="67"/>
      <c r="N17" s="67"/>
      <c r="O17" s="67"/>
      <c r="P17" s="67"/>
      <c r="Q17" s="40" t="s">
        <v>45</v>
      </c>
      <c r="R17" s="40">
        <v>0</v>
      </c>
      <c r="S17" s="40">
        <f>MIN(50 + 50 * sel_fsm_prov/100 * sel_fsm_droop/100 + sel_fsm_db, sel_lfsmo_start - 0.001)</f>
        <v>50.199000000000005</v>
      </c>
      <c r="T17" s="40"/>
      <c r="U17" s="69"/>
      <c r="V17" s="6">
        <v>8</v>
      </c>
      <c r="W17" s="6">
        <v>50</v>
      </c>
      <c r="X17" s="6"/>
      <c r="Y17" s="40"/>
      <c r="Z17" s="40">
        <v>16</v>
      </c>
      <c r="AA17" s="40">
        <f>MAX(50 - 50 * sel_fsm_prov/100 * sel_fsm_droop/100 - sel_fsm_db, sel_lfsmu_start + 0.001)</f>
        <v>49.800999999999995</v>
      </c>
      <c r="AB17" s="40"/>
      <c r="AC17" s="69"/>
      <c r="AD17" s="67">
        <v>24</v>
      </c>
      <c r="AE17" s="6">
        <v>50</v>
      </c>
      <c r="AF17" s="6"/>
      <c r="AG17" s="40"/>
      <c r="AH17" s="40">
        <v>32</v>
      </c>
      <c r="AI17" s="40">
        <f>MIN(50 + 50 * sel_fsm_prov/100 * sel_fsm_droop/100 * 1/2 + sel_fsm_db, sel_lfsmo_start - 0.001)</f>
        <v>50.15</v>
      </c>
      <c r="AJ17" s="40"/>
      <c r="AK17" s="69"/>
      <c r="AL17" s="6">
        <v>40</v>
      </c>
      <c r="AM17" s="6">
        <f>MAX(50 - 50 * sel_fsm_prov/100 * sel_fsm_droop/100 * 1/2 - sel_fsm_db, sel_lfsmu_start + 0.001)</f>
        <v>49.85</v>
      </c>
      <c r="AO17" s="40"/>
      <c r="AP17" s="40"/>
      <c r="AQ17" s="40"/>
      <c r="AR17" s="40"/>
      <c r="AS17" s="69"/>
      <c r="AW17" s="40"/>
      <c r="AX17" s="40"/>
      <c r="AY17" s="40"/>
      <c r="AZ17" s="40"/>
      <c r="BA17" s="69"/>
      <c r="BE17" s="40"/>
      <c r="BF17" s="40"/>
      <c r="BG17" s="40"/>
      <c r="BH17" s="40"/>
      <c r="BI17" s="69"/>
    </row>
    <row r="18" spans="1:64" x14ac:dyDescent="0.25">
      <c r="A18" s="1">
        <v>16</v>
      </c>
      <c r="B18" s="19" t="b">
        <f>TRUE</f>
        <v>1</v>
      </c>
      <c r="C18" s="19" t="b">
        <f>TRUE</f>
        <v>1</v>
      </c>
      <c r="D18" s="1" t="s">
        <v>109</v>
      </c>
      <c r="E18" s="6">
        <v>1</v>
      </c>
      <c r="F18" s="72">
        <v>0.5</v>
      </c>
      <c r="G18" s="47" t="b">
        <f>TRUE</f>
        <v>1</v>
      </c>
      <c r="H18" s="47" t="s">
        <v>68</v>
      </c>
      <c r="I18" s="72">
        <v>0</v>
      </c>
      <c r="J18" s="67">
        <v>40</v>
      </c>
      <c r="K18" s="67" t="s">
        <v>124</v>
      </c>
      <c r="L18" s="67"/>
      <c r="M18" s="67"/>
      <c r="N18" s="67"/>
      <c r="O18" s="67"/>
      <c r="P18" s="67"/>
      <c r="Q18" s="40" t="s">
        <v>45</v>
      </c>
      <c r="R18" s="40">
        <v>0</v>
      </c>
      <c r="T18" s="40">
        <f xml:space="preserve"> ($F$18 * 50 * sel_lfsmo_droop/100 + sel_lfsmo_start - 50)/20</f>
        <v>7.2500000000000148E-2</v>
      </c>
      <c r="U18" s="69"/>
      <c r="V18" s="6">
        <v>30</v>
      </c>
      <c r="W18" s="6">
        <v>50</v>
      </c>
      <c r="X18" s="6"/>
      <c r="Y18" s="40"/>
      <c r="Z18" s="40"/>
      <c r="AA18" s="40"/>
      <c r="AB18" s="40"/>
      <c r="AC18" s="69"/>
      <c r="AD18" s="67"/>
      <c r="AE18" s="6"/>
      <c r="AF18" s="6"/>
      <c r="AG18" s="40"/>
      <c r="AH18" s="40"/>
      <c r="AI18" s="40"/>
      <c r="AJ18" s="40"/>
      <c r="AK18" s="69"/>
      <c r="AL18" s="6"/>
      <c r="AO18" s="40"/>
      <c r="AP18" s="40"/>
      <c r="AQ18" s="40"/>
      <c r="AR18" s="40"/>
      <c r="AS18" s="69"/>
      <c r="AW18" s="40"/>
      <c r="AX18" s="40"/>
      <c r="AY18" s="40"/>
      <c r="AZ18" s="40"/>
      <c r="BA18" s="69"/>
      <c r="BE18" s="40"/>
      <c r="BF18" s="40"/>
      <c r="BG18" s="40"/>
      <c r="BH18" s="40"/>
      <c r="BI18" s="69"/>
    </row>
    <row r="19" spans="1:64" x14ac:dyDescent="0.25">
      <c r="A19" s="1">
        <v>17</v>
      </c>
      <c r="B19" s="19" t="b">
        <f>TRUE</f>
        <v>1</v>
      </c>
      <c r="C19" s="19" t="b">
        <f>TRUE</f>
        <v>1</v>
      </c>
      <c r="D19" s="1" t="s">
        <v>110</v>
      </c>
      <c r="E19" s="6">
        <v>1</v>
      </c>
      <c r="F19" s="72">
        <v>0.5</v>
      </c>
      <c r="G19" s="47" t="b">
        <f>TRUE</f>
        <v>1</v>
      </c>
      <c r="H19" s="47" t="s">
        <v>68</v>
      </c>
      <c r="I19" s="72">
        <v>0</v>
      </c>
      <c r="J19" s="67">
        <v>40</v>
      </c>
      <c r="K19" s="67" t="s">
        <v>124</v>
      </c>
      <c r="L19" s="67"/>
      <c r="M19" s="67"/>
      <c r="N19" s="67"/>
      <c r="O19" s="67"/>
      <c r="P19" s="67"/>
      <c r="Q19" s="40" t="s">
        <v>45</v>
      </c>
      <c r="R19" s="40">
        <v>0</v>
      </c>
      <c r="T19" s="40">
        <f xml:space="preserve"> (-(1-$F$19) * 50 * sel_lfsmu_droop/100 + sel_lfsmu_start - 50)/20</f>
        <v>-7.2500000000000148E-2</v>
      </c>
      <c r="U19" s="69"/>
      <c r="V19" s="6">
        <v>30</v>
      </c>
      <c r="W19" s="6">
        <v>50</v>
      </c>
      <c r="X19" s="6"/>
      <c r="Y19" s="40"/>
      <c r="Z19" s="40"/>
      <c r="AA19" s="40"/>
      <c r="AB19" s="40"/>
      <c r="AC19" s="69"/>
      <c r="AD19" s="67"/>
      <c r="AE19" s="6"/>
      <c r="AF19" s="6"/>
      <c r="AG19" s="40"/>
      <c r="AH19" s="40"/>
      <c r="AI19" s="40"/>
      <c r="AJ19" s="40"/>
      <c r="AK19" s="69"/>
      <c r="AL19" s="6"/>
      <c r="AO19" s="40"/>
      <c r="AP19" s="40"/>
      <c r="AQ19" s="40"/>
      <c r="AR19" s="40"/>
      <c r="AS19" s="69"/>
      <c r="AW19" s="40"/>
      <c r="AX19" s="40"/>
      <c r="AY19" s="40"/>
      <c r="AZ19" s="40"/>
      <c r="BA19" s="69"/>
      <c r="BE19" s="40"/>
      <c r="BF19" s="40"/>
      <c r="BG19" s="40"/>
      <c r="BH19" s="40"/>
      <c r="BI19" s="69"/>
    </row>
    <row r="20" spans="1:64" s="13" customFormat="1" x14ac:dyDescent="0.25">
      <c r="A20" s="1">
        <v>18</v>
      </c>
      <c r="B20" s="19" t="b">
        <f>TRUE</f>
        <v>1</v>
      </c>
      <c r="C20" s="19" t="b">
        <f>TRUE</f>
        <v>1</v>
      </c>
      <c r="D20" s="1" t="s">
        <v>96</v>
      </c>
      <c r="E20" s="6">
        <v>1</v>
      </c>
      <c r="F20" s="72">
        <v>0.7</v>
      </c>
      <c r="G20" s="47" t="b">
        <f>TRUE</f>
        <v>1</v>
      </c>
      <c r="H20" s="47" t="s">
        <v>68</v>
      </c>
      <c r="I20" s="72">
        <v>0</v>
      </c>
      <c r="J20" s="67"/>
      <c r="K20" s="67" t="s">
        <v>124</v>
      </c>
      <c r="L20" s="67"/>
      <c r="M20" s="67"/>
      <c r="N20" s="67"/>
      <c r="O20" s="67"/>
      <c r="P20" s="67" t="s">
        <v>97</v>
      </c>
      <c r="Q20" s="40" t="s">
        <v>43</v>
      </c>
      <c r="R20" s="40">
        <v>1</v>
      </c>
      <c r="S20" s="40">
        <v>0</v>
      </c>
      <c r="T20" s="40">
        <v>0</v>
      </c>
      <c r="U20" s="69"/>
      <c r="V20" s="6"/>
      <c r="W20" s="6"/>
      <c r="X20" s="6"/>
      <c r="Y20" s="40"/>
      <c r="Z20" s="40"/>
      <c r="AA20" s="40"/>
      <c r="AB20" s="40"/>
      <c r="AC20" s="69"/>
      <c r="AD20" s="67"/>
      <c r="AE20" s="6"/>
      <c r="AF20" s="6"/>
      <c r="AG20" s="40"/>
      <c r="AH20" s="40"/>
      <c r="AI20" s="40"/>
      <c r="AJ20" s="40"/>
      <c r="AK20" s="69"/>
      <c r="AL20" s="6"/>
      <c r="AM20" s="1"/>
      <c r="AN20" s="1"/>
      <c r="AO20" s="40"/>
      <c r="AP20" s="40"/>
      <c r="AQ20" s="40"/>
      <c r="AR20" s="40"/>
      <c r="AS20" s="69"/>
      <c r="AT20" s="1"/>
      <c r="AU20" s="1"/>
      <c r="AV20" s="1"/>
      <c r="AW20" s="40"/>
      <c r="AX20" s="40"/>
      <c r="AY20" s="40"/>
      <c r="AZ20" s="40"/>
      <c r="BA20" s="69"/>
      <c r="BB20" s="1"/>
      <c r="BC20" s="1"/>
      <c r="BD20" s="1"/>
      <c r="BE20" s="40"/>
      <c r="BF20" s="40"/>
      <c r="BG20" s="40"/>
      <c r="BH20" s="40"/>
      <c r="BI20" s="69"/>
      <c r="BJ20" s="1"/>
      <c r="BK20" s="1"/>
      <c r="BL20" s="1"/>
    </row>
    <row r="21" spans="1:64" x14ac:dyDescent="0.25">
      <c r="A21" s="1">
        <v>19</v>
      </c>
      <c r="B21" s="19" t="b">
        <f>TRUE</f>
        <v>1</v>
      </c>
      <c r="C21" s="19" t="b">
        <f>TRUE</f>
        <v>1</v>
      </c>
      <c r="D21" s="1" t="s">
        <v>13</v>
      </c>
      <c r="E21" s="6">
        <v>1</v>
      </c>
      <c r="F21" s="72">
        <v>0.5</v>
      </c>
      <c r="G21" s="67" t="b">
        <f>FALSE</f>
        <v>0</v>
      </c>
      <c r="H21" s="47" t="s">
        <v>68</v>
      </c>
      <c r="I21" s="72">
        <v>0</v>
      </c>
      <c r="J21" s="67">
        <v>60</v>
      </c>
      <c r="K21" s="67" t="s">
        <v>124</v>
      </c>
      <c r="L21" s="67"/>
      <c r="M21" s="67"/>
      <c r="N21" s="67"/>
      <c r="O21" s="67"/>
      <c r="P21" s="67"/>
      <c r="Q21" s="40" t="s">
        <v>45</v>
      </c>
      <c r="R21" s="40">
        <v>0</v>
      </c>
      <c r="S21" s="40">
        <f>0.1 * 50 * sel_lfsmo_droop/100 + sel_lfsmo_start</f>
        <v>50.45</v>
      </c>
      <c r="T21" s="40"/>
      <c r="U21" s="69"/>
      <c r="V21" s="6">
        <v>8</v>
      </c>
      <c r="W21" s="6">
        <v>50</v>
      </c>
      <c r="X21" s="6"/>
      <c r="Y21" s="40"/>
      <c r="Z21" s="40">
        <v>16</v>
      </c>
      <c r="AA21" s="40">
        <f>-0.1 * 50 * sel_lfsmu_droop/100 + sel_lfsmu_start</f>
        <v>49.55</v>
      </c>
      <c r="AB21" s="40"/>
      <c r="AC21" s="69"/>
      <c r="AD21" s="67">
        <v>24</v>
      </c>
      <c r="AE21" s="6">
        <v>50</v>
      </c>
      <c r="AF21" s="6"/>
      <c r="AG21" s="40"/>
      <c r="AH21" s="40">
        <v>32</v>
      </c>
      <c r="AI21" s="40">
        <f>$F$21 * 50 * sel_lfsmu_droop/100 + sel_lfsmu_start</f>
        <v>51.05</v>
      </c>
      <c r="AJ21" s="40"/>
      <c r="AK21" s="69"/>
      <c r="AL21" s="6">
        <v>46</v>
      </c>
      <c r="AM21" s="6">
        <f>(1-$F$21) * 50 * sel_lfsmo_droop/100 + sel_lfsmo_start</f>
        <v>51.45</v>
      </c>
      <c r="AO21" s="40"/>
      <c r="AP21" s="40"/>
      <c r="AQ21" s="40"/>
      <c r="AR21" s="40"/>
      <c r="AS21" s="69"/>
      <c r="AW21" s="40"/>
      <c r="AX21" s="40"/>
      <c r="AY21" s="40"/>
      <c r="AZ21" s="40"/>
      <c r="BA21" s="69"/>
      <c r="BE21" s="40"/>
      <c r="BF21" s="40"/>
      <c r="BG21" s="40"/>
      <c r="BH21" s="40"/>
      <c r="BI21" s="69"/>
    </row>
    <row r="22" spans="1:64" x14ac:dyDescent="0.25">
      <c r="A22" s="1">
        <v>20</v>
      </c>
      <c r="B22" s="19" t="b">
        <f>TRUE</f>
        <v>1</v>
      </c>
      <c r="C22" s="19" t="b">
        <f>TRUE</f>
        <v>1</v>
      </c>
      <c r="D22" s="1" t="s">
        <v>111</v>
      </c>
      <c r="E22" s="6">
        <v>1</v>
      </c>
      <c r="F22" s="72">
        <v>0.5</v>
      </c>
      <c r="G22" s="47" t="b">
        <v>0</v>
      </c>
      <c r="H22" s="47" t="s">
        <v>68</v>
      </c>
      <c r="I22" s="72">
        <v>0</v>
      </c>
      <c r="J22" s="67">
        <v>40</v>
      </c>
      <c r="K22" s="67" t="s">
        <v>124</v>
      </c>
      <c r="L22" s="67"/>
      <c r="M22" s="67"/>
      <c r="N22" s="67"/>
      <c r="O22" s="67"/>
      <c r="P22" s="67"/>
      <c r="Q22" s="40" t="s">
        <v>45</v>
      </c>
      <c r="R22" s="40">
        <v>0</v>
      </c>
      <c r="T22" s="40">
        <f xml:space="preserve"> (sel_30min_fmax-50)/20</f>
        <v>7.4999999999999997E-2</v>
      </c>
      <c r="U22" s="69"/>
      <c r="V22" s="6">
        <v>20</v>
      </c>
      <c r="W22" s="6"/>
      <c r="X22" s="6">
        <v>0</v>
      </c>
      <c r="Y22" s="40" t="s">
        <v>43</v>
      </c>
      <c r="Z22" s="40">
        <v>2</v>
      </c>
      <c r="AA22" s="40">
        <v>1</v>
      </c>
      <c r="AB22" s="40"/>
      <c r="AC22" s="69"/>
      <c r="AD22" s="67"/>
      <c r="AE22" s="6"/>
      <c r="AF22" s="6"/>
      <c r="AG22" s="40"/>
      <c r="AH22" s="40"/>
      <c r="AI22" s="40"/>
      <c r="AJ22" s="40"/>
      <c r="AK22" s="69"/>
      <c r="AL22" s="6"/>
      <c r="AO22" s="40"/>
      <c r="AP22" s="40"/>
      <c r="AQ22" s="40"/>
      <c r="AR22" s="40"/>
      <c r="AS22" s="69"/>
      <c r="AW22" s="40"/>
      <c r="AX22" s="40"/>
      <c r="AY22" s="40"/>
      <c r="AZ22" s="40"/>
      <c r="BA22" s="69"/>
      <c r="BE22" s="40"/>
      <c r="BF22" s="40"/>
      <c r="BG22" s="40"/>
      <c r="BH22" s="40"/>
      <c r="BI22" s="69"/>
    </row>
    <row r="23" spans="1:64" x14ac:dyDescent="0.25">
      <c r="A23" s="1">
        <v>21</v>
      </c>
      <c r="B23" s="19" t="b">
        <f>TRUE</f>
        <v>1</v>
      </c>
      <c r="C23" s="19" t="b">
        <f>TRUE</f>
        <v>1</v>
      </c>
      <c r="D23" s="1" t="s">
        <v>112</v>
      </c>
      <c r="E23" s="6">
        <v>1</v>
      </c>
      <c r="F23" s="72">
        <v>0.5</v>
      </c>
      <c r="G23" s="47" t="b">
        <v>0</v>
      </c>
      <c r="H23" s="47" t="s">
        <v>68</v>
      </c>
      <c r="I23" s="72">
        <v>0</v>
      </c>
      <c r="J23" s="67">
        <v>40</v>
      </c>
      <c r="K23" s="67" t="s">
        <v>124</v>
      </c>
      <c r="L23" s="67"/>
      <c r="M23" s="67"/>
      <c r="N23" s="67"/>
      <c r="O23" s="67"/>
      <c r="P23" s="67"/>
      <c r="Q23" s="40" t="s">
        <v>45</v>
      </c>
      <c r="R23" s="40">
        <v>0</v>
      </c>
      <c r="T23" s="40">
        <f xml:space="preserve"> (sel_30min_fmin-50)/20</f>
        <v>-0.125</v>
      </c>
      <c r="U23" s="69"/>
      <c r="V23" s="6">
        <v>20</v>
      </c>
      <c r="W23" s="6"/>
      <c r="X23" s="6">
        <v>0</v>
      </c>
      <c r="Y23" s="40"/>
      <c r="Z23" s="40"/>
      <c r="AA23" s="40"/>
      <c r="AB23" s="40"/>
      <c r="AC23" s="69"/>
      <c r="AD23" s="67"/>
      <c r="AE23" s="6"/>
      <c r="AF23" s="6"/>
      <c r="AG23" s="40"/>
      <c r="AH23" s="40"/>
      <c r="AI23" s="40"/>
      <c r="AJ23" s="40"/>
      <c r="AK23" s="69"/>
      <c r="AL23" s="6"/>
      <c r="AO23" s="40"/>
      <c r="AP23" s="40"/>
      <c r="AQ23" s="40"/>
      <c r="AR23" s="40"/>
      <c r="AS23" s="69"/>
      <c r="AW23" s="40"/>
      <c r="AX23" s="40"/>
      <c r="AY23" s="40"/>
      <c r="AZ23" s="40"/>
      <c r="BA23" s="69"/>
      <c r="BE23" s="40"/>
      <c r="BF23" s="40"/>
      <c r="BG23" s="40"/>
      <c r="BH23" s="40"/>
      <c r="BI23" s="69"/>
    </row>
    <row r="24" spans="1:64" x14ac:dyDescent="0.25">
      <c r="A24" s="1">
        <v>22</v>
      </c>
      <c r="B24" s="19" t="b">
        <f>TRUE</f>
        <v>1</v>
      </c>
      <c r="C24" s="19" t="b">
        <f>TRUE</f>
        <v>1</v>
      </c>
      <c r="D24" s="1" t="s">
        <v>15</v>
      </c>
      <c r="E24" s="6">
        <v>1</v>
      </c>
      <c r="F24" s="72">
        <v>1</v>
      </c>
      <c r="G24" s="67" t="b">
        <f>FALSE</f>
        <v>0</v>
      </c>
      <c r="H24" s="47" t="s">
        <v>64</v>
      </c>
      <c r="I24" s="72">
        <v>0</v>
      </c>
      <c r="J24" s="67">
        <v>50</v>
      </c>
      <c r="K24" s="67" t="s">
        <v>126</v>
      </c>
      <c r="L24" s="67"/>
      <c r="M24" s="67"/>
      <c r="N24" s="67"/>
      <c r="O24" s="67"/>
      <c r="P24" s="67"/>
      <c r="Q24" s="40" t="s">
        <v>41</v>
      </c>
      <c r="R24" s="40">
        <v>0</v>
      </c>
      <c r="S24" s="40">
        <f>sel_uq_q0_umax</f>
        <v>1.05</v>
      </c>
      <c r="T24" s="40"/>
      <c r="U24" s="69"/>
      <c r="V24" s="27">
        <v>40</v>
      </c>
      <c r="W24" s="27">
        <v>1</v>
      </c>
      <c r="X24" s="27"/>
      <c r="Y24" s="40"/>
      <c r="Z24" s="40"/>
      <c r="AA24" s="40"/>
      <c r="AB24" s="40"/>
      <c r="AC24" s="69"/>
      <c r="AD24" s="67"/>
      <c r="AE24" s="6"/>
      <c r="AF24" s="6"/>
      <c r="AG24" s="40"/>
      <c r="AH24" s="40"/>
      <c r="AI24" s="40"/>
      <c r="AJ24" s="40"/>
      <c r="AK24" s="69"/>
      <c r="AL24" s="6"/>
      <c r="AO24" s="40"/>
      <c r="AP24" s="40"/>
      <c r="AQ24" s="40"/>
      <c r="AR24" s="40"/>
      <c r="AS24" s="69"/>
      <c r="AW24" s="40"/>
      <c r="AX24" s="40"/>
      <c r="AY24" s="40"/>
      <c r="AZ24" s="40"/>
      <c r="BA24" s="69"/>
      <c r="BE24" s="40"/>
      <c r="BF24" s="40"/>
      <c r="BG24" s="40"/>
      <c r="BH24" s="40"/>
      <c r="BI24" s="69"/>
    </row>
    <row r="25" spans="1:64" x14ac:dyDescent="0.25">
      <c r="A25" s="1">
        <v>23</v>
      </c>
      <c r="B25" s="19" t="b">
        <f>TRUE</f>
        <v>1</v>
      </c>
      <c r="C25" s="19" t="b">
        <f>TRUE</f>
        <v>1</v>
      </c>
      <c r="D25" s="1" t="s">
        <v>16</v>
      </c>
      <c r="E25" s="6">
        <v>1</v>
      </c>
      <c r="F25" s="72">
        <v>1</v>
      </c>
      <c r="G25" s="67" t="b">
        <f>FALSE</f>
        <v>0</v>
      </c>
      <c r="H25" s="47" t="s">
        <v>64</v>
      </c>
      <c r="I25" s="72">
        <v>0</v>
      </c>
      <c r="J25" s="67">
        <v>50</v>
      </c>
      <c r="K25" s="67" t="s">
        <v>126</v>
      </c>
      <c r="L25" s="67"/>
      <c r="M25" s="67"/>
      <c r="N25" s="67"/>
      <c r="O25" s="67"/>
      <c r="P25" s="67"/>
      <c r="Q25" s="40" t="s">
        <v>41</v>
      </c>
      <c r="R25" s="40">
        <v>0</v>
      </c>
      <c r="S25" s="40">
        <f>sel_uq_q0_umin</f>
        <v>0.9</v>
      </c>
      <c r="T25" s="40"/>
      <c r="U25" s="69"/>
      <c r="V25" s="27">
        <v>40</v>
      </c>
      <c r="W25" s="27">
        <v>1</v>
      </c>
      <c r="X25" s="27"/>
      <c r="Y25" s="40"/>
      <c r="Z25" s="40"/>
      <c r="AA25" s="40"/>
      <c r="AB25" s="40"/>
      <c r="AC25" s="69"/>
      <c r="AD25" s="67"/>
      <c r="AE25" s="6"/>
      <c r="AF25" s="6"/>
      <c r="AG25" s="40"/>
      <c r="AH25" s="40"/>
      <c r="AI25" s="40"/>
      <c r="AJ25" s="40"/>
      <c r="AK25" s="69"/>
      <c r="AL25" s="6"/>
      <c r="AO25" s="40"/>
      <c r="AP25" s="40"/>
      <c r="AQ25" s="40"/>
      <c r="AR25" s="40"/>
      <c r="AS25" s="69"/>
      <c r="AW25" s="40"/>
      <c r="AX25" s="40"/>
      <c r="AY25" s="40"/>
      <c r="AZ25" s="40"/>
      <c r="BA25" s="69"/>
      <c r="BE25" s="40"/>
      <c r="BF25" s="40"/>
      <c r="BG25" s="40"/>
      <c r="BH25" s="40"/>
      <c r="BI25" s="69"/>
    </row>
    <row r="26" spans="1:64" x14ac:dyDescent="0.25">
      <c r="A26" s="1">
        <v>24</v>
      </c>
      <c r="B26" s="19" t="b">
        <f>TRUE</f>
        <v>1</v>
      </c>
      <c r="C26" s="19" t="b">
        <f>TRUE</f>
        <v>1</v>
      </c>
      <c r="D26" s="1" t="s">
        <v>17</v>
      </c>
      <c r="E26" s="6">
        <v>1</v>
      </c>
      <c r="F26" s="72">
        <v>1</v>
      </c>
      <c r="G26" s="67" t="b">
        <f>FALSE</f>
        <v>0</v>
      </c>
      <c r="H26" s="47" t="s">
        <v>64</v>
      </c>
      <c r="I26" s="72">
        <v>-0.33</v>
      </c>
      <c r="J26" s="67">
        <v>50</v>
      </c>
      <c r="K26" s="67" t="s">
        <v>126</v>
      </c>
      <c r="L26" s="67"/>
      <c r="M26" s="67"/>
      <c r="N26" s="67"/>
      <c r="O26" s="67"/>
      <c r="P26" s="67"/>
      <c r="Q26" s="40" t="s">
        <v>41</v>
      </c>
      <c r="R26" s="40">
        <v>0</v>
      </c>
      <c r="S26" s="40">
        <f>sel_uq_q0.33ue_umax</f>
        <v>1.05</v>
      </c>
      <c r="T26" s="40"/>
      <c r="U26" s="69"/>
      <c r="V26" s="27">
        <v>40</v>
      </c>
      <c r="W26" s="27">
        <v>1</v>
      </c>
      <c r="X26" s="27"/>
      <c r="Y26" s="40"/>
      <c r="Z26" s="40"/>
      <c r="AA26" s="40"/>
      <c r="AB26" s="40"/>
      <c r="AC26" s="69"/>
      <c r="AD26" s="67"/>
      <c r="AE26" s="6"/>
      <c r="AF26" s="6"/>
      <c r="AG26" s="40"/>
      <c r="AH26" s="40"/>
      <c r="AI26" s="40"/>
      <c r="AJ26" s="40"/>
      <c r="AK26" s="69"/>
      <c r="AL26" s="6"/>
      <c r="AO26" s="40"/>
      <c r="AP26" s="40"/>
      <c r="AQ26" s="40"/>
      <c r="AR26" s="40"/>
      <c r="AS26" s="69"/>
      <c r="AW26" s="40"/>
      <c r="AX26" s="40"/>
      <c r="AY26" s="40"/>
      <c r="AZ26" s="40"/>
      <c r="BA26" s="69"/>
      <c r="BE26" s="40"/>
      <c r="BF26" s="40"/>
      <c r="BG26" s="40"/>
      <c r="BH26" s="40"/>
      <c r="BI26" s="69"/>
    </row>
    <row r="27" spans="1:64" x14ac:dyDescent="0.25">
      <c r="A27" s="1">
        <v>25</v>
      </c>
      <c r="B27" s="19" t="b">
        <f>TRUE</f>
        <v>1</v>
      </c>
      <c r="C27" s="19" t="b">
        <f>TRUE</f>
        <v>1</v>
      </c>
      <c r="D27" s="1" t="s">
        <v>18</v>
      </c>
      <c r="E27" s="6">
        <v>1</v>
      </c>
      <c r="F27" s="72">
        <v>1</v>
      </c>
      <c r="G27" s="67" t="b">
        <f>FALSE</f>
        <v>0</v>
      </c>
      <c r="H27" s="47" t="s">
        <v>64</v>
      </c>
      <c r="I27" s="72">
        <v>-0.33</v>
      </c>
      <c r="J27" s="67">
        <v>50</v>
      </c>
      <c r="K27" s="67" t="s">
        <v>126</v>
      </c>
      <c r="L27" s="67"/>
      <c r="M27" s="67"/>
      <c r="N27" s="67"/>
      <c r="O27" s="67"/>
      <c r="P27" s="67"/>
      <c r="Q27" s="40" t="s">
        <v>41</v>
      </c>
      <c r="R27" s="40">
        <v>0</v>
      </c>
      <c r="S27" s="40">
        <f>sel_uq_q0.33ue_umin</f>
        <v>0.96</v>
      </c>
      <c r="T27" s="40"/>
      <c r="U27" s="69"/>
      <c r="V27" s="27">
        <v>40</v>
      </c>
      <c r="W27" s="27">
        <v>1</v>
      </c>
      <c r="X27" s="27"/>
      <c r="Y27" s="40"/>
      <c r="Z27" s="40"/>
      <c r="AA27" s="40"/>
      <c r="AB27" s="40"/>
      <c r="AC27" s="69"/>
      <c r="AD27" s="67"/>
      <c r="AE27" s="6"/>
      <c r="AF27" s="6"/>
      <c r="AG27" s="40"/>
      <c r="AH27" s="40"/>
      <c r="AI27" s="40"/>
      <c r="AJ27" s="40"/>
      <c r="AK27" s="69"/>
      <c r="AL27" s="6"/>
      <c r="AO27" s="40"/>
      <c r="AP27" s="40"/>
      <c r="AQ27" s="40"/>
      <c r="AR27" s="40"/>
      <c r="AS27" s="69"/>
      <c r="AW27" s="40"/>
      <c r="AX27" s="40"/>
      <c r="AY27" s="40"/>
      <c r="AZ27" s="40"/>
      <c r="BA27" s="69"/>
      <c r="BE27" s="40"/>
      <c r="BF27" s="40"/>
      <c r="BG27" s="40"/>
      <c r="BH27" s="40"/>
      <c r="BI27" s="69"/>
    </row>
    <row r="28" spans="1:64" x14ac:dyDescent="0.25">
      <c r="A28" s="1">
        <v>26</v>
      </c>
      <c r="B28" s="19" t="b">
        <f>TRUE</f>
        <v>1</v>
      </c>
      <c r="C28" s="19" t="b">
        <f>TRUE</f>
        <v>1</v>
      </c>
      <c r="D28" s="1" t="s">
        <v>19</v>
      </c>
      <c r="E28" s="6">
        <v>1</v>
      </c>
      <c r="F28" s="72">
        <v>1</v>
      </c>
      <c r="G28" s="67" t="b">
        <f>FALSE</f>
        <v>0</v>
      </c>
      <c r="H28" s="47" t="s">
        <v>64</v>
      </c>
      <c r="I28" s="72">
        <v>0.33</v>
      </c>
      <c r="J28" s="67">
        <v>50</v>
      </c>
      <c r="K28" s="67" t="s">
        <v>126</v>
      </c>
      <c r="L28" s="67"/>
      <c r="M28" s="67"/>
      <c r="N28" s="67"/>
      <c r="O28" s="67"/>
      <c r="P28" s="67"/>
      <c r="Q28" s="40" t="s">
        <v>41</v>
      </c>
      <c r="R28" s="40">
        <v>0</v>
      </c>
      <c r="S28" s="40">
        <f>sel_uq_q0.33_umax</f>
        <v>1.04</v>
      </c>
      <c r="T28" s="40"/>
      <c r="U28" s="69"/>
      <c r="V28" s="27">
        <v>40</v>
      </c>
      <c r="W28" s="27">
        <v>1</v>
      </c>
      <c r="X28" s="27"/>
      <c r="Y28" s="40"/>
      <c r="Z28" s="40"/>
      <c r="AA28" s="40"/>
      <c r="AB28" s="40"/>
      <c r="AC28" s="69"/>
      <c r="AD28" s="67"/>
      <c r="AE28" s="6"/>
      <c r="AF28" s="6"/>
      <c r="AG28" s="40"/>
      <c r="AH28" s="40"/>
      <c r="AI28" s="40"/>
      <c r="AJ28" s="40"/>
      <c r="AK28" s="69"/>
      <c r="AL28" s="6"/>
      <c r="AO28" s="40"/>
      <c r="AP28" s="40"/>
      <c r="AQ28" s="40"/>
      <c r="AR28" s="40"/>
      <c r="AS28" s="69"/>
      <c r="AW28" s="40"/>
      <c r="AX28" s="40"/>
      <c r="AY28" s="40"/>
      <c r="AZ28" s="40"/>
      <c r="BA28" s="69"/>
      <c r="BE28" s="40"/>
      <c r="BF28" s="40"/>
      <c r="BG28" s="40"/>
      <c r="BH28" s="40"/>
      <c r="BI28" s="69"/>
    </row>
    <row r="29" spans="1:64" x14ac:dyDescent="0.25">
      <c r="A29" s="1">
        <v>27</v>
      </c>
      <c r="B29" s="19" t="b">
        <f>TRUE</f>
        <v>1</v>
      </c>
      <c r="C29" s="19" t="b">
        <f>TRUE</f>
        <v>1</v>
      </c>
      <c r="D29" s="1" t="s">
        <v>20</v>
      </c>
      <c r="E29" s="6">
        <v>1</v>
      </c>
      <c r="F29" s="72">
        <v>1</v>
      </c>
      <c r="G29" s="67" t="b">
        <f>FALSE</f>
        <v>0</v>
      </c>
      <c r="H29" s="47" t="s">
        <v>64</v>
      </c>
      <c r="I29" s="72">
        <v>0.33</v>
      </c>
      <c r="J29" s="67">
        <v>50</v>
      </c>
      <c r="K29" s="67" t="s">
        <v>126</v>
      </c>
      <c r="L29" s="67"/>
      <c r="M29" s="67"/>
      <c r="N29" s="67"/>
      <c r="O29" s="67"/>
      <c r="P29" s="67"/>
      <c r="Q29" s="40" t="s">
        <v>41</v>
      </c>
      <c r="R29" s="40">
        <v>0</v>
      </c>
      <c r="S29" s="40">
        <f>sel_uq_q0.33_umin</f>
        <v>0.9</v>
      </c>
      <c r="T29" s="40"/>
      <c r="U29" s="69"/>
      <c r="V29" s="27">
        <v>40</v>
      </c>
      <c r="W29" s="27">
        <v>1</v>
      </c>
      <c r="X29" s="27"/>
      <c r="Y29" s="40"/>
      <c r="Z29" s="40"/>
      <c r="AA29" s="40"/>
      <c r="AB29" s="40"/>
      <c r="AC29" s="69"/>
      <c r="AD29" s="67"/>
      <c r="AE29" s="6"/>
      <c r="AF29" s="6"/>
      <c r="AG29" s="40"/>
      <c r="AH29" s="40"/>
      <c r="AI29" s="40"/>
      <c r="AJ29" s="40"/>
      <c r="AK29" s="69"/>
      <c r="AL29" s="6"/>
      <c r="AO29" s="40"/>
      <c r="AP29" s="40"/>
      <c r="AQ29" s="40"/>
      <c r="AR29" s="40"/>
      <c r="AS29" s="69"/>
      <c r="AW29" s="40"/>
      <c r="AX29" s="40"/>
      <c r="AY29" s="40"/>
      <c r="AZ29" s="40"/>
      <c r="BA29" s="69"/>
      <c r="BE29" s="40"/>
      <c r="BF29" s="40"/>
      <c r="BG29" s="40"/>
      <c r="BH29" s="40"/>
      <c r="BI29" s="69"/>
    </row>
    <row r="30" spans="1:64" x14ac:dyDescent="0.25">
      <c r="A30" s="1">
        <v>28</v>
      </c>
      <c r="B30" s="71" t="b">
        <v>1</v>
      </c>
      <c r="C30" s="71" t="b">
        <v>1</v>
      </c>
      <c r="D30" s="1" t="s">
        <v>133</v>
      </c>
      <c r="E30" s="6">
        <v>1</v>
      </c>
      <c r="F30" s="72">
        <v>1</v>
      </c>
      <c r="G30" s="67" t="b">
        <f>FALSE</f>
        <v>0</v>
      </c>
      <c r="H30" s="47" t="s">
        <v>66</v>
      </c>
      <c r="I30" s="72">
        <v>1</v>
      </c>
      <c r="J30" s="67">
        <v>30</v>
      </c>
      <c r="K30" s="67" t="s">
        <v>126</v>
      </c>
      <c r="L30" s="67"/>
      <c r="M30" s="67"/>
      <c r="N30" s="67"/>
      <c r="O30" s="67"/>
      <c r="P30" s="67"/>
      <c r="Q30" s="40" t="s">
        <v>41</v>
      </c>
      <c r="R30" s="40">
        <v>0</v>
      </c>
      <c r="S30" s="40">
        <f>sel_uq_q0.33ue_umax</f>
        <v>1.05</v>
      </c>
      <c r="T30" s="40"/>
      <c r="U30" s="69"/>
      <c r="V30" s="6"/>
      <c r="W30" s="6"/>
      <c r="X30" s="27"/>
      <c r="Y30" s="40"/>
      <c r="Z30" s="40"/>
      <c r="AA30" s="40"/>
      <c r="AB30" s="40"/>
      <c r="AC30" s="69"/>
      <c r="AD30" s="67"/>
      <c r="AE30" s="6"/>
      <c r="AF30" s="6"/>
      <c r="AG30" s="40"/>
      <c r="AH30" s="40"/>
      <c r="AI30" s="40"/>
      <c r="AJ30" s="40"/>
      <c r="AK30" s="69"/>
      <c r="AL30" s="6"/>
      <c r="AO30" s="40"/>
      <c r="AP30" s="40"/>
      <c r="AQ30" s="40"/>
      <c r="AR30" s="40"/>
      <c r="AS30" s="69"/>
      <c r="AW30" s="40"/>
      <c r="AX30" s="40"/>
      <c r="AY30" s="40"/>
      <c r="AZ30" s="40"/>
      <c r="BA30" s="69"/>
      <c r="BE30" s="40"/>
      <c r="BF30" s="40"/>
      <c r="BG30" s="40"/>
      <c r="BH30" s="40"/>
      <c r="BI30" s="69"/>
    </row>
    <row r="31" spans="1:64" x14ac:dyDescent="0.25">
      <c r="A31" s="1">
        <v>29</v>
      </c>
      <c r="B31" s="71" t="b">
        <f>$S31&gt;$E31</f>
        <v>1</v>
      </c>
      <c r="C31" s="71" t="b">
        <f>$S31&gt;$E31</f>
        <v>1</v>
      </c>
      <c r="D31" s="1" t="s">
        <v>134</v>
      </c>
      <c r="E31" s="6">
        <f>S30</f>
        <v>1.05</v>
      </c>
      <c r="F31" s="72">
        <v>1</v>
      </c>
      <c r="G31" s="67" t="b">
        <f>FALSE</f>
        <v>0</v>
      </c>
      <c r="H31" s="47" t="s">
        <v>66</v>
      </c>
      <c r="I31" s="72">
        <v>1</v>
      </c>
      <c r="J31" s="67">
        <v>30</v>
      </c>
      <c r="K31" s="67" t="s">
        <v>126</v>
      </c>
      <c r="L31" s="67"/>
      <c r="M31" s="67"/>
      <c r="N31" s="67"/>
      <c r="O31" s="67"/>
      <c r="P31" s="67"/>
      <c r="Q31" s="40" t="s">
        <v>41</v>
      </c>
      <c r="R31" s="40">
        <v>0</v>
      </c>
      <c r="S31" s="40">
        <f>sel_contop_umax</f>
        <v>1.1000000000000001</v>
      </c>
      <c r="T31" s="40"/>
      <c r="U31" s="69"/>
      <c r="V31" s="6"/>
      <c r="W31" s="6"/>
      <c r="X31" s="27"/>
      <c r="Y31" s="40"/>
      <c r="Z31" s="40"/>
      <c r="AA31" s="40"/>
      <c r="AB31" s="40"/>
      <c r="AC31" s="69"/>
      <c r="AD31" s="67"/>
      <c r="AE31" s="6"/>
      <c r="AF31" s="6"/>
      <c r="AG31" s="40"/>
      <c r="AH31" s="40"/>
      <c r="AI31" s="40"/>
      <c r="AJ31" s="40"/>
      <c r="AK31" s="69"/>
      <c r="AL31" s="6"/>
      <c r="AO31" s="40"/>
      <c r="AP31" s="40"/>
      <c r="AQ31" s="40"/>
      <c r="AR31" s="40"/>
      <c r="AS31" s="69"/>
      <c r="AW31" s="40"/>
      <c r="AX31" s="40"/>
      <c r="AY31" s="40"/>
      <c r="AZ31" s="40"/>
      <c r="BA31" s="69"/>
      <c r="BE31" s="40"/>
      <c r="BF31" s="40"/>
      <c r="BG31" s="40"/>
      <c r="BH31" s="40"/>
      <c r="BI31" s="69"/>
    </row>
    <row r="32" spans="1:64" x14ac:dyDescent="0.25">
      <c r="A32" s="1">
        <v>30</v>
      </c>
      <c r="B32" s="71" t="b">
        <f>$S32&gt;$E32</f>
        <v>0</v>
      </c>
      <c r="C32" s="71" t="b">
        <f>$S32&gt;$E32</f>
        <v>0</v>
      </c>
      <c r="D32" s="1" t="s">
        <v>135</v>
      </c>
      <c r="E32" s="6">
        <f>S31</f>
        <v>1.1000000000000001</v>
      </c>
      <c r="F32" s="72">
        <v>1</v>
      </c>
      <c r="G32" s="67" t="b">
        <f>FALSE</f>
        <v>0</v>
      </c>
      <c r="H32" s="47" t="s">
        <v>66</v>
      </c>
      <c r="I32" s="72">
        <v>1</v>
      </c>
      <c r="J32" s="67">
        <v>30</v>
      </c>
      <c r="K32" s="67" t="s">
        <v>126</v>
      </c>
      <c r="L32" s="67"/>
      <c r="M32" s="67"/>
      <c r="N32" s="67"/>
      <c r="O32" s="67"/>
      <c r="P32" s="67"/>
      <c r="Q32" s="40" t="s">
        <v>41</v>
      </c>
      <c r="R32" s="40">
        <v>0</v>
      </c>
      <c r="S32" s="40">
        <f>sel_60min_umax</f>
        <v>1.1000000000000001</v>
      </c>
      <c r="T32" s="40"/>
      <c r="U32" s="69"/>
      <c r="V32" s="6"/>
      <c r="W32" s="6"/>
      <c r="X32" s="27"/>
      <c r="Y32" s="40"/>
      <c r="Z32" s="40"/>
      <c r="AA32" s="40"/>
      <c r="AB32" s="40"/>
      <c r="AC32" s="69"/>
      <c r="AD32" s="67"/>
      <c r="AE32" s="6"/>
      <c r="AF32" s="6"/>
      <c r="AG32" s="40"/>
      <c r="AH32" s="40"/>
      <c r="AI32" s="40"/>
      <c r="AJ32" s="40"/>
      <c r="AK32" s="69"/>
      <c r="AL32" s="6"/>
      <c r="AO32" s="40"/>
      <c r="AP32" s="40"/>
      <c r="AQ32" s="40"/>
      <c r="AR32" s="40"/>
      <c r="AS32" s="69"/>
      <c r="AW32" s="40"/>
      <c r="AX32" s="40"/>
      <c r="AY32" s="40"/>
      <c r="AZ32" s="40"/>
      <c r="BA32" s="69"/>
      <c r="BE32" s="40"/>
      <c r="BF32" s="40"/>
      <c r="BG32" s="40"/>
      <c r="BH32" s="40"/>
      <c r="BI32" s="69"/>
    </row>
    <row r="33" spans="1:61" x14ac:dyDescent="0.25">
      <c r="A33" s="1">
        <v>31</v>
      </c>
      <c r="B33" s="71" t="b">
        <v>1</v>
      </c>
      <c r="C33" s="71" t="b">
        <v>1</v>
      </c>
      <c r="D33" s="1" t="s">
        <v>136</v>
      </c>
      <c r="E33" s="6">
        <v>1</v>
      </c>
      <c r="F33" s="72">
        <v>1</v>
      </c>
      <c r="G33" s="67" t="b">
        <f>FALSE</f>
        <v>0</v>
      </c>
      <c r="H33" s="47" t="s">
        <v>66</v>
      </c>
      <c r="I33" s="72">
        <v>1</v>
      </c>
      <c r="J33" s="67">
        <v>30</v>
      </c>
      <c r="K33" s="67" t="s">
        <v>126</v>
      </c>
      <c r="L33" s="67"/>
      <c r="M33" s="67"/>
      <c r="N33" s="67"/>
      <c r="O33" s="67"/>
      <c r="P33" s="67"/>
      <c r="Q33" s="40" t="s">
        <v>41</v>
      </c>
      <c r="R33" s="40">
        <v>0</v>
      </c>
      <c r="S33" s="40">
        <f>sel_uq_q0.33_umin</f>
        <v>0.9</v>
      </c>
      <c r="T33" s="40"/>
      <c r="U33" s="69"/>
      <c r="V33" s="6"/>
      <c r="W33" s="6"/>
      <c r="X33" s="27"/>
      <c r="Y33" s="40"/>
      <c r="Z33" s="40"/>
      <c r="AA33" s="40"/>
      <c r="AB33" s="40"/>
      <c r="AC33" s="69"/>
      <c r="AD33" s="67"/>
      <c r="AE33" s="6"/>
      <c r="AF33" s="6"/>
      <c r="AG33" s="40"/>
      <c r="AH33" s="40"/>
      <c r="AI33" s="40"/>
      <c r="AJ33" s="40"/>
      <c r="AK33" s="69"/>
      <c r="AL33" s="6"/>
      <c r="AO33" s="40"/>
      <c r="AP33" s="40"/>
      <c r="AQ33" s="40"/>
      <c r="AR33" s="40"/>
      <c r="AS33" s="69"/>
      <c r="AW33" s="40"/>
      <c r="AX33" s="40"/>
      <c r="AY33" s="40"/>
      <c r="AZ33" s="40"/>
      <c r="BA33" s="69"/>
      <c r="BE33" s="40"/>
      <c r="BF33" s="40"/>
      <c r="BG33" s="40"/>
      <c r="BH33" s="40"/>
      <c r="BI33" s="69"/>
    </row>
    <row r="34" spans="1:61" x14ac:dyDescent="0.25">
      <c r="A34" s="1">
        <v>32</v>
      </c>
      <c r="B34" s="71" t="b">
        <f>$S34&lt;$E34</f>
        <v>0</v>
      </c>
      <c r="C34" s="71" t="b">
        <f>$S34&lt;$E34</f>
        <v>0</v>
      </c>
      <c r="D34" s="1" t="s">
        <v>137</v>
      </c>
      <c r="E34" s="6">
        <f>S33</f>
        <v>0.9</v>
      </c>
      <c r="F34" s="72">
        <v>1</v>
      </c>
      <c r="G34" s="67" t="b">
        <f>FALSE</f>
        <v>0</v>
      </c>
      <c r="H34" s="47" t="s">
        <v>66</v>
      </c>
      <c r="I34" s="72">
        <v>1</v>
      </c>
      <c r="J34" s="67">
        <v>30</v>
      </c>
      <c r="K34" s="67" t="s">
        <v>126</v>
      </c>
      <c r="L34" s="67"/>
      <c r="M34" s="67"/>
      <c r="N34" s="67"/>
      <c r="O34" s="67"/>
      <c r="P34" s="67"/>
      <c r="Q34" s="40" t="s">
        <v>41</v>
      </c>
      <c r="R34" s="40">
        <v>0</v>
      </c>
      <c r="S34" s="40">
        <f>sel_contop_umin</f>
        <v>0.9</v>
      </c>
      <c r="T34" s="40"/>
      <c r="U34" s="69"/>
      <c r="V34" s="6"/>
      <c r="W34" s="6"/>
      <c r="X34" s="27"/>
      <c r="Y34" s="40"/>
      <c r="Z34" s="40"/>
      <c r="AA34" s="40"/>
      <c r="AB34" s="40"/>
      <c r="AC34" s="69"/>
      <c r="AD34" s="67"/>
      <c r="AE34" s="6"/>
      <c r="AF34" s="6"/>
      <c r="AG34" s="40"/>
      <c r="AH34" s="40"/>
      <c r="AI34" s="40"/>
      <c r="AJ34" s="40"/>
      <c r="AK34" s="69"/>
      <c r="AL34" s="6"/>
      <c r="AO34" s="40"/>
      <c r="AP34" s="40"/>
      <c r="AQ34" s="40"/>
      <c r="AR34" s="40"/>
      <c r="AS34" s="69"/>
      <c r="AW34" s="40"/>
      <c r="AX34" s="40"/>
      <c r="AY34" s="40"/>
      <c r="AZ34" s="40"/>
      <c r="BA34" s="69"/>
      <c r="BE34" s="40"/>
      <c r="BF34" s="40"/>
      <c r="BG34" s="40"/>
      <c r="BH34" s="40"/>
      <c r="BI34" s="69"/>
    </row>
    <row r="35" spans="1:61" x14ac:dyDescent="0.25">
      <c r="A35" s="1">
        <v>33</v>
      </c>
      <c r="B35" s="71" t="b">
        <f>$S35&lt;$E35</f>
        <v>0</v>
      </c>
      <c r="C35" s="71" t="b">
        <f>$S35&lt;$E35</f>
        <v>0</v>
      </c>
      <c r="D35" s="1" t="s">
        <v>138</v>
      </c>
      <c r="E35" s="6">
        <f>S34</f>
        <v>0.9</v>
      </c>
      <c r="F35" s="72">
        <v>1</v>
      </c>
      <c r="G35" s="67" t="b">
        <f>FALSE</f>
        <v>0</v>
      </c>
      <c r="H35" s="47" t="s">
        <v>66</v>
      </c>
      <c r="I35" s="72">
        <v>1</v>
      </c>
      <c r="J35" s="67">
        <v>30</v>
      </c>
      <c r="K35" s="67" t="s">
        <v>126</v>
      </c>
      <c r="L35" s="67"/>
      <c r="M35" s="67"/>
      <c r="N35" s="67"/>
      <c r="O35" s="67"/>
      <c r="P35" s="67"/>
      <c r="Q35" s="40" t="s">
        <v>41</v>
      </c>
      <c r="R35" s="40">
        <v>0</v>
      </c>
      <c r="S35" s="40">
        <f>sel_60min_umin</f>
        <v>0.9</v>
      </c>
      <c r="T35" s="40"/>
      <c r="U35" s="69"/>
      <c r="V35" s="6"/>
      <c r="W35" s="6"/>
      <c r="X35" s="27"/>
      <c r="Y35" s="40"/>
      <c r="Z35" s="40"/>
      <c r="AA35" s="40"/>
      <c r="AB35" s="40"/>
      <c r="AC35" s="69"/>
      <c r="AD35" s="67"/>
      <c r="AE35" s="6"/>
      <c r="AF35" s="6"/>
      <c r="AG35" s="40"/>
      <c r="AH35" s="40"/>
      <c r="AI35" s="40"/>
      <c r="AJ35" s="40"/>
      <c r="AK35" s="69"/>
      <c r="AL35" s="6"/>
      <c r="AO35" s="40"/>
      <c r="AP35" s="40"/>
      <c r="AQ35" s="40"/>
      <c r="AR35" s="40"/>
      <c r="AS35" s="69"/>
      <c r="AW35" s="40"/>
      <c r="AX35" s="40"/>
      <c r="AY35" s="40"/>
      <c r="AZ35" s="40"/>
      <c r="BA35" s="69"/>
      <c r="BE35" s="40"/>
      <c r="BF35" s="40"/>
      <c r="BG35" s="40"/>
      <c r="BH35" s="40"/>
      <c r="BI35" s="69"/>
    </row>
    <row r="36" spans="1:61" x14ac:dyDescent="0.25">
      <c r="A36" s="1">
        <v>34</v>
      </c>
      <c r="B36" s="71" t="b">
        <v>1</v>
      </c>
      <c r="C36" s="71" t="b">
        <v>1</v>
      </c>
      <c r="D36" s="1" t="s">
        <v>139</v>
      </c>
      <c r="E36" s="6">
        <v>1</v>
      </c>
      <c r="F36" s="72">
        <v>1</v>
      </c>
      <c r="G36" s="67" t="b">
        <f>FALSE</f>
        <v>0</v>
      </c>
      <c r="H36" s="47" t="s">
        <v>64</v>
      </c>
      <c r="I36" s="72">
        <v>1</v>
      </c>
      <c r="J36" s="67">
        <v>30</v>
      </c>
      <c r="K36" s="67" t="s">
        <v>126</v>
      </c>
      <c r="L36" s="67"/>
      <c r="M36" s="67"/>
      <c r="N36" s="67"/>
      <c r="O36" s="67"/>
      <c r="P36" s="67"/>
      <c r="Q36" s="40" t="s">
        <v>41</v>
      </c>
      <c r="R36" s="40">
        <v>0</v>
      </c>
      <c r="S36" s="40">
        <f>sel_uq_q0.33ue_umax</f>
        <v>1.05</v>
      </c>
      <c r="T36" s="40"/>
      <c r="U36" s="69"/>
      <c r="V36" s="6"/>
      <c r="W36" s="6"/>
      <c r="X36" s="27"/>
      <c r="Y36" s="40"/>
      <c r="Z36" s="40"/>
      <c r="AA36" s="40"/>
      <c r="AB36" s="40"/>
      <c r="AC36" s="69"/>
      <c r="AD36" s="67"/>
      <c r="AE36" s="6"/>
      <c r="AF36" s="6"/>
      <c r="AG36" s="40"/>
      <c r="AH36" s="40"/>
      <c r="AI36" s="40"/>
      <c r="AJ36" s="40"/>
      <c r="AK36" s="69"/>
      <c r="AL36" s="6"/>
      <c r="AO36" s="40"/>
      <c r="AP36" s="40"/>
      <c r="AQ36" s="40"/>
      <c r="AR36" s="40"/>
      <c r="AS36" s="69"/>
      <c r="AW36" s="40"/>
      <c r="AX36" s="40"/>
      <c r="AY36" s="40"/>
      <c r="AZ36" s="40"/>
      <c r="BA36" s="69"/>
      <c r="BE36" s="40"/>
      <c r="BF36" s="40"/>
      <c r="BG36" s="40"/>
      <c r="BH36" s="40"/>
      <c r="BI36" s="69"/>
    </row>
    <row r="37" spans="1:61" x14ac:dyDescent="0.25">
      <c r="A37" s="1">
        <v>35</v>
      </c>
      <c r="B37" s="71" t="b">
        <f>$S37&gt;$E37</f>
        <v>1</v>
      </c>
      <c r="C37" s="71" t="b">
        <f>$S37&gt;$E37</f>
        <v>1</v>
      </c>
      <c r="D37" s="1" t="s">
        <v>140</v>
      </c>
      <c r="E37" s="6">
        <f>S36</f>
        <v>1.05</v>
      </c>
      <c r="F37" s="72">
        <v>1</v>
      </c>
      <c r="G37" s="67" t="b">
        <f>FALSE</f>
        <v>0</v>
      </c>
      <c r="H37" s="47" t="s">
        <v>64</v>
      </c>
      <c r="I37" s="72">
        <v>1</v>
      </c>
      <c r="J37" s="67">
        <v>30</v>
      </c>
      <c r="K37" s="67" t="s">
        <v>126</v>
      </c>
      <c r="L37" s="67"/>
      <c r="M37" s="67"/>
      <c r="N37" s="67"/>
      <c r="O37" s="67"/>
      <c r="P37" s="67"/>
      <c r="Q37" s="40" t="s">
        <v>41</v>
      </c>
      <c r="R37" s="40">
        <v>0</v>
      </c>
      <c r="S37" s="40">
        <f>sel_contop_umax</f>
        <v>1.1000000000000001</v>
      </c>
      <c r="T37" s="40"/>
      <c r="U37" s="69"/>
      <c r="V37" s="6"/>
      <c r="W37" s="6"/>
      <c r="X37" s="27"/>
      <c r="Y37" s="40"/>
      <c r="Z37" s="40"/>
      <c r="AA37" s="40"/>
      <c r="AB37" s="40"/>
      <c r="AC37" s="69"/>
      <c r="AD37" s="67"/>
      <c r="AE37" s="6"/>
      <c r="AF37" s="6"/>
      <c r="AG37" s="40"/>
      <c r="AH37" s="40"/>
      <c r="AI37" s="40"/>
      <c r="AJ37" s="40"/>
      <c r="AK37" s="69"/>
      <c r="AL37" s="6"/>
      <c r="AO37" s="40"/>
      <c r="AP37" s="40"/>
      <c r="AQ37" s="40"/>
      <c r="AR37" s="40"/>
      <c r="AS37" s="69"/>
      <c r="AW37" s="40"/>
      <c r="AX37" s="40"/>
      <c r="AY37" s="40"/>
      <c r="AZ37" s="40"/>
      <c r="BA37" s="69"/>
      <c r="BE37" s="40"/>
      <c r="BF37" s="40"/>
      <c r="BG37" s="40"/>
      <c r="BH37" s="40"/>
      <c r="BI37" s="69"/>
    </row>
    <row r="38" spans="1:61" x14ac:dyDescent="0.25">
      <c r="A38" s="1">
        <v>36</v>
      </c>
      <c r="B38" s="71" t="b">
        <f>$S38&gt;$E38</f>
        <v>0</v>
      </c>
      <c r="C38" s="71" t="b">
        <f>$S38&gt;$E38</f>
        <v>0</v>
      </c>
      <c r="D38" s="1" t="s">
        <v>141</v>
      </c>
      <c r="E38" s="6">
        <f>S37</f>
        <v>1.1000000000000001</v>
      </c>
      <c r="F38" s="72">
        <v>1</v>
      </c>
      <c r="G38" s="67" t="b">
        <f>FALSE</f>
        <v>0</v>
      </c>
      <c r="H38" s="47" t="s">
        <v>64</v>
      </c>
      <c r="I38" s="72">
        <v>1</v>
      </c>
      <c r="J38" s="67">
        <v>30</v>
      </c>
      <c r="K38" s="67" t="s">
        <v>126</v>
      </c>
      <c r="L38" s="67"/>
      <c r="M38" s="67"/>
      <c r="N38" s="67"/>
      <c r="O38" s="67"/>
      <c r="P38" s="67"/>
      <c r="Q38" s="40" t="s">
        <v>41</v>
      </c>
      <c r="R38" s="40">
        <v>0</v>
      </c>
      <c r="S38" s="40">
        <f>sel_60min_umax</f>
        <v>1.1000000000000001</v>
      </c>
      <c r="T38" s="40"/>
      <c r="U38" s="69"/>
      <c r="V38" s="6"/>
      <c r="W38" s="6"/>
      <c r="X38" s="27"/>
      <c r="Y38" s="40"/>
      <c r="Z38" s="40"/>
      <c r="AA38" s="40"/>
      <c r="AB38" s="40"/>
      <c r="AC38" s="69"/>
      <c r="AD38" s="67"/>
      <c r="AE38" s="6"/>
      <c r="AF38" s="6"/>
      <c r="AG38" s="40"/>
      <c r="AH38" s="40"/>
      <c r="AI38" s="40"/>
      <c r="AJ38" s="40"/>
      <c r="AK38" s="69"/>
      <c r="AL38" s="6"/>
      <c r="AO38" s="40"/>
      <c r="AP38" s="40"/>
      <c r="AQ38" s="40"/>
      <c r="AR38" s="40"/>
      <c r="AS38" s="69"/>
      <c r="AW38" s="40"/>
      <c r="AX38" s="40"/>
      <c r="AY38" s="40"/>
      <c r="AZ38" s="40"/>
      <c r="BA38" s="69"/>
      <c r="BE38" s="40"/>
      <c r="BF38" s="40"/>
      <c r="BG38" s="40"/>
      <c r="BH38" s="40"/>
      <c r="BI38" s="69"/>
    </row>
    <row r="39" spans="1:61" x14ac:dyDescent="0.25">
      <c r="A39" s="1">
        <v>37</v>
      </c>
      <c r="B39" s="71" t="b">
        <v>1</v>
      </c>
      <c r="C39" s="71" t="b">
        <v>1</v>
      </c>
      <c r="D39" s="1" t="s">
        <v>142</v>
      </c>
      <c r="E39" s="6">
        <v>1</v>
      </c>
      <c r="F39" s="72">
        <v>1</v>
      </c>
      <c r="G39" s="67" t="b">
        <f>FALSE</f>
        <v>0</v>
      </c>
      <c r="H39" s="47" t="s">
        <v>64</v>
      </c>
      <c r="I39" s="72">
        <v>1</v>
      </c>
      <c r="J39" s="67">
        <v>30</v>
      </c>
      <c r="K39" s="67" t="s">
        <v>126</v>
      </c>
      <c r="L39" s="67"/>
      <c r="M39" s="67"/>
      <c r="N39" s="67"/>
      <c r="O39" s="67"/>
      <c r="P39" s="67"/>
      <c r="Q39" s="40" t="s">
        <v>41</v>
      </c>
      <c r="R39" s="40">
        <v>0</v>
      </c>
      <c r="S39" s="40">
        <f>sel_uq_q0.33_umin</f>
        <v>0.9</v>
      </c>
      <c r="T39" s="40"/>
      <c r="U39" s="69"/>
      <c r="V39" s="6"/>
      <c r="W39" s="6"/>
      <c r="X39" s="27"/>
      <c r="Y39" s="40"/>
      <c r="Z39" s="40"/>
      <c r="AA39" s="40"/>
      <c r="AB39" s="40"/>
      <c r="AC39" s="69"/>
      <c r="AD39" s="67"/>
      <c r="AE39" s="6"/>
      <c r="AF39" s="6"/>
      <c r="AG39" s="40"/>
      <c r="AH39" s="40"/>
      <c r="AI39" s="40"/>
      <c r="AJ39" s="40"/>
      <c r="AK39" s="69"/>
      <c r="AL39" s="6"/>
      <c r="AO39" s="40"/>
      <c r="AP39" s="40"/>
      <c r="AQ39" s="40"/>
      <c r="AR39" s="40"/>
      <c r="AS39" s="69"/>
      <c r="AW39" s="40"/>
      <c r="AX39" s="40"/>
      <c r="AY39" s="40"/>
      <c r="AZ39" s="40"/>
      <c r="BA39" s="69"/>
      <c r="BE39" s="40"/>
      <c r="BF39" s="40"/>
      <c r="BG39" s="40"/>
      <c r="BH39" s="40"/>
      <c r="BI39" s="69"/>
    </row>
    <row r="40" spans="1:61" x14ac:dyDescent="0.25">
      <c r="A40" s="1">
        <v>38</v>
      </c>
      <c r="B40" s="71" t="b">
        <f>$S40&lt;$E40</f>
        <v>0</v>
      </c>
      <c r="C40" s="71" t="b">
        <f>$S40&lt;$E40</f>
        <v>0</v>
      </c>
      <c r="D40" s="1" t="s">
        <v>143</v>
      </c>
      <c r="E40" s="6">
        <f>S39</f>
        <v>0.9</v>
      </c>
      <c r="F40" s="72">
        <v>1</v>
      </c>
      <c r="G40" s="67" t="b">
        <f>FALSE</f>
        <v>0</v>
      </c>
      <c r="H40" s="47" t="s">
        <v>64</v>
      </c>
      <c r="I40" s="72">
        <v>1</v>
      </c>
      <c r="J40" s="67">
        <v>30</v>
      </c>
      <c r="K40" s="67" t="s">
        <v>126</v>
      </c>
      <c r="L40" s="67"/>
      <c r="M40" s="67"/>
      <c r="N40" s="67"/>
      <c r="O40" s="67"/>
      <c r="P40" s="67"/>
      <c r="Q40" s="40" t="s">
        <v>41</v>
      </c>
      <c r="R40" s="40">
        <v>0</v>
      </c>
      <c r="S40" s="40">
        <f>sel_contop_umin</f>
        <v>0.9</v>
      </c>
      <c r="T40" s="40"/>
      <c r="U40" s="69"/>
      <c r="V40" s="6"/>
      <c r="W40" s="6"/>
      <c r="X40" s="27"/>
      <c r="Y40" s="40"/>
      <c r="Z40" s="40"/>
      <c r="AA40" s="40"/>
      <c r="AB40" s="40"/>
      <c r="AC40" s="69"/>
      <c r="AD40" s="67"/>
      <c r="AE40" s="6"/>
      <c r="AF40" s="6"/>
      <c r="AG40" s="40"/>
      <c r="AH40" s="40"/>
      <c r="AI40" s="40"/>
      <c r="AJ40" s="40"/>
      <c r="AK40" s="69"/>
      <c r="AL40" s="6"/>
      <c r="AO40" s="40"/>
      <c r="AP40" s="40"/>
      <c r="AQ40" s="40"/>
      <c r="AR40" s="40"/>
      <c r="AS40" s="69"/>
      <c r="AW40" s="40"/>
      <c r="AX40" s="40"/>
      <c r="AY40" s="40"/>
      <c r="AZ40" s="40"/>
      <c r="BA40" s="69"/>
      <c r="BE40" s="40"/>
      <c r="BF40" s="40"/>
      <c r="BG40" s="40"/>
      <c r="BH40" s="40"/>
      <c r="BI40" s="69"/>
    </row>
    <row r="41" spans="1:61" x14ac:dyDescent="0.25">
      <c r="A41" s="1">
        <v>39</v>
      </c>
      <c r="B41" s="71" t="b">
        <f>$S41&lt;$E41</f>
        <v>0</v>
      </c>
      <c r="C41" s="71" t="b">
        <f>$S41&lt;$E41</f>
        <v>0</v>
      </c>
      <c r="D41" s="1" t="s">
        <v>144</v>
      </c>
      <c r="E41" s="6">
        <f>S40</f>
        <v>0.9</v>
      </c>
      <c r="F41" s="72">
        <v>1</v>
      </c>
      <c r="G41" s="67" t="b">
        <f>FALSE</f>
        <v>0</v>
      </c>
      <c r="H41" s="47" t="s">
        <v>64</v>
      </c>
      <c r="I41" s="72">
        <v>1</v>
      </c>
      <c r="J41" s="67">
        <v>30</v>
      </c>
      <c r="K41" s="67" t="s">
        <v>126</v>
      </c>
      <c r="L41" s="67"/>
      <c r="M41" s="67"/>
      <c r="N41" s="67"/>
      <c r="O41" s="67"/>
      <c r="P41" s="67"/>
      <c r="Q41" s="40" t="s">
        <v>41</v>
      </c>
      <c r="R41" s="40">
        <v>0</v>
      </c>
      <c r="S41" s="40">
        <f>sel_60min_umin</f>
        <v>0.9</v>
      </c>
      <c r="T41" s="40"/>
      <c r="U41" s="69"/>
      <c r="V41" s="6"/>
      <c r="W41" s="6"/>
      <c r="X41" s="27"/>
      <c r="Y41" s="40"/>
      <c r="Z41" s="40"/>
      <c r="AA41" s="40"/>
      <c r="AB41" s="40"/>
      <c r="AC41" s="69"/>
      <c r="AD41" s="67"/>
      <c r="AE41" s="6"/>
      <c r="AF41" s="6"/>
      <c r="AG41" s="40"/>
      <c r="AH41" s="40"/>
      <c r="AI41" s="40"/>
      <c r="AJ41" s="40"/>
      <c r="AK41" s="69"/>
      <c r="AL41" s="6"/>
      <c r="AO41" s="40"/>
      <c r="AP41" s="40"/>
      <c r="AQ41" s="40"/>
      <c r="AR41" s="40"/>
      <c r="AS41" s="69"/>
      <c r="AW41" s="40"/>
      <c r="AX41" s="40"/>
      <c r="AY41" s="40"/>
      <c r="AZ41" s="40"/>
      <c r="BA41" s="69"/>
      <c r="BE41" s="40"/>
      <c r="BF41" s="40"/>
      <c r="BG41" s="40"/>
      <c r="BH41" s="40"/>
      <c r="BI41" s="69"/>
    </row>
    <row r="42" spans="1:61" x14ac:dyDescent="0.25">
      <c r="A42" s="1">
        <v>40</v>
      </c>
      <c r="B42" s="71" t="b">
        <v>1</v>
      </c>
      <c r="C42" s="71" t="b">
        <v>0</v>
      </c>
      <c r="D42" s="1" t="s">
        <v>22</v>
      </c>
      <c r="E42" s="6">
        <v>1</v>
      </c>
      <c r="F42" s="72">
        <v>1</v>
      </c>
      <c r="G42" s="67" t="b">
        <f>FALSE</f>
        <v>0</v>
      </c>
      <c r="H42" s="47" t="s">
        <v>64</v>
      </c>
      <c r="I42" s="72">
        <v>0.33</v>
      </c>
      <c r="J42" s="67">
        <v>300</v>
      </c>
      <c r="K42" s="67" t="s">
        <v>126</v>
      </c>
      <c r="L42" s="67"/>
      <c r="M42" s="67"/>
      <c r="N42" s="67"/>
      <c r="O42" s="67"/>
      <c r="P42" s="67"/>
      <c r="Q42" s="40" t="s">
        <v>43</v>
      </c>
      <c r="R42" s="40">
        <v>0</v>
      </c>
      <c r="S42" s="40">
        <v>0</v>
      </c>
      <c r="T42" s="40"/>
      <c r="U42" s="69"/>
      <c r="V42" s="27"/>
      <c r="W42" s="27"/>
      <c r="X42" s="11"/>
      <c r="Y42" s="40"/>
      <c r="Z42" s="40"/>
      <c r="AA42" s="40"/>
      <c r="AB42" s="40"/>
      <c r="AC42" s="69"/>
      <c r="AD42" s="67"/>
      <c r="AE42" s="6"/>
      <c r="AF42" s="6"/>
      <c r="AG42" s="40"/>
      <c r="AH42" s="40"/>
      <c r="AI42" s="40"/>
      <c r="AJ42" s="40"/>
      <c r="AK42" s="69"/>
      <c r="AL42" s="6"/>
      <c r="AO42" s="40"/>
      <c r="AP42" s="40"/>
      <c r="AQ42" s="40"/>
      <c r="AR42" s="40"/>
      <c r="AS42" s="69"/>
      <c r="AW42" s="40"/>
      <c r="AX42" s="40"/>
      <c r="AY42" s="40"/>
      <c r="AZ42" s="40"/>
      <c r="BA42" s="69"/>
      <c r="BE42" s="40"/>
      <c r="BF42" s="40"/>
      <c r="BG42" s="40"/>
      <c r="BH42" s="40"/>
      <c r="BI42" s="69"/>
    </row>
    <row r="43" spans="1:61" x14ac:dyDescent="0.25">
      <c r="A43" s="1">
        <v>41</v>
      </c>
      <c r="B43" s="71" t="b">
        <v>1</v>
      </c>
      <c r="C43" s="71" t="b">
        <v>0</v>
      </c>
      <c r="D43" s="1" t="s">
        <v>21</v>
      </c>
      <c r="E43" s="6">
        <v>1</v>
      </c>
      <c r="F43" s="72">
        <v>1</v>
      </c>
      <c r="G43" s="67" t="b">
        <f>FALSE</f>
        <v>0</v>
      </c>
      <c r="H43" s="47" t="s">
        <v>64</v>
      </c>
      <c r="I43" s="72">
        <v>-0.33</v>
      </c>
      <c r="J43" s="67">
        <v>300</v>
      </c>
      <c r="K43" s="67" t="s">
        <v>126</v>
      </c>
      <c r="L43" s="67"/>
      <c r="M43" s="67"/>
      <c r="N43" s="67"/>
      <c r="O43" s="67"/>
      <c r="P43" s="67"/>
      <c r="Q43" s="40" t="s">
        <v>43</v>
      </c>
      <c r="R43" s="40">
        <v>0</v>
      </c>
      <c r="S43" s="40">
        <v>0</v>
      </c>
      <c r="T43" s="40"/>
      <c r="U43" s="69"/>
      <c r="V43" s="27"/>
      <c r="W43" s="27"/>
      <c r="X43" s="11"/>
      <c r="Y43" s="40"/>
      <c r="Z43" s="40"/>
      <c r="AA43" s="40"/>
      <c r="AB43" s="40"/>
      <c r="AC43" s="69"/>
      <c r="AD43" s="67"/>
      <c r="AE43" s="6"/>
      <c r="AF43" s="6"/>
      <c r="AG43" s="40"/>
      <c r="AH43" s="40"/>
      <c r="AI43" s="40"/>
      <c r="AJ43" s="40"/>
      <c r="AK43" s="69"/>
      <c r="AL43" s="6"/>
      <c r="AO43" s="40"/>
      <c r="AP43" s="40"/>
      <c r="AQ43" s="40"/>
      <c r="AR43" s="40"/>
      <c r="AS43" s="69"/>
      <c r="AW43" s="40"/>
      <c r="AX43" s="40"/>
      <c r="AY43" s="40"/>
      <c r="AZ43" s="40"/>
      <c r="BA43" s="69"/>
      <c r="BE43" s="40"/>
      <c r="BF43" s="40"/>
      <c r="BG43" s="40"/>
      <c r="BH43" s="40"/>
      <c r="BI43" s="69"/>
    </row>
    <row r="44" spans="1:61" x14ac:dyDescent="0.25">
      <c r="A44" s="1">
        <v>42</v>
      </c>
      <c r="B44" s="71" t="b">
        <v>1</v>
      </c>
      <c r="C44" s="71" t="b">
        <v>1</v>
      </c>
      <c r="D44" s="1" t="s">
        <v>145</v>
      </c>
      <c r="E44" s="6">
        <v>1</v>
      </c>
      <c r="F44" s="72">
        <v>1</v>
      </c>
      <c r="G44" s="67" t="b">
        <f>FALSE</f>
        <v>0</v>
      </c>
      <c r="H44" s="47" t="s">
        <v>64</v>
      </c>
      <c r="I44" s="72">
        <v>0</v>
      </c>
      <c r="J44" s="67">
        <v>30</v>
      </c>
      <c r="K44" s="67" t="s">
        <v>124</v>
      </c>
      <c r="L44" s="67"/>
      <c r="M44" s="67"/>
      <c r="N44" s="67"/>
      <c r="O44" s="67"/>
      <c r="P44" s="67"/>
      <c r="Q44" s="40" t="s">
        <v>42</v>
      </c>
      <c r="R44" s="40">
        <v>0</v>
      </c>
      <c r="S44" s="40">
        <v>0.15</v>
      </c>
      <c r="T44" s="40"/>
      <c r="U44" s="69"/>
      <c r="V44" s="6">
        <v>15</v>
      </c>
      <c r="W44" s="6">
        <v>0.33</v>
      </c>
      <c r="X44" s="27"/>
      <c r="Y44" s="40"/>
      <c r="Z44" s="40"/>
      <c r="AA44" s="40"/>
      <c r="AB44" s="40"/>
      <c r="AC44" s="69"/>
      <c r="AD44" s="67"/>
      <c r="AE44" s="6"/>
      <c r="AF44" s="6"/>
      <c r="AG44" s="40"/>
      <c r="AH44" s="40"/>
      <c r="AI44" s="40"/>
      <c r="AJ44" s="40"/>
      <c r="AK44" s="69"/>
      <c r="AL44" s="6"/>
      <c r="AO44" s="40"/>
      <c r="AP44" s="40"/>
      <c r="AQ44" s="40"/>
      <c r="AR44" s="40"/>
      <c r="AS44" s="69"/>
      <c r="AW44" s="40"/>
      <c r="AX44" s="40"/>
      <c r="AY44" s="40"/>
      <c r="AZ44" s="40"/>
      <c r="BA44" s="69"/>
      <c r="BE44" s="40"/>
      <c r="BF44" s="40"/>
      <c r="BG44" s="40"/>
      <c r="BH44" s="40"/>
      <c r="BI44" s="69"/>
    </row>
    <row r="45" spans="1:61" x14ac:dyDescent="0.25">
      <c r="A45" s="1">
        <v>43</v>
      </c>
      <c r="B45" s="71" t="b">
        <v>1</v>
      </c>
      <c r="C45" s="71" t="b">
        <v>1</v>
      </c>
      <c r="D45" s="1" t="s">
        <v>146</v>
      </c>
      <c r="E45" s="6">
        <v>1</v>
      </c>
      <c r="F45" s="72">
        <v>1</v>
      </c>
      <c r="G45" s="67" t="b">
        <f>FALSE</f>
        <v>0</v>
      </c>
      <c r="H45" s="47" t="s">
        <v>64</v>
      </c>
      <c r="I45" s="72">
        <v>0.33</v>
      </c>
      <c r="J45" s="67">
        <v>30</v>
      </c>
      <c r="K45" s="67" t="s">
        <v>124</v>
      </c>
      <c r="L45" s="67"/>
      <c r="M45" s="67"/>
      <c r="N45" s="67"/>
      <c r="O45" s="67"/>
      <c r="P45" s="67"/>
      <c r="Q45" s="40" t="s">
        <v>42</v>
      </c>
      <c r="R45" s="40">
        <v>0</v>
      </c>
      <c r="S45" s="40">
        <v>-0.15</v>
      </c>
      <c r="T45" s="40"/>
      <c r="U45" s="69"/>
      <c r="V45" s="6">
        <v>15</v>
      </c>
      <c r="W45" s="6">
        <v>-0.33</v>
      </c>
      <c r="X45" s="27"/>
      <c r="Y45" s="40"/>
      <c r="Z45" s="40"/>
      <c r="AA45" s="40"/>
      <c r="AB45" s="40"/>
      <c r="AC45" s="69"/>
      <c r="AD45" s="67"/>
      <c r="AE45" s="6"/>
      <c r="AF45" s="6"/>
      <c r="AG45" s="40"/>
      <c r="AH45" s="40"/>
      <c r="AI45" s="40"/>
      <c r="AJ45" s="40"/>
      <c r="AK45" s="69"/>
      <c r="AL45" s="6"/>
      <c r="AO45" s="40"/>
      <c r="AP45" s="40"/>
      <c r="AQ45" s="40"/>
      <c r="AR45" s="40"/>
      <c r="AS45" s="69"/>
      <c r="AW45" s="40"/>
      <c r="AX45" s="40"/>
      <c r="AY45" s="40"/>
      <c r="AZ45" s="40"/>
      <c r="BA45" s="69"/>
      <c r="BE45" s="40"/>
      <c r="BF45" s="40"/>
      <c r="BG45" s="40"/>
      <c r="BH45" s="40"/>
      <c r="BI45" s="69"/>
    </row>
    <row r="46" spans="1:61" x14ac:dyDescent="0.25">
      <c r="A46" s="1">
        <v>44</v>
      </c>
      <c r="B46" s="71" t="b">
        <v>1</v>
      </c>
      <c r="C46" s="71" t="b">
        <v>1</v>
      </c>
      <c r="D46" s="1" t="s">
        <v>147</v>
      </c>
      <c r="E46" s="8">
        <v>1</v>
      </c>
      <c r="F46" s="72">
        <v>1</v>
      </c>
      <c r="G46" s="67" t="b">
        <f>FALSE</f>
        <v>0</v>
      </c>
      <c r="H46" s="47" t="s">
        <v>65</v>
      </c>
      <c r="I46" s="72">
        <v>1</v>
      </c>
      <c r="J46" s="67">
        <v>30</v>
      </c>
      <c r="K46" s="67" t="s">
        <v>124</v>
      </c>
      <c r="L46" s="67"/>
      <c r="M46" s="67"/>
      <c r="N46" s="67"/>
      <c r="O46" s="67"/>
      <c r="P46" s="67"/>
      <c r="Q46" s="40" t="s">
        <v>42</v>
      </c>
      <c r="R46" s="40">
        <v>0</v>
      </c>
      <c r="S46" s="40">
        <v>0.95</v>
      </c>
      <c r="T46" s="40"/>
      <c r="U46" s="69"/>
      <c r="V46" s="6"/>
      <c r="W46" s="6"/>
      <c r="X46" s="27"/>
      <c r="Y46" s="40"/>
      <c r="Z46" s="40"/>
      <c r="AA46" s="40"/>
      <c r="AB46" s="40"/>
      <c r="AC46" s="69"/>
      <c r="AD46" s="67"/>
      <c r="AE46" s="6"/>
      <c r="AF46" s="6"/>
      <c r="AG46" s="40"/>
      <c r="AH46" s="40"/>
      <c r="AI46" s="40"/>
      <c r="AJ46" s="40"/>
      <c r="AK46" s="69"/>
      <c r="AL46" s="6"/>
      <c r="AO46" s="40"/>
      <c r="AP46" s="40"/>
      <c r="AQ46" s="40"/>
      <c r="AR46" s="40"/>
      <c r="AS46" s="69"/>
      <c r="AW46" s="40"/>
      <c r="AX46" s="40"/>
      <c r="AY46" s="40"/>
      <c r="AZ46" s="40"/>
      <c r="BA46" s="69"/>
      <c r="BE46" s="40"/>
      <c r="BF46" s="40"/>
      <c r="BG46" s="40"/>
      <c r="BH46" s="40"/>
      <c r="BI46" s="69"/>
    </row>
    <row r="47" spans="1:61" x14ac:dyDescent="0.25">
      <c r="A47" s="1">
        <v>45</v>
      </c>
      <c r="B47" s="71" t="b">
        <v>1</v>
      </c>
      <c r="C47" s="71" t="b">
        <v>1</v>
      </c>
      <c r="D47" s="1" t="s">
        <v>148</v>
      </c>
      <c r="E47" s="8">
        <v>1</v>
      </c>
      <c r="F47" s="72">
        <v>1</v>
      </c>
      <c r="G47" s="67" t="b">
        <f>FALSE</f>
        <v>0</v>
      </c>
      <c r="H47" s="47" t="s">
        <v>65</v>
      </c>
      <c r="I47" s="72">
        <v>-0.95</v>
      </c>
      <c r="J47" s="67">
        <v>30</v>
      </c>
      <c r="K47" s="67" t="s">
        <v>124</v>
      </c>
      <c r="L47" s="67"/>
      <c r="M47" s="67"/>
      <c r="N47" s="67"/>
      <c r="O47" s="67"/>
      <c r="P47" s="67"/>
      <c r="Q47" s="40" t="s">
        <v>43</v>
      </c>
      <c r="R47" s="40">
        <v>0</v>
      </c>
      <c r="S47" s="40">
        <v>0</v>
      </c>
      <c r="T47" s="40"/>
      <c r="U47" s="69"/>
      <c r="V47" s="6"/>
      <c r="W47" s="6"/>
      <c r="X47" s="27"/>
      <c r="Y47" s="40"/>
      <c r="Z47" s="40"/>
      <c r="AA47" s="40"/>
      <c r="AB47" s="40"/>
      <c r="AC47" s="69"/>
      <c r="AD47" s="67"/>
      <c r="AE47" s="6"/>
      <c r="AF47" s="6"/>
      <c r="AG47" s="40"/>
      <c r="AH47" s="40"/>
      <c r="AI47" s="40"/>
      <c r="AJ47" s="40"/>
      <c r="AK47" s="69"/>
      <c r="AL47" s="6"/>
      <c r="AO47" s="40"/>
      <c r="AP47" s="40"/>
      <c r="AQ47" s="40"/>
      <c r="AR47" s="40"/>
      <c r="AS47" s="69"/>
      <c r="AW47" s="40"/>
      <c r="AX47" s="40"/>
      <c r="AY47" s="40"/>
      <c r="AZ47" s="40"/>
      <c r="BA47" s="69"/>
      <c r="BE47" s="40"/>
      <c r="BF47" s="40"/>
      <c r="BG47" s="40"/>
      <c r="BH47" s="40"/>
      <c r="BI47" s="69"/>
    </row>
    <row r="48" spans="1:61" x14ac:dyDescent="0.25">
      <c r="A48" s="1">
        <v>46</v>
      </c>
      <c r="B48" s="71" t="b">
        <v>1</v>
      </c>
      <c r="C48" s="71" t="b">
        <v>1</v>
      </c>
      <c r="D48" s="1" t="s">
        <v>149</v>
      </c>
      <c r="E48" s="8">
        <v>1</v>
      </c>
      <c r="F48" s="72">
        <v>1</v>
      </c>
      <c r="G48" s="67" t="b">
        <f>FALSE</f>
        <v>0</v>
      </c>
      <c r="H48" s="47" t="s">
        <v>66</v>
      </c>
      <c r="I48" s="72">
        <v>1</v>
      </c>
      <c r="J48" s="8">
        <v>42</v>
      </c>
      <c r="K48" s="67" t="s">
        <v>124</v>
      </c>
      <c r="L48" s="67"/>
      <c r="M48" s="67"/>
      <c r="N48" s="67"/>
      <c r="O48" s="67"/>
      <c r="P48" s="67"/>
      <c r="Q48" s="40" t="s">
        <v>152</v>
      </c>
      <c r="R48" s="40">
        <v>0</v>
      </c>
      <c r="S48" s="40">
        <f>sel_uq_q0.33ue_umax-$E48</f>
        <v>5.0000000000000044E-2</v>
      </c>
      <c r="T48" s="42"/>
      <c r="U48" s="69"/>
      <c r="V48" s="6">
        <v>7</v>
      </c>
      <c r="W48" s="8">
        <v>0</v>
      </c>
      <c r="X48" s="8"/>
      <c r="Y48" s="40"/>
      <c r="Z48" s="40">
        <v>14</v>
      </c>
      <c r="AA48" s="40">
        <f>sel_uq_q0.33_umin-$E48</f>
        <v>-9.9999999999999978E-2</v>
      </c>
      <c r="AB48" s="42"/>
      <c r="AC48" s="69"/>
      <c r="AD48" s="8">
        <v>21</v>
      </c>
      <c r="AE48" s="8">
        <v>0</v>
      </c>
      <c r="AF48" s="8"/>
      <c r="AG48" s="40"/>
      <c r="AH48" s="40">
        <v>28</v>
      </c>
      <c r="AI48" s="40">
        <f>(sel_uq_q0.33ue_umax-$E48)/2</f>
        <v>2.5000000000000022E-2</v>
      </c>
      <c r="AJ48" s="42"/>
      <c r="AK48" s="69"/>
      <c r="AL48">
        <v>35</v>
      </c>
      <c r="AM48" s="6">
        <f>(sel_uq_q0.33_umin-$E48)/2</f>
        <v>-4.9999999999999989E-2</v>
      </c>
      <c r="AO48" s="40"/>
      <c r="AP48" s="40"/>
      <c r="AQ48" s="40"/>
      <c r="AR48" s="42"/>
      <c r="AS48" s="69"/>
      <c r="AW48" s="40"/>
      <c r="AX48" s="40"/>
      <c r="AY48" s="40"/>
      <c r="AZ48" s="42"/>
      <c r="BA48" s="69"/>
      <c r="BE48" s="40"/>
      <c r="BF48" s="40"/>
      <c r="BG48" s="40"/>
      <c r="BH48" s="42"/>
      <c r="BI48" s="69"/>
    </row>
    <row r="49" spans="1:65" x14ac:dyDescent="0.25">
      <c r="A49" s="1">
        <v>47</v>
      </c>
      <c r="B49" s="71" t="b">
        <v>1</v>
      </c>
      <c r="C49" s="71" t="b">
        <v>1</v>
      </c>
      <c r="D49" s="1" t="s">
        <v>150</v>
      </c>
      <c r="E49" s="8">
        <v>1</v>
      </c>
      <c r="F49" s="72">
        <v>1</v>
      </c>
      <c r="G49" s="67" t="b">
        <f>FALSE</f>
        <v>0</v>
      </c>
      <c r="H49" s="47" t="s">
        <v>66</v>
      </c>
      <c r="I49" s="72">
        <v>1</v>
      </c>
      <c r="J49" s="8">
        <v>42</v>
      </c>
      <c r="K49" s="67" t="s">
        <v>125</v>
      </c>
      <c r="L49" s="67"/>
      <c r="M49" s="67"/>
      <c r="N49" s="67"/>
      <c r="O49" s="67"/>
      <c r="P49" s="67"/>
      <c r="Q49" s="40" t="s">
        <v>152</v>
      </c>
      <c r="R49" s="40">
        <v>0</v>
      </c>
      <c r="S49" s="40">
        <f>sel_uq_q0.33ue_umax-$E49</f>
        <v>5.0000000000000044E-2</v>
      </c>
      <c r="T49" s="42"/>
      <c r="U49" s="69"/>
      <c r="V49" s="6">
        <v>7</v>
      </c>
      <c r="W49" s="8">
        <v>0</v>
      </c>
      <c r="X49" s="8"/>
      <c r="Y49" s="40"/>
      <c r="Z49" s="40">
        <v>14</v>
      </c>
      <c r="AA49" s="40">
        <f>sel_uq_q0.33_umin-$E49</f>
        <v>-9.9999999999999978E-2</v>
      </c>
      <c r="AB49" s="42"/>
      <c r="AC49" s="69"/>
      <c r="AD49" s="8">
        <v>21</v>
      </c>
      <c r="AE49" s="8">
        <v>0</v>
      </c>
      <c r="AF49" s="8"/>
      <c r="AG49" s="40"/>
      <c r="AH49" s="40">
        <v>28</v>
      </c>
      <c r="AI49" s="40">
        <f>(sel_uq_q0.33ue_umax-$E49)/2</f>
        <v>2.5000000000000022E-2</v>
      </c>
      <c r="AJ49" s="42"/>
      <c r="AK49" s="69"/>
      <c r="AL49">
        <v>35</v>
      </c>
      <c r="AM49" s="6">
        <f>(sel_uq_q0.33_umin-$E49)/2</f>
        <v>-4.9999999999999989E-2</v>
      </c>
      <c r="AO49" s="40"/>
      <c r="AP49" s="40"/>
      <c r="AQ49" s="40"/>
      <c r="AR49" s="42"/>
      <c r="AS49" s="69"/>
      <c r="AW49" s="40"/>
      <c r="AX49" s="40"/>
      <c r="AY49" s="40"/>
      <c r="AZ49" s="42"/>
      <c r="BA49" s="69"/>
      <c r="BE49" s="40"/>
      <c r="BF49" s="40"/>
      <c r="BG49" s="40"/>
      <c r="BH49" s="42"/>
      <c r="BI49" s="69"/>
    </row>
    <row r="50" spans="1:65" x14ac:dyDescent="0.25">
      <c r="A50" s="1">
        <v>48</v>
      </c>
      <c r="B50" s="71" t="b">
        <v>1</v>
      </c>
      <c r="C50" s="71" t="b">
        <v>1</v>
      </c>
      <c r="D50" s="1" t="s">
        <v>151</v>
      </c>
      <c r="E50" s="8">
        <v>1</v>
      </c>
      <c r="F50" s="72">
        <v>1</v>
      </c>
      <c r="G50" s="67" t="b">
        <f>FALSE</f>
        <v>0</v>
      </c>
      <c r="H50" s="47" t="s">
        <v>66</v>
      </c>
      <c r="I50" s="72">
        <v>1</v>
      </c>
      <c r="J50" s="8">
        <v>42</v>
      </c>
      <c r="K50" s="67" t="s">
        <v>123</v>
      </c>
      <c r="L50" s="67"/>
      <c r="M50" s="67"/>
      <c r="N50" s="67"/>
      <c r="O50" s="67"/>
      <c r="P50" s="67"/>
      <c r="Q50" s="40" t="s">
        <v>152</v>
      </c>
      <c r="R50" s="40">
        <v>0</v>
      </c>
      <c r="S50" s="40">
        <f>sel_uq_q0.33ue_umax-$E50</f>
        <v>5.0000000000000044E-2</v>
      </c>
      <c r="T50" s="42"/>
      <c r="U50" s="69"/>
      <c r="V50" s="6">
        <v>7</v>
      </c>
      <c r="W50" s="8">
        <v>0</v>
      </c>
      <c r="X50" s="8"/>
      <c r="Y50" s="40"/>
      <c r="Z50" s="40">
        <v>14</v>
      </c>
      <c r="AA50" s="40">
        <f>sel_uq_q0.33_umin-$E50</f>
        <v>-9.9999999999999978E-2</v>
      </c>
      <c r="AB50" s="42"/>
      <c r="AC50" s="69"/>
      <c r="AD50" s="8">
        <v>21</v>
      </c>
      <c r="AE50" s="8">
        <v>0</v>
      </c>
      <c r="AF50" s="8"/>
      <c r="AG50" s="40"/>
      <c r="AH50" s="40">
        <v>28</v>
      </c>
      <c r="AI50" s="40">
        <f>(sel_uq_q0.33ue_umax-$E50)/2</f>
        <v>2.5000000000000022E-2</v>
      </c>
      <c r="AJ50" s="42"/>
      <c r="AK50" s="69"/>
      <c r="AL50">
        <v>35</v>
      </c>
      <c r="AM50" s="6">
        <f>(sel_uq_q0.33_umin-$E50)/2</f>
        <v>-4.9999999999999989E-2</v>
      </c>
      <c r="AO50" s="40"/>
      <c r="AP50" s="40"/>
      <c r="AQ50" s="40"/>
      <c r="AR50" s="42"/>
      <c r="AS50" s="69"/>
      <c r="AW50" s="40"/>
      <c r="AX50" s="40"/>
      <c r="AY50" s="40"/>
      <c r="AZ50" s="42"/>
      <c r="BA50" s="69"/>
      <c r="BE50" s="40"/>
      <c r="BF50" s="40"/>
      <c r="BG50" s="40"/>
      <c r="BH50" s="42"/>
      <c r="BI50" s="69"/>
    </row>
    <row r="51" spans="1:65" x14ac:dyDescent="0.25">
      <c r="A51" s="1">
        <v>49</v>
      </c>
      <c r="B51" s="71" t="b">
        <v>1</v>
      </c>
      <c r="C51" s="71" t="b">
        <v>1</v>
      </c>
      <c r="D51" s="1" t="s">
        <v>23</v>
      </c>
      <c r="E51" s="8">
        <v>1</v>
      </c>
      <c r="F51" s="72">
        <v>1</v>
      </c>
      <c r="G51" s="67" t="b">
        <f>FALSE</f>
        <v>0</v>
      </c>
      <c r="H51" s="47" t="s">
        <v>68</v>
      </c>
      <c r="I51" s="72">
        <v>0</v>
      </c>
      <c r="J51" s="68">
        <v>60</v>
      </c>
      <c r="K51" s="67" t="s">
        <v>126</v>
      </c>
      <c r="L51" s="67"/>
      <c r="M51" s="67"/>
      <c r="N51" s="67"/>
      <c r="O51" s="67"/>
      <c r="P51" s="67"/>
      <c r="Q51" s="40" t="s">
        <v>41</v>
      </c>
      <c r="R51" s="40">
        <v>0</v>
      </c>
      <c r="S51" s="40">
        <f>sel_ures</f>
        <v>0.15</v>
      </c>
      <c r="T51" s="42"/>
      <c r="U51" s="69"/>
      <c r="V51" s="6">
        <f>sel_tclear</f>
        <v>0.25</v>
      </c>
      <c r="W51" s="6">
        <f>sel_uclear</f>
        <v>0.15</v>
      </c>
      <c r="X51" s="8">
        <f>IF(sel_trec1&gt;sel_tclear,(sel_urec1-sel_uclear)/(sel_trec1-sel_tclear),0)</f>
        <v>0</v>
      </c>
      <c r="Y51" s="40"/>
      <c r="Z51" s="40">
        <f>sel_trec1</f>
        <v>0.25</v>
      </c>
      <c r="AA51" s="40"/>
      <c r="AB51" s="42">
        <v>0</v>
      </c>
      <c r="AC51" s="69"/>
      <c r="AD51" s="8">
        <f>sel_trec2</f>
        <v>0.25</v>
      </c>
      <c r="AE51" s="8"/>
      <c r="AF51" s="8">
        <f>IF(sel_trec3&gt;sel_trec2,(sel_urec2-sel_urec1)/(sel_trec3-sel_trec2),0)</f>
        <v>0.6</v>
      </c>
      <c r="AG51" s="40"/>
      <c r="AH51" s="40">
        <f>sel_trec3</f>
        <v>1.5</v>
      </c>
      <c r="AI51" s="40"/>
      <c r="AJ51" s="42">
        <v>0</v>
      </c>
      <c r="AK51" s="69"/>
      <c r="AL51" s="8"/>
      <c r="AO51" s="40"/>
      <c r="AP51" s="40"/>
      <c r="AQ51" s="40"/>
      <c r="AR51" s="42"/>
      <c r="AS51" s="69"/>
      <c r="AW51" s="40"/>
      <c r="AX51" s="40"/>
      <c r="AY51" s="40"/>
      <c r="AZ51" s="42"/>
      <c r="BA51" s="69"/>
      <c r="BE51" s="40"/>
      <c r="BF51" s="40"/>
      <c r="BG51" s="40"/>
      <c r="BH51" s="42"/>
      <c r="BI51" s="69"/>
    </row>
    <row r="52" spans="1:65" s="57" customFormat="1" x14ac:dyDescent="0.25">
      <c r="A52" s="1">
        <v>50</v>
      </c>
      <c r="B52" s="71" t="b">
        <v>1</v>
      </c>
      <c r="C52" s="71" t="b">
        <v>1</v>
      </c>
      <c r="D52" s="1" t="s">
        <v>167</v>
      </c>
      <c r="E52" s="8">
        <v>1</v>
      </c>
      <c r="F52" s="72">
        <v>1</v>
      </c>
      <c r="G52" s="67" t="b">
        <f>FALSE</f>
        <v>0</v>
      </c>
      <c r="H52" s="47" t="s">
        <v>68</v>
      </c>
      <c r="I52" s="72">
        <v>0</v>
      </c>
      <c r="J52" s="68">
        <f>_xlfn.CEILING.MATH(Z52+5)</f>
        <v>70</v>
      </c>
      <c r="K52" s="67" t="s">
        <v>126</v>
      </c>
      <c r="L52" s="67"/>
      <c r="M52" s="67"/>
      <c r="N52" s="67"/>
      <c r="O52" s="67"/>
      <c r="P52" s="67"/>
      <c r="Q52" s="40" t="s">
        <v>41</v>
      </c>
      <c r="R52" s="40">
        <v>0</v>
      </c>
      <c r="S52" s="40">
        <f>sel_u1</f>
        <v>1.2</v>
      </c>
      <c r="T52" s="42"/>
      <c r="U52" s="69"/>
      <c r="V52" s="6">
        <f>sel_t1</f>
        <v>5</v>
      </c>
      <c r="W52" s="8">
        <f>sel_u2</f>
        <v>1.1499999999999999</v>
      </c>
      <c r="X52" s="8"/>
      <c r="Y52" s="40"/>
      <c r="Z52" s="40">
        <f>sel_t1+sel_t2</f>
        <v>65</v>
      </c>
      <c r="AA52" s="40">
        <v>1</v>
      </c>
      <c r="AB52" s="42"/>
      <c r="AC52" s="69"/>
      <c r="AD52" s="68"/>
      <c r="AE52" s="8"/>
      <c r="AF52" s="8"/>
      <c r="AG52" s="40"/>
      <c r="AH52" s="40"/>
      <c r="AI52" s="40"/>
      <c r="AJ52" s="42"/>
      <c r="AK52" s="69"/>
      <c r="AL52" s="8"/>
      <c r="AM52" s="1"/>
      <c r="AN52" s="1"/>
      <c r="AO52" s="40"/>
      <c r="AP52" s="40"/>
      <c r="AQ52" s="40"/>
      <c r="AR52" s="42"/>
      <c r="AS52" s="69"/>
      <c r="AT52" s="1"/>
      <c r="AU52" s="1"/>
      <c r="AV52" s="1"/>
      <c r="AW52" s="40"/>
      <c r="AX52" s="40"/>
      <c r="AY52" s="40"/>
      <c r="AZ52" s="42"/>
      <c r="BA52" s="69"/>
      <c r="BB52" s="1"/>
      <c r="BC52" s="1"/>
      <c r="BD52" s="1"/>
      <c r="BE52" s="40"/>
      <c r="BF52" s="40"/>
      <c r="BG52" s="40"/>
      <c r="BH52" s="42"/>
      <c r="BI52" s="69"/>
      <c r="BJ52" s="1"/>
      <c r="BK52" s="1"/>
      <c r="BL52" s="1"/>
    </row>
    <row r="53" spans="1:65" s="57" customFormat="1" x14ac:dyDescent="0.25">
      <c r="A53" s="1">
        <v>51</v>
      </c>
      <c r="B53" s="71" t="b">
        <v>1</v>
      </c>
      <c r="C53" s="71" t="b">
        <v>1</v>
      </c>
      <c r="D53" s="1" t="s">
        <v>170</v>
      </c>
      <c r="E53" s="8"/>
      <c r="F53" s="72">
        <v>1</v>
      </c>
      <c r="G53" s="67" t="b">
        <v>0</v>
      </c>
      <c r="H53" s="47" t="s">
        <v>68</v>
      </c>
      <c r="I53" s="72">
        <v>0</v>
      </c>
      <c r="J53" s="68"/>
      <c r="K53" s="67" t="s">
        <v>126</v>
      </c>
      <c r="L53" s="67"/>
      <c r="M53" s="67"/>
      <c r="N53" s="67" t="s">
        <v>172</v>
      </c>
      <c r="O53" s="67"/>
      <c r="P53" s="67"/>
      <c r="Q53" s="40"/>
      <c r="R53" s="40"/>
      <c r="S53" s="40"/>
      <c r="T53" s="42"/>
      <c r="U53" s="69"/>
      <c r="V53" s="6"/>
      <c r="W53" s="8"/>
      <c r="X53" s="8"/>
      <c r="Y53" s="40"/>
      <c r="Z53" s="40"/>
      <c r="AA53" s="40"/>
      <c r="AB53" s="42"/>
      <c r="AC53" s="69"/>
      <c r="AD53" s="68"/>
      <c r="AE53" s="8"/>
      <c r="AF53" s="8"/>
      <c r="AG53" s="40"/>
      <c r="AH53" s="40"/>
      <c r="AI53" s="40"/>
      <c r="AJ53" s="42"/>
      <c r="AK53" s="69"/>
      <c r="AL53" s="8"/>
      <c r="AM53" s="1"/>
      <c r="AN53" s="1"/>
      <c r="AO53" s="40"/>
      <c r="AP53" s="40"/>
      <c r="AQ53" s="40"/>
      <c r="AR53" s="42"/>
      <c r="AS53" s="69"/>
      <c r="AT53" s="1"/>
      <c r="AU53" s="1"/>
      <c r="AV53" s="1"/>
      <c r="AW53" s="40"/>
      <c r="AX53" s="40"/>
      <c r="AY53" s="40"/>
      <c r="AZ53" s="42"/>
      <c r="BA53" s="69"/>
      <c r="BB53" s="1"/>
      <c r="BC53" s="1"/>
      <c r="BD53" s="1"/>
      <c r="BE53" s="40"/>
      <c r="BF53" s="40"/>
      <c r="BG53" s="40"/>
      <c r="BH53" s="42"/>
      <c r="BI53" s="69"/>
      <c r="BJ53" s="1"/>
      <c r="BK53" s="1"/>
      <c r="BL53" s="1"/>
    </row>
    <row r="54" spans="1:65" s="57" customFormat="1" x14ac:dyDescent="0.25">
      <c r="A54" s="1">
        <v>52</v>
      </c>
      <c r="B54" s="71" t="b">
        <v>1</v>
      </c>
      <c r="C54" s="71" t="b">
        <v>1</v>
      </c>
      <c r="D54" s="1" t="s">
        <v>178</v>
      </c>
      <c r="E54" s="8"/>
      <c r="F54" s="72">
        <v>1</v>
      </c>
      <c r="G54" s="67" t="b">
        <v>0</v>
      </c>
      <c r="H54" s="67" t="str">
        <f>IF(inp_default="Q(U)","Q", "Q(U)")</f>
        <v>Q(U)</v>
      </c>
      <c r="I54" s="72">
        <v>1</v>
      </c>
      <c r="J54" s="68"/>
      <c r="K54" s="67" t="s">
        <v>126</v>
      </c>
      <c r="L54" s="67"/>
      <c r="M54" s="67"/>
      <c r="N54" s="67" t="s">
        <v>172</v>
      </c>
      <c r="O54" s="67"/>
      <c r="P54" s="67"/>
      <c r="Q54" s="40"/>
      <c r="R54" s="40"/>
      <c r="S54" s="40"/>
      <c r="T54" s="42"/>
      <c r="U54" s="69"/>
      <c r="V54" s="6"/>
      <c r="W54" s="8"/>
      <c r="X54" s="8"/>
      <c r="Y54" s="40"/>
      <c r="Z54" s="40"/>
      <c r="AA54" s="40"/>
      <c r="AB54" s="42"/>
      <c r="AC54" s="69"/>
      <c r="AD54" s="68"/>
      <c r="AE54" s="8"/>
      <c r="AF54" s="8"/>
      <c r="AG54" s="40"/>
      <c r="AH54" s="40"/>
      <c r="AI54" s="40"/>
      <c r="AJ54" s="42"/>
      <c r="AK54" s="69"/>
      <c r="AL54" s="8"/>
      <c r="AM54" s="1"/>
      <c r="AN54" s="1"/>
      <c r="AO54" s="40"/>
      <c r="AP54" s="40"/>
      <c r="AQ54" s="40"/>
      <c r="AR54" s="42"/>
      <c r="AS54" s="69"/>
      <c r="AT54" s="1"/>
      <c r="AU54" s="1"/>
      <c r="AV54" s="1"/>
      <c r="AW54" s="40"/>
      <c r="AX54" s="40"/>
      <c r="AY54" s="40"/>
      <c r="AZ54" s="42"/>
      <c r="BA54" s="69"/>
      <c r="BB54" s="1"/>
      <c r="BC54" s="1"/>
      <c r="BD54" s="1"/>
      <c r="BE54" s="40"/>
      <c r="BF54" s="40"/>
      <c r="BG54" s="40"/>
      <c r="BH54" s="42"/>
      <c r="BI54" s="69"/>
      <c r="BJ54" s="1"/>
      <c r="BK54" s="1"/>
      <c r="BL54" s="1"/>
    </row>
    <row r="55" spans="1:65" s="57" customFormat="1" x14ac:dyDescent="0.25">
      <c r="A55" s="1">
        <v>53</v>
      </c>
      <c r="B55" s="71" t="b">
        <v>1</v>
      </c>
      <c r="C55" s="71" t="b">
        <v>1</v>
      </c>
      <c r="D55" s="1" t="s">
        <v>169</v>
      </c>
      <c r="E55" s="8"/>
      <c r="F55" s="72">
        <v>1</v>
      </c>
      <c r="G55" s="67" t="b">
        <v>0</v>
      </c>
      <c r="H55" s="47" t="s">
        <v>68</v>
      </c>
      <c r="I55" s="72">
        <v>0</v>
      </c>
      <c r="J55" s="68"/>
      <c r="K55" s="67" t="s">
        <v>126</v>
      </c>
      <c r="L55" s="67"/>
      <c r="M55" s="67"/>
      <c r="N55" s="67" t="s">
        <v>174</v>
      </c>
      <c r="O55" s="67"/>
      <c r="P55" s="67"/>
      <c r="Q55" s="40"/>
      <c r="R55" s="40"/>
      <c r="S55" s="40"/>
      <c r="T55" s="42"/>
      <c r="U55" s="69"/>
      <c r="V55" s="6"/>
      <c r="W55" s="8"/>
      <c r="X55" s="8"/>
      <c r="Y55" s="40"/>
      <c r="Z55" s="40"/>
      <c r="AA55" s="40"/>
      <c r="AB55" s="42"/>
      <c r="AC55" s="69"/>
      <c r="AD55" s="68"/>
      <c r="AE55" s="8"/>
      <c r="AF55" s="8"/>
      <c r="AG55" s="40"/>
      <c r="AH55" s="40"/>
      <c r="AI55" s="40"/>
      <c r="AJ55" s="42"/>
      <c r="AK55" s="69"/>
      <c r="AL55" s="8"/>
      <c r="AM55" s="1"/>
      <c r="AN55" s="1"/>
      <c r="AO55" s="40"/>
      <c r="AP55" s="40"/>
      <c r="AQ55" s="40"/>
      <c r="AR55" s="42"/>
      <c r="AS55" s="69"/>
      <c r="AT55" s="1"/>
      <c r="AU55" s="1"/>
      <c r="AV55" s="1"/>
      <c r="AW55" s="40"/>
      <c r="AX55" s="40"/>
      <c r="AY55" s="40"/>
      <c r="AZ55" s="42"/>
      <c r="BA55" s="69"/>
      <c r="BB55" s="1"/>
      <c r="BC55" s="1"/>
      <c r="BD55" s="1"/>
      <c r="BE55" s="40"/>
      <c r="BF55" s="40"/>
      <c r="BG55" s="40"/>
      <c r="BH55" s="42"/>
      <c r="BI55" s="69"/>
      <c r="BJ55" s="1"/>
      <c r="BK55" s="1"/>
      <c r="BL55" s="1"/>
    </row>
    <row r="56" spans="1:65" s="57" customFormat="1" x14ac:dyDescent="0.25">
      <c r="A56" s="1">
        <v>54</v>
      </c>
      <c r="B56" s="71" t="b">
        <v>1</v>
      </c>
      <c r="C56" s="71" t="b">
        <v>1</v>
      </c>
      <c r="D56" s="1" t="s">
        <v>179</v>
      </c>
      <c r="E56" s="8"/>
      <c r="F56" s="72">
        <v>1</v>
      </c>
      <c r="G56" s="67" t="b">
        <v>0</v>
      </c>
      <c r="H56" s="67" t="str">
        <f>IF(inp_default="Q(U)","Q", "Q(U)")</f>
        <v>Q(U)</v>
      </c>
      <c r="I56" s="72">
        <v>1</v>
      </c>
      <c r="J56" s="68"/>
      <c r="K56" s="67" t="s">
        <v>126</v>
      </c>
      <c r="L56" s="67"/>
      <c r="M56" s="67"/>
      <c r="N56" s="67" t="s">
        <v>174</v>
      </c>
      <c r="O56" s="67"/>
      <c r="P56" s="67"/>
      <c r="Q56" s="40"/>
      <c r="R56" s="40"/>
      <c r="S56" s="40"/>
      <c r="T56" s="42"/>
      <c r="U56" s="69"/>
      <c r="V56" s="6"/>
      <c r="W56" s="8"/>
      <c r="X56" s="8"/>
      <c r="Y56" s="40"/>
      <c r="Z56" s="40"/>
      <c r="AA56" s="40"/>
      <c r="AB56" s="42"/>
      <c r="AC56" s="69"/>
      <c r="AD56" s="68"/>
      <c r="AE56" s="8"/>
      <c r="AF56" s="8"/>
      <c r="AG56" s="40"/>
      <c r="AH56" s="40"/>
      <c r="AI56" s="40"/>
      <c r="AJ56" s="42"/>
      <c r="AK56" s="69"/>
      <c r="AL56" s="8"/>
      <c r="AM56" s="1"/>
      <c r="AN56" s="1"/>
      <c r="AO56" s="40"/>
      <c r="AP56" s="40"/>
      <c r="AQ56" s="40"/>
      <c r="AR56" s="42"/>
      <c r="AS56" s="69"/>
      <c r="AT56" s="1"/>
      <c r="AU56" s="1"/>
      <c r="AV56" s="1"/>
      <c r="AW56" s="40"/>
      <c r="AX56" s="40"/>
      <c r="AY56" s="40"/>
      <c r="AZ56" s="42"/>
      <c r="BA56" s="69"/>
      <c r="BB56" s="1"/>
      <c r="BC56" s="1"/>
      <c r="BD56" s="1"/>
      <c r="BE56" s="40"/>
      <c r="BF56" s="40"/>
      <c r="BG56" s="40"/>
      <c r="BH56" s="42"/>
      <c r="BI56" s="69"/>
      <c r="BJ56" s="1"/>
      <c r="BK56" s="1"/>
      <c r="BL56" s="1"/>
    </row>
    <row r="57" spans="1:65" s="57" customFormat="1" x14ac:dyDescent="0.25">
      <c r="A57" s="1">
        <v>55</v>
      </c>
      <c r="B57" s="71" t="b">
        <v>1</v>
      </c>
      <c r="C57" s="71" t="b">
        <v>1</v>
      </c>
      <c r="D57" s="1" t="s">
        <v>171</v>
      </c>
      <c r="E57" s="8"/>
      <c r="F57" s="72">
        <v>1</v>
      </c>
      <c r="G57" s="67" t="b">
        <v>0</v>
      </c>
      <c r="H57" s="47" t="s">
        <v>68</v>
      </c>
      <c r="I57" s="72">
        <v>0</v>
      </c>
      <c r="J57" s="68"/>
      <c r="K57" s="67" t="s">
        <v>126</v>
      </c>
      <c r="L57" s="67"/>
      <c r="M57" s="67"/>
      <c r="N57" s="67" t="s">
        <v>173</v>
      </c>
      <c r="O57" s="67"/>
      <c r="P57" s="67"/>
      <c r="Q57" s="40"/>
      <c r="R57" s="40"/>
      <c r="S57" s="40"/>
      <c r="T57" s="42"/>
      <c r="U57" s="69"/>
      <c r="V57" s="6"/>
      <c r="W57" s="8"/>
      <c r="X57" s="8"/>
      <c r="Y57" s="40"/>
      <c r="Z57" s="40"/>
      <c r="AA57" s="40"/>
      <c r="AB57" s="42"/>
      <c r="AC57" s="69"/>
      <c r="AD57" s="68"/>
      <c r="AE57" s="8"/>
      <c r="AF57" s="8"/>
      <c r="AG57" s="40"/>
      <c r="AH57" s="40"/>
      <c r="AI57" s="40"/>
      <c r="AJ57" s="42"/>
      <c r="AK57" s="69"/>
      <c r="AL57" s="8"/>
      <c r="AM57" s="1"/>
      <c r="AN57" s="1"/>
      <c r="AO57" s="40"/>
      <c r="AP57" s="40"/>
      <c r="AQ57" s="40"/>
      <c r="AR57" s="42"/>
      <c r="AS57" s="69"/>
      <c r="AT57" s="1"/>
      <c r="AU57" s="1"/>
      <c r="AV57" s="1"/>
      <c r="AW57" s="40"/>
      <c r="AX57" s="40"/>
      <c r="AY57" s="40"/>
      <c r="AZ57" s="42"/>
      <c r="BA57" s="69"/>
      <c r="BB57" s="1"/>
      <c r="BC57" s="1"/>
      <c r="BD57" s="1"/>
      <c r="BE57" s="40"/>
      <c r="BF57" s="40"/>
      <c r="BG57" s="40"/>
      <c r="BH57" s="42"/>
      <c r="BI57" s="69"/>
      <c r="BJ57" s="1"/>
      <c r="BK57" s="1"/>
      <c r="BL57" s="1"/>
    </row>
    <row r="58" spans="1:65" s="57" customFormat="1" x14ac:dyDescent="0.25">
      <c r="A58" s="1">
        <v>56</v>
      </c>
      <c r="B58" s="71" t="b">
        <v>1</v>
      </c>
      <c r="C58" s="71" t="b">
        <v>1</v>
      </c>
      <c r="D58" s="1" t="s">
        <v>180</v>
      </c>
      <c r="E58" s="8"/>
      <c r="F58" s="72">
        <v>1</v>
      </c>
      <c r="G58" s="67" t="b">
        <v>0</v>
      </c>
      <c r="H58" s="67" t="str">
        <f>IF(inp_default="Q(U)","Q", "Q(U)")</f>
        <v>Q(U)</v>
      </c>
      <c r="I58" s="72">
        <v>1</v>
      </c>
      <c r="J58" s="68"/>
      <c r="K58" s="67" t="s">
        <v>126</v>
      </c>
      <c r="L58" s="67"/>
      <c r="M58" s="67"/>
      <c r="N58" s="67" t="s">
        <v>173</v>
      </c>
      <c r="O58" s="67"/>
      <c r="P58" s="67"/>
      <c r="Q58" s="40"/>
      <c r="R58" s="40"/>
      <c r="S58" s="40"/>
      <c r="T58" s="42"/>
      <c r="U58" s="69"/>
      <c r="V58" s="6"/>
      <c r="W58" s="8"/>
      <c r="X58" s="8"/>
      <c r="Y58" s="40"/>
      <c r="Z58" s="40"/>
      <c r="AA58" s="40"/>
      <c r="AB58" s="42"/>
      <c r="AC58" s="69"/>
      <c r="AD58" s="68"/>
      <c r="AE58" s="8"/>
      <c r="AF58" s="8"/>
      <c r="AG58" s="40"/>
      <c r="AH58" s="40"/>
      <c r="AI58" s="40"/>
      <c r="AJ58" s="42"/>
      <c r="AK58" s="69"/>
      <c r="AL58" s="8"/>
      <c r="AM58" s="1"/>
      <c r="AN58" s="1"/>
      <c r="AO58" s="40"/>
      <c r="AP58" s="40"/>
      <c r="AQ58" s="40"/>
      <c r="AR58" s="42"/>
      <c r="AS58" s="69"/>
      <c r="AT58" s="1"/>
      <c r="AU58" s="1"/>
      <c r="AV58" s="1"/>
      <c r="AW58" s="40"/>
      <c r="AX58" s="40"/>
      <c r="AY58" s="40"/>
      <c r="AZ58" s="42"/>
      <c r="BA58" s="69"/>
      <c r="BB58" s="1"/>
      <c r="BC58" s="1"/>
      <c r="BD58" s="1"/>
      <c r="BE58" s="40"/>
      <c r="BF58" s="40"/>
      <c r="BG58" s="40"/>
      <c r="BH58" s="42"/>
      <c r="BI58" s="69"/>
      <c r="BJ58" s="1"/>
      <c r="BK58" s="1"/>
      <c r="BL58" s="1"/>
    </row>
    <row r="59" spans="1:65" s="57" customFormat="1" x14ac:dyDescent="0.25">
      <c r="A59" s="1">
        <v>57</v>
      </c>
      <c r="B59" s="71" t="b">
        <v>1</v>
      </c>
      <c r="C59" s="71" t="b">
        <v>1</v>
      </c>
      <c r="D59" s="1" t="s">
        <v>177</v>
      </c>
      <c r="E59" s="8"/>
      <c r="F59" s="72">
        <v>1</v>
      </c>
      <c r="G59" s="67" t="b">
        <v>0</v>
      </c>
      <c r="H59" s="47" t="s">
        <v>68</v>
      </c>
      <c r="I59" s="72">
        <v>0</v>
      </c>
      <c r="J59" s="68"/>
      <c r="K59" s="67" t="s">
        <v>126</v>
      </c>
      <c r="L59" s="67"/>
      <c r="M59" s="67"/>
      <c r="N59" s="67" t="s">
        <v>182</v>
      </c>
      <c r="O59" s="67"/>
      <c r="P59" s="67"/>
      <c r="Q59" s="40"/>
      <c r="R59" s="40"/>
      <c r="S59" s="40"/>
      <c r="T59" s="42"/>
      <c r="U59" s="69"/>
      <c r="V59" s="6"/>
      <c r="W59" s="8"/>
      <c r="X59" s="8"/>
      <c r="Y59" s="40"/>
      <c r="Z59" s="40"/>
      <c r="AA59" s="40"/>
      <c r="AB59" s="42"/>
      <c r="AC59" s="69"/>
      <c r="AD59" s="68"/>
      <c r="AE59" s="8"/>
      <c r="AF59" s="8"/>
      <c r="AG59" s="40"/>
      <c r="AH59" s="40"/>
      <c r="AI59" s="40"/>
      <c r="AJ59" s="42"/>
      <c r="AK59" s="69"/>
      <c r="AL59" s="8"/>
      <c r="AM59" s="1"/>
      <c r="AN59" s="1"/>
      <c r="AO59" s="40"/>
      <c r="AP59" s="40"/>
      <c r="AQ59" s="40"/>
      <c r="AR59" s="42"/>
      <c r="AS59" s="69"/>
      <c r="AT59" s="1"/>
      <c r="AU59" s="1"/>
      <c r="AV59" s="1"/>
      <c r="AW59" s="40"/>
      <c r="AX59" s="40"/>
      <c r="AY59" s="40"/>
      <c r="AZ59" s="42"/>
      <c r="BA59" s="69"/>
      <c r="BB59" s="1"/>
      <c r="BC59" s="1"/>
      <c r="BD59" s="1"/>
      <c r="BE59" s="40"/>
      <c r="BF59" s="40"/>
      <c r="BG59" s="40"/>
      <c r="BH59" s="42"/>
      <c r="BI59" s="69"/>
      <c r="BJ59" s="1"/>
      <c r="BK59" s="1"/>
      <c r="BL59" s="1"/>
    </row>
    <row r="60" spans="1:65" s="57" customFormat="1" x14ac:dyDescent="0.25">
      <c r="A60" s="1">
        <v>58</v>
      </c>
      <c r="B60" s="71" t="b">
        <v>1</v>
      </c>
      <c r="C60" s="71" t="b">
        <v>1</v>
      </c>
      <c r="D60" s="1" t="s">
        <v>181</v>
      </c>
      <c r="E60" s="8"/>
      <c r="F60" s="72">
        <v>1</v>
      </c>
      <c r="G60" s="67" t="b">
        <v>0</v>
      </c>
      <c r="H60" s="67" t="str">
        <f>IF(inp_default="Q(U)","Q", "Q(U)")</f>
        <v>Q(U)</v>
      </c>
      <c r="I60" s="72">
        <v>1</v>
      </c>
      <c r="J60" s="68"/>
      <c r="K60" s="67" t="s">
        <v>126</v>
      </c>
      <c r="L60" s="67"/>
      <c r="M60" s="67"/>
      <c r="N60" s="67" t="s">
        <v>182</v>
      </c>
      <c r="O60" s="67"/>
      <c r="P60" s="67"/>
      <c r="Q60" s="40"/>
      <c r="R60" s="40"/>
      <c r="S60" s="40"/>
      <c r="T60" s="42"/>
      <c r="U60" s="69"/>
      <c r="V60" s="6"/>
      <c r="W60" s="8"/>
      <c r="X60" s="8"/>
      <c r="Y60" s="40"/>
      <c r="Z60" s="40"/>
      <c r="AA60" s="40"/>
      <c r="AB60" s="42"/>
      <c r="AC60" s="69"/>
      <c r="AD60" s="68"/>
      <c r="AE60" s="8"/>
      <c r="AF60" s="8"/>
      <c r="AG60" s="40"/>
      <c r="AH60" s="40"/>
      <c r="AI60" s="40"/>
      <c r="AJ60" s="42"/>
      <c r="AK60" s="69"/>
      <c r="AL60" s="8"/>
      <c r="AM60" s="1"/>
      <c r="AN60" s="1"/>
      <c r="AO60" s="40"/>
      <c r="AP60" s="40"/>
      <c r="AQ60" s="40"/>
      <c r="AR60" s="42"/>
      <c r="AS60" s="69"/>
      <c r="AT60" s="1"/>
      <c r="AU60" s="1"/>
      <c r="AV60" s="1"/>
      <c r="AW60" s="40"/>
      <c r="AX60" s="40"/>
      <c r="AY60" s="40"/>
      <c r="AZ60" s="42"/>
      <c r="BA60" s="69"/>
      <c r="BB60" s="1"/>
      <c r="BC60" s="1"/>
      <c r="BD60" s="1"/>
      <c r="BE60" s="40"/>
      <c r="BF60" s="40"/>
      <c r="BG60" s="40"/>
      <c r="BH60" s="42"/>
      <c r="BI60" s="69"/>
      <c r="BJ60" s="1"/>
      <c r="BK60" s="1"/>
      <c r="BL60" s="1"/>
    </row>
    <row r="61" spans="1:65" s="57" customFormat="1" x14ac:dyDescent="0.25">
      <c r="A61" s="1">
        <v>59</v>
      </c>
      <c r="B61" s="71" t="b">
        <v>1</v>
      </c>
      <c r="C61" s="71" t="b">
        <v>1</v>
      </c>
      <c r="D61" s="1" t="s">
        <v>199</v>
      </c>
      <c r="E61" s="8">
        <v>1</v>
      </c>
      <c r="F61" s="72">
        <v>1</v>
      </c>
      <c r="G61" s="67" t="b">
        <f>FALSE</f>
        <v>0</v>
      </c>
      <c r="H61" s="47" t="s">
        <v>68</v>
      </c>
      <c r="I61" s="72">
        <v>0</v>
      </c>
      <c r="J61" s="68">
        <v>30</v>
      </c>
      <c r="K61" s="67" t="s">
        <v>124</v>
      </c>
      <c r="L61" s="67"/>
      <c r="M61" s="67"/>
      <c r="N61" s="67"/>
      <c r="O61" s="67"/>
      <c r="P61" s="67"/>
      <c r="Q61" s="40" t="s">
        <v>46</v>
      </c>
      <c r="R61" s="40">
        <v>0</v>
      </c>
      <c r="S61" s="40">
        <v>0</v>
      </c>
      <c r="T61" s="42">
        <f t="shared" ref="T61:T77" si="0">IF(S61&lt;sel_ures,0,
IF(AND(sel_uclear&gt;=S61, S61&gt;=sel_ures),sel_tclear,
IF(AND(sel_urec1&gt;=S61,S61&gt;sel_uclear),IF(sel_urec1&gt;sel_uclear,sel_tclear+(S61-sel_uclear)*(sel_trec1-sel_tclear)/(sel_urec1-sel_uclear),sel_tclear),
IF(AND(sel_urec2&gt;=S61,S61&gt;sel_urec1),IF(sel_urec2&gt;sel_urec1,sel_trec2+(S61-sel_urec1)*(sel_trec3-sel_trec2)/(sel_urec2-sel_urec1),-99999),5
))))</f>
        <v>0</v>
      </c>
      <c r="U61" s="69"/>
      <c r="V61" s="6"/>
      <c r="W61" s="8"/>
      <c r="X61" s="8"/>
      <c r="Y61" s="40"/>
      <c r="Z61" s="40"/>
      <c r="AA61" s="40"/>
      <c r="AB61" s="42"/>
      <c r="AC61" s="69"/>
      <c r="AD61" s="68"/>
      <c r="AE61" s="8"/>
      <c r="AF61" s="8"/>
      <c r="AG61" s="40"/>
      <c r="AH61" s="40"/>
      <c r="AI61" s="40"/>
      <c r="AJ61" s="42"/>
      <c r="AK61" s="69"/>
      <c r="AL61" s="8"/>
      <c r="AM61" s="1"/>
      <c r="AN61" s="1"/>
      <c r="AO61" s="40"/>
      <c r="AP61" s="40"/>
      <c r="AQ61" s="40"/>
      <c r="AR61" s="42"/>
      <c r="AS61" s="69"/>
      <c r="AT61" s="1"/>
      <c r="AU61" s="1"/>
      <c r="AV61" s="1"/>
      <c r="AW61" s="40"/>
      <c r="AX61" s="40"/>
      <c r="AY61" s="40"/>
      <c r="AZ61" s="42"/>
      <c r="BA61" s="69"/>
      <c r="BB61" s="1"/>
      <c r="BC61" s="1"/>
      <c r="BD61" s="1"/>
      <c r="BE61" s="40"/>
      <c r="BF61" s="40"/>
      <c r="BG61" s="40"/>
      <c r="BH61" s="42"/>
      <c r="BI61" s="69"/>
      <c r="BJ61" s="1"/>
      <c r="BK61" s="1"/>
      <c r="BL61" s="1"/>
    </row>
    <row r="62" spans="1:65" s="57" customFormat="1" x14ac:dyDescent="0.25">
      <c r="A62" s="1">
        <v>60</v>
      </c>
      <c r="B62" s="71" t="b">
        <v>1</v>
      </c>
      <c r="C62" s="71" t="b">
        <v>1</v>
      </c>
      <c r="D62" s="1" t="s">
        <v>198</v>
      </c>
      <c r="E62" s="8">
        <v>1</v>
      </c>
      <c r="F62" s="72">
        <v>1</v>
      </c>
      <c r="G62" s="67" t="b">
        <f>FALSE</f>
        <v>0</v>
      </c>
      <c r="H62" s="47" t="s">
        <v>68</v>
      </c>
      <c r="I62" s="72">
        <v>0</v>
      </c>
      <c r="J62" s="68">
        <v>30</v>
      </c>
      <c r="K62" s="67" t="s">
        <v>124</v>
      </c>
      <c r="L62" s="67"/>
      <c r="M62" s="67"/>
      <c r="N62" s="67"/>
      <c r="O62" s="67"/>
      <c r="P62" s="67"/>
      <c r="Q62" s="40" t="s">
        <v>46</v>
      </c>
      <c r="R62" s="40">
        <v>0</v>
      </c>
      <c r="S62" s="40">
        <f xml:space="preserve"> 0.25 * sel_lvfrt_start</f>
        <v>0.22500000000000001</v>
      </c>
      <c r="T62" s="42">
        <f t="shared" si="0"/>
        <v>0.375</v>
      </c>
      <c r="U62" s="69"/>
      <c r="V62" s="6"/>
      <c r="W62" s="8"/>
      <c r="X62" s="8"/>
      <c r="Y62" s="40"/>
      <c r="Z62" s="40"/>
      <c r="AA62" s="40"/>
      <c r="AB62" s="42"/>
      <c r="AC62" s="69"/>
      <c r="AD62" s="68"/>
      <c r="AE62" s="8"/>
      <c r="AF62" s="8"/>
      <c r="AG62" s="40"/>
      <c r="AH62" s="40"/>
      <c r="AI62" s="40"/>
      <c r="AJ62" s="42"/>
      <c r="AK62" s="69"/>
      <c r="AL62" s="8"/>
      <c r="AM62" s="1"/>
      <c r="AN62" s="1"/>
      <c r="AO62" s="40"/>
      <c r="AP62" s="40"/>
      <c r="AQ62" s="40"/>
      <c r="AR62" s="42"/>
      <c r="AS62" s="69"/>
      <c r="AT62" s="1"/>
      <c r="AU62" s="1"/>
      <c r="AV62" s="1"/>
      <c r="AW62" s="40"/>
      <c r="AX62" s="40"/>
      <c r="AY62" s="40"/>
      <c r="AZ62" s="42"/>
      <c r="BA62" s="69"/>
      <c r="BB62" s="1"/>
      <c r="BC62" s="1"/>
      <c r="BD62" s="1"/>
      <c r="BE62" s="40"/>
      <c r="BF62" s="40"/>
      <c r="BG62" s="40"/>
      <c r="BH62" s="42"/>
      <c r="BI62" s="69"/>
      <c r="BJ62" s="1"/>
      <c r="BK62" s="1"/>
      <c r="BL62" s="1"/>
    </row>
    <row r="63" spans="1:65" s="13" customFormat="1" x14ac:dyDescent="0.25">
      <c r="A63" s="1">
        <v>61</v>
      </c>
      <c r="B63" s="71" t="b">
        <v>1</v>
      </c>
      <c r="C63" s="71" t="b">
        <v>1</v>
      </c>
      <c r="D63" s="1" t="s">
        <v>197</v>
      </c>
      <c r="E63" s="8">
        <v>1</v>
      </c>
      <c r="F63" s="72">
        <v>1</v>
      </c>
      <c r="G63" s="67" t="b">
        <f>FALSE</f>
        <v>0</v>
      </c>
      <c r="H63" s="47" t="s">
        <v>68</v>
      </c>
      <c r="I63" s="72">
        <v>0</v>
      </c>
      <c r="J63" s="68">
        <v>30</v>
      </c>
      <c r="K63" s="67" t="s">
        <v>124</v>
      </c>
      <c r="L63" s="67"/>
      <c r="M63" s="67"/>
      <c r="N63" s="67"/>
      <c r="O63" s="67"/>
      <c r="P63" s="67"/>
      <c r="Q63" s="40" t="s">
        <v>46</v>
      </c>
      <c r="R63" s="40">
        <v>0</v>
      </c>
      <c r="S63" s="40">
        <f xml:space="preserve"> 0.5 * sel_lvfrt_start</f>
        <v>0.45</v>
      </c>
      <c r="T63" s="42">
        <f t="shared" si="0"/>
        <v>0.75000000000000011</v>
      </c>
      <c r="U63" s="69"/>
      <c r="V63" s="73"/>
      <c r="W63" s="74"/>
      <c r="X63" s="74"/>
      <c r="Y63" s="40"/>
      <c r="Z63" s="43"/>
      <c r="AA63" s="43"/>
      <c r="AB63" s="44"/>
      <c r="AC63" s="69"/>
      <c r="AD63" s="75"/>
      <c r="AE63" s="74"/>
      <c r="AF63" s="74"/>
      <c r="AG63" s="40"/>
      <c r="AH63" s="43"/>
      <c r="AI63" s="43"/>
      <c r="AJ63" s="44"/>
      <c r="AK63" s="69"/>
      <c r="AL63" s="74"/>
      <c r="AM63" s="1"/>
      <c r="AN63" s="1"/>
      <c r="AO63" s="40"/>
      <c r="AP63" s="43"/>
      <c r="AQ63" s="43"/>
      <c r="AR63" s="44"/>
      <c r="AS63" s="69"/>
      <c r="AT63" s="1"/>
      <c r="AU63" s="1"/>
      <c r="AV63" s="1"/>
      <c r="AW63" s="40"/>
      <c r="AX63" s="43"/>
      <c r="AY63" s="43"/>
      <c r="AZ63" s="44"/>
      <c r="BA63" s="69"/>
      <c r="BB63" s="1"/>
      <c r="BC63" s="1"/>
      <c r="BD63" s="1"/>
      <c r="BE63" s="40"/>
      <c r="BF63" s="43"/>
      <c r="BG63" s="43"/>
      <c r="BH63" s="44"/>
      <c r="BI63" s="69"/>
      <c r="BJ63" s="1"/>
      <c r="BK63" s="1"/>
      <c r="BL63" s="1"/>
      <c r="BM63" s="2"/>
    </row>
    <row r="64" spans="1:65" s="13" customFormat="1" x14ac:dyDescent="0.25">
      <c r="A64" s="1">
        <v>62</v>
      </c>
      <c r="B64" s="71" t="b">
        <v>1</v>
      </c>
      <c r="C64" s="71" t="b">
        <v>1</v>
      </c>
      <c r="D64" s="1" t="s">
        <v>196</v>
      </c>
      <c r="E64" s="8">
        <v>1</v>
      </c>
      <c r="F64" s="72">
        <v>1</v>
      </c>
      <c r="G64" s="67" t="b">
        <f>FALSE</f>
        <v>0</v>
      </c>
      <c r="H64" s="47" t="s">
        <v>68</v>
      </c>
      <c r="I64" s="72">
        <v>0</v>
      </c>
      <c r="J64" s="68">
        <v>30</v>
      </c>
      <c r="K64" s="67" t="s">
        <v>124</v>
      </c>
      <c r="L64" s="67"/>
      <c r="M64" s="67"/>
      <c r="N64" s="67"/>
      <c r="O64" s="67"/>
      <c r="P64" s="67"/>
      <c r="Q64" s="40" t="s">
        <v>46</v>
      </c>
      <c r="R64" s="40">
        <v>0</v>
      </c>
      <c r="S64" s="40">
        <f>0.75 * sel_lvfrt_start</f>
        <v>0.67500000000000004</v>
      </c>
      <c r="T64" s="42">
        <f t="shared" si="0"/>
        <v>1.125</v>
      </c>
      <c r="U64" s="69"/>
      <c r="V64" s="73"/>
      <c r="W64" s="74"/>
      <c r="X64" s="74"/>
      <c r="Y64" s="40"/>
      <c r="Z64" s="43"/>
      <c r="AA64" s="43"/>
      <c r="AB64" s="44"/>
      <c r="AC64" s="69"/>
      <c r="AD64" s="75"/>
      <c r="AE64" s="74"/>
      <c r="AF64" s="74"/>
      <c r="AG64" s="40"/>
      <c r="AH64" s="43"/>
      <c r="AI64" s="43"/>
      <c r="AJ64" s="44"/>
      <c r="AK64" s="69"/>
      <c r="AL64" s="74"/>
      <c r="AM64" s="1"/>
      <c r="AN64" s="1"/>
      <c r="AO64" s="40"/>
      <c r="AP64" s="43"/>
      <c r="AQ64" s="43"/>
      <c r="AR64" s="44"/>
      <c r="AS64" s="69"/>
      <c r="AT64" s="1"/>
      <c r="AU64" s="1"/>
      <c r="AV64" s="1"/>
      <c r="AW64" s="40"/>
      <c r="AX64" s="43"/>
      <c r="AY64" s="43"/>
      <c r="AZ64" s="44"/>
      <c r="BA64" s="69"/>
      <c r="BB64" s="1"/>
      <c r="BC64" s="1"/>
      <c r="BD64" s="1"/>
      <c r="BE64" s="40"/>
      <c r="BF64" s="43"/>
      <c r="BG64" s="43"/>
      <c r="BH64" s="44"/>
      <c r="BI64" s="69"/>
      <c r="BJ64" s="1"/>
      <c r="BK64" s="1"/>
      <c r="BL64" s="1"/>
      <c r="BM64" s="2"/>
    </row>
    <row r="65" spans="1:65" s="13" customFormat="1" x14ac:dyDescent="0.25">
      <c r="A65" s="1">
        <v>63</v>
      </c>
      <c r="B65" s="71" t="b">
        <v>1</v>
      </c>
      <c r="C65" s="71" t="b">
        <v>1</v>
      </c>
      <c r="D65" s="1" t="s">
        <v>195</v>
      </c>
      <c r="E65" s="8">
        <v>1</v>
      </c>
      <c r="F65" s="72">
        <v>1</v>
      </c>
      <c r="G65" s="67" t="b">
        <f>FALSE</f>
        <v>0</v>
      </c>
      <c r="H65" s="47" t="s">
        <v>68</v>
      </c>
      <c r="I65" s="72">
        <v>0</v>
      </c>
      <c r="J65" s="68">
        <v>30</v>
      </c>
      <c r="K65" s="67" t="s">
        <v>124</v>
      </c>
      <c r="L65" s="67"/>
      <c r="M65" s="67"/>
      <c r="N65" s="67"/>
      <c r="O65" s="67"/>
      <c r="P65" s="67"/>
      <c r="Q65" s="40" t="s">
        <v>46</v>
      </c>
      <c r="R65" s="40">
        <v>0</v>
      </c>
      <c r="S65" s="40">
        <f>sel_lvfrt_start</f>
        <v>0.9</v>
      </c>
      <c r="T65" s="42">
        <f t="shared" si="0"/>
        <v>1.5</v>
      </c>
      <c r="U65" s="69"/>
      <c r="V65" s="73"/>
      <c r="W65" s="74"/>
      <c r="X65" s="74"/>
      <c r="Y65" s="40"/>
      <c r="Z65" s="43"/>
      <c r="AA65" s="43"/>
      <c r="AB65" s="44"/>
      <c r="AC65" s="69"/>
      <c r="AD65" s="75"/>
      <c r="AE65" s="74"/>
      <c r="AF65" s="74"/>
      <c r="AG65" s="40"/>
      <c r="AH65" s="43"/>
      <c r="AI65" s="43"/>
      <c r="AJ65" s="44"/>
      <c r="AK65" s="69"/>
      <c r="AL65" s="74"/>
      <c r="AM65" s="1"/>
      <c r="AN65" s="1"/>
      <c r="AO65" s="40"/>
      <c r="AP65" s="43"/>
      <c r="AQ65" s="43"/>
      <c r="AR65" s="44"/>
      <c r="AS65" s="69"/>
      <c r="AT65" s="1"/>
      <c r="AU65" s="1"/>
      <c r="AV65" s="1"/>
      <c r="AW65" s="40"/>
      <c r="AX65" s="43"/>
      <c r="AY65" s="43"/>
      <c r="AZ65" s="44"/>
      <c r="BA65" s="69"/>
      <c r="BB65" s="1"/>
      <c r="BC65" s="1"/>
      <c r="BD65" s="1"/>
      <c r="BE65" s="40"/>
      <c r="BF65" s="43"/>
      <c r="BG65" s="43"/>
      <c r="BH65" s="44"/>
      <c r="BI65" s="69"/>
      <c r="BJ65" s="1"/>
      <c r="BK65" s="1"/>
      <c r="BL65" s="1"/>
      <c r="BM65" s="2"/>
    </row>
    <row r="66" spans="1:65" x14ac:dyDescent="0.25">
      <c r="A66" s="1">
        <v>64</v>
      </c>
      <c r="B66" s="71" t="b">
        <v>1</v>
      </c>
      <c r="C66" s="71" t="b">
        <v>1</v>
      </c>
      <c r="D66" s="1" t="s">
        <v>190</v>
      </c>
      <c r="E66" s="8">
        <v>1</v>
      </c>
      <c r="F66" s="72">
        <v>1</v>
      </c>
      <c r="G66" s="67" t="b">
        <f>FALSE</f>
        <v>0</v>
      </c>
      <c r="H66" s="47" t="s">
        <v>68</v>
      </c>
      <c r="I66" s="72">
        <v>0</v>
      </c>
      <c r="J66" s="68">
        <v>30</v>
      </c>
      <c r="K66" s="67" t="s">
        <v>124</v>
      </c>
      <c r="L66" s="67"/>
      <c r="M66" s="67"/>
      <c r="N66" s="67"/>
      <c r="O66" s="67"/>
      <c r="P66" s="67"/>
      <c r="Q66" s="40" t="s">
        <v>168</v>
      </c>
      <c r="R66" s="40">
        <v>0</v>
      </c>
      <c r="S66" s="40">
        <v>0</v>
      </c>
      <c r="T66" s="42">
        <f t="shared" si="0"/>
        <v>0</v>
      </c>
      <c r="U66" s="69"/>
      <c r="V66" s="8"/>
      <c r="W66" s="8"/>
      <c r="X66" s="8"/>
      <c r="Y66" s="40"/>
      <c r="Z66" s="40"/>
      <c r="AA66" s="40"/>
      <c r="AB66" s="42"/>
      <c r="AC66" s="69"/>
      <c r="AD66" s="8"/>
      <c r="AE66" s="8"/>
      <c r="AF66" s="8"/>
      <c r="AG66" s="40"/>
      <c r="AH66" s="40"/>
      <c r="AI66" s="40"/>
      <c r="AJ66" s="42"/>
      <c r="AK66" s="69"/>
      <c r="AL66" s="8"/>
      <c r="AO66" s="40"/>
      <c r="AP66" s="40"/>
      <c r="AQ66" s="40"/>
      <c r="AR66" s="42"/>
      <c r="AS66" s="69"/>
      <c r="AW66" s="40"/>
      <c r="AX66" s="40"/>
      <c r="AY66" s="40"/>
      <c r="AZ66" s="42"/>
      <c r="BA66" s="69"/>
      <c r="BE66" s="40"/>
      <c r="BF66" s="40"/>
      <c r="BG66" s="40"/>
      <c r="BH66" s="42"/>
      <c r="BI66" s="69"/>
    </row>
    <row r="67" spans="1:65" x14ac:dyDescent="0.25">
      <c r="A67" s="1">
        <v>65</v>
      </c>
      <c r="B67" s="71" t="b">
        <v>1</v>
      </c>
      <c r="C67" s="71" t="b">
        <v>1</v>
      </c>
      <c r="D67" s="1" t="s">
        <v>191</v>
      </c>
      <c r="E67" s="8">
        <v>1</v>
      </c>
      <c r="F67" s="72">
        <v>1</v>
      </c>
      <c r="G67" s="67" t="b">
        <f>FALSE</f>
        <v>0</v>
      </c>
      <c r="H67" s="47" t="s">
        <v>68</v>
      </c>
      <c r="I67" s="72">
        <v>0</v>
      </c>
      <c r="J67" s="68">
        <v>30</v>
      </c>
      <c r="K67" s="67" t="s">
        <v>124</v>
      </c>
      <c r="L67" s="67"/>
      <c r="M67" s="67"/>
      <c r="N67" s="67"/>
      <c r="O67" s="67"/>
      <c r="P67" s="67"/>
      <c r="Q67" s="40" t="s">
        <v>168</v>
      </c>
      <c r="R67" s="40">
        <v>0</v>
      </c>
      <c r="S67" s="40">
        <f xml:space="preserve"> 0.25 * sel_lvfrt_start</f>
        <v>0.22500000000000001</v>
      </c>
      <c r="T67" s="42">
        <f t="shared" si="0"/>
        <v>0.375</v>
      </c>
      <c r="U67" s="69"/>
      <c r="V67" s="8"/>
      <c r="W67" s="8"/>
      <c r="X67" s="8"/>
      <c r="Y67" s="40"/>
      <c r="Z67" s="40"/>
      <c r="AA67" s="40"/>
      <c r="AB67" s="42"/>
      <c r="AC67" s="69"/>
      <c r="AD67" s="8"/>
      <c r="AE67" s="8"/>
      <c r="AF67" s="8"/>
      <c r="AG67" s="40"/>
      <c r="AH67" s="40"/>
      <c r="AI67" s="40"/>
      <c r="AJ67" s="42"/>
      <c r="AK67" s="69"/>
      <c r="AL67" s="8"/>
      <c r="AO67" s="40"/>
      <c r="AP67" s="40"/>
      <c r="AQ67" s="40"/>
      <c r="AR67" s="42"/>
      <c r="AS67" s="69"/>
      <c r="AW67" s="40"/>
      <c r="AX67" s="40"/>
      <c r="AY67" s="40"/>
      <c r="AZ67" s="42"/>
      <c r="BA67" s="69"/>
      <c r="BE67" s="40"/>
      <c r="BF67" s="40"/>
      <c r="BG67" s="40"/>
      <c r="BH67" s="42"/>
      <c r="BI67" s="69"/>
    </row>
    <row r="68" spans="1:65" x14ac:dyDescent="0.25">
      <c r="A68" s="1">
        <v>66</v>
      </c>
      <c r="B68" s="71" t="b">
        <v>1</v>
      </c>
      <c r="C68" s="71" t="b">
        <v>1</v>
      </c>
      <c r="D68" s="1" t="s">
        <v>192</v>
      </c>
      <c r="E68" s="8">
        <v>1</v>
      </c>
      <c r="F68" s="72">
        <v>1</v>
      </c>
      <c r="G68" s="67" t="b">
        <f>FALSE</f>
        <v>0</v>
      </c>
      <c r="H68" s="47" t="s">
        <v>68</v>
      </c>
      <c r="I68" s="72">
        <v>0</v>
      </c>
      <c r="J68" s="68">
        <v>30</v>
      </c>
      <c r="K68" s="67" t="s">
        <v>124</v>
      </c>
      <c r="L68" s="67"/>
      <c r="M68" s="67"/>
      <c r="N68" s="67"/>
      <c r="O68" s="67"/>
      <c r="P68" s="67"/>
      <c r="Q68" s="40" t="s">
        <v>168</v>
      </c>
      <c r="R68" s="40">
        <v>0</v>
      </c>
      <c r="S68" s="40">
        <f xml:space="preserve"> 0.5 * sel_lvfrt_start</f>
        <v>0.45</v>
      </c>
      <c r="T68" s="42">
        <f t="shared" si="0"/>
        <v>0.75000000000000011</v>
      </c>
      <c r="U68" s="69"/>
      <c r="V68" s="8"/>
      <c r="W68" s="8"/>
      <c r="X68" s="8"/>
      <c r="Y68" s="40"/>
      <c r="Z68" s="40"/>
      <c r="AA68" s="40"/>
      <c r="AB68" s="42"/>
      <c r="AC68" s="69"/>
      <c r="AD68" s="8"/>
      <c r="AE68" s="8"/>
      <c r="AF68" s="8"/>
      <c r="AG68" s="40"/>
      <c r="AH68" s="40"/>
      <c r="AI68" s="40"/>
      <c r="AJ68" s="42"/>
      <c r="AK68" s="69"/>
      <c r="AL68" s="8"/>
      <c r="AO68" s="40"/>
      <c r="AP68" s="40"/>
      <c r="AQ68" s="40"/>
      <c r="AR68" s="42"/>
      <c r="AS68" s="69"/>
      <c r="AW68" s="40"/>
      <c r="AX68" s="40"/>
      <c r="AY68" s="40"/>
      <c r="AZ68" s="42"/>
      <c r="BA68" s="69"/>
      <c r="BE68" s="40"/>
      <c r="BF68" s="40"/>
      <c r="BG68" s="40"/>
      <c r="BH68" s="42"/>
      <c r="BI68" s="69"/>
    </row>
    <row r="69" spans="1:65" x14ac:dyDescent="0.25">
      <c r="A69" s="1">
        <v>67</v>
      </c>
      <c r="B69" s="71" t="b">
        <v>1</v>
      </c>
      <c r="C69" s="71" t="b">
        <v>1</v>
      </c>
      <c r="D69" s="1" t="s">
        <v>193</v>
      </c>
      <c r="E69" s="8">
        <v>1</v>
      </c>
      <c r="F69" s="72">
        <v>1</v>
      </c>
      <c r="G69" s="67" t="b">
        <f>FALSE</f>
        <v>0</v>
      </c>
      <c r="H69" s="47" t="s">
        <v>68</v>
      </c>
      <c r="I69" s="72">
        <v>0</v>
      </c>
      <c r="J69" s="68">
        <v>30</v>
      </c>
      <c r="K69" s="67" t="s">
        <v>124</v>
      </c>
      <c r="L69" s="67"/>
      <c r="M69" s="67"/>
      <c r="N69" s="67"/>
      <c r="O69" s="67"/>
      <c r="P69" s="67"/>
      <c r="Q69" s="40" t="s">
        <v>168</v>
      </c>
      <c r="R69" s="40">
        <v>0</v>
      </c>
      <c r="S69" s="40">
        <f>0.75 * sel_lvfrt_start</f>
        <v>0.67500000000000004</v>
      </c>
      <c r="T69" s="42">
        <f t="shared" si="0"/>
        <v>1.125</v>
      </c>
      <c r="U69" s="69"/>
      <c r="V69" s="8"/>
      <c r="W69" s="8"/>
      <c r="X69" s="8"/>
      <c r="Y69" s="40"/>
      <c r="Z69" s="40"/>
      <c r="AA69" s="40"/>
      <c r="AB69" s="42"/>
      <c r="AC69" s="69"/>
      <c r="AD69" s="8"/>
      <c r="AE69" s="8"/>
      <c r="AF69" s="8"/>
      <c r="AG69" s="40"/>
      <c r="AH69" s="40"/>
      <c r="AI69" s="40"/>
      <c r="AJ69" s="42"/>
      <c r="AK69" s="69"/>
      <c r="AL69" s="8"/>
      <c r="AO69" s="40"/>
      <c r="AP69" s="40"/>
      <c r="AQ69" s="40"/>
      <c r="AR69" s="42"/>
      <c r="AS69" s="69"/>
      <c r="AW69" s="40"/>
      <c r="AX69" s="40"/>
      <c r="AY69" s="40"/>
      <c r="AZ69" s="42"/>
      <c r="BA69" s="69"/>
      <c r="BE69" s="40"/>
      <c r="BF69" s="40"/>
      <c r="BG69" s="40"/>
      <c r="BH69" s="42"/>
      <c r="BI69" s="69"/>
    </row>
    <row r="70" spans="1:65" x14ac:dyDescent="0.25">
      <c r="A70" s="1">
        <v>68</v>
      </c>
      <c r="B70" s="71" t="b">
        <v>1</v>
      </c>
      <c r="C70" s="71" t="b">
        <v>1</v>
      </c>
      <c r="D70" s="1" t="s">
        <v>194</v>
      </c>
      <c r="E70" s="8">
        <v>1</v>
      </c>
      <c r="F70" s="72">
        <v>1</v>
      </c>
      <c r="G70" s="67" t="b">
        <f>FALSE</f>
        <v>0</v>
      </c>
      <c r="H70" s="47" t="s">
        <v>68</v>
      </c>
      <c r="I70" s="72">
        <v>0</v>
      </c>
      <c r="J70" s="68">
        <v>30</v>
      </c>
      <c r="K70" s="67" t="s">
        <v>124</v>
      </c>
      <c r="L70" s="67"/>
      <c r="M70" s="67"/>
      <c r="N70" s="67"/>
      <c r="O70" s="67"/>
      <c r="P70" s="67"/>
      <c r="Q70" s="40" t="s">
        <v>168</v>
      </c>
      <c r="R70" s="40">
        <v>0</v>
      </c>
      <c r="S70" s="40">
        <f>sel_lvfrt_start</f>
        <v>0.9</v>
      </c>
      <c r="T70" s="42">
        <f t="shared" si="0"/>
        <v>1.5</v>
      </c>
      <c r="U70" s="69"/>
      <c r="V70" s="8"/>
      <c r="W70" s="8"/>
      <c r="X70" s="8"/>
      <c r="Y70" s="40"/>
      <c r="Z70" s="40"/>
      <c r="AA70" s="40"/>
      <c r="AB70" s="42"/>
      <c r="AC70" s="69"/>
      <c r="AD70" s="8"/>
      <c r="AE70" s="8"/>
      <c r="AF70" s="8"/>
      <c r="AG70" s="40"/>
      <c r="AH70" s="40"/>
      <c r="AI70" s="40"/>
      <c r="AJ70" s="42"/>
      <c r="AK70" s="69"/>
      <c r="AL70" s="8"/>
      <c r="AO70" s="40"/>
      <c r="AP70" s="40"/>
      <c r="AQ70" s="40"/>
      <c r="AR70" s="42"/>
      <c r="AS70" s="69"/>
      <c r="AW70" s="40"/>
      <c r="AX70" s="40"/>
      <c r="AY70" s="40"/>
      <c r="AZ70" s="42"/>
      <c r="BA70" s="69"/>
      <c r="BE70" s="40"/>
      <c r="BF70" s="40"/>
      <c r="BG70" s="40"/>
      <c r="BH70" s="42"/>
      <c r="BI70" s="69"/>
    </row>
    <row r="71" spans="1:65" x14ac:dyDescent="0.25">
      <c r="A71" s="1">
        <v>69</v>
      </c>
      <c r="B71" s="71" t="b">
        <v>1</v>
      </c>
      <c r="C71" s="71" t="b">
        <v>1</v>
      </c>
      <c r="D71" s="1" t="s">
        <v>186</v>
      </c>
      <c r="E71" s="8">
        <v>1</v>
      </c>
      <c r="F71" s="72">
        <v>1</v>
      </c>
      <c r="G71" s="67" t="b">
        <f>FALSE</f>
        <v>0</v>
      </c>
      <c r="H71" s="47" t="s">
        <v>68</v>
      </c>
      <c r="I71" s="72">
        <v>0</v>
      </c>
      <c r="J71" s="68">
        <v>30</v>
      </c>
      <c r="K71" s="67" t="s">
        <v>124</v>
      </c>
      <c r="L71" s="67"/>
      <c r="M71" s="67"/>
      <c r="N71" s="67"/>
      <c r="O71" s="67"/>
      <c r="P71" s="67"/>
      <c r="Q71" s="40" t="s">
        <v>47</v>
      </c>
      <c r="R71" s="40">
        <v>0</v>
      </c>
      <c r="S71" s="40">
        <v>0</v>
      </c>
      <c r="T71" s="42">
        <f t="shared" si="0"/>
        <v>0</v>
      </c>
      <c r="U71" s="69"/>
      <c r="V71" s="8"/>
      <c r="W71" s="8"/>
      <c r="X71" s="8"/>
      <c r="Y71" s="40"/>
      <c r="Z71" s="40"/>
      <c r="AA71" s="40"/>
      <c r="AB71" s="42"/>
      <c r="AC71" s="69"/>
      <c r="AD71" s="8"/>
      <c r="AE71" s="8"/>
      <c r="AF71" s="8"/>
      <c r="AG71" s="40"/>
      <c r="AH71" s="40"/>
      <c r="AI71" s="40"/>
      <c r="AJ71" s="42"/>
      <c r="AK71" s="69"/>
      <c r="AL71" s="8"/>
      <c r="AO71" s="40"/>
      <c r="AP71" s="40"/>
      <c r="AQ71" s="40"/>
      <c r="AR71" s="42"/>
      <c r="AS71" s="69"/>
      <c r="AW71" s="40"/>
      <c r="AX71" s="40"/>
      <c r="AY71" s="40"/>
      <c r="AZ71" s="42"/>
      <c r="BA71" s="69"/>
      <c r="BE71" s="40"/>
      <c r="BF71" s="40"/>
      <c r="BG71" s="40"/>
      <c r="BH71" s="42"/>
      <c r="BI71" s="69"/>
    </row>
    <row r="72" spans="1:65" x14ac:dyDescent="0.25">
      <c r="A72" s="1">
        <v>70</v>
      </c>
      <c r="B72" s="71" t="b">
        <v>1</v>
      </c>
      <c r="C72" s="71" t="b">
        <v>1</v>
      </c>
      <c r="D72" s="1" t="s">
        <v>187</v>
      </c>
      <c r="E72" s="8">
        <v>1</v>
      </c>
      <c r="F72" s="72">
        <v>1</v>
      </c>
      <c r="G72" s="67" t="b">
        <f>FALSE</f>
        <v>0</v>
      </c>
      <c r="H72" s="47" t="s">
        <v>68</v>
      </c>
      <c r="I72" s="72">
        <v>0</v>
      </c>
      <c r="J72" s="68">
        <v>30</v>
      </c>
      <c r="K72" s="67" t="s">
        <v>124</v>
      </c>
      <c r="L72" s="67"/>
      <c r="M72" s="67"/>
      <c r="N72" s="67"/>
      <c r="O72" s="67"/>
      <c r="P72" s="67"/>
      <c r="Q72" s="40" t="s">
        <v>47</v>
      </c>
      <c r="R72" s="40">
        <v>0</v>
      </c>
      <c r="S72" s="40">
        <f xml:space="preserve"> 0.25 * sel_lvfrt_start</f>
        <v>0.22500000000000001</v>
      </c>
      <c r="T72" s="42">
        <f t="shared" si="0"/>
        <v>0.375</v>
      </c>
      <c r="U72" s="69"/>
      <c r="V72" s="8"/>
      <c r="W72" s="8"/>
      <c r="X72" s="8"/>
      <c r="Y72" s="40"/>
      <c r="Z72" s="40"/>
      <c r="AA72" s="40"/>
      <c r="AB72" s="42"/>
      <c r="AC72" s="69"/>
      <c r="AD72" s="8"/>
      <c r="AE72" s="8"/>
      <c r="AF72" s="8"/>
      <c r="AG72" s="40"/>
      <c r="AH72" s="40"/>
      <c r="AI72" s="40"/>
      <c r="AJ72" s="42"/>
      <c r="AK72" s="69"/>
      <c r="AL72" s="8"/>
      <c r="AO72" s="40"/>
      <c r="AP72" s="40"/>
      <c r="AQ72" s="40"/>
      <c r="AR72" s="42"/>
      <c r="AS72" s="69"/>
      <c r="AW72" s="40"/>
      <c r="AX72" s="40"/>
      <c r="AY72" s="40"/>
      <c r="AZ72" s="42"/>
      <c r="BA72" s="69"/>
      <c r="BE72" s="40"/>
      <c r="BF72" s="40"/>
      <c r="BG72" s="40"/>
      <c r="BH72" s="42"/>
      <c r="BI72" s="69"/>
    </row>
    <row r="73" spans="1:65" x14ac:dyDescent="0.25">
      <c r="A73" s="1">
        <v>71</v>
      </c>
      <c r="B73" s="71" t="b">
        <v>1</v>
      </c>
      <c r="C73" s="71" t="b">
        <v>1</v>
      </c>
      <c r="D73" s="1" t="s">
        <v>189</v>
      </c>
      <c r="E73" s="8">
        <v>1</v>
      </c>
      <c r="F73" s="72">
        <v>1</v>
      </c>
      <c r="G73" s="67" t="b">
        <f>FALSE</f>
        <v>0</v>
      </c>
      <c r="H73" s="47" t="s">
        <v>68</v>
      </c>
      <c r="I73" s="72">
        <v>0</v>
      </c>
      <c r="J73" s="68">
        <v>30</v>
      </c>
      <c r="K73" s="67" t="s">
        <v>124</v>
      </c>
      <c r="L73" s="67"/>
      <c r="M73" s="67"/>
      <c r="N73" s="67"/>
      <c r="O73" s="67"/>
      <c r="P73" s="67"/>
      <c r="Q73" s="40" t="s">
        <v>47</v>
      </c>
      <c r="R73" s="40">
        <v>0</v>
      </c>
      <c r="S73" s="40">
        <f xml:space="preserve"> 0.5 * sel_lvfrt_start</f>
        <v>0.45</v>
      </c>
      <c r="T73" s="42">
        <f t="shared" si="0"/>
        <v>0.75000000000000011</v>
      </c>
      <c r="U73" s="69"/>
      <c r="V73" s="8"/>
      <c r="W73" s="8"/>
      <c r="X73" s="8"/>
      <c r="Y73" s="40"/>
      <c r="Z73" s="40"/>
      <c r="AA73" s="40"/>
      <c r="AB73" s="42"/>
      <c r="AC73" s="69"/>
      <c r="AD73" s="8"/>
      <c r="AE73" s="8"/>
      <c r="AF73" s="8"/>
      <c r="AG73" s="40"/>
      <c r="AH73" s="40"/>
      <c r="AI73" s="40"/>
      <c r="AJ73" s="42"/>
      <c r="AK73" s="69"/>
      <c r="AL73" s="8"/>
      <c r="AO73" s="40"/>
      <c r="AP73" s="40"/>
      <c r="AQ73" s="40"/>
      <c r="AR73" s="42"/>
      <c r="AS73" s="69"/>
      <c r="AW73" s="40"/>
      <c r="AX73" s="40"/>
      <c r="AY73" s="40"/>
      <c r="AZ73" s="42"/>
      <c r="BA73" s="69"/>
      <c r="BE73" s="40"/>
      <c r="BF73" s="40"/>
      <c r="BG73" s="40"/>
      <c r="BH73" s="42"/>
      <c r="BI73" s="69"/>
    </row>
    <row r="74" spans="1:65" x14ac:dyDescent="0.25">
      <c r="A74" s="1">
        <v>72</v>
      </c>
      <c r="B74" s="71" t="b">
        <v>1</v>
      </c>
      <c r="C74" s="71" t="b">
        <v>1</v>
      </c>
      <c r="D74" s="1" t="s">
        <v>188</v>
      </c>
      <c r="E74" s="8">
        <v>1</v>
      </c>
      <c r="F74" s="72">
        <v>1</v>
      </c>
      <c r="G74" s="67" t="b">
        <f>FALSE</f>
        <v>0</v>
      </c>
      <c r="H74" s="47" t="s">
        <v>68</v>
      </c>
      <c r="I74" s="72">
        <v>0</v>
      </c>
      <c r="J74" s="68">
        <v>30</v>
      </c>
      <c r="K74" s="67" t="s">
        <v>124</v>
      </c>
      <c r="L74" s="67"/>
      <c r="M74" s="67"/>
      <c r="N74" s="67"/>
      <c r="O74" s="67"/>
      <c r="P74" s="67"/>
      <c r="Q74" s="40" t="s">
        <v>47</v>
      </c>
      <c r="R74" s="40">
        <v>0</v>
      </c>
      <c r="S74" s="40">
        <f>0.75 * sel_lvfrt_start</f>
        <v>0.67500000000000004</v>
      </c>
      <c r="T74" s="42">
        <f t="shared" si="0"/>
        <v>1.125</v>
      </c>
      <c r="U74" s="69"/>
      <c r="V74" s="8"/>
      <c r="W74" s="8"/>
      <c r="X74" s="8"/>
      <c r="Y74" s="40"/>
      <c r="Z74" s="40"/>
      <c r="AA74" s="40"/>
      <c r="AB74" s="42"/>
      <c r="AC74" s="69"/>
      <c r="AD74" s="8"/>
      <c r="AE74" s="8"/>
      <c r="AF74" s="8"/>
      <c r="AG74" s="40"/>
      <c r="AH74" s="40"/>
      <c r="AI74" s="40"/>
      <c r="AJ74" s="42"/>
      <c r="AK74" s="69"/>
      <c r="AL74" s="8"/>
      <c r="AO74" s="40"/>
      <c r="AP74" s="40"/>
      <c r="AQ74" s="40"/>
      <c r="AR74" s="42"/>
      <c r="AS74" s="69"/>
      <c r="AW74" s="40"/>
      <c r="AX74" s="40"/>
      <c r="AY74" s="40"/>
      <c r="AZ74" s="42"/>
      <c r="BA74" s="69"/>
      <c r="BE74" s="40"/>
      <c r="BF74" s="40"/>
      <c r="BG74" s="40"/>
      <c r="BH74" s="42"/>
      <c r="BI74" s="69"/>
    </row>
    <row r="75" spans="1:65" x14ac:dyDescent="0.25">
      <c r="A75" s="1">
        <v>73</v>
      </c>
      <c r="B75" s="71" t="b">
        <v>1</v>
      </c>
      <c r="C75" s="71" t="b">
        <v>1</v>
      </c>
      <c r="D75" s="1" t="s">
        <v>185</v>
      </c>
      <c r="E75" s="8">
        <v>1</v>
      </c>
      <c r="F75" s="72">
        <v>1</v>
      </c>
      <c r="G75" s="67" t="b">
        <f>FALSE</f>
        <v>0</v>
      </c>
      <c r="H75" s="47" t="s">
        <v>68</v>
      </c>
      <c r="I75" s="72">
        <v>0</v>
      </c>
      <c r="J75" s="68">
        <v>30</v>
      </c>
      <c r="K75" s="67" t="s">
        <v>124</v>
      </c>
      <c r="L75" s="67"/>
      <c r="M75" s="67"/>
      <c r="N75" s="67"/>
      <c r="O75" s="67"/>
      <c r="P75" s="67"/>
      <c r="Q75" s="40" t="s">
        <v>47</v>
      </c>
      <c r="R75" s="40">
        <v>0</v>
      </c>
      <c r="S75" s="40">
        <f>sel_lvfrt_start</f>
        <v>0.9</v>
      </c>
      <c r="T75" s="42">
        <f t="shared" si="0"/>
        <v>1.5</v>
      </c>
      <c r="U75" s="69"/>
      <c r="V75" s="8"/>
      <c r="W75" s="8"/>
      <c r="X75" s="8"/>
      <c r="Y75" s="40"/>
      <c r="Z75" s="40"/>
      <c r="AA75" s="40"/>
      <c r="AB75" s="42"/>
      <c r="AC75" s="69"/>
      <c r="AD75" s="8"/>
      <c r="AE75" s="8"/>
      <c r="AF75" s="8"/>
      <c r="AG75" s="40"/>
      <c r="AH75" s="40"/>
      <c r="AI75" s="40"/>
      <c r="AJ75" s="42"/>
      <c r="AK75" s="69"/>
      <c r="AL75" s="8"/>
      <c r="AO75" s="40"/>
      <c r="AP75" s="40"/>
      <c r="AQ75" s="40"/>
      <c r="AR75" s="42"/>
      <c r="AS75" s="69"/>
      <c r="AW75" s="40"/>
      <c r="AX75" s="40"/>
      <c r="AY75" s="40"/>
      <c r="AZ75" s="42"/>
      <c r="BA75" s="69"/>
      <c r="BE75" s="40"/>
      <c r="BF75" s="40"/>
      <c r="BG75" s="40"/>
      <c r="BH75" s="42"/>
      <c r="BI75" s="69"/>
    </row>
    <row r="76" spans="1:65" x14ac:dyDescent="0.25">
      <c r="A76" s="1">
        <v>74</v>
      </c>
      <c r="B76" s="71" t="b">
        <v>1</v>
      </c>
      <c r="C76" s="71" t="b">
        <v>1</v>
      </c>
      <c r="D76" s="1" t="s">
        <v>200</v>
      </c>
      <c r="E76" s="8">
        <v>1</v>
      </c>
      <c r="F76" s="72">
        <v>1</v>
      </c>
      <c r="G76" s="67" t="b">
        <v>0</v>
      </c>
      <c r="H76" s="47" t="s">
        <v>68</v>
      </c>
      <c r="I76" s="72">
        <v>0</v>
      </c>
      <c r="J76" s="68">
        <f>_xlfn.CEILING.MATH(AH76+AJ76+30)</f>
        <v>30</v>
      </c>
      <c r="K76" s="67" t="s">
        <v>124</v>
      </c>
      <c r="L76" s="67"/>
      <c r="M76" s="67"/>
      <c r="N76" s="67"/>
      <c r="O76" s="67"/>
      <c r="P76" s="67"/>
      <c r="Q76" s="40" t="s">
        <v>46</v>
      </c>
      <c r="R76" s="40">
        <v>0</v>
      </c>
      <c r="S76" s="40">
        <f xml:space="preserve"> 0.1 * sel_lvfrt_start</f>
        <v>9.0000000000000011E-2</v>
      </c>
      <c r="T76" s="42">
        <f t="shared" si="0"/>
        <v>0</v>
      </c>
      <c r="U76" s="69"/>
      <c r="V76" s="8">
        <v>0.2</v>
      </c>
      <c r="W76" s="8">
        <v>0.09</v>
      </c>
      <c r="X76" s="8">
        <v>0</v>
      </c>
      <c r="Y76" s="40"/>
      <c r="Z76" s="40">
        <v>5.0999999999999996</v>
      </c>
      <c r="AA76" s="40">
        <f xml:space="preserve"> 0.1 * sel_lvfrt_start</f>
        <v>9.0000000000000011E-2</v>
      </c>
      <c r="AB76" s="42">
        <f>IF(AA76&lt;sel_ures,0,
IF(AND(sel_uclear&gt;=AA76, AA76&gt;=sel_ures),sel_tclear,
IF(AND(sel_urec1&gt;=AA76,AA76&gt;sel_uclear),IF(sel_urec1&gt;sel_uclear,sel_tclear+(AA76-sel_uclear)*(sel_trec1-sel_tclear)/(sel_urec1-sel_uclear),sel_tclear),
IF(AND(sel_urec2&gt;=AA76,AA76&gt;sel_urec1),IF(sel_urec2&gt;sel_urec1,sel_trec2+(AA76-sel_urec1)*(sel_trec3-sel_trec2)/(sel_urec2-sel_urec1),-99999),5
))))</f>
        <v>0</v>
      </c>
      <c r="AC76" s="69"/>
      <c r="AD76" s="8"/>
      <c r="AE76" s="8"/>
      <c r="AF76" s="8"/>
      <c r="AG76" s="40"/>
      <c r="AH76" s="40"/>
      <c r="AI76" s="40"/>
      <c r="AJ76" s="42"/>
      <c r="AK76" s="69"/>
      <c r="AL76" s="8"/>
      <c r="AO76" s="40"/>
      <c r="AP76" s="40"/>
      <c r="AQ76" s="40"/>
      <c r="AR76" s="42"/>
      <c r="AS76" s="69"/>
      <c r="AW76" s="40"/>
      <c r="AX76" s="40"/>
      <c r="AY76" s="40"/>
      <c r="AZ76" s="42"/>
      <c r="BA76" s="69"/>
      <c r="BE76" s="40"/>
      <c r="BF76" s="40"/>
      <c r="BG76" s="40"/>
      <c r="BH76" s="42"/>
      <c r="BI76" s="69"/>
    </row>
    <row r="77" spans="1:65" x14ac:dyDescent="0.25">
      <c r="A77" s="1">
        <v>75</v>
      </c>
      <c r="B77" s="71" t="b">
        <v>1</v>
      </c>
      <c r="C77" s="71" t="b">
        <v>1</v>
      </c>
      <c r="D77" s="1" t="s">
        <v>201</v>
      </c>
      <c r="E77" s="8">
        <v>1</v>
      </c>
      <c r="F77" s="72">
        <v>1</v>
      </c>
      <c r="G77" s="67" t="b">
        <v>0</v>
      </c>
      <c r="H77" s="47" t="s">
        <v>68</v>
      </c>
      <c r="I77" s="72">
        <v>0</v>
      </c>
      <c r="J77" s="68">
        <f>_xlfn.CEILING.MATH(AH77+AJ77+30)</f>
        <v>30</v>
      </c>
      <c r="K77" s="67" t="s">
        <v>124</v>
      </c>
      <c r="L77" s="67"/>
      <c r="M77" s="67"/>
      <c r="N77" s="67"/>
      <c r="O77" s="67"/>
      <c r="P77" s="67"/>
      <c r="Q77" s="40" t="s">
        <v>47</v>
      </c>
      <c r="R77" s="40">
        <v>0</v>
      </c>
      <c r="S77" s="40">
        <v>0</v>
      </c>
      <c r="T77" s="42">
        <f t="shared" si="0"/>
        <v>0</v>
      </c>
      <c r="U77" s="69"/>
      <c r="V77" s="8">
        <v>0.3</v>
      </c>
      <c r="W77" s="8">
        <v>0</v>
      </c>
      <c r="X77" s="8">
        <v>0</v>
      </c>
      <c r="Y77" s="40"/>
      <c r="Z77" s="40"/>
      <c r="AA77" s="40"/>
      <c r="AB77" s="42"/>
      <c r="AC77" s="69"/>
      <c r="AD77" s="8"/>
      <c r="AE77" s="8"/>
      <c r="AF77" s="8"/>
      <c r="AG77" s="40"/>
      <c r="AH77" s="40"/>
      <c r="AI77" s="40"/>
      <c r="AJ77" s="42"/>
      <c r="AK77" s="69"/>
      <c r="AL77" s="8"/>
      <c r="AO77" s="40"/>
      <c r="AP77" s="40"/>
      <c r="AQ77" s="40"/>
      <c r="AR77" s="42"/>
      <c r="AS77" s="69"/>
      <c r="AW77" s="40"/>
      <c r="AX77" s="40"/>
      <c r="AY77" s="40"/>
      <c r="AZ77" s="42"/>
      <c r="BA77" s="69"/>
      <c r="BE77" s="40"/>
      <c r="BF77" s="40"/>
      <c r="BG77" s="40"/>
      <c r="BH77" s="42"/>
      <c r="BI77" s="69"/>
    </row>
    <row r="78" spans="1:65" s="57" customFormat="1" x14ac:dyDescent="0.25">
      <c r="A78" s="1">
        <v>76</v>
      </c>
      <c r="B78" s="71" t="b">
        <v>1</v>
      </c>
      <c r="C78" s="71" t="b">
        <v>1</v>
      </c>
      <c r="D78" s="1" t="s">
        <v>6</v>
      </c>
      <c r="E78" s="8">
        <v>1</v>
      </c>
      <c r="F78" s="72">
        <v>1</v>
      </c>
      <c r="G78" s="67" t="b">
        <f>FALSE</f>
        <v>0</v>
      </c>
      <c r="H78" s="47" t="s">
        <v>68</v>
      </c>
      <c r="I78" s="72">
        <v>0</v>
      </c>
      <c r="J78" s="68">
        <v>10</v>
      </c>
      <c r="K78" s="67" t="s">
        <v>124</v>
      </c>
      <c r="L78" s="67"/>
      <c r="M78" s="67"/>
      <c r="N78" s="67"/>
      <c r="O78" s="67"/>
      <c r="P78" s="67"/>
      <c r="Q78" s="40" t="s">
        <v>44</v>
      </c>
      <c r="R78" s="40">
        <v>0</v>
      </c>
      <c r="S78" s="40">
        <v>20</v>
      </c>
      <c r="T78" s="42"/>
      <c r="U78" s="69"/>
      <c r="V78" s="8">
        <v>2.5</v>
      </c>
      <c r="W78" s="8">
        <v>0</v>
      </c>
      <c r="X78" s="8"/>
      <c r="Y78" s="40"/>
      <c r="Z78" s="40">
        <v>5</v>
      </c>
      <c r="AA78" s="40">
        <v>-20</v>
      </c>
      <c r="AB78" s="42"/>
      <c r="AC78" s="69"/>
      <c r="AD78" s="8">
        <v>7.5</v>
      </c>
      <c r="AE78" s="8">
        <v>0</v>
      </c>
      <c r="AF78" s="8"/>
      <c r="AG78" s="40"/>
      <c r="AH78" s="40"/>
      <c r="AI78" s="40"/>
      <c r="AJ78" s="42"/>
      <c r="AK78" s="69"/>
      <c r="AL78" s="8"/>
      <c r="AM78" s="1"/>
      <c r="AN78" s="1"/>
      <c r="AO78" s="40"/>
      <c r="AP78" s="40"/>
      <c r="AQ78" s="40"/>
      <c r="AR78" s="42"/>
      <c r="AS78" s="69"/>
      <c r="AT78" s="1"/>
      <c r="AU78" s="1"/>
      <c r="AV78" s="1"/>
      <c r="AW78" s="40"/>
      <c r="AX78" s="40"/>
      <c r="AY78" s="40"/>
      <c r="AZ78" s="42"/>
      <c r="BA78" s="69"/>
      <c r="BB78" s="1"/>
      <c r="BC78" s="1"/>
      <c r="BD78" s="1"/>
      <c r="BE78" s="40"/>
      <c r="BF78" s="40"/>
      <c r="BG78" s="40"/>
      <c r="BH78" s="42"/>
      <c r="BI78" s="69"/>
      <c r="BJ78" s="1"/>
      <c r="BK78" s="1"/>
      <c r="BL78" s="1"/>
    </row>
    <row r="79" spans="1:65" s="57" customFormat="1" x14ac:dyDescent="0.25">
      <c r="A79" s="1">
        <v>77</v>
      </c>
      <c r="B79" s="71" t="b">
        <v>1</v>
      </c>
      <c r="C79" s="71" t="b">
        <v>1</v>
      </c>
      <c r="D79" s="1" t="s">
        <v>5</v>
      </c>
      <c r="E79" s="8">
        <v>1</v>
      </c>
      <c r="F79" s="72">
        <v>0.7</v>
      </c>
      <c r="G79" s="67" t="b">
        <f>FALSE</f>
        <v>0</v>
      </c>
      <c r="H79" s="47" t="s">
        <v>68</v>
      </c>
      <c r="I79" s="72">
        <v>0</v>
      </c>
      <c r="J79" s="68">
        <v>5</v>
      </c>
      <c r="K79" s="67" t="s">
        <v>124</v>
      </c>
      <c r="L79" s="67"/>
      <c r="M79" s="67"/>
      <c r="N79" s="67"/>
      <c r="O79" s="67"/>
      <c r="P79" s="67"/>
      <c r="Q79" s="40" t="s">
        <v>45</v>
      </c>
      <c r="R79" s="40">
        <v>0</v>
      </c>
      <c r="S79" s="40"/>
      <c r="T79" s="42">
        <v>-2</v>
      </c>
      <c r="U79" s="69"/>
      <c r="V79" s="8">
        <f>(sel_30min_fmin - 50)/T79</f>
        <v>1.25</v>
      </c>
      <c r="W79" s="8"/>
      <c r="X79" s="8">
        <v>2</v>
      </c>
      <c r="Y79" s="40"/>
      <c r="Z79" s="40">
        <f>(sel_30min_fmax-sel_30min_fmin)/X79 + V79</f>
        <v>3.25</v>
      </c>
      <c r="AA79" s="40"/>
      <c r="AB79" s="42">
        <v>-2</v>
      </c>
      <c r="AC79" s="69"/>
      <c r="AD79" s="8">
        <f>(50-sel_30min_fmax)/AB79 + Z79</f>
        <v>4</v>
      </c>
      <c r="AE79" s="8"/>
      <c r="AF79" s="8"/>
      <c r="AG79" s="40"/>
      <c r="AH79" s="40"/>
      <c r="AI79" s="40"/>
      <c r="AJ79" s="42"/>
      <c r="AK79" s="69"/>
      <c r="AL79" s="8"/>
      <c r="AM79" s="1"/>
      <c r="AN79" s="1"/>
      <c r="AO79" s="40"/>
      <c r="AP79" s="40"/>
      <c r="AQ79" s="40"/>
      <c r="AR79" s="42"/>
      <c r="AS79" s="69"/>
      <c r="AT79" s="1"/>
      <c r="AU79" s="1"/>
      <c r="AV79" s="1"/>
      <c r="AW79" s="40"/>
      <c r="AX79" s="40"/>
      <c r="AY79" s="40"/>
      <c r="AZ79" s="42"/>
      <c r="BA79" s="69"/>
      <c r="BB79" s="1"/>
      <c r="BC79" s="1"/>
      <c r="BD79" s="1"/>
      <c r="BE79" s="40"/>
      <c r="BF79" s="40"/>
      <c r="BG79" s="40"/>
      <c r="BH79" s="42"/>
      <c r="BI79" s="69"/>
      <c r="BJ79" s="1"/>
      <c r="BK79" s="1"/>
      <c r="BL79" s="1"/>
    </row>
    <row r="80" spans="1:65" x14ac:dyDescent="0.25">
      <c r="A80" s="1">
        <v>78</v>
      </c>
      <c r="B80" s="71" t="b">
        <v>1</v>
      </c>
      <c r="C80" s="71" t="b">
        <v>1</v>
      </c>
      <c r="D80" s="1" t="s">
        <v>25</v>
      </c>
      <c r="E80" s="8">
        <v>1</v>
      </c>
      <c r="F80" s="72">
        <v>1</v>
      </c>
      <c r="G80" s="67" t="b">
        <f>FALSE</f>
        <v>0</v>
      </c>
      <c r="H80" s="47" t="s">
        <v>68</v>
      </c>
      <c r="I80" s="72">
        <v>0</v>
      </c>
      <c r="J80" s="68">
        <f>2*(prot_Uo1_t+1)+2*(prot_Uo2_t+1)+2*(prot_Uo3_t+1)</f>
        <v>126.60000000000001</v>
      </c>
      <c r="K80" s="67" t="s">
        <v>124</v>
      </c>
      <c r="L80" s="67"/>
      <c r="M80" s="67"/>
      <c r="N80" s="67"/>
      <c r="O80" s="67"/>
      <c r="P80" s="67"/>
      <c r="Q80" s="40" t="s">
        <v>41</v>
      </c>
      <c r="R80" s="40">
        <v>0</v>
      </c>
      <c r="S80" s="40">
        <f>prot_Uo1-0.001</f>
        <v>1.0990000000000002</v>
      </c>
      <c r="T80" s="42"/>
      <c r="U80" s="69"/>
      <c r="V80" s="8">
        <f>prot_Uo1_t+1</f>
        <v>61</v>
      </c>
      <c r="W80" s="6">
        <f>prot_Uo1+0.001</f>
        <v>1.101</v>
      </c>
      <c r="X80" s="8"/>
      <c r="Y80" s="40"/>
      <c r="Z80" s="40">
        <f>2*(prot_Uo1_t+1)</f>
        <v>122</v>
      </c>
      <c r="AA80" s="40">
        <f>prot_Uo2-0.001</f>
        <v>1.149</v>
      </c>
      <c r="AB80" s="45"/>
      <c r="AC80" s="69"/>
      <c r="AD80" s="8">
        <f>2*(prot_Uo1_t+1)+(prot_Uo2_t+1)</f>
        <v>123.2</v>
      </c>
      <c r="AE80" s="6">
        <f>prot_Uo2+0.001</f>
        <v>1.1509999999999998</v>
      </c>
      <c r="AF80" s="8"/>
      <c r="AG80" s="40"/>
      <c r="AH80" s="40">
        <f>2*(prot_Uo1_t+1)+2*(prot_Uo2_t+1)</f>
        <v>124.4</v>
      </c>
      <c r="AI80" s="40">
        <f>prot_Uo3-0.001</f>
        <v>1.1990000000000001</v>
      </c>
      <c r="AJ80" s="42"/>
      <c r="AK80" s="69"/>
      <c r="AL80" s="8">
        <f>2*(prot_Uo1_t+1)+2*(prot_Uo2_t+1)+(prot_Uo3_t+1)</f>
        <v>125.5</v>
      </c>
      <c r="AM80" s="6">
        <f>prot_Uo3+0.001</f>
        <v>1.2009999999999998</v>
      </c>
      <c r="AN80" s="8"/>
      <c r="AO80" s="40"/>
      <c r="AP80" s="40"/>
      <c r="AQ80" s="40"/>
      <c r="AR80" s="45"/>
      <c r="AS80" s="69"/>
      <c r="AT80" s="76"/>
      <c r="AU80" s="76"/>
      <c r="AV80" s="76"/>
      <c r="AW80" s="40"/>
      <c r="AX80" s="40"/>
      <c r="AY80" s="40"/>
      <c r="AZ80" s="45"/>
      <c r="BA80" s="69"/>
      <c r="BB80" s="76"/>
      <c r="BC80" s="76"/>
      <c r="BD80" s="76"/>
      <c r="BE80" s="40"/>
      <c r="BF80" s="40"/>
      <c r="BG80" s="40"/>
      <c r="BH80" s="45"/>
      <c r="BI80" s="69"/>
      <c r="BJ80" s="76"/>
      <c r="BK80" s="76"/>
      <c r="BL80" s="76"/>
    </row>
    <row r="81" spans="1:64" s="12" customFormat="1" x14ac:dyDescent="0.25">
      <c r="A81" s="1">
        <v>79</v>
      </c>
      <c r="B81" s="71" t="b">
        <v>1</v>
      </c>
      <c r="C81" s="71" t="b">
        <v>1</v>
      </c>
      <c r="D81" s="1" t="s">
        <v>24</v>
      </c>
      <c r="E81" s="8">
        <v>1</v>
      </c>
      <c r="F81" s="72">
        <v>1</v>
      </c>
      <c r="G81" s="67" t="b">
        <f>FALSE</f>
        <v>0</v>
      </c>
      <c r="H81" s="47" t="s">
        <v>68</v>
      </c>
      <c r="I81" s="72">
        <v>0</v>
      </c>
      <c r="J81" s="68">
        <f>2*(prot_Uu_t+1)</f>
        <v>122</v>
      </c>
      <c r="K81" s="67" t="s">
        <v>124</v>
      </c>
      <c r="L81" s="67"/>
      <c r="M81" s="67"/>
      <c r="N81" s="67"/>
      <c r="O81" s="67"/>
      <c r="P81" s="67"/>
      <c r="Q81" s="40" t="s">
        <v>41</v>
      </c>
      <c r="R81" s="40">
        <v>0</v>
      </c>
      <c r="S81" s="40">
        <f>prot_Uu+0.001</f>
        <v>0.90100000000000002</v>
      </c>
      <c r="T81" s="42"/>
      <c r="U81" s="69"/>
      <c r="V81" s="8">
        <f>prot_Uu_t+1</f>
        <v>61</v>
      </c>
      <c r="W81" s="6">
        <f>prot_Uu-0.001</f>
        <v>0.89900000000000002</v>
      </c>
      <c r="X81" s="8"/>
      <c r="Y81" s="40"/>
      <c r="Z81" s="40"/>
      <c r="AA81" s="40"/>
      <c r="AB81" s="42"/>
      <c r="AC81" s="69"/>
      <c r="AD81" s="8"/>
      <c r="AE81" s="6"/>
      <c r="AF81" s="8"/>
      <c r="AG81" s="40"/>
      <c r="AH81" s="40"/>
      <c r="AI81" s="40"/>
      <c r="AJ81" s="42"/>
      <c r="AK81" s="69"/>
      <c r="AL81" s="76"/>
      <c r="AM81" s="76"/>
      <c r="AN81" s="76"/>
      <c r="AO81" s="40"/>
      <c r="AP81" s="40"/>
      <c r="AQ81" s="40"/>
      <c r="AR81" s="45"/>
      <c r="AS81" s="69"/>
      <c r="AT81" s="76"/>
      <c r="AU81" s="76"/>
      <c r="AV81" s="76"/>
      <c r="AW81" s="40"/>
      <c r="AX81" s="40"/>
      <c r="AY81" s="40"/>
      <c r="AZ81" s="45"/>
      <c r="BA81" s="69"/>
      <c r="BB81" s="76"/>
      <c r="BC81" s="76"/>
      <c r="BD81" s="76"/>
      <c r="BE81" s="40"/>
      <c r="BF81" s="40"/>
      <c r="BG81" s="40"/>
      <c r="BH81" s="45"/>
      <c r="BI81" s="69"/>
      <c r="BJ81" s="76"/>
      <c r="BK81" s="76"/>
      <c r="BL81" s="76"/>
    </row>
    <row r="82" spans="1:64" s="12" customFormat="1" x14ac:dyDescent="0.25">
      <c r="A82" s="1">
        <v>80</v>
      </c>
      <c r="B82" s="71" t="b">
        <v>1</v>
      </c>
      <c r="C82" s="71" t="b">
        <v>1</v>
      </c>
      <c r="D82" s="1" t="s">
        <v>225</v>
      </c>
      <c r="E82" s="8">
        <v>1</v>
      </c>
      <c r="F82" s="72">
        <v>1</v>
      </c>
      <c r="G82" s="67" t="b">
        <f>FALSE</f>
        <v>0</v>
      </c>
      <c r="H82" s="47" t="s">
        <v>68</v>
      </c>
      <c r="I82" s="72">
        <v>0</v>
      </c>
      <c r="J82" s="68">
        <f>2*(prot_Fo_t+1)+1+2*(prot_Fu_t+1)</f>
        <v>5.8</v>
      </c>
      <c r="K82" s="67" t="s">
        <v>124</v>
      </c>
      <c r="L82" s="67"/>
      <c r="M82" s="67"/>
      <c r="N82" s="67"/>
      <c r="O82" s="67"/>
      <c r="P82" s="67"/>
      <c r="Q82" s="40" t="s">
        <v>45</v>
      </c>
      <c r="R82" s="40">
        <v>0</v>
      </c>
      <c r="S82" s="40">
        <f>prot_Fo-0.01</f>
        <v>51.49</v>
      </c>
      <c r="T82" s="42"/>
      <c r="U82" s="69"/>
      <c r="V82" s="8">
        <f>prot_Fo_t+1</f>
        <v>1.2</v>
      </c>
      <c r="W82" s="6">
        <f>prot_Fo+0.01</f>
        <v>51.51</v>
      </c>
      <c r="X82" s="8"/>
      <c r="Y82" s="40"/>
      <c r="Z82" s="40">
        <f>2*(prot_Fo_t+1)</f>
        <v>2.4</v>
      </c>
      <c r="AA82" s="40">
        <v>50</v>
      </c>
      <c r="AB82" s="42"/>
      <c r="AC82" s="69"/>
      <c r="AD82" s="8">
        <f>2*(prot_Fo_t+1)+1</f>
        <v>3.4</v>
      </c>
      <c r="AE82" s="6">
        <f>prot_Fu+0.01</f>
        <v>47.51</v>
      </c>
      <c r="AF82" s="8"/>
      <c r="AG82" s="40"/>
      <c r="AH82" s="40">
        <f>2*(prot_Fo_t+1)+1+(prot_Fu_t+1)</f>
        <v>4.5999999999999996</v>
      </c>
      <c r="AI82" s="40">
        <f>prot_Fu-0.01</f>
        <v>47.49</v>
      </c>
      <c r="AJ82" s="42"/>
      <c r="AK82" s="69"/>
      <c r="AL82" s="76"/>
      <c r="AM82" s="76"/>
      <c r="AN82" s="76"/>
      <c r="AO82" s="40"/>
      <c r="AP82" s="40"/>
      <c r="AQ82" s="40"/>
      <c r="AR82" s="45"/>
      <c r="AS82" s="69"/>
      <c r="AT82" s="76"/>
      <c r="AU82" s="76"/>
      <c r="AV82" s="76"/>
      <c r="AW82" s="40"/>
      <c r="AX82" s="40"/>
      <c r="AY82" s="40"/>
      <c r="AZ82" s="45"/>
      <c r="BA82" s="69"/>
      <c r="BB82" s="76"/>
      <c r="BC82" s="76"/>
      <c r="BD82" s="76"/>
      <c r="BE82" s="40"/>
      <c r="BF82" s="40"/>
      <c r="BG82" s="40"/>
      <c r="BH82" s="45"/>
      <c r="BI82" s="69"/>
      <c r="BJ82" s="76"/>
      <c r="BK82" s="76"/>
      <c r="BL82" s="76"/>
    </row>
    <row r="83" spans="1:64" s="12" customFormat="1" x14ac:dyDescent="0.25">
      <c r="A83" s="1">
        <v>82</v>
      </c>
      <c r="B83" s="71" t="b">
        <v>1</v>
      </c>
      <c r="C83" s="71" t="b">
        <v>1</v>
      </c>
      <c r="D83" s="1" t="s">
        <v>26</v>
      </c>
      <c r="E83" s="8">
        <v>1</v>
      </c>
      <c r="F83" s="72">
        <v>1</v>
      </c>
      <c r="G83" s="67" t="b">
        <f>FALSE</f>
        <v>0</v>
      </c>
      <c r="H83" s="47" t="s">
        <v>68</v>
      </c>
      <c r="I83" s="72">
        <v>0</v>
      </c>
      <c r="J83" s="68">
        <f>2*(prot_dFpos_t+1)+1+2*(prot_dFneg_t+1)</f>
        <v>5.32</v>
      </c>
      <c r="K83" s="67" t="s">
        <v>124</v>
      </c>
      <c r="L83" s="67"/>
      <c r="M83" s="67"/>
      <c r="N83" s="67"/>
      <c r="O83" s="67"/>
      <c r="P83" s="67"/>
      <c r="Q83" s="40" t="s">
        <v>45</v>
      </c>
      <c r="R83" s="40">
        <v>0</v>
      </c>
      <c r="S83" s="40"/>
      <c r="T83" s="42">
        <f>prot_dFpos-0.05</f>
        <v>2.4500000000000002</v>
      </c>
      <c r="U83" s="69"/>
      <c r="V83" s="8">
        <f>(prot_dFpos_t+1)</f>
        <v>1.08</v>
      </c>
      <c r="W83" s="6"/>
      <c r="X83" s="8">
        <f>prot_dFpos+0.05</f>
        <v>2.5499999999999998</v>
      </c>
      <c r="Y83" s="40"/>
      <c r="Z83" s="40">
        <f>2*(prot_dFpos_t+1)</f>
        <v>2.16</v>
      </c>
      <c r="AA83" s="40"/>
      <c r="AB83" s="42">
        <v>0</v>
      </c>
      <c r="AC83" s="69"/>
      <c r="AD83" s="8">
        <f>2*(prot_dFpos_t+1)+1</f>
        <v>3.16</v>
      </c>
      <c r="AE83" s="6"/>
      <c r="AF83" s="8">
        <f>prot_dFneg+0.05</f>
        <v>-2.4500000000000002</v>
      </c>
      <c r="AG83" s="40"/>
      <c r="AH83" s="40">
        <f>2*(prot_dFpos_t+1)+1+(prot_dFneg_t+1)</f>
        <v>4.24</v>
      </c>
      <c r="AI83" s="40"/>
      <c r="AJ83" s="42">
        <f>prot_dFneg-0.05</f>
        <v>-2.5499999999999998</v>
      </c>
      <c r="AK83" s="69"/>
      <c r="AL83" s="76"/>
      <c r="AM83" s="76"/>
      <c r="AN83" s="76"/>
      <c r="AO83" s="40"/>
      <c r="AP83" s="40"/>
      <c r="AQ83" s="40"/>
      <c r="AR83" s="45"/>
      <c r="AS83" s="69"/>
      <c r="AT83" s="76"/>
      <c r="AU83" s="76"/>
      <c r="AV83" s="76"/>
      <c r="AW83" s="40"/>
      <c r="AX83" s="40"/>
      <c r="AY83" s="40"/>
      <c r="AZ83" s="45"/>
      <c r="BA83" s="69"/>
      <c r="BB83" s="76"/>
      <c r="BC83" s="76"/>
      <c r="BD83" s="76"/>
      <c r="BE83" s="40"/>
      <c r="BF83" s="40"/>
      <c r="BG83" s="40"/>
      <c r="BH83" s="45"/>
      <c r="BI83" s="69"/>
      <c r="BJ83" s="76"/>
      <c r="BK83" s="76"/>
      <c r="BL83" s="76"/>
    </row>
    <row r="84" spans="1:64" s="12" customFormat="1" x14ac:dyDescent="0.25">
      <c r="A84" s="1">
        <v>83</v>
      </c>
      <c r="B84" s="71" t="b">
        <v>1</v>
      </c>
      <c r="C84" s="71" t="b">
        <v>1</v>
      </c>
      <c r="D84" s="1" t="s">
        <v>29</v>
      </c>
      <c r="E84" s="8">
        <v>1</v>
      </c>
      <c r="F84" s="72">
        <v>1</v>
      </c>
      <c r="G84" s="67" t="b">
        <f>FALSE</f>
        <v>0</v>
      </c>
      <c r="H84" s="47" t="s">
        <v>68</v>
      </c>
      <c r="I84" s="72">
        <v>0</v>
      </c>
      <c r="J84" s="68"/>
      <c r="K84" s="67" t="s">
        <v>124</v>
      </c>
      <c r="L84" s="67"/>
      <c r="M84" s="67"/>
      <c r="N84" s="67"/>
      <c r="O84" s="67"/>
      <c r="P84" s="67"/>
      <c r="Q84" s="40"/>
      <c r="R84" s="40"/>
      <c r="S84" s="40"/>
      <c r="T84" s="42"/>
      <c r="U84" s="69"/>
      <c r="V84" s="8"/>
      <c r="W84" s="6"/>
      <c r="X84" s="8"/>
      <c r="Y84" s="40"/>
      <c r="Z84" s="40"/>
      <c r="AA84" s="40"/>
      <c r="AB84" s="42"/>
      <c r="AC84" s="69"/>
      <c r="AD84" s="8"/>
      <c r="AE84" s="6"/>
      <c r="AF84" s="8"/>
      <c r="AG84" s="40"/>
      <c r="AH84" s="40"/>
      <c r="AI84" s="40"/>
      <c r="AJ84" s="42"/>
      <c r="AK84" s="69"/>
      <c r="AL84" s="76"/>
      <c r="AM84" s="76"/>
      <c r="AN84" s="76"/>
      <c r="AO84" s="40"/>
      <c r="AP84" s="45"/>
      <c r="AQ84" s="40"/>
      <c r="AR84" s="45"/>
      <c r="AS84" s="69"/>
      <c r="AT84" s="76"/>
      <c r="AU84" s="76"/>
      <c r="AV84" s="76"/>
      <c r="AW84" s="40"/>
      <c r="AX84" s="45"/>
      <c r="AY84" s="40"/>
      <c r="AZ84" s="45"/>
      <c r="BA84" s="69"/>
      <c r="BB84" s="76"/>
      <c r="BC84" s="76"/>
      <c r="BD84" s="76"/>
      <c r="BE84" s="40"/>
      <c r="BF84" s="45"/>
      <c r="BG84" s="40"/>
      <c r="BH84" s="45"/>
      <c r="BI84" s="69"/>
      <c r="BJ84" s="76"/>
      <c r="BK84" s="76"/>
      <c r="BL84" s="76"/>
    </row>
  </sheetData>
  <mergeCells count="12">
    <mergeCell ref="BI1:BL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datavalidation!$C$1:$C$4</xm:f>
          </x14:formula1>
          <xm:sqref>H3:H84</xm:sqref>
        </x14:dataValidation>
        <x14:dataValidation type="list" allowBlank="1" showInputMessage="1" showErrorMessage="1">
          <x14:formula1>
            <xm:f>datavalidation!$D$1:$D$4</xm:f>
          </x14:formula1>
          <xm:sqref>K3:K84</xm:sqref>
        </x14:dataValidation>
        <x14:dataValidation type="list" allowBlank="1" showInputMessage="1" showErrorMessage="1">
          <x14:formula1>
            <xm:f>datavalidation!$A$1:$A$9</xm:f>
          </x14:formula1>
          <xm:sqref>Q3:Q84 U3:U84 Y3:Y84 AC3:AC84 AG3:AG84 AK3:AK84 AO3:AO84 AS3:AS84 AW3:AW84 BA3:BA84 BE3:BE84 BI3:BI84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12.5703125" bestFit="1" customWidth="1"/>
  </cols>
  <sheetData>
    <row r="1" spans="1:4" x14ac:dyDescent="0.25">
      <c r="A1" t="s">
        <v>43</v>
      </c>
      <c r="B1" t="s">
        <v>31</v>
      </c>
      <c r="C1" t="s">
        <v>64</v>
      </c>
      <c r="D1" t="s">
        <v>123</v>
      </c>
    </row>
    <row r="2" spans="1:4" x14ac:dyDescent="0.25">
      <c r="A2" t="s">
        <v>42</v>
      </c>
      <c r="B2" t="s">
        <v>59</v>
      </c>
      <c r="C2" t="s">
        <v>65</v>
      </c>
      <c r="D2" t="s">
        <v>124</v>
      </c>
    </row>
    <row r="3" spans="1:4" x14ac:dyDescent="0.25">
      <c r="A3" t="s">
        <v>41</v>
      </c>
      <c r="C3" t="s">
        <v>66</v>
      </c>
      <c r="D3" t="s">
        <v>125</v>
      </c>
    </row>
    <row r="4" spans="1:4" x14ac:dyDescent="0.25">
      <c r="A4" t="s">
        <v>152</v>
      </c>
      <c r="C4" t="s">
        <v>68</v>
      </c>
      <c r="D4" t="s">
        <v>126</v>
      </c>
    </row>
    <row r="5" spans="1:4" x14ac:dyDescent="0.25">
      <c r="A5" t="s">
        <v>44</v>
      </c>
    </row>
    <row r="6" spans="1:4" x14ac:dyDescent="0.25">
      <c r="A6" t="s">
        <v>45</v>
      </c>
    </row>
    <row r="7" spans="1:4" x14ac:dyDescent="0.25">
      <c r="A7" t="s">
        <v>46</v>
      </c>
    </row>
    <row r="8" spans="1:4" x14ac:dyDescent="0.25">
      <c r="A8" t="s">
        <v>168</v>
      </c>
    </row>
    <row r="9" spans="1:4" x14ac:dyDescent="0.25">
      <c r="A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54</vt:i4>
      </vt:variant>
    </vt:vector>
  </HeadingPairs>
  <TitlesOfParts>
    <vt:vector size="58" baseType="lpstr">
      <vt:lpstr>Input</vt:lpstr>
      <vt:lpstr>Area values</vt:lpstr>
      <vt:lpstr>Cases</vt:lpstr>
      <vt:lpstr>datavalidation</vt:lpstr>
      <vt:lpstr>inp_Area</vt:lpstr>
      <vt:lpstr>inp_cto</vt:lpstr>
      <vt:lpstr>inp_default</vt:lpstr>
      <vt:lpstr>inp_Uc</vt:lpstr>
      <vt:lpstr>inp_Un</vt:lpstr>
      <vt:lpstr>prot_dFneg</vt:lpstr>
      <vt:lpstr>prot_dFneg_t</vt:lpstr>
      <vt:lpstr>prot_dFpos</vt:lpstr>
      <vt:lpstr>prot_dFpos_t</vt:lpstr>
      <vt:lpstr>prot_Fo</vt:lpstr>
      <vt:lpstr>prot_Fo_t</vt:lpstr>
      <vt:lpstr>prot_Fu</vt:lpstr>
      <vt:lpstr>prot_Fu_t</vt:lpstr>
      <vt:lpstr>prot_Uo1</vt:lpstr>
      <vt:lpstr>prot_Uo1_t</vt:lpstr>
      <vt:lpstr>prot_Uo2</vt:lpstr>
      <vt:lpstr>prot_Uo2_t</vt:lpstr>
      <vt:lpstr>prot_Uo3</vt:lpstr>
      <vt:lpstr>prot_Uo3_t</vt:lpstr>
      <vt:lpstr>prot_Uu</vt:lpstr>
      <vt:lpstr>prot_Uu_t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2023-05-24T05:43:57Z</dcterms:modified>
</cp:coreProperties>
</file>