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v\Downloads\"/>
    </mc:Choice>
  </mc:AlternateContent>
  <xr:revisionPtr revIDLastSave="0" documentId="8_{EC5A61FF-5F06-41B3-A4C8-60FC90ED11C1}" xr6:coauthVersionLast="47" xr6:coauthVersionMax="47" xr10:uidLastSave="{00000000-0000-0000-0000-000000000000}"/>
  <bookViews>
    <workbookView xWindow="-110" yWindow="-110" windowWidth="19420" windowHeight="12420" firstSheet="1" activeTab="1" xr2:uid="{82716FD5-B205-40CE-974C-82C2015644C5}"/>
  </bookViews>
  <sheets>
    <sheet name="Parameters to vary" sheetId="1" r:id="rId1"/>
    <sheet name="all plates, 0.5 mm, description" sheetId="3" r:id="rId2"/>
    <sheet name="Angle i.e. width" sheetId="2" r:id="rId3"/>
    <sheet name="magnetic disc radius" sheetId="4" r:id="rId4"/>
    <sheet name="magnetic disc polarity" sheetId="6" r:id="rId5"/>
    <sheet name="dist. magnets, in accel dir" sheetId="7" r:id="rId6"/>
    <sheet name="magn_amt toy data" sheetId="13" state="hidden" r:id="rId7"/>
    <sheet name="magn_amt" sheetId="10" r:id="rId8"/>
    <sheet name="dist_mag_plate_edge" sheetId="8" r:id="rId9"/>
    <sheet name="material plate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4" l="1"/>
  <c r="Q18" i="10"/>
  <c r="L20" i="7"/>
  <c r="J4" i="8"/>
  <c r="I8" i="2"/>
  <c r="K19" i="4"/>
  <c r="J19" i="4"/>
  <c r="J18" i="4"/>
  <c r="K18" i="4" s="1"/>
  <c r="K17" i="4"/>
  <c r="J17" i="4"/>
  <c r="M3" i="7"/>
  <c r="M4" i="7"/>
  <c r="M5" i="7"/>
  <c r="M6" i="7"/>
  <c r="M7" i="7"/>
  <c r="M8" i="7"/>
  <c r="M9" i="7"/>
  <c r="G6" i="7"/>
  <c r="A38" i="7"/>
  <c r="A39" i="7" s="1"/>
  <c r="A40" i="7" s="1"/>
  <c r="A36" i="7"/>
  <c r="A35" i="7" s="1"/>
  <c r="A34" i="7" s="1"/>
  <c r="G10" i="14"/>
  <c r="J10" i="14" s="1"/>
  <c r="H9" i="14"/>
  <c r="G11" i="14"/>
  <c r="H2" i="8"/>
  <c r="M2" i="10"/>
  <c r="J3" i="7"/>
  <c r="M9" i="10"/>
  <c r="M8" i="10"/>
  <c r="M7" i="10"/>
  <c r="L7" i="10"/>
  <c r="M4" i="10"/>
  <c r="M5" i="10"/>
  <c r="L5" i="10"/>
  <c r="L4" i="10"/>
  <c r="L3" i="10"/>
  <c r="L2" i="10"/>
  <c r="D10" i="14" l="1"/>
  <c r="F11" i="14"/>
  <c r="E11" i="14"/>
  <c r="D11" i="14"/>
  <c r="C11" i="14"/>
  <c r="B11" i="14"/>
  <c r="H11" i="14" s="1"/>
  <c r="H10" i="14"/>
  <c r="C10" i="14"/>
  <c r="B10" i="14"/>
  <c r="D9" i="14"/>
  <c r="G9" i="14" s="1"/>
  <c r="C9" i="14"/>
  <c r="H4" i="14"/>
  <c r="G4" i="14"/>
  <c r="H3" i="14"/>
  <c r="G3" i="14"/>
  <c r="H2" i="14"/>
  <c r="G2" i="14"/>
  <c r="M4" i="13"/>
  <c r="M9" i="13"/>
  <c r="L9" i="13"/>
  <c r="M8" i="13"/>
  <c r="L8" i="13"/>
  <c r="M7" i="13"/>
  <c r="L7" i="13"/>
  <c r="M6" i="13"/>
  <c r="L6" i="13"/>
  <c r="M5" i="13"/>
  <c r="L5" i="13"/>
  <c r="L4" i="13"/>
  <c r="M3" i="13"/>
  <c r="L3" i="13"/>
  <c r="M2" i="13"/>
  <c r="L2" i="13"/>
  <c r="R5" i="13" l="1"/>
  <c r="Q5" i="13"/>
  <c r="P5" i="13"/>
  <c r="P7" i="13" s="1"/>
  <c r="V12" i="13" l="1"/>
  <c r="V11" i="13"/>
  <c r="V7" i="13"/>
  <c r="V6" i="13"/>
  <c r="V5" i="13"/>
  <c r="V10" i="13"/>
  <c r="V8" i="13"/>
  <c r="V9" i="13"/>
  <c r="V12" i="10" l="1"/>
  <c r="V7" i="10"/>
  <c r="V8" i="10"/>
  <c r="V9" i="10"/>
  <c r="V10" i="10"/>
  <c r="V11" i="10"/>
  <c r="V5" i="10"/>
  <c r="V6" i="10"/>
  <c r="Q5" i="10"/>
  <c r="P7" i="10" s="1"/>
  <c r="R5" i="10"/>
  <c r="P5" i="10"/>
  <c r="L6" i="10"/>
  <c r="M3" i="10"/>
  <c r="M6" i="10"/>
  <c r="L8" i="10"/>
  <c r="L9" i="10"/>
  <c r="C4" i="6"/>
  <c r="D4" i="6"/>
  <c r="E4" i="6"/>
  <c r="F4" i="6"/>
  <c r="B4" i="6"/>
  <c r="A7" i="7"/>
  <c r="A8" i="7" s="1"/>
  <c r="A9" i="7" s="1"/>
  <c r="A5" i="7"/>
  <c r="A4" i="7" s="1"/>
  <c r="A3" i="7" s="1"/>
  <c r="H3" i="8"/>
  <c r="H4" i="8"/>
  <c r="H5" i="8"/>
  <c r="H6" i="8"/>
  <c r="H7" i="8"/>
  <c r="H8" i="8"/>
  <c r="G3" i="4"/>
  <c r="G4" i="4"/>
  <c r="G3" i="6" l="1"/>
  <c r="I3" i="6"/>
  <c r="G2" i="4"/>
  <c r="I3" i="4"/>
  <c r="I4" i="4"/>
  <c r="I2" i="4"/>
  <c r="H3" i="2"/>
  <c r="H4" i="2"/>
  <c r="H5" i="2"/>
  <c r="H2" i="2"/>
  <c r="I5" i="7" l="1"/>
  <c r="J5" i="7" s="1"/>
  <c r="I6" i="7"/>
  <c r="J6" i="7" s="1"/>
  <c r="I7" i="7"/>
  <c r="J7" i="7" s="1"/>
  <c r="I8" i="7"/>
  <c r="J8" i="7" s="1"/>
  <c r="I9" i="7"/>
  <c r="J9" i="7" s="1"/>
  <c r="I4" i="7"/>
  <c r="J4" i="7" s="1"/>
  <c r="I3" i="7"/>
  <c r="G3" i="8"/>
  <c r="G4" i="8"/>
  <c r="G5" i="8"/>
  <c r="G6" i="8"/>
  <c r="G7" i="8"/>
  <c r="G8" i="8"/>
  <c r="G2" i="8"/>
  <c r="G9" i="7"/>
  <c r="G4" i="7"/>
  <c r="G5" i="7"/>
  <c r="G7" i="7"/>
  <c r="G8" i="7"/>
  <c r="G3" i="7"/>
  <c r="G2" i="6"/>
  <c r="I2" i="6" s="1"/>
  <c r="G5" i="2"/>
  <c r="G3" i="2"/>
  <c r="G2" i="2"/>
  <c r="G4" i="2"/>
</calcChain>
</file>

<file path=xl/sharedStrings.xml><?xml version="1.0" encoding="utf-8"?>
<sst xmlns="http://schemas.openxmlformats.org/spreadsheetml/2006/main" count="122" uniqueCount="38">
  <si>
    <t>Acceleration 1 (m/s^2)</t>
  </si>
  <si>
    <t>Acceleration 2 (m/s^2)</t>
  </si>
  <si>
    <t>Acceleration 3 (m/s^2)</t>
  </si>
  <si>
    <t>Acceleration 4 (m/s^2)</t>
  </si>
  <si>
    <t>Acceleration 5 (m/s^2)</t>
  </si>
  <si>
    <t>Angle (deg)</t>
  </si>
  <si>
    <t>Average</t>
  </si>
  <si>
    <t>radius (mm)</t>
  </si>
  <si>
    <t>notes</t>
  </si>
  <si>
    <t>modified rod used</t>
  </si>
  <si>
    <t>S-S</t>
  </si>
  <si>
    <t>N-S</t>
  </si>
  <si>
    <t>Polarity disc-cubes</t>
  </si>
  <si>
    <t>Distance in direction of accel (cm)</t>
  </si>
  <si>
    <t>normal</t>
  </si>
  <si>
    <t>python "ir_sensor_mux_array_reader_and_plotter.py"</t>
  </si>
  <si>
    <t>length (mm)</t>
  </si>
  <si>
    <t>amt_magnets</t>
  </si>
  <si>
    <t>python "theory simulation sypt 2026 magnetic accelerator.py"</t>
  </si>
  <si>
    <t>St. Div.</t>
  </si>
  <si>
    <t>Qs:</t>
  </si>
  <si>
    <t>force perpendicular to direction of travel</t>
  </si>
  <si>
    <t>St. Fehler</t>
  </si>
  <si>
    <t>Theory</t>
  </si>
  <si>
    <t>dist err</t>
  </si>
  <si>
    <t>angle</t>
  </si>
  <si>
    <t>2 deg</t>
  </si>
  <si>
    <t>Theory  test 1</t>
  </si>
  <si>
    <t>theory test 2</t>
  </si>
  <si>
    <t xml:space="preserve">Al </t>
  </si>
  <si>
    <t>Cardboard</t>
  </si>
  <si>
    <t>Fe</t>
  </si>
  <si>
    <t>UNCERTAIN</t>
  </si>
  <si>
    <t xml:space="preserve">weight = 0.07125 </t>
  </si>
  <si>
    <t>0.3279</t>
  </si>
  <si>
    <t xml:space="preserve">0.2866 </t>
  </si>
  <si>
    <t>0.1647</t>
  </si>
  <si>
    <t>RMSE/Avg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</si>
</sst>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97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Dist. magnets </a:t>
            </a:r>
            <a:r>
              <a:rPr lang="de-DE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as</a:t>
            </a:r>
            <a:r>
              <a:rPr lang="de-DE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</a:t>
            </a:r>
            <a:r>
              <a:rPr lang="de-DE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parameter</a:t>
            </a:r>
            <a:r>
              <a:rPr lang="de-DE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in </a:t>
            </a:r>
            <a:r>
              <a:rPr lang="de-DE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acceleration</a:t>
            </a:r>
            <a:r>
              <a:rPr lang="de-DE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'dist. magnets, in accel dir'!$J$3:$J$9</c:f>
                <c:numCache>
                  <c:formatCode>General</c:formatCode>
                  <c:ptCount val="7"/>
                  <c:pt idx="0">
                    <c:v>3.4805499999999982E-2</c:v>
                  </c:pt>
                  <c:pt idx="1">
                    <c:v>1.7875462610517201E-2</c:v>
                  </c:pt>
                  <c:pt idx="2">
                    <c:v>2.9571924341172007E-2</c:v>
                  </c:pt>
                  <c:pt idx="3">
                    <c:v>1.7625358625003935E-2</c:v>
                  </c:pt>
                  <c:pt idx="4">
                    <c:v>1.5740856899800541E-2</c:v>
                  </c:pt>
                  <c:pt idx="5">
                    <c:v>2.3265070983343239E-2</c:v>
                  </c:pt>
                  <c:pt idx="6">
                    <c:v>3.8682907202535845E-2</c:v>
                  </c:pt>
                </c:numCache>
              </c:numRef>
            </c:plus>
            <c:minus>
              <c:numRef>
                <c:f>'dist. magnets, in accel dir'!$J$3:$J$9</c:f>
                <c:numCache>
                  <c:formatCode>General</c:formatCode>
                  <c:ptCount val="7"/>
                  <c:pt idx="0">
                    <c:v>3.4805499999999982E-2</c:v>
                  </c:pt>
                  <c:pt idx="1">
                    <c:v>1.7875462610517201E-2</c:v>
                  </c:pt>
                  <c:pt idx="2">
                    <c:v>2.9571924341172007E-2</c:v>
                  </c:pt>
                  <c:pt idx="3">
                    <c:v>1.7625358625003935E-2</c:v>
                  </c:pt>
                  <c:pt idx="4">
                    <c:v>1.5740856899800541E-2</c:v>
                  </c:pt>
                  <c:pt idx="5">
                    <c:v>2.3265070983343239E-2</c:v>
                  </c:pt>
                  <c:pt idx="6">
                    <c:v>3.8682907202535845E-2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'dist. magnets, in accel dir'!$A$3:$A$9</c:f>
              <c:numCache>
                <c:formatCode>General</c:formatCode>
                <c:ptCount val="7"/>
                <c:pt idx="0">
                  <c:v>0.60000000000000009</c:v>
                </c:pt>
                <c:pt idx="1">
                  <c:v>1.1000000000000001</c:v>
                </c:pt>
                <c:pt idx="2">
                  <c:v>1.6</c:v>
                </c:pt>
                <c:pt idx="3">
                  <c:v>2.1</c:v>
                </c:pt>
                <c:pt idx="4">
                  <c:v>2.6</c:v>
                </c:pt>
                <c:pt idx="5">
                  <c:v>3.1</c:v>
                </c:pt>
                <c:pt idx="6">
                  <c:v>3.6</c:v>
                </c:pt>
              </c:numCache>
            </c:numRef>
          </c:cat>
          <c:val>
            <c:numRef>
              <c:f>'dist. magnets, in accel dir'!$G$3:$G$9</c:f>
              <c:numCache>
                <c:formatCode>General</c:formatCode>
                <c:ptCount val="7"/>
                <c:pt idx="0">
                  <c:v>0.34635949999999999</c:v>
                </c:pt>
                <c:pt idx="1">
                  <c:v>0.33841580000000004</c:v>
                </c:pt>
                <c:pt idx="2">
                  <c:v>0.29691919999999999</c:v>
                </c:pt>
                <c:pt idx="3">
                  <c:v>0.17495739999999999</c:v>
                </c:pt>
                <c:pt idx="4">
                  <c:v>0.15151780000000001</c:v>
                </c:pt>
                <c:pt idx="5">
                  <c:v>0.11879360000000001</c:v>
                </c:pt>
                <c:pt idx="6">
                  <c:v>0.10920680000000001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A-4E23-B6D0-80591BA84190}"/>
            </c:ext>
          </c:extLst>
        </c:ser>
        <c:ser>
          <c:idx val="1"/>
          <c:order val="1"/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numRef>
              <c:f>'dist. magnets, in accel dir'!$A$3:$A$9</c:f>
              <c:numCache>
                <c:formatCode>General</c:formatCode>
                <c:ptCount val="7"/>
                <c:pt idx="0">
                  <c:v>0.60000000000000009</c:v>
                </c:pt>
                <c:pt idx="1">
                  <c:v>1.1000000000000001</c:v>
                </c:pt>
                <c:pt idx="2">
                  <c:v>1.6</c:v>
                </c:pt>
                <c:pt idx="3">
                  <c:v>2.1</c:v>
                </c:pt>
                <c:pt idx="4">
                  <c:v>2.6</c:v>
                </c:pt>
                <c:pt idx="5">
                  <c:v>3.1</c:v>
                </c:pt>
                <c:pt idx="6">
                  <c:v>3.6</c:v>
                </c:pt>
              </c:numCache>
            </c:numRef>
          </c:cat>
          <c:val>
            <c:numRef>
              <c:f>'dist. magnets, in accel dir'!$L$3:$L$9</c:f>
              <c:numCache>
                <c:formatCode>General</c:formatCode>
                <c:ptCount val="7"/>
                <c:pt idx="0">
                  <c:v>0.27362174371875003</c:v>
                </c:pt>
                <c:pt idx="1">
                  <c:v>0.26008169866875003</c:v>
                </c:pt>
                <c:pt idx="2">
                  <c:v>0.21422285561250001</c:v>
                </c:pt>
                <c:pt idx="3">
                  <c:v>0.17779368678750002</c:v>
                </c:pt>
                <c:pt idx="4">
                  <c:v>0.15837016978125001</c:v>
                </c:pt>
                <c:pt idx="5">
                  <c:v>0.14507191125000002</c:v>
                </c:pt>
                <c:pt idx="6">
                  <c:v>0.13411092240000003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9-42E0-8A5C-DDFF2A244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8444271"/>
        <c:axId val="1828445711"/>
      </c:barChart>
      <c:catAx>
        <c:axId val="182844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Dist. magnets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28445711"/>
        <c:crosses val="autoZero"/>
        <c:auto val="1"/>
        <c:lblAlgn val="ctr"/>
        <c:lblOffset val="100"/>
        <c:noMultiLvlLbl val="1"/>
      </c:catAx>
      <c:valAx>
        <c:axId val="182844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 dirty="0" err="1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acceleration</a:t>
                </a:r>
                <a:r>
                  <a:rPr lang="de-DE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(m/s²)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182844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Dist</a:t>
            </a:r>
            <a:r>
              <a:rPr lang="de-DE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. </a:t>
            </a:r>
            <a:r>
              <a:rPr lang="de-DE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magnets</a:t>
            </a:r>
            <a:r>
              <a:rPr lang="de-DE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</a:t>
            </a:r>
            <a:r>
              <a:rPr lang="de-DE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as</a:t>
            </a:r>
            <a:r>
              <a:rPr lang="de-DE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</a:t>
            </a:r>
            <a:r>
              <a:rPr lang="de-DE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parameter</a:t>
            </a:r>
            <a:r>
              <a:rPr lang="de-DE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in </a:t>
            </a:r>
            <a:r>
              <a:rPr lang="de-DE" sz="1400" b="0" i="0" u="none" strike="noStrike" kern="1200" spc="0" baseline="0" dirty="0" err="1">
                <a:solidFill>
                  <a:prstClr val="black">
                    <a:lumMod val="65000"/>
                    <a:lumOff val="35000"/>
                  </a:prstClr>
                </a:solidFill>
              </a:rPr>
              <a:t>acceleration</a:t>
            </a:r>
            <a:r>
              <a:rPr lang="de-DE" sz="1400" b="0" i="0" u="none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'magn_amt toy data'!$L$1</c:f>
              <c:strCache>
                <c:ptCount val="1"/>
                <c:pt idx="0">
                  <c:v>Average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'magn_amt toy data'!$M$2:$M$9</c:f>
                <c:numCache>
                  <c:formatCode>General</c:formatCode>
                  <c:ptCount val="8"/>
                  <c:pt idx="0">
                    <c:v>8.8393960665533275E-2</c:v>
                  </c:pt>
                  <c:pt idx="1">
                    <c:v>6.5543115005146174E-2</c:v>
                  </c:pt>
                  <c:pt idx="2">
                    <c:v>8.8052208194837694E-2</c:v>
                  </c:pt>
                  <c:pt idx="3">
                    <c:v>6.4384633721582471E-2</c:v>
                  </c:pt>
                  <c:pt idx="4">
                    <c:v>9.6880146920974852E-2</c:v>
                  </c:pt>
                  <c:pt idx="5">
                    <c:v>0.12469469370482299</c:v>
                  </c:pt>
                  <c:pt idx="6">
                    <c:v>3.8761894877572915E-2</c:v>
                  </c:pt>
                  <c:pt idx="7">
                    <c:v>1.736300385474818E-2</c:v>
                  </c:pt>
                </c:numCache>
              </c:numRef>
            </c:plus>
            <c:minus>
              <c:numRef>
                <c:f>'magn_amt toy data'!$M$2:$M$9</c:f>
                <c:numCache>
                  <c:formatCode>General</c:formatCode>
                  <c:ptCount val="8"/>
                  <c:pt idx="0">
                    <c:v>8.8393960665533275E-2</c:v>
                  </c:pt>
                  <c:pt idx="1">
                    <c:v>6.5543115005146174E-2</c:v>
                  </c:pt>
                  <c:pt idx="2">
                    <c:v>8.8052208194837694E-2</c:v>
                  </c:pt>
                  <c:pt idx="3">
                    <c:v>6.4384633721582471E-2</c:v>
                  </c:pt>
                  <c:pt idx="4">
                    <c:v>9.6880146920974852E-2</c:v>
                  </c:pt>
                  <c:pt idx="5">
                    <c:v>0.12469469370482299</c:v>
                  </c:pt>
                  <c:pt idx="6">
                    <c:v>3.8761894877572915E-2</c:v>
                  </c:pt>
                  <c:pt idx="7">
                    <c:v>1.736300385474818E-2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'magn_amt toy data'!$A$2:$A$9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'magn_amt toy data'!$L$2:$L$9</c:f>
              <c:numCache>
                <c:formatCode>General</c:formatCode>
                <c:ptCount val="8"/>
                <c:pt idx="0">
                  <c:v>0.12391536576135177</c:v>
                </c:pt>
                <c:pt idx="1">
                  <c:v>0.17755735149617499</c:v>
                </c:pt>
                <c:pt idx="2">
                  <c:v>0.18659895745834829</c:v>
                </c:pt>
                <c:pt idx="3">
                  <c:v>0.23771310796102138</c:v>
                </c:pt>
                <c:pt idx="4">
                  <c:v>0.29135824792661985</c:v>
                </c:pt>
                <c:pt idx="5">
                  <c:v>0.30702695541022257</c:v>
                </c:pt>
                <c:pt idx="6">
                  <c:v>0.40299799999999997</c:v>
                </c:pt>
                <c:pt idx="7">
                  <c:v>0.39407759999999997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F-452E-9C30-9976D48B62A3}"/>
            </c:ext>
          </c:extLst>
        </c:ser>
        <c:ser>
          <c:idx val="1"/>
          <c:order val="1"/>
          <c:tx>
            <c:strRef>
              <c:f>'magn_amt toy data'!$N$1</c:f>
              <c:strCache>
                <c:ptCount val="1"/>
                <c:pt idx="0">
                  <c:v>Theory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'magn_amt toy data'!$A$2:$A$9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'magn_amt toy data'!$N$2:$N$9</c:f>
              <c:numCache>
                <c:formatCode>0.000</c:formatCode>
                <c:ptCount val="8"/>
                <c:pt idx="0">
                  <c:v>0.10920000000000001</c:v>
                </c:pt>
                <c:pt idx="1">
                  <c:v>0.17599999999999999</c:v>
                </c:pt>
                <c:pt idx="2">
                  <c:v>0.222</c:v>
                </c:pt>
                <c:pt idx="3">
                  <c:v>0.25750000000000001</c:v>
                </c:pt>
                <c:pt idx="4">
                  <c:v>0.29239999999999999</c:v>
                </c:pt>
                <c:pt idx="5">
                  <c:v>0.32529999999999998</c:v>
                </c:pt>
                <c:pt idx="6">
                  <c:v>0.35149999999999998</c:v>
                </c:pt>
                <c:pt idx="7">
                  <c:v>0.37040000000000001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F-452E-9C30-9976D48B6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062063"/>
        <c:axId val="569042863"/>
      </c:scatterChart>
      <c:valAx>
        <c:axId val="56906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amount of magnets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69042863"/>
        <c:crosses val="autoZero"/>
        <c:crossBetween val="midCat"/>
      </c:valAx>
      <c:valAx>
        <c:axId val="56904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 dirty="0" err="1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acceleration</a:t>
                </a:r>
                <a:r>
                  <a:rPr lang="de-DE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 (m/s²)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69062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Amt. magnets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magn_amt!$L$1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magn_amt!$M$2:$M$9</c:f>
                <c:numCache>
                  <c:formatCode>General</c:formatCode>
                  <c:ptCount val="8"/>
                  <c:pt idx="0">
                    <c:v>2.2652615361656043E-2</c:v>
                  </c:pt>
                  <c:pt idx="1">
                    <c:v>5.6434704968069779E-2</c:v>
                  </c:pt>
                  <c:pt idx="2">
                    <c:v>0.15113767724619726</c:v>
                  </c:pt>
                  <c:pt idx="3">
                    <c:v>0.14019325052395984</c:v>
                  </c:pt>
                  <c:pt idx="4">
                    <c:v>9.7960528249381951E-2</c:v>
                  </c:pt>
                  <c:pt idx="5">
                    <c:v>0.11123802106595573</c:v>
                  </c:pt>
                  <c:pt idx="6">
                    <c:v>3.8761894877572915E-2</c:v>
                  </c:pt>
                  <c:pt idx="7">
                    <c:v>1.736300385474818E-2</c:v>
                  </c:pt>
                </c:numCache>
              </c:numRef>
            </c:plus>
            <c:minus>
              <c:numRef>
                <c:f>magn_amt!$M$2:$M$9</c:f>
                <c:numCache>
                  <c:formatCode>General</c:formatCode>
                  <c:ptCount val="8"/>
                  <c:pt idx="0">
                    <c:v>2.2652615361656043E-2</c:v>
                  </c:pt>
                  <c:pt idx="1">
                    <c:v>5.6434704968069779E-2</c:v>
                  </c:pt>
                  <c:pt idx="2">
                    <c:v>0.15113767724619726</c:v>
                  </c:pt>
                  <c:pt idx="3">
                    <c:v>0.14019325052395984</c:v>
                  </c:pt>
                  <c:pt idx="4">
                    <c:v>9.7960528249381951E-2</c:v>
                  </c:pt>
                  <c:pt idx="5">
                    <c:v>0.11123802106595573</c:v>
                  </c:pt>
                  <c:pt idx="6">
                    <c:v>3.8761894877572915E-2</c:v>
                  </c:pt>
                  <c:pt idx="7">
                    <c:v>1.736300385474818E-2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magn_amt!$A$2:$A$9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magn_amt!$L$2:$L$9</c:f>
              <c:numCache>
                <c:formatCode>General</c:formatCode>
                <c:ptCount val="8"/>
                <c:pt idx="0">
                  <c:v>3.7808556338921433E-2</c:v>
                </c:pt>
                <c:pt idx="1">
                  <c:v>0.16220603008397441</c:v>
                </c:pt>
                <c:pt idx="2">
                  <c:v>0.24030491019425565</c:v>
                </c:pt>
                <c:pt idx="3">
                  <c:v>0.27099262690093123</c:v>
                </c:pt>
                <c:pt idx="4">
                  <c:v>0.25002120894810437</c:v>
                </c:pt>
                <c:pt idx="5">
                  <c:v>0.35183825873029567</c:v>
                </c:pt>
                <c:pt idx="6">
                  <c:v>0.40299799999999997</c:v>
                </c:pt>
                <c:pt idx="7">
                  <c:v>0.39407759999999997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E-43C5-9611-769512632124}"/>
            </c:ext>
          </c:extLst>
        </c:ser>
        <c:ser>
          <c:idx val="1"/>
          <c:order val="1"/>
          <c:tx>
            <c:strRef>
              <c:f>magn_amt!$N$1</c:f>
              <c:strCache>
                <c:ptCount val="1"/>
                <c:pt idx="0">
                  <c:v>Theory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magn_amt!$A$2:$A$9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magn_amt!$N$2:$N$9</c:f>
              <c:numCache>
                <c:formatCode>0.000</c:formatCode>
                <c:ptCount val="8"/>
                <c:pt idx="0">
                  <c:v>0.10920000000000001</c:v>
                </c:pt>
                <c:pt idx="1">
                  <c:v>0.17599999999999999</c:v>
                </c:pt>
                <c:pt idx="2">
                  <c:v>0.222</c:v>
                </c:pt>
                <c:pt idx="3">
                  <c:v>0.25750000000000001</c:v>
                </c:pt>
                <c:pt idx="4">
                  <c:v>0.29239999999999999</c:v>
                </c:pt>
                <c:pt idx="5">
                  <c:v>0.32529999999999998</c:v>
                </c:pt>
                <c:pt idx="6">
                  <c:v>0.35149999999999998</c:v>
                </c:pt>
                <c:pt idx="7">
                  <c:v>0.37040000000000001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E-43C5-9611-769512632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062063"/>
        <c:axId val="569042863"/>
      </c:barChart>
      <c:catAx>
        <c:axId val="56906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amount of magnets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69042863"/>
        <c:crosses val="autoZero"/>
        <c:auto val="1"/>
        <c:lblAlgn val="ctr"/>
        <c:lblOffset val="100"/>
        <c:noMultiLvlLbl val="1"/>
      </c:catAx>
      <c:valAx>
        <c:axId val="56904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acceleration (m/s²)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56906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val>
            <c:numRef>
              <c:f>dist_mag_plate_edge!$G$2:$G$8</c:f>
              <c:numCache>
                <c:formatCode>General</c:formatCode>
                <c:ptCount val="7"/>
                <c:pt idx="0">
                  <c:v>0.45246699999999995</c:v>
                </c:pt>
                <c:pt idx="1">
                  <c:v>0.41439419999999999</c:v>
                </c:pt>
                <c:pt idx="2">
                  <c:v>0.50117266666666671</c:v>
                </c:pt>
                <c:pt idx="3">
                  <c:v>0.41778733333333334</c:v>
                </c:pt>
                <c:pt idx="4">
                  <c:v>0.42268299999999998</c:v>
                </c:pt>
                <c:pt idx="5">
                  <c:v>0.37151800000000001</c:v>
                </c:pt>
                <c:pt idx="6">
                  <c:v>0.94796775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8-4E9E-BFA0-65FA79713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9629520"/>
        <c:axId val="479641040"/>
      </c:barChart>
      <c:catAx>
        <c:axId val="47962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79641040"/>
        <c:crosses val="autoZero"/>
        <c:auto val="1"/>
        <c:lblAlgn val="ctr"/>
        <c:lblOffset val="100"/>
        <c:noMultiLvlLbl val="1"/>
      </c:catAx>
      <c:valAx>
        <c:axId val="4796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7962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Material</a:t>
            </a:r>
            <a:r>
              <a:rPr lang="de-DE" baseline="0"/>
              <a:t> of plate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'material plate'!$A$9:$A$11</c:f>
              <c:strCache>
                <c:ptCount val="3"/>
                <c:pt idx="0">
                  <c:v>Al </c:v>
                </c:pt>
                <c:pt idx="1">
                  <c:v>Cardboard</c:v>
                </c:pt>
                <c:pt idx="2">
                  <c:v>Fe</c:v>
                </c:pt>
              </c:strCache>
            </c:strRef>
          </c:cat>
          <c:val>
            <c:numRef>
              <c:f>'material plate'!$G$9:$G$11</c:f>
              <c:numCache>
                <c:formatCode>General</c:formatCode>
                <c:ptCount val="3"/>
                <c:pt idx="0">
                  <c:v>3.5235305374696088E-2</c:v>
                </c:pt>
                <c:pt idx="1">
                  <c:v>3.4660363946982846E-2</c:v>
                </c:pt>
                <c:pt idx="2">
                  <c:v>3.9540372400000003E-2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1-4435-8E9A-ECFAD6FE5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997584"/>
        <c:axId val="1671300656"/>
      </c:barChart>
      <c:catAx>
        <c:axId val="5739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71300656"/>
        <c:crosses val="autoZero"/>
        <c:auto val="1"/>
        <c:lblAlgn val="ctr"/>
        <c:lblOffset val="100"/>
        <c:noMultiLvlLbl val="0"/>
      </c:catAx>
      <c:valAx>
        <c:axId val="167130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7399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165100</xdr:rowOff>
    </xdr:from>
    <xdr:to>
      <xdr:col>9</xdr:col>
      <xdr:colOff>349612</xdr:colOff>
      <xdr:row>20</xdr:row>
      <xdr:rowOff>146238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2B54A44-B928-35A7-B1B5-4CE6E67F3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165100"/>
          <a:ext cx="7057722" cy="3623774"/>
        </a:xfrm>
        <a:prstGeom prst="rect">
          <a:avLst/>
        </a:prstGeom>
      </xdr:spPr>
    </xdr:pic>
    <xdr:clientData/>
  </xdr:twoCellAnchor>
  <xdr:twoCellAnchor editAs="oneCell">
    <xdr:from>
      <xdr:col>0</xdr:col>
      <xdr:colOff>413280</xdr:colOff>
      <xdr:row>10</xdr:row>
      <xdr:rowOff>128854</xdr:rowOff>
    </xdr:from>
    <xdr:to>
      <xdr:col>3</xdr:col>
      <xdr:colOff>590541</xdr:colOff>
      <xdr:row>10</xdr:row>
      <xdr:rowOff>129574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Freihand 3">
              <a:extLst>
                <a:ext uri="{FF2B5EF4-FFF2-40B4-BE49-F238E27FC236}">
                  <a16:creationId xmlns:a16="http://schemas.microsoft.com/office/drawing/2014/main" id="{3B116042-AA31-64EE-F65C-EBD090B0271F}"/>
                </a:ext>
              </a:extLst>
            </xdr14:cNvPr>
            <xdr14:cNvContentPartPr/>
          </xdr14:nvContentPartPr>
          <xdr14:nvPr macro=""/>
          <xdr14:xfrm>
            <a:off x="413280" y="1973252"/>
            <a:ext cx="2461680" cy="720"/>
          </xdr14:xfrm>
        </xdr:contentPart>
      </mc:Choice>
      <mc:Fallback xmlns="">
        <xdr:pic>
          <xdr:nvPicPr>
            <xdr:cNvPr id="4" name="Freihand 3">
              <a:extLst>
                <a:ext uri="{FF2B5EF4-FFF2-40B4-BE49-F238E27FC236}">
                  <a16:creationId xmlns:a16="http://schemas.microsoft.com/office/drawing/2014/main" id="{3B116042-AA31-64EE-F65C-EBD090B0271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07160" y="1961012"/>
              <a:ext cx="2473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438822</xdr:colOff>
      <xdr:row>16</xdr:row>
      <xdr:rowOff>5162</xdr:rowOff>
    </xdr:from>
    <xdr:to>
      <xdr:col>6</xdr:col>
      <xdr:colOff>593701</xdr:colOff>
      <xdr:row>17</xdr:row>
      <xdr:rowOff>5164</xdr:rowOff>
    </xdr:to>
    <xdr:sp macro="" textlink="">
      <xdr:nvSpPr>
        <xdr:cNvPr id="10" name="Rechteck 9">
          <a:extLst>
            <a:ext uri="{FF2B5EF4-FFF2-40B4-BE49-F238E27FC236}">
              <a16:creationId xmlns:a16="http://schemas.microsoft.com/office/drawing/2014/main" id="{1C98E88A-6897-435C-B512-E02701FDCAE2}"/>
            </a:ext>
          </a:extLst>
        </xdr:cNvPr>
        <xdr:cNvSpPr/>
      </xdr:nvSpPr>
      <xdr:spPr>
        <a:xfrm>
          <a:off x="4246241" y="2937520"/>
          <a:ext cx="916362" cy="1832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700"/>
            <a:t>noch</a:t>
          </a:r>
          <a:r>
            <a:rPr lang="de-CH" sz="700" baseline="0"/>
            <a:t> nicht möglich</a:t>
          </a:r>
          <a:endParaRPr lang="en-CH" sz="700"/>
        </a:p>
      </xdr:txBody>
    </xdr:sp>
    <xdr:clientData/>
  </xdr:twoCellAnchor>
  <xdr:twoCellAnchor>
    <xdr:from>
      <xdr:col>1</xdr:col>
      <xdr:colOff>482403</xdr:colOff>
      <xdr:row>11</xdr:row>
      <xdr:rowOff>162441</xdr:rowOff>
    </xdr:from>
    <xdr:to>
      <xdr:col>2</xdr:col>
      <xdr:colOff>637282</xdr:colOff>
      <xdr:row>12</xdr:row>
      <xdr:rowOff>162443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220BDBB3-EDEB-417D-B057-30661A4DF19B}"/>
            </a:ext>
          </a:extLst>
        </xdr:cNvPr>
        <xdr:cNvSpPr/>
      </xdr:nvSpPr>
      <xdr:spPr>
        <a:xfrm>
          <a:off x="1245387" y="2165891"/>
          <a:ext cx="917864" cy="1821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700"/>
            <a:t>noch</a:t>
          </a:r>
          <a:r>
            <a:rPr lang="de-CH" sz="700" baseline="0"/>
            <a:t> nicht möglich</a:t>
          </a:r>
          <a:endParaRPr lang="en-CH" sz="700"/>
        </a:p>
      </xdr:txBody>
    </xdr:sp>
    <xdr:clientData/>
  </xdr:twoCellAnchor>
  <xdr:twoCellAnchor>
    <xdr:from>
      <xdr:col>6</xdr:col>
      <xdr:colOff>68915</xdr:colOff>
      <xdr:row>6</xdr:row>
      <xdr:rowOff>54146</xdr:rowOff>
    </xdr:from>
    <xdr:to>
      <xdr:col>7</xdr:col>
      <xdr:colOff>223795</xdr:colOff>
      <xdr:row>7</xdr:row>
      <xdr:rowOff>54148</xdr:rowOff>
    </xdr:to>
    <xdr:sp macro="" textlink="">
      <xdr:nvSpPr>
        <xdr:cNvPr id="12" name="Rechteck 11">
          <a:extLst>
            <a:ext uri="{FF2B5EF4-FFF2-40B4-BE49-F238E27FC236}">
              <a16:creationId xmlns:a16="http://schemas.microsoft.com/office/drawing/2014/main" id="{2394E269-C999-443A-8C8C-6D5ABDFFE1C5}"/>
            </a:ext>
          </a:extLst>
        </xdr:cNvPr>
        <xdr:cNvSpPr/>
      </xdr:nvSpPr>
      <xdr:spPr>
        <a:xfrm>
          <a:off x="4646822" y="1146937"/>
          <a:ext cx="917864" cy="18213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CH" sz="700"/>
            <a:t>noch</a:t>
          </a:r>
          <a:r>
            <a:rPr lang="de-CH" sz="700" baseline="0"/>
            <a:t> nicht möglich</a:t>
          </a:r>
          <a:endParaRPr lang="en-CH" sz="700"/>
        </a:p>
      </xdr:txBody>
    </xdr:sp>
    <xdr:clientData/>
  </xdr:twoCellAnchor>
  <xdr:twoCellAnchor>
    <xdr:from>
      <xdr:col>0</xdr:col>
      <xdr:colOff>438101</xdr:colOff>
      <xdr:row>13</xdr:row>
      <xdr:rowOff>63992</xdr:rowOff>
    </xdr:from>
    <xdr:to>
      <xdr:col>2</xdr:col>
      <xdr:colOff>477481</xdr:colOff>
      <xdr:row>13</xdr:row>
      <xdr:rowOff>83682</xdr:rowOff>
    </xdr:to>
    <xdr:cxnSp macro="">
      <xdr:nvCxnSpPr>
        <xdr:cNvPr id="7" name="Gerader Verbinder 6">
          <a:extLst>
            <a:ext uri="{FF2B5EF4-FFF2-40B4-BE49-F238E27FC236}">
              <a16:creationId xmlns:a16="http://schemas.microsoft.com/office/drawing/2014/main" id="{289C8A70-4198-45F2-4773-52A228057C85}"/>
            </a:ext>
          </a:extLst>
        </xdr:cNvPr>
        <xdr:cNvCxnSpPr/>
      </xdr:nvCxnSpPr>
      <xdr:spPr>
        <a:xfrm>
          <a:off x="438101" y="2431705"/>
          <a:ext cx="1565349" cy="1969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423136</xdr:colOff>
      <xdr:row>14</xdr:row>
      <xdr:rowOff>53950</xdr:rowOff>
    </xdr:from>
    <xdr:to>
      <xdr:col>2</xdr:col>
      <xdr:colOff>462516</xdr:colOff>
      <xdr:row>14</xdr:row>
      <xdr:rowOff>73640</xdr:rowOff>
    </xdr:to>
    <xdr:cxnSp macro="">
      <xdr:nvCxnSpPr>
        <xdr:cNvPr id="14" name="Gerader Verbinder 13">
          <a:extLst>
            <a:ext uri="{FF2B5EF4-FFF2-40B4-BE49-F238E27FC236}">
              <a16:creationId xmlns:a16="http://schemas.microsoft.com/office/drawing/2014/main" id="{AFC12EC2-6F36-4D79-B2A1-AC8FA073B3EC}"/>
            </a:ext>
          </a:extLst>
        </xdr:cNvPr>
        <xdr:cNvCxnSpPr/>
      </xdr:nvCxnSpPr>
      <xdr:spPr>
        <a:xfrm>
          <a:off x="423136" y="2603795"/>
          <a:ext cx="1565349" cy="1969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723605</xdr:colOff>
      <xdr:row>7</xdr:row>
      <xdr:rowOff>157519</xdr:rowOff>
    </xdr:from>
    <xdr:to>
      <xdr:col>6</xdr:col>
      <xdr:colOff>359341</xdr:colOff>
      <xdr:row>7</xdr:row>
      <xdr:rowOff>167365</xdr:rowOff>
    </xdr:to>
    <xdr:cxnSp macro="">
      <xdr:nvCxnSpPr>
        <xdr:cNvPr id="15" name="Gerader Verbinder 14">
          <a:extLst>
            <a:ext uri="{FF2B5EF4-FFF2-40B4-BE49-F238E27FC236}">
              <a16:creationId xmlns:a16="http://schemas.microsoft.com/office/drawing/2014/main" id="{B8E1C740-1E1B-4130-8779-63702B8A9491}"/>
            </a:ext>
          </a:extLst>
        </xdr:cNvPr>
        <xdr:cNvCxnSpPr/>
      </xdr:nvCxnSpPr>
      <xdr:spPr>
        <a:xfrm>
          <a:off x="3775543" y="1432441"/>
          <a:ext cx="1161705" cy="984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19493</xdr:colOff>
      <xdr:row>11</xdr:row>
      <xdr:rowOff>14570</xdr:rowOff>
    </xdr:from>
    <xdr:to>
      <xdr:col>8</xdr:col>
      <xdr:colOff>452868</xdr:colOff>
      <xdr:row>11</xdr:row>
      <xdr:rowOff>14767</xdr:rowOff>
    </xdr:to>
    <xdr:cxnSp macro="">
      <xdr:nvCxnSpPr>
        <xdr:cNvPr id="17" name="Gerader Verbinder 16">
          <a:extLst>
            <a:ext uri="{FF2B5EF4-FFF2-40B4-BE49-F238E27FC236}">
              <a16:creationId xmlns:a16="http://schemas.microsoft.com/office/drawing/2014/main" id="{2B32B889-A543-45AE-8B78-C5CEB3577B76}"/>
            </a:ext>
          </a:extLst>
        </xdr:cNvPr>
        <xdr:cNvCxnSpPr/>
      </xdr:nvCxnSpPr>
      <xdr:spPr>
        <a:xfrm>
          <a:off x="3834415" y="2018020"/>
          <a:ext cx="2722329" cy="1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39380</xdr:colOff>
      <xdr:row>14</xdr:row>
      <xdr:rowOff>137829</xdr:rowOff>
    </xdr:from>
    <xdr:to>
      <xdr:col>8</xdr:col>
      <xdr:colOff>762984</xdr:colOff>
      <xdr:row>14</xdr:row>
      <xdr:rowOff>157519</xdr:rowOff>
    </xdr:to>
    <xdr:cxnSp macro="">
      <xdr:nvCxnSpPr>
        <xdr:cNvPr id="20" name="Gerader Verbinder 19">
          <a:extLst>
            <a:ext uri="{FF2B5EF4-FFF2-40B4-BE49-F238E27FC236}">
              <a16:creationId xmlns:a16="http://schemas.microsoft.com/office/drawing/2014/main" id="{BB7DE5A3-D054-4EC0-9F0E-B62A3D165E16}"/>
            </a:ext>
          </a:extLst>
        </xdr:cNvPr>
        <xdr:cNvCxnSpPr/>
      </xdr:nvCxnSpPr>
      <xdr:spPr>
        <a:xfrm>
          <a:off x="3854302" y="2687674"/>
          <a:ext cx="3012558" cy="1969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4923</xdr:colOff>
      <xdr:row>12</xdr:row>
      <xdr:rowOff>9845</xdr:rowOff>
    </xdr:from>
    <xdr:to>
      <xdr:col>6</xdr:col>
      <xdr:colOff>403643</xdr:colOff>
      <xdr:row>12</xdr:row>
      <xdr:rowOff>19691</xdr:rowOff>
    </xdr:to>
    <xdr:cxnSp macro="">
      <xdr:nvCxnSpPr>
        <xdr:cNvPr id="22" name="Gerader Verbinder 21">
          <a:extLst>
            <a:ext uri="{FF2B5EF4-FFF2-40B4-BE49-F238E27FC236}">
              <a16:creationId xmlns:a16="http://schemas.microsoft.com/office/drawing/2014/main" id="{FD3EA59B-E619-4A95-9660-2726EE467C96}"/>
            </a:ext>
          </a:extLst>
        </xdr:cNvPr>
        <xdr:cNvCxnSpPr/>
      </xdr:nvCxnSpPr>
      <xdr:spPr>
        <a:xfrm>
          <a:off x="3819845" y="2195426"/>
          <a:ext cx="1161705" cy="984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14768</xdr:colOff>
      <xdr:row>8</xdr:row>
      <xdr:rowOff>137830</xdr:rowOff>
    </xdr:from>
    <xdr:to>
      <xdr:col>8</xdr:col>
      <xdr:colOff>236279</xdr:colOff>
      <xdr:row>8</xdr:row>
      <xdr:rowOff>157520</xdr:rowOff>
    </xdr:to>
    <xdr:cxnSp macro="">
      <xdr:nvCxnSpPr>
        <xdr:cNvPr id="23" name="Gerader Verbinder 22">
          <a:extLst>
            <a:ext uri="{FF2B5EF4-FFF2-40B4-BE49-F238E27FC236}">
              <a16:creationId xmlns:a16="http://schemas.microsoft.com/office/drawing/2014/main" id="{2786F035-634B-4C3A-878C-C5787B46C900}"/>
            </a:ext>
          </a:extLst>
        </xdr:cNvPr>
        <xdr:cNvCxnSpPr/>
      </xdr:nvCxnSpPr>
      <xdr:spPr>
        <a:xfrm>
          <a:off x="3829690" y="1594884"/>
          <a:ext cx="2510465" cy="1969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19691</xdr:colOff>
      <xdr:row>9</xdr:row>
      <xdr:rowOff>63992</xdr:rowOff>
    </xdr:from>
    <xdr:to>
      <xdr:col>7</xdr:col>
      <xdr:colOff>659613</xdr:colOff>
      <xdr:row>9</xdr:row>
      <xdr:rowOff>73837</xdr:rowOff>
    </xdr:to>
    <xdr:cxnSp macro="">
      <xdr:nvCxnSpPr>
        <xdr:cNvPr id="25" name="Gerader Verbinder 24">
          <a:extLst>
            <a:ext uri="{FF2B5EF4-FFF2-40B4-BE49-F238E27FC236}">
              <a16:creationId xmlns:a16="http://schemas.microsoft.com/office/drawing/2014/main" id="{66791DDD-EFFE-416A-80BA-AA92479BF181}"/>
            </a:ext>
          </a:extLst>
        </xdr:cNvPr>
        <xdr:cNvCxnSpPr/>
      </xdr:nvCxnSpPr>
      <xdr:spPr>
        <a:xfrm>
          <a:off x="3834613" y="1703178"/>
          <a:ext cx="2165891" cy="98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408566</xdr:colOff>
      <xdr:row>6</xdr:row>
      <xdr:rowOff>167364</xdr:rowOff>
    </xdr:from>
    <xdr:to>
      <xdr:col>1</xdr:col>
      <xdr:colOff>758063</xdr:colOff>
      <xdr:row>7</xdr:row>
      <xdr:rowOff>4923</xdr:rowOff>
    </xdr:to>
    <xdr:cxnSp macro="">
      <xdr:nvCxnSpPr>
        <xdr:cNvPr id="30" name="Gerader Verbinder 29">
          <a:extLst>
            <a:ext uri="{FF2B5EF4-FFF2-40B4-BE49-F238E27FC236}">
              <a16:creationId xmlns:a16="http://schemas.microsoft.com/office/drawing/2014/main" id="{666E1344-857C-CC7E-7454-C24B59B418C8}"/>
            </a:ext>
          </a:extLst>
        </xdr:cNvPr>
        <xdr:cNvCxnSpPr/>
      </xdr:nvCxnSpPr>
      <xdr:spPr>
        <a:xfrm>
          <a:off x="408566" y="1260155"/>
          <a:ext cx="1112481" cy="1969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343348</xdr:colOff>
      <xdr:row>31</xdr:row>
      <xdr:rowOff>140001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5D3E86F-68F2-CF63-7654-62DCC1D16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25348" cy="584865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33</xdr:row>
      <xdr:rowOff>17163</xdr:rowOff>
    </xdr:from>
    <xdr:to>
      <xdr:col>13</xdr:col>
      <xdr:colOff>1098380</xdr:colOff>
      <xdr:row>73</xdr:row>
      <xdr:rowOff>171623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84D8248-81A8-300F-F652-088289751C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784" t="20925" r="9318" b="19398"/>
        <a:stretch>
          <a:fillRect/>
        </a:stretch>
      </xdr:blipFill>
      <xdr:spPr>
        <a:xfrm rot="16200000">
          <a:off x="1604663" y="4642366"/>
          <a:ext cx="7705811" cy="109151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598899</xdr:colOff>
      <xdr:row>15</xdr:row>
      <xdr:rowOff>25450</xdr:rowOff>
    </xdr:from>
    <xdr:to>
      <xdr:col>5</xdr:col>
      <xdr:colOff>1034579</xdr:colOff>
      <xdr:row>30</xdr:row>
      <xdr:rowOff>32186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28DB4FE-8583-E3C6-5FBA-D6EAC48C9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83745</xdr:colOff>
      <xdr:row>10</xdr:row>
      <xdr:rowOff>179089</xdr:rowOff>
    </xdr:from>
    <xdr:to>
      <xdr:col>14</xdr:col>
      <xdr:colOff>0</xdr:colOff>
      <xdr:row>32</xdr:row>
      <xdr:rowOff>97693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BC69EF2-56A0-45C8-B8D9-CF0DEB46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83745</xdr:colOff>
      <xdr:row>10</xdr:row>
      <xdr:rowOff>179089</xdr:rowOff>
    </xdr:from>
    <xdr:to>
      <xdr:col>14</xdr:col>
      <xdr:colOff>0</xdr:colOff>
      <xdr:row>32</xdr:row>
      <xdr:rowOff>97693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6854432-74D8-DBA5-E8C2-F156613D7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738909</xdr:colOff>
      <xdr:row>9</xdr:row>
      <xdr:rowOff>39833</xdr:rowOff>
    </xdr:from>
    <xdr:to>
      <xdr:col>11</xdr:col>
      <xdr:colOff>213591</xdr:colOff>
      <xdr:row>24</xdr:row>
      <xdr:rowOff>12123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1A7FD78-D838-081E-B1D8-C0B6D305C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320675</xdr:colOff>
      <xdr:row>12</xdr:row>
      <xdr:rowOff>0</xdr:rowOff>
    </xdr:from>
    <xdr:to>
      <xdr:col>14</xdr:col>
      <xdr:colOff>15875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5A21D-9816-AE43-F7E4-37BEE6738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9T19:43:57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 24494,'7017'0'0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DFEF-2AFA-417E-88DC-2C23CEA3FC3F}">
  <dimension ref="A1"/>
  <sheetViews>
    <sheetView topLeftCell="A6" zoomScale="129" workbookViewId="0">
      <selection activeCell="K10" sqref="K10"/>
    </sheetView>
  </sheetViews>
  <sheetFormatPr baseColWidth="10" defaultColWidth="10.90625" defaultRowHeight="14.5" x14ac:dyDescent="0.35"/>
  <sheetData/>
  <pageMargins left="0.7" right="0.7" top="0.78740157499999996" bottom="0.78740157499999996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FFEE-6FA9-4AD8-8E54-20B1165D238A}">
  <dimension ref="A1"/>
  <sheetViews>
    <sheetView tabSelected="1" topLeftCell="A25" zoomScale="85" zoomScaleNormal="85" workbookViewId="0">
      <selection activeCell="O53" sqref="O53"/>
    </sheetView>
  </sheetViews>
  <sheetFormatPr baseColWidth="10" defaultColWidth="10.90625" defaultRowHeight="14.5" x14ac:dyDescent="0.35"/>
  <cols>
    <col min="14" max="14" width="22.08984375" bestFit="1" customWidth="1"/>
  </cols>
  <sheetData/>
  <pageMargins left="0.7" right="0.7" top="0.78740157499999996" bottom="0.78740157499999996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6394-B300-463D-9737-A0A5777474A2}">
  <dimension ref="A1:I8"/>
  <sheetViews>
    <sheetView zoomScale="101" zoomScaleNormal="101" workbookViewId="0">
      <selection activeCell="I8" sqref="I8"/>
    </sheetView>
  </sheetViews>
  <sheetFormatPr baseColWidth="10" defaultColWidth="10.90625" defaultRowHeight="14.5" x14ac:dyDescent="0.35"/>
  <cols>
    <col min="2" max="6" width="19.26953125" bestFit="1" customWidth="1"/>
    <col min="8" max="8" width="7.54296875" bestFit="1" customWidth="1"/>
  </cols>
  <sheetData>
    <row r="1" spans="1:9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6</v>
      </c>
      <c r="H1" t="s">
        <v>19</v>
      </c>
    </row>
    <row r="2" spans="1:9" x14ac:dyDescent="0.35">
      <c r="A2">
        <v>83</v>
      </c>
      <c r="B2">
        <v>0.16631299999999999</v>
      </c>
      <c r="C2">
        <v>0.10834299999999999</v>
      </c>
      <c r="D2">
        <v>6.1196E-2</v>
      </c>
      <c r="E2">
        <v>9.4374E-2</v>
      </c>
      <c r="F2">
        <v>0.13408800000000001</v>
      </c>
      <c r="G2">
        <f>AVERAGE(B2:F2)</f>
        <v>0.11286280000000001</v>
      </c>
      <c r="H2">
        <f>_xlfn.STDEV.S(B2:F2)/SQRT(COUNT(B2:F2))</f>
        <v>1.7803308028004207E-2</v>
      </c>
    </row>
    <row r="3" spans="1:9" x14ac:dyDescent="0.35">
      <c r="A3">
        <v>80</v>
      </c>
      <c r="B3">
        <v>0.143876</v>
      </c>
      <c r="C3">
        <v>0.13730300000000001</v>
      </c>
      <c r="D3">
        <v>0.15548699999999999</v>
      </c>
      <c r="E3">
        <v>0.16037499999999999</v>
      </c>
      <c r="F3">
        <v>0.146176</v>
      </c>
      <c r="G3">
        <f>AVERAGE(B3:F3)</f>
        <v>0.14864339999999998</v>
      </c>
      <c r="H3">
        <f t="shared" ref="H3:H5" si="0">_xlfn.STDEV.S(B3:F3)/SQRT(COUNT(B3:F3))</f>
        <v>4.1345261953457208E-3</v>
      </c>
    </row>
    <row r="4" spans="1:9" x14ac:dyDescent="0.35">
      <c r="A4">
        <v>77</v>
      </c>
      <c r="B4">
        <v>0.17286499999999999</v>
      </c>
      <c r="C4">
        <v>0.227549</v>
      </c>
      <c r="D4">
        <v>0.138352</v>
      </c>
      <c r="E4">
        <v>0.24024499999999999</v>
      </c>
      <c r="F4">
        <v>0.15524099999999999</v>
      </c>
      <c r="G4">
        <f>AVERAGE(B4:F4)</f>
        <v>0.18685039999999997</v>
      </c>
      <c r="H4">
        <f t="shared" si="0"/>
        <v>2.0067635305635819E-2</v>
      </c>
    </row>
    <row r="5" spans="1:9" x14ac:dyDescent="0.35">
      <c r="A5">
        <v>75</v>
      </c>
      <c r="B5">
        <v>0.23089799999999999</v>
      </c>
      <c r="C5">
        <v>0.17897399999999999</v>
      </c>
      <c r="D5">
        <v>0.14332</v>
      </c>
      <c r="E5">
        <v>0.21848600000000001</v>
      </c>
      <c r="F5">
        <v>0.35098499999999999</v>
      </c>
      <c r="G5">
        <f>AVERAGE(B5:F5)</f>
        <v>0.22453260000000003</v>
      </c>
      <c r="H5">
        <f t="shared" si="0"/>
        <v>3.5169846166282805E-2</v>
      </c>
    </row>
    <row r="7" spans="1:9" x14ac:dyDescent="0.35">
      <c r="I7" t="s">
        <v>37</v>
      </c>
    </row>
    <row r="8" spans="1:9" x14ac:dyDescent="0.35">
      <c r="I8">
        <f>0.0238/AVERAGE(G2:G5) * 100</f>
        <v>14.147945902534923</v>
      </c>
    </row>
  </sheetData>
  <phoneticPr fontId="1" type="noConversion"/>
  <pageMargins left="0.7" right="0.7" top="0.78740157499999996" bottom="0.78740157499999996" header="0.3" footer="0.3"/>
  <pageSetup orientation="portrait" r:id="rId1"/>
  <ignoredErrors>
    <ignoredError sqref="G2:G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9D24-EBC9-42D8-8EB7-F95D419E777A}">
  <dimension ref="A1:N19"/>
  <sheetViews>
    <sheetView workbookViewId="0">
      <selection activeCell="D23" sqref="D23"/>
    </sheetView>
  </sheetViews>
  <sheetFormatPr baseColWidth="10" defaultColWidth="10.90625" defaultRowHeight="14.5" x14ac:dyDescent="0.35"/>
  <cols>
    <col min="1" max="1" width="10.54296875" bestFit="1" customWidth="1"/>
    <col min="2" max="6" width="19.26953125" bestFit="1" customWidth="1"/>
    <col min="8" max="8" width="15.08984375" bestFit="1" customWidth="1"/>
    <col min="9" max="9" width="7.54296875" bestFit="1" customWidth="1"/>
  </cols>
  <sheetData>
    <row r="1" spans="1:14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8</v>
      </c>
      <c r="I1" t="s">
        <v>19</v>
      </c>
    </row>
    <row r="2" spans="1:14" x14ac:dyDescent="0.35">
      <c r="A2">
        <v>35</v>
      </c>
      <c r="B2">
        <v>0.177788</v>
      </c>
      <c r="C2">
        <v>0.14180499999999999</v>
      </c>
      <c r="D2">
        <v>0.23824500000000001</v>
      </c>
      <c r="E2">
        <v>0.17516699999999999</v>
      </c>
      <c r="F2">
        <v>0.14178199999999999</v>
      </c>
      <c r="G2">
        <f>AVERAGE(B2:F2)</f>
        <v>0.17495739999999999</v>
      </c>
      <c r="I2">
        <f>_xlfn.STDEV.S(B2:G2)/SQRT(COUNT(B2:F2))</f>
        <v>1.5764600005328373E-2</v>
      </c>
      <c r="N2" t="s">
        <v>33</v>
      </c>
    </row>
    <row r="3" spans="1:14" x14ac:dyDescent="0.35">
      <c r="A3">
        <v>40</v>
      </c>
      <c r="B3">
        <v>0.14829899999999999</v>
      </c>
      <c r="C3">
        <v>0.10657</v>
      </c>
      <c r="D3">
        <v>0.14579500000000001</v>
      </c>
      <c r="E3">
        <v>0.114713</v>
      </c>
      <c r="F3">
        <v>0.109223</v>
      </c>
      <c r="G3">
        <f t="shared" ref="G3:G4" si="0">AVERAGE(B3:F3)</f>
        <v>0.12491999999999999</v>
      </c>
      <c r="H3" t="s">
        <v>9</v>
      </c>
      <c r="I3">
        <f t="shared" ref="I3:I4" si="1">_xlfn.STDEV.S(B3:G3)/SQRT(COUNT(B3:F3))</f>
        <v>8.172256540270869E-3</v>
      </c>
    </row>
    <row r="4" spans="1:14" x14ac:dyDescent="0.35">
      <c r="A4">
        <v>45</v>
      </c>
      <c r="B4">
        <v>0.105838</v>
      </c>
      <c r="C4">
        <v>0.10335900000000001</v>
      </c>
      <c r="D4">
        <v>9.5019000000000006E-2</v>
      </c>
      <c r="E4">
        <v>0.130638</v>
      </c>
      <c r="F4">
        <v>8.7282999999999999E-2</v>
      </c>
      <c r="G4">
        <f t="shared" si="0"/>
        <v>0.10442740000000002</v>
      </c>
      <c r="H4" t="s">
        <v>9</v>
      </c>
      <c r="I4">
        <f t="shared" si="1"/>
        <v>6.5500389775938871E-3</v>
      </c>
    </row>
    <row r="15" spans="1:14" x14ac:dyDescent="0.35">
      <c r="B15" t="s">
        <v>32</v>
      </c>
    </row>
    <row r="16" spans="1:14" x14ac:dyDescent="0.35">
      <c r="D16" t="s">
        <v>7</v>
      </c>
      <c r="E16" t="s">
        <v>0</v>
      </c>
      <c r="F16" t="s">
        <v>1</v>
      </c>
      <c r="G16" t="s">
        <v>2</v>
      </c>
      <c r="H16" t="s">
        <v>3</v>
      </c>
      <c r="I16" t="s">
        <v>4</v>
      </c>
      <c r="J16" t="s">
        <v>6</v>
      </c>
      <c r="K16" t="s">
        <v>19</v>
      </c>
    </row>
    <row r="17" spans="4:11" x14ac:dyDescent="0.35">
      <c r="D17">
        <v>35</v>
      </c>
      <c r="E17">
        <v>0.177788</v>
      </c>
      <c r="F17">
        <v>0.14180499999999999</v>
      </c>
      <c r="G17">
        <v>0.23824500000000001</v>
      </c>
      <c r="H17">
        <v>0.17516699999999999</v>
      </c>
      <c r="I17">
        <v>0.14178199999999999</v>
      </c>
      <c r="J17">
        <f>AVERAGE(E17:I17)</f>
        <v>0.17495739999999999</v>
      </c>
      <c r="K17">
        <f>_xlfn.STDEV.S(E17:J17)/SQRT(COUNT(E17:I17))</f>
        <v>1.5764600005328373E-2</v>
      </c>
    </row>
    <row r="18" spans="4:11" x14ac:dyDescent="0.35">
      <c r="D18">
        <v>40</v>
      </c>
      <c r="E18">
        <v>0.14829899999999999</v>
      </c>
      <c r="F18">
        <v>0.10657</v>
      </c>
      <c r="G18">
        <v>0.14579500000000001</v>
      </c>
      <c r="H18">
        <v>0.114713</v>
      </c>
      <c r="I18">
        <v>0.109223</v>
      </c>
      <c r="J18">
        <f t="shared" ref="J18:J19" si="2">AVERAGE(E18:I18)</f>
        <v>0.12491999999999999</v>
      </c>
      <c r="K18">
        <f>_xlfn.STDEV.S(E18:J18)/SQRT(COUNT(E18:I18))</f>
        <v>8.172256540270869E-3</v>
      </c>
    </row>
    <row r="19" spans="4:11" x14ac:dyDescent="0.35">
      <c r="D19">
        <v>45</v>
      </c>
      <c r="E19">
        <v>0.105838</v>
      </c>
      <c r="F19">
        <v>0.10335900000000001</v>
      </c>
      <c r="G19">
        <v>9.5019000000000006E-2</v>
      </c>
      <c r="H19">
        <v>0.130638</v>
      </c>
      <c r="I19">
        <v>8.7282999999999999E-2</v>
      </c>
      <c r="J19">
        <f t="shared" si="2"/>
        <v>0.10442740000000002</v>
      </c>
      <c r="K19">
        <f>_xlfn.STDEV.S(E19:J19)/SQRT(COUNT(E19:I19))</f>
        <v>6.5500389775938871E-3</v>
      </c>
    </row>
  </sheetData>
  <pageMargins left="0.7" right="0.7" top="0.78740157499999996" bottom="0.78740157499999996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766A-C95C-49AF-B54C-4DC0DA978830}">
  <dimension ref="A1:J4"/>
  <sheetViews>
    <sheetView zoomScale="130" zoomScaleNormal="130" workbookViewId="0">
      <selection activeCell="C9" sqref="C9"/>
    </sheetView>
  </sheetViews>
  <sheetFormatPr baseColWidth="10" defaultColWidth="10.90625" defaultRowHeight="14.5" x14ac:dyDescent="0.35"/>
  <cols>
    <col min="1" max="1" width="16.26953125" bestFit="1" customWidth="1"/>
    <col min="9" max="9" width="7.54296875" bestFit="1" customWidth="1"/>
  </cols>
  <sheetData>
    <row r="1" spans="1:10" x14ac:dyDescent="0.3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8</v>
      </c>
      <c r="I1" t="s">
        <v>19</v>
      </c>
    </row>
    <row r="2" spans="1:10" x14ac:dyDescent="0.35">
      <c r="A2" t="s">
        <v>10</v>
      </c>
      <c r="B2">
        <v>0.177788</v>
      </c>
      <c r="C2">
        <v>0.14180499999999999</v>
      </c>
      <c r="D2">
        <v>0.23824500000000001</v>
      </c>
      <c r="E2">
        <v>0.17516699999999999</v>
      </c>
      <c r="F2">
        <v>0.14178199999999999</v>
      </c>
      <c r="G2">
        <f>AVERAGE(B2:F2)</f>
        <v>0.17495739999999999</v>
      </c>
      <c r="I2">
        <f>_xlfn.STDEV.S(B2:G2)/SQRT(COUNT(B2:G2))</f>
        <v>1.4391045054940689E-2</v>
      </c>
      <c r="J2">
        <v>0.16365982499999995</v>
      </c>
    </row>
    <row r="3" spans="1:10" x14ac:dyDescent="0.35">
      <c r="A3" t="s">
        <v>11</v>
      </c>
      <c r="B3">
        <v>-5.8000999999999997E-2</v>
      </c>
      <c r="C3">
        <v>-0.170019</v>
      </c>
      <c r="D3">
        <v>-7.6023999999999994E-2</v>
      </c>
      <c r="E3">
        <v>-0.13592399999999999</v>
      </c>
      <c r="F3">
        <v>-7.1413000000000004E-2</v>
      </c>
      <c r="G3">
        <f>-AVERAGE(B4:F4)</f>
        <v>-0.1022762</v>
      </c>
      <c r="I3">
        <f>_xlfn.STDEV.S(B3:G3)/SQRT(COUNT(B3:G3))</f>
        <v>1.7628830411951135E-2</v>
      </c>
      <c r="J3">
        <v>0.16365982499999995</v>
      </c>
    </row>
    <row r="4" spans="1:10" x14ac:dyDescent="0.35">
      <c r="B4">
        <f>ABS(B3)</f>
        <v>5.8000999999999997E-2</v>
      </c>
      <c r="C4">
        <f>ABS(C3)</f>
        <v>0.170019</v>
      </c>
      <c r="D4">
        <f>ABS(D3)</f>
        <v>7.6023999999999994E-2</v>
      </c>
      <c r="E4">
        <f>ABS(E3)</f>
        <v>0.13592399999999999</v>
      </c>
      <c r="F4">
        <f>ABS(F3)</f>
        <v>7.1413000000000004E-2</v>
      </c>
    </row>
  </sheetData>
  <pageMargins left="0.7" right="0.7" top="0.78740157499999996" bottom="0.78740157499999996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5ADB-9598-4EFA-819E-D216C9136DC5}">
  <dimension ref="A1:N40"/>
  <sheetViews>
    <sheetView zoomScale="70" zoomScaleNormal="70" workbookViewId="0">
      <selection activeCell="L20" sqref="L20"/>
    </sheetView>
  </sheetViews>
  <sheetFormatPr baseColWidth="10" defaultColWidth="10.90625" defaultRowHeight="14.5" x14ac:dyDescent="0.35"/>
  <cols>
    <col min="1" max="1" width="29.1796875" bestFit="1" customWidth="1"/>
    <col min="2" max="6" width="19.7265625" bestFit="1" customWidth="1"/>
    <col min="9" max="9" width="7.54296875" bestFit="1" customWidth="1"/>
    <col min="11" max="11" width="21.36328125" bestFit="1" customWidth="1"/>
  </cols>
  <sheetData>
    <row r="1" spans="1:14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8</v>
      </c>
      <c r="I1" t="s">
        <v>19</v>
      </c>
      <c r="J1" t="s">
        <v>22</v>
      </c>
      <c r="K1" t="s">
        <v>27</v>
      </c>
      <c r="L1" t="s">
        <v>28</v>
      </c>
    </row>
    <row r="3" spans="1:14" x14ac:dyDescent="0.35">
      <c r="A3">
        <f>A4-0.5</f>
        <v>0.60000000000000009</v>
      </c>
      <c r="C3">
        <v>0.38116499999999998</v>
      </c>
      <c r="D3">
        <v>0.311554</v>
      </c>
      <c r="G3">
        <f>AVERAGE(B3:F3)</f>
        <v>0.34635949999999999</v>
      </c>
      <c r="I3">
        <f>_xlfn.STDEV.S(B3:F3)</f>
        <v>4.922241014517674E-2</v>
      </c>
      <c r="J3">
        <f>I3/SQRT(COUNT(B3:F3))</f>
        <v>3.4805499999999982E-2</v>
      </c>
      <c r="K3">
        <v>0.66200000000000003</v>
      </c>
      <c r="L3">
        <v>0.27362174371875003</v>
      </c>
      <c r="M3">
        <f>L3*0.89775</f>
        <v>0.24564392042350786</v>
      </c>
      <c r="N3" t="s">
        <v>34</v>
      </c>
    </row>
    <row r="4" spans="1:14" x14ac:dyDescent="0.35">
      <c r="A4">
        <f>A5-0.5</f>
        <v>1.1000000000000001</v>
      </c>
      <c r="B4">
        <v>0.36317300000000002</v>
      </c>
      <c r="C4">
        <v>0.35195399999999999</v>
      </c>
      <c r="D4">
        <v>0.310311</v>
      </c>
      <c r="E4">
        <v>0.38206800000000002</v>
      </c>
      <c r="F4">
        <v>0.28457300000000002</v>
      </c>
      <c r="G4">
        <f t="shared" ref="G4:G8" si="0">AVERAGE(B4:F4)</f>
        <v>0.33841580000000004</v>
      </c>
      <c r="I4">
        <f>_xlfn.STDEV.S(B4:F4)</f>
        <v>3.9970749526372307E-2</v>
      </c>
      <c r="J4">
        <f t="shared" ref="J4:J9" si="1">I4/SQRT(COUNT(B4:F4))</f>
        <v>1.7875462610517201E-2</v>
      </c>
      <c r="K4">
        <v>0.46679999999999999</v>
      </c>
      <c r="L4">
        <v>0.26008169866875003</v>
      </c>
      <c r="M4">
        <f t="shared" ref="M4:M9" si="2">L4*0.89775</f>
        <v>0.23348834497987034</v>
      </c>
      <c r="N4" t="s">
        <v>35</v>
      </c>
    </row>
    <row r="5" spans="1:14" x14ac:dyDescent="0.35">
      <c r="A5">
        <f>A6-0.5</f>
        <v>1.6</v>
      </c>
      <c r="B5">
        <v>0.25044499999999997</v>
      </c>
      <c r="C5">
        <v>0.385264</v>
      </c>
      <c r="D5">
        <v>0.25205100000000003</v>
      </c>
      <c r="E5">
        <v>0.24594099999999999</v>
      </c>
      <c r="F5">
        <v>0.35089500000000001</v>
      </c>
      <c r="G5">
        <f t="shared" si="0"/>
        <v>0.29691919999999999</v>
      </c>
      <c r="I5">
        <f t="shared" ref="I5:I9" si="3">_xlfn.STDEV.S(B5:F5)</f>
        <v>6.6124833052341292E-2</v>
      </c>
      <c r="J5">
        <f t="shared" si="1"/>
        <v>2.9571924341172007E-2</v>
      </c>
      <c r="K5">
        <v>0.29930000000000001</v>
      </c>
      <c r="L5">
        <v>0.21422285561250001</v>
      </c>
      <c r="M5">
        <f t="shared" si="2"/>
        <v>0.1923185686261219</v>
      </c>
    </row>
    <row r="6" spans="1:14" x14ac:dyDescent="0.35">
      <c r="A6">
        <v>2.1</v>
      </c>
      <c r="B6">
        <v>0.177788</v>
      </c>
      <c r="C6">
        <v>0.14180499999999999</v>
      </c>
      <c r="D6">
        <v>0.23824500000000001</v>
      </c>
      <c r="E6">
        <v>0.17516699999999999</v>
      </c>
      <c r="F6">
        <v>0.14178199999999999</v>
      </c>
      <c r="G6">
        <f>AVERAGE(B6:F6)</f>
        <v>0.17495739999999999</v>
      </c>
      <c r="H6" t="s">
        <v>14</v>
      </c>
      <c r="I6">
        <f t="shared" si="3"/>
        <v>3.9411500013321027E-2</v>
      </c>
      <c r="J6">
        <f>I6/SQRT(COUNT(B6:F6))</f>
        <v>1.7625358625003935E-2</v>
      </c>
      <c r="K6">
        <v>0.1721</v>
      </c>
      <c r="L6">
        <v>0.17779368678750002</v>
      </c>
      <c r="M6">
        <f t="shared" si="2"/>
        <v>0.15961428231347816</v>
      </c>
    </row>
    <row r="7" spans="1:14" x14ac:dyDescent="0.35">
      <c r="A7">
        <f>A6+0.5</f>
        <v>2.6</v>
      </c>
      <c r="B7">
        <v>0.17120099999999999</v>
      </c>
      <c r="C7">
        <v>0.17213600000000001</v>
      </c>
      <c r="D7">
        <v>0.14306199999999999</v>
      </c>
      <c r="E7">
        <v>9.3379000000000004E-2</v>
      </c>
      <c r="F7">
        <v>0.177811</v>
      </c>
      <c r="G7">
        <f t="shared" si="0"/>
        <v>0.15151780000000001</v>
      </c>
      <c r="I7">
        <f t="shared" si="3"/>
        <v>3.519762605205061E-2</v>
      </c>
      <c r="J7">
        <f t="shared" si="1"/>
        <v>1.5740856899800541E-2</v>
      </c>
      <c r="K7">
        <v>8.8099999999999998E-2</v>
      </c>
      <c r="L7">
        <v>0.15837016978125001</v>
      </c>
      <c r="M7">
        <f t="shared" si="2"/>
        <v>0.14217681992111722</v>
      </c>
    </row>
    <row r="8" spans="1:14" x14ac:dyDescent="0.35">
      <c r="A8">
        <f>A7+0.5</f>
        <v>3.1</v>
      </c>
      <c r="B8">
        <v>8.4075999999999998E-2</v>
      </c>
      <c r="C8">
        <v>9.2000999999999999E-2</v>
      </c>
      <c r="D8">
        <v>7.1120000000000003E-2</v>
      </c>
      <c r="E8">
        <v>0.15509899999999999</v>
      </c>
      <c r="F8">
        <v>0.19167200000000001</v>
      </c>
      <c r="G8">
        <f t="shared" si="0"/>
        <v>0.11879360000000001</v>
      </c>
      <c r="I8">
        <f t="shared" si="3"/>
        <v>5.2022280220113362E-2</v>
      </c>
      <c r="J8">
        <f t="shared" si="1"/>
        <v>2.3265070983343239E-2</v>
      </c>
      <c r="K8">
        <v>4.1200000000000001E-2</v>
      </c>
      <c r="L8">
        <v>0.14507191125000002</v>
      </c>
      <c r="M8">
        <f t="shared" si="2"/>
        <v>0.13023830832468752</v>
      </c>
    </row>
    <row r="9" spans="1:14" x14ac:dyDescent="0.35">
      <c r="A9">
        <f>A8+0.5</f>
        <v>3.6</v>
      </c>
      <c r="B9">
        <v>0.108322</v>
      </c>
      <c r="C9">
        <v>0.23605499999999999</v>
      </c>
      <c r="D9">
        <v>0.14175499999999999</v>
      </c>
      <c r="E9">
        <v>1.9612999999999998E-2</v>
      </c>
      <c r="F9">
        <v>4.0288999999999998E-2</v>
      </c>
      <c r="G9">
        <f>AVERAGE(B9:F9)</f>
        <v>0.10920680000000001</v>
      </c>
      <c r="I9">
        <f t="shared" si="3"/>
        <v>8.6497610072186371E-2</v>
      </c>
      <c r="J9">
        <f t="shared" si="1"/>
        <v>3.8682907202535845E-2</v>
      </c>
      <c r="K9">
        <v>2.0299999999999999E-2</v>
      </c>
      <c r="L9">
        <v>0.13411092240000003</v>
      </c>
      <c r="M9">
        <f t="shared" si="2"/>
        <v>0.12039808058460003</v>
      </c>
      <c r="N9" t="s">
        <v>36</v>
      </c>
    </row>
    <row r="15" spans="1:14" x14ac:dyDescent="0.35">
      <c r="A15" t="s">
        <v>15</v>
      </c>
    </row>
    <row r="17" spans="7:12" x14ac:dyDescent="0.35">
      <c r="G17">
        <v>0.34635949999999999</v>
      </c>
      <c r="H17">
        <v>3.4805499999999982E-2</v>
      </c>
      <c r="I17">
        <v>0.27362174371875003</v>
      </c>
    </row>
    <row r="18" spans="7:12" x14ac:dyDescent="0.35">
      <c r="G18">
        <v>0.33841580000000004</v>
      </c>
      <c r="H18">
        <v>1.7875462610517201E-2</v>
      </c>
      <c r="I18">
        <v>0.26008169866875003</v>
      </c>
      <c r="J18" t="s">
        <v>24</v>
      </c>
      <c r="K18" t="s">
        <v>25</v>
      </c>
    </row>
    <row r="19" spans="7:12" x14ac:dyDescent="0.35">
      <c r="G19">
        <v>0.29691919999999999</v>
      </c>
      <c r="H19">
        <v>2.9571924341172007E-2</v>
      </c>
      <c r="I19">
        <v>0.21422285561250001</v>
      </c>
      <c r="J19">
        <v>0.01</v>
      </c>
      <c r="K19" t="s">
        <v>26</v>
      </c>
    </row>
    <row r="20" spans="7:12" x14ac:dyDescent="0.35">
      <c r="G20">
        <v>0.17495739999999999</v>
      </c>
      <c r="H20">
        <v>1.7625358625003935E-2</v>
      </c>
      <c r="I20">
        <v>0.17779368678750002</v>
      </c>
      <c r="L20">
        <f>0.0337/AVERAGE(G3:G9) * 100</f>
        <v>15.356372318404061</v>
      </c>
    </row>
    <row r="21" spans="7:12" x14ac:dyDescent="0.35">
      <c r="G21">
        <v>0.15151780000000001</v>
      </c>
      <c r="H21">
        <v>1.5740856899800541E-2</v>
      </c>
      <c r="I21">
        <v>0.15837016978125001</v>
      </c>
    </row>
    <row r="22" spans="7:12" x14ac:dyDescent="0.35">
      <c r="G22">
        <v>0.11879360000000001</v>
      </c>
      <c r="H22">
        <v>2.3265070983343239E-2</v>
      </c>
      <c r="I22">
        <v>0.14507191125000002</v>
      </c>
    </row>
    <row r="23" spans="7:12" x14ac:dyDescent="0.35">
      <c r="G23">
        <v>0.10920680000000001</v>
      </c>
      <c r="H23">
        <v>3.8682907202535845E-2</v>
      </c>
      <c r="I23">
        <v>0.13411092240000003</v>
      </c>
    </row>
    <row r="34" spans="1:3" x14ac:dyDescent="0.35">
      <c r="A34">
        <f>A35-0.5</f>
        <v>0.60000000000000009</v>
      </c>
      <c r="B34">
        <v>0.34635949999999999</v>
      </c>
      <c r="C34">
        <v>3.4805499999999982E-2</v>
      </c>
    </row>
    <row r="35" spans="1:3" x14ac:dyDescent="0.35">
      <c r="A35">
        <f>A36-0.5</f>
        <v>1.1000000000000001</v>
      </c>
      <c r="B35">
        <v>0.33841580000000004</v>
      </c>
      <c r="C35">
        <v>1.7875462610517201E-2</v>
      </c>
    </row>
    <row r="36" spans="1:3" x14ac:dyDescent="0.35">
      <c r="A36">
        <f>A37-0.5</f>
        <v>1.6</v>
      </c>
      <c r="B36">
        <v>0.29691919999999999</v>
      </c>
      <c r="C36">
        <v>2.9571924341172007E-2</v>
      </c>
    </row>
    <row r="37" spans="1:3" x14ac:dyDescent="0.35">
      <c r="A37">
        <v>2.1</v>
      </c>
      <c r="B37">
        <v>0.18685039999999997</v>
      </c>
      <c r="C37">
        <v>1.7625358625003935E-2</v>
      </c>
    </row>
    <row r="38" spans="1:3" x14ac:dyDescent="0.35">
      <c r="A38">
        <f>A37+0.5</f>
        <v>2.6</v>
      </c>
      <c r="B38">
        <v>0.15151780000000001</v>
      </c>
      <c r="C38">
        <v>1.5740856899800541E-2</v>
      </c>
    </row>
    <row r="39" spans="1:3" x14ac:dyDescent="0.35">
      <c r="A39">
        <f>A38+0.5</f>
        <v>3.1</v>
      </c>
      <c r="B39">
        <v>0.11879360000000001</v>
      </c>
      <c r="C39">
        <v>2.3265070983343239E-2</v>
      </c>
    </row>
    <row r="40" spans="1:3" x14ac:dyDescent="0.35">
      <c r="A40">
        <f>A39+0.5</f>
        <v>3.6</v>
      </c>
      <c r="B40">
        <v>0.10920680000000001</v>
      </c>
      <c r="C40">
        <v>3.8682907202535845E-2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35A2-81E4-4E61-BC6F-F3855F6BFFF3}">
  <dimension ref="A1:V44"/>
  <sheetViews>
    <sheetView zoomScale="83" zoomScaleNormal="63" workbookViewId="0">
      <selection activeCell="K10" sqref="K10"/>
    </sheetView>
  </sheetViews>
  <sheetFormatPr baseColWidth="10" defaultColWidth="10.90625" defaultRowHeight="14.5" x14ac:dyDescent="0.35"/>
  <cols>
    <col min="1" max="1" width="11.81640625" bestFit="1" customWidth="1"/>
    <col min="2" max="6" width="19.26953125" bestFit="1" customWidth="1"/>
    <col min="8" max="8" width="7.54296875" bestFit="1" customWidth="1"/>
  </cols>
  <sheetData>
    <row r="1" spans="1:22" x14ac:dyDescent="0.3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6</v>
      </c>
      <c r="H1">
        <v>7</v>
      </c>
      <c r="I1">
        <v>8</v>
      </c>
      <c r="J1">
        <v>9</v>
      </c>
      <c r="K1">
        <v>10</v>
      </c>
      <c r="L1" t="s">
        <v>6</v>
      </c>
      <c r="M1" t="s">
        <v>19</v>
      </c>
      <c r="N1" t="s">
        <v>23</v>
      </c>
    </row>
    <row r="2" spans="1:22" x14ac:dyDescent="0.35">
      <c r="A2">
        <v>1</v>
      </c>
      <c r="B2">
        <v>4.3391922129588914E-3</v>
      </c>
      <c r="C2">
        <v>8.8603679638122451E-4</v>
      </c>
      <c r="D2">
        <v>1.1140725676180191E-2</v>
      </c>
      <c r="E2">
        <v>2.2468497725972401E-2</v>
      </c>
      <c r="F2">
        <v>9.7141960519470938E-3</v>
      </c>
      <c r="G2">
        <v>3.7534301121112161E-2</v>
      </c>
      <c r="H2">
        <v>2.2727272829692901E-2</v>
      </c>
      <c r="J2">
        <v>0.19365822829712659</v>
      </c>
      <c r="K2">
        <v>0.81276984114079454</v>
      </c>
      <c r="L2">
        <f t="shared" ref="L2:L9" si="0">AVERAGE(B2:K2)</f>
        <v>0.12391536576135177</v>
      </c>
      <c r="M2">
        <f t="shared" ref="M2:M9" si="1">_xlfn.STDEV.S(B2:K2)/SQRT(COUNT(B2:K2))</f>
        <v>8.8393960665533275E-2</v>
      </c>
      <c r="N2" s="2">
        <v>0.10920000000000001</v>
      </c>
      <c r="O2">
        <v>1.8596056564639193E-2</v>
      </c>
    </row>
    <row r="3" spans="1:22" x14ac:dyDescent="0.35">
      <c r="A3">
        <v>2</v>
      </c>
      <c r="B3">
        <v>2.4235179819979979E-2</v>
      </c>
      <c r="C3">
        <v>3.261803422205406E-2</v>
      </c>
      <c r="D3">
        <v>9.9488997675492193E-3</v>
      </c>
      <c r="E3">
        <v>1.0712450121940061E-2</v>
      </c>
      <c r="F3">
        <v>4.9721349520930207E-2</v>
      </c>
      <c r="G3">
        <v>0.18620957484604189</v>
      </c>
      <c r="H3">
        <v>0.39240199016160759</v>
      </c>
      <c r="I3">
        <v>0.33421120234144752</v>
      </c>
      <c r="J3">
        <v>0.1160448796757593</v>
      </c>
      <c r="K3">
        <v>0.6194699544844402</v>
      </c>
      <c r="L3">
        <f t="shared" si="0"/>
        <v>0.17755735149617499</v>
      </c>
      <c r="M3">
        <f t="shared" si="1"/>
        <v>6.5543115005146174E-2</v>
      </c>
      <c r="N3" s="2">
        <v>0.17599999999999999</v>
      </c>
      <c r="O3">
        <v>2.9971666258026539E-2</v>
      </c>
    </row>
    <row r="4" spans="1:22" x14ac:dyDescent="0.35">
      <c r="A4">
        <v>3</v>
      </c>
      <c r="B4">
        <v>1.0513632E-2</v>
      </c>
      <c r="G4">
        <v>0.27688722091601881</v>
      </c>
      <c r="H4">
        <v>0.27239601945902597</v>
      </c>
      <c r="L4">
        <f t="shared" si="0"/>
        <v>0.18659895745834829</v>
      </c>
      <c r="M4">
        <f t="shared" si="1"/>
        <v>8.8052208194837694E-2</v>
      </c>
      <c r="N4" s="2">
        <v>0.222</v>
      </c>
      <c r="O4">
        <v>3.7805169939101657E-2</v>
      </c>
    </row>
    <row r="5" spans="1:22" x14ac:dyDescent="0.35">
      <c r="A5">
        <v>4</v>
      </c>
      <c r="B5">
        <v>0.177788</v>
      </c>
      <c r="C5">
        <v>0.14180499999999999</v>
      </c>
      <c r="D5">
        <v>0.23824500000000001</v>
      </c>
      <c r="E5">
        <v>0.17516699999999999</v>
      </c>
      <c r="F5">
        <v>0.14178199999999999</v>
      </c>
      <c r="I5">
        <v>0.55149164776612825</v>
      </c>
      <c r="L5">
        <f t="shared" si="0"/>
        <v>0.23771310796102138</v>
      </c>
      <c r="M5">
        <f t="shared" si="1"/>
        <v>6.4384633721582471E-2</v>
      </c>
      <c r="N5" s="2">
        <v>0.25750000000000001</v>
      </c>
      <c r="O5">
        <v>4.385059125819224E-2</v>
      </c>
      <c r="P5">
        <f>0.001/0.2</f>
        <v>5.0000000000000001E-3</v>
      </c>
      <c r="Q5" s="3">
        <f>TAN(RADIANS(2))/TAN(RADIANS(13))</f>
        <v>0.15125847056494346</v>
      </c>
      <c r="R5">
        <f>0.001/0.07125</f>
        <v>1.4035087719298248E-2</v>
      </c>
      <c r="T5" s="2">
        <v>0.10920000000000001</v>
      </c>
      <c r="V5">
        <f>$P$7*T5</f>
        <v>1.8596056564639193E-2</v>
      </c>
    </row>
    <row r="6" spans="1:22" x14ac:dyDescent="0.35">
      <c r="A6">
        <v>5</v>
      </c>
      <c r="B6">
        <v>0.56753595660401901</v>
      </c>
      <c r="C6">
        <v>0.46594643806048902</v>
      </c>
      <c r="D6">
        <v>0.52338459698541595</v>
      </c>
      <c r="E6">
        <v>0.66339159873325904</v>
      </c>
      <c r="F6">
        <v>0.66339159873325904</v>
      </c>
      <c r="G6">
        <v>1.1683026176854199E-3</v>
      </c>
      <c r="H6">
        <v>3.061656602792757E-3</v>
      </c>
      <c r="I6">
        <v>8.2260115882156412E-3</v>
      </c>
      <c r="J6">
        <v>1.475561464258791E-2</v>
      </c>
      <c r="K6">
        <v>2.7207046984749398E-3</v>
      </c>
      <c r="L6">
        <f t="shared" si="0"/>
        <v>0.29135824792661985</v>
      </c>
      <c r="M6">
        <f t="shared" si="1"/>
        <v>9.6880146920974852E-2</v>
      </c>
      <c r="N6" s="2">
        <v>0.29239999999999999</v>
      </c>
      <c r="O6">
        <v>4.9793836442312271E-2</v>
      </c>
      <c r="T6" s="2">
        <v>0.17599999999999999</v>
      </c>
      <c r="V6">
        <f>$P$7*T6</f>
        <v>2.9971666258026539E-2</v>
      </c>
    </row>
    <row r="7" spans="1:22" x14ac:dyDescent="0.35">
      <c r="A7">
        <v>6</v>
      </c>
      <c r="E7">
        <v>0.53171591770556392</v>
      </c>
      <c r="F7">
        <v>0.53708086004714239</v>
      </c>
      <c r="G7">
        <v>0.45943999235424082</v>
      </c>
      <c r="I7">
        <v>6.3233999593952997E-3</v>
      </c>
      <c r="K7">
        <v>5.7460698477029837E-4</v>
      </c>
      <c r="L7">
        <f t="shared" si="0"/>
        <v>0.30702695541022257</v>
      </c>
      <c r="M7">
        <f t="shared" si="1"/>
        <v>0.12469469370482299</v>
      </c>
      <c r="N7" s="2">
        <v>0.32529999999999998</v>
      </c>
      <c r="O7">
        <v>5.5396494509863822E-2</v>
      </c>
      <c r="P7" s="3">
        <f>P5+Q5+R5</f>
        <v>0.1702935582842417</v>
      </c>
      <c r="T7" s="2">
        <v>0.222</v>
      </c>
      <c r="V7">
        <f t="shared" ref="V7:V11" si="2">$P$7*T7</f>
        <v>3.7805169939101657E-2</v>
      </c>
    </row>
    <row r="8" spans="1:22" x14ac:dyDescent="0.35">
      <c r="A8">
        <v>7</v>
      </c>
      <c r="B8">
        <v>0.46483099999999999</v>
      </c>
      <c r="D8">
        <v>0.35838700000000001</v>
      </c>
      <c r="E8">
        <v>0.31670799999999999</v>
      </c>
      <c r="F8">
        <v>0.47206599999999999</v>
      </c>
      <c r="L8">
        <f t="shared" si="0"/>
        <v>0.40299799999999997</v>
      </c>
      <c r="M8">
        <f t="shared" si="1"/>
        <v>3.8761894877572915E-2</v>
      </c>
      <c r="N8" s="2">
        <v>0.35149999999999998</v>
      </c>
      <c r="O8">
        <v>5.985818573691095E-2</v>
      </c>
      <c r="T8" s="2">
        <v>0.25750000000000001</v>
      </c>
      <c r="V8">
        <f t="shared" si="2"/>
        <v>4.385059125819224E-2</v>
      </c>
    </row>
    <row r="9" spans="1:22" x14ac:dyDescent="0.35">
      <c r="A9">
        <v>8</v>
      </c>
      <c r="B9">
        <v>0.44656400000000002</v>
      </c>
      <c r="C9">
        <v>0.37512299999999998</v>
      </c>
      <c r="D9">
        <v>0.39133000000000001</v>
      </c>
      <c r="E9">
        <v>0.41357100000000002</v>
      </c>
      <c r="F9">
        <v>0.34379999999999999</v>
      </c>
      <c r="L9">
        <f t="shared" si="0"/>
        <v>0.39407759999999997</v>
      </c>
      <c r="M9" s="4">
        <f t="shared" si="1"/>
        <v>1.736300385474818E-2</v>
      </c>
      <c r="N9" s="2">
        <v>0.37040000000000001</v>
      </c>
      <c r="O9">
        <v>6.3076733988483125E-2</v>
      </c>
      <c r="T9" s="2">
        <v>0.29239999999999999</v>
      </c>
      <c r="V9">
        <f t="shared" si="2"/>
        <v>4.9793836442312271E-2</v>
      </c>
    </row>
    <row r="10" spans="1:22" x14ac:dyDescent="0.35">
      <c r="T10" s="2">
        <v>0.32529999999999998</v>
      </c>
      <c r="V10">
        <f t="shared" si="2"/>
        <v>5.5396494509863822E-2</v>
      </c>
    </row>
    <row r="11" spans="1:22" x14ac:dyDescent="0.35">
      <c r="T11" s="2">
        <v>0.35149999999999998</v>
      </c>
      <c r="V11">
        <f t="shared" si="2"/>
        <v>5.985818573691095E-2</v>
      </c>
    </row>
    <row r="12" spans="1:22" x14ac:dyDescent="0.35">
      <c r="T12" s="2">
        <v>0.37040000000000001</v>
      </c>
      <c r="V12">
        <f>$P$7*T12</f>
        <v>6.3076733988483125E-2</v>
      </c>
    </row>
    <row r="16" spans="1:22" x14ac:dyDescent="0.35">
      <c r="A16" t="s">
        <v>20</v>
      </c>
    </row>
    <row r="17" spans="1:1" x14ac:dyDescent="0.35">
      <c r="A17" t="s">
        <v>21</v>
      </c>
    </row>
    <row r="24" spans="1:1" x14ac:dyDescent="0.35">
      <c r="A24" t="s">
        <v>15</v>
      </c>
    </row>
    <row r="25" spans="1:1" x14ac:dyDescent="0.35">
      <c r="A25" t="s">
        <v>18</v>
      </c>
    </row>
    <row r="37" spans="2:6" x14ac:dyDescent="0.35">
      <c r="B37">
        <v>4.3391920000000004E-3</v>
      </c>
      <c r="C37">
        <v>8.86037E-4</v>
      </c>
      <c r="D37">
        <v>1.1140726E-2</v>
      </c>
      <c r="E37">
        <v>2.2468498E-2</v>
      </c>
      <c r="F37">
        <v>9.7141959999999996E-3</v>
      </c>
    </row>
    <row r="38" spans="2:6" x14ac:dyDescent="0.35">
      <c r="B38">
        <v>2.4235179999999999E-2</v>
      </c>
      <c r="C38">
        <v>3.2618033999999997E-2</v>
      </c>
      <c r="D38">
        <v>9.9489000000000001E-3</v>
      </c>
      <c r="E38">
        <v>1.071245E-2</v>
      </c>
      <c r="F38">
        <v>4.9721349999999997E-2</v>
      </c>
    </row>
    <row r="39" spans="2:6" x14ac:dyDescent="0.35">
      <c r="B39">
        <v>1.0513632E-2</v>
      </c>
      <c r="C39">
        <v>7.2328649999999998E-3</v>
      </c>
      <c r="D39">
        <v>1.1677939E-2</v>
      </c>
      <c r="E39">
        <v>2.316561E-3</v>
      </c>
      <c r="F39">
        <v>1.1677939E-2</v>
      </c>
    </row>
    <row r="40" spans="2:6" x14ac:dyDescent="0.35">
      <c r="B40">
        <v>0.62009000000000003</v>
      </c>
      <c r="C40">
        <v>0.47136400000000001</v>
      </c>
      <c r="D40">
        <v>0.75624000000000002</v>
      </c>
      <c r="E40">
        <v>0.71655400000000002</v>
      </c>
      <c r="F40">
        <v>1.185883</v>
      </c>
    </row>
    <row r="41" spans="2:6" x14ac:dyDescent="0.35">
      <c r="B41">
        <v>0.56753595660401901</v>
      </c>
      <c r="C41">
        <v>0.46594643806048902</v>
      </c>
      <c r="D41">
        <v>0.52338459698541595</v>
      </c>
      <c r="E41">
        <v>0.66339159873325904</v>
      </c>
      <c r="F41">
        <v>0.66339159873325904</v>
      </c>
    </row>
    <row r="42" spans="2:6" x14ac:dyDescent="0.35">
      <c r="B42">
        <v>0.57589477533066102</v>
      </c>
      <c r="C42">
        <v>0.59015206173279522</v>
      </c>
      <c r="D42">
        <v>0.58433796672664473</v>
      </c>
      <c r="E42">
        <v>0.53171591770556392</v>
      </c>
      <c r="F42">
        <v>0.53708086004714239</v>
      </c>
    </row>
    <row r="43" spans="2:6" x14ac:dyDescent="0.35">
      <c r="B43">
        <v>0.46483099999999999</v>
      </c>
      <c r="C43">
        <v>0.58561600000000003</v>
      </c>
      <c r="D43">
        <v>0.35838700000000001</v>
      </c>
      <c r="E43">
        <v>0.31670799999999999</v>
      </c>
      <c r="F43">
        <v>0.47206599999999999</v>
      </c>
    </row>
    <row r="44" spans="2:6" x14ac:dyDescent="0.35">
      <c r="B44">
        <v>0.44656400000000002</v>
      </c>
      <c r="C44">
        <v>0.37512299999999998</v>
      </c>
      <c r="D44">
        <v>0.39133000000000001</v>
      </c>
      <c r="E44">
        <v>0.41357100000000002</v>
      </c>
      <c r="F44">
        <v>0.34379999999999999</v>
      </c>
    </row>
  </sheetData>
  <pageMargins left="0.7" right="0.7" top="0.78740157499999996" bottom="0.78740157499999996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8AD8-9520-4AD5-A049-D879982D51AC}">
  <dimension ref="A1:V47"/>
  <sheetViews>
    <sheetView topLeftCell="F1" zoomScale="85" zoomScaleNormal="85" workbookViewId="0">
      <selection activeCell="Q18" sqref="Q18"/>
    </sheetView>
  </sheetViews>
  <sheetFormatPr baseColWidth="10" defaultColWidth="10.90625" defaultRowHeight="14.5" x14ac:dyDescent="0.35"/>
  <cols>
    <col min="1" max="1" width="11.81640625" bestFit="1" customWidth="1"/>
    <col min="2" max="6" width="19.26953125" bestFit="1" customWidth="1"/>
    <col min="8" max="8" width="7.54296875" bestFit="1" customWidth="1"/>
  </cols>
  <sheetData>
    <row r="1" spans="1:22" x14ac:dyDescent="0.3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6</v>
      </c>
      <c r="H1">
        <v>7</v>
      </c>
      <c r="I1">
        <v>8</v>
      </c>
      <c r="J1">
        <v>9</v>
      </c>
      <c r="K1">
        <v>10</v>
      </c>
      <c r="L1" t="s">
        <v>6</v>
      </c>
      <c r="M1" t="s">
        <v>22</v>
      </c>
      <c r="N1" t="s">
        <v>23</v>
      </c>
    </row>
    <row r="2" spans="1:22" x14ac:dyDescent="0.35">
      <c r="A2">
        <v>1</v>
      </c>
      <c r="B2">
        <v>4.3391922129588914E-3</v>
      </c>
      <c r="C2">
        <v>8.8603679638122451E-4</v>
      </c>
      <c r="D2">
        <v>1.1140725676180191E-2</v>
      </c>
      <c r="E2">
        <v>2.2468497725972401E-2</v>
      </c>
      <c r="F2">
        <v>9.7141960519470938E-3</v>
      </c>
      <c r="G2">
        <v>3.7534301121112161E-2</v>
      </c>
      <c r="H2">
        <v>2.2727272829692901E-2</v>
      </c>
      <c r="I2">
        <v>0.19365822829712659</v>
      </c>
      <c r="L2">
        <f>AVERAGE(B2:J2)</f>
        <v>3.7808556338921433E-2</v>
      </c>
      <c r="M2">
        <f>_xlfn.STDEV.S(B2:J2)/SQRT(COUNT(B2:J2))</f>
        <v>2.2652615361656043E-2</v>
      </c>
      <c r="N2" s="2">
        <v>0.10920000000000001</v>
      </c>
      <c r="O2">
        <v>1.8596056564639193E-2</v>
      </c>
    </row>
    <row r="3" spans="1:22" x14ac:dyDescent="0.35">
      <c r="A3">
        <v>2</v>
      </c>
      <c r="B3">
        <v>2.4235179819979979E-2</v>
      </c>
      <c r="C3">
        <v>3.261803422205406E-2</v>
      </c>
      <c r="F3">
        <v>4.9721349520930207E-2</v>
      </c>
      <c r="G3">
        <v>0.18620957484604189</v>
      </c>
      <c r="H3">
        <v>0.39240199016160759</v>
      </c>
      <c r="I3">
        <v>0.33421120234144752</v>
      </c>
      <c r="J3">
        <v>0.1160448796757593</v>
      </c>
      <c r="L3">
        <f>AVERAGE(B3:K3)</f>
        <v>0.16220603008397441</v>
      </c>
      <c r="M3">
        <f t="shared" ref="M3:M6" si="0">_xlfn.STDEV.S(B3:K3)/SQRT(COUNT(B3:K3))</f>
        <v>5.6434704968069779E-2</v>
      </c>
      <c r="N3" s="2">
        <v>0.17599999999999999</v>
      </c>
      <c r="O3">
        <v>2.9971666258026539E-2</v>
      </c>
    </row>
    <row r="4" spans="1:22" x14ac:dyDescent="0.35">
      <c r="A4">
        <v>3</v>
      </c>
      <c r="B4">
        <v>1.0513632214300401E-2</v>
      </c>
      <c r="C4">
        <v>7.2328651382325684E-3</v>
      </c>
      <c r="D4">
        <v>1.167793877841981E-2</v>
      </c>
      <c r="E4">
        <v>2.3165608009609239E-3</v>
      </c>
      <c r="G4">
        <v>0.27688722091601881</v>
      </c>
      <c r="H4">
        <v>0.27239601945902597</v>
      </c>
      <c r="I4">
        <v>1.1011101340528311</v>
      </c>
      <c r="L4">
        <f>AVERAGE(B4:I4)</f>
        <v>0.24030491019425565</v>
      </c>
      <c r="M4">
        <f>_xlfn.STDEV.S(B4:I4)/SQRT(COUNT(B4:I4))</f>
        <v>0.15113767724619726</v>
      </c>
      <c r="N4" s="2">
        <v>0.222</v>
      </c>
      <c r="O4">
        <v>3.7805169939101657E-2</v>
      </c>
    </row>
    <row r="5" spans="1:22" x14ac:dyDescent="0.35">
      <c r="A5">
        <v>4</v>
      </c>
      <c r="B5">
        <v>5.7045296481345958E-2</v>
      </c>
      <c r="C5">
        <v>0.47136400000000001</v>
      </c>
      <c r="D5">
        <v>0.55149164776612825</v>
      </c>
      <c r="E5">
        <v>4.0695633562506184E-3</v>
      </c>
      <c r="L5">
        <f>AVERAGE(B5:E5)</f>
        <v>0.27099262690093123</v>
      </c>
      <c r="M5">
        <f>_xlfn.STDEV.S(B5:E5)/SQRT(COUNT(B5:E5))</f>
        <v>0.14019325052395984</v>
      </c>
      <c r="N5" s="2">
        <v>0.25750000000000001</v>
      </c>
      <c r="O5">
        <v>4.385059125819224E-2</v>
      </c>
      <c r="P5">
        <f>0.001/0.2</f>
        <v>5.0000000000000001E-3</v>
      </c>
      <c r="Q5" s="3">
        <f>TAN(RADIANS(2))/TAN(RADIANS(13))</f>
        <v>0.15125847056494346</v>
      </c>
      <c r="R5">
        <f>0.001/0.07125</f>
        <v>1.4035087719298248E-2</v>
      </c>
      <c r="T5" s="2">
        <v>0.10920000000000001</v>
      </c>
      <c r="V5">
        <f>$P$7*T5</f>
        <v>1.8596056564639193E-2</v>
      </c>
    </row>
    <row r="6" spans="1:22" x14ac:dyDescent="0.35">
      <c r="A6">
        <v>5</v>
      </c>
      <c r="B6">
        <v>0.56753595660401901</v>
      </c>
      <c r="C6">
        <v>0.46594643806048902</v>
      </c>
      <c r="D6">
        <v>0.52338459698541595</v>
      </c>
      <c r="F6">
        <v>0.66339159873325904</v>
      </c>
      <c r="G6">
        <v>1.1683026176854199E-3</v>
      </c>
      <c r="H6">
        <v>3.061656602792757E-3</v>
      </c>
      <c r="I6">
        <v>8.2260115882156412E-3</v>
      </c>
      <c r="J6">
        <v>1.475561464258791E-2</v>
      </c>
      <c r="K6">
        <v>2.7207046984749398E-3</v>
      </c>
      <c r="L6">
        <f t="shared" ref="L6:L9" si="1">AVERAGE(B6:K6)</f>
        <v>0.25002120894810437</v>
      </c>
      <c r="M6">
        <f t="shared" si="0"/>
        <v>9.7960528249381951E-2</v>
      </c>
      <c r="N6" s="2">
        <v>0.29239999999999999</v>
      </c>
      <c r="O6">
        <v>4.9793836442312271E-2</v>
      </c>
      <c r="T6" s="2">
        <v>0.17599999999999999</v>
      </c>
      <c r="V6">
        <f>$P$7*T6</f>
        <v>2.9971666258026539E-2</v>
      </c>
    </row>
    <row r="7" spans="1:22" x14ac:dyDescent="0.35">
      <c r="A7">
        <v>6</v>
      </c>
      <c r="B7">
        <v>0.57589477533066102</v>
      </c>
      <c r="C7">
        <v>0.53171591770556392</v>
      </c>
      <c r="D7">
        <v>0.53708086004714239</v>
      </c>
      <c r="E7">
        <v>0.45943999235424082</v>
      </c>
      <c r="F7">
        <v>6.3233999593952997E-3</v>
      </c>
      <c r="G7">
        <v>5.7460698477029837E-4</v>
      </c>
      <c r="L7">
        <f>AVERAGE(B7:G7)</f>
        <v>0.35183825873029567</v>
      </c>
      <c r="M7">
        <f>_xlfn.STDEV.S(B7:G7)/SQRT(COUNT(B7:G7))</f>
        <v>0.11123802106595573</v>
      </c>
      <c r="N7" s="2">
        <v>0.32529999999999998</v>
      </c>
      <c r="O7">
        <v>5.5396494509863822E-2</v>
      </c>
      <c r="P7" s="3">
        <f>P5+Q5+R5</f>
        <v>0.1702935582842417</v>
      </c>
      <c r="T7" s="2">
        <v>0.222</v>
      </c>
      <c r="V7">
        <f t="shared" ref="V7:V11" si="2">$P$7*T7</f>
        <v>3.7805169939101657E-2</v>
      </c>
    </row>
    <row r="8" spans="1:22" x14ac:dyDescent="0.35">
      <c r="A8">
        <v>7</v>
      </c>
      <c r="B8">
        <v>0.46483099999999999</v>
      </c>
      <c r="C8">
        <v>0.35838700000000001</v>
      </c>
      <c r="D8">
        <v>0.31670799999999999</v>
      </c>
      <c r="E8">
        <v>0.47206599999999999</v>
      </c>
      <c r="L8">
        <f t="shared" si="1"/>
        <v>0.40299799999999997</v>
      </c>
      <c r="M8">
        <f>_xlfn.STDEV.S(B8:E8)/SQRT(COUNT(B8:E8))</f>
        <v>3.8761894877572915E-2</v>
      </c>
      <c r="N8" s="2">
        <v>0.35149999999999998</v>
      </c>
      <c r="O8">
        <v>5.985818573691095E-2</v>
      </c>
      <c r="T8" s="2">
        <v>0.25750000000000001</v>
      </c>
      <c r="V8">
        <f t="shared" si="2"/>
        <v>4.385059125819224E-2</v>
      </c>
    </row>
    <row r="9" spans="1:22" x14ac:dyDescent="0.35">
      <c r="A9">
        <v>8</v>
      </c>
      <c r="B9">
        <v>0.44656400000000002</v>
      </c>
      <c r="C9">
        <v>0.37512299999999998</v>
      </c>
      <c r="D9">
        <v>0.39133000000000001</v>
      </c>
      <c r="E9">
        <v>0.41357100000000002</v>
      </c>
      <c r="F9">
        <v>0.34379999999999999</v>
      </c>
      <c r="L9">
        <f t="shared" si="1"/>
        <v>0.39407759999999997</v>
      </c>
      <c r="M9">
        <f>_xlfn.STDEV.S(B9:F9)/SQRT(COUNT(B9:F9))</f>
        <v>1.736300385474818E-2</v>
      </c>
      <c r="N9" s="2">
        <v>0.37040000000000001</v>
      </c>
      <c r="O9">
        <v>6.3076733988483125E-2</v>
      </c>
      <c r="T9" s="2">
        <v>0.29239999999999999</v>
      </c>
      <c r="V9">
        <f t="shared" si="2"/>
        <v>4.9793836442312271E-2</v>
      </c>
    </row>
    <row r="10" spans="1:22" x14ac:dyDescent="0.35">
      <c r="T10" s="2">
        <v>0.32529999999999998</v>
      </c>
      <c r="V10">
        <f t="shared" si="2"/>
        <v>5.5396494509863822E-2</v>
      </c>
    </row>
    <row r="11" spans="1:22" x14ac:dyDescent="0.35">
      <c r="T11" s="2">
        <v>0.35149999999999998</v>
      </c>
      <c r="V11">
        <f t="shared" si="2"/>
        <v>5.985818573691095E-2</v>
      </c>
    </row>
    <row r="12" spans="1:22" x14ac:dyDescent="0.35">
      <c r="T12" s="2">
        <v>0.37040000000000001</v>
      </c>
      <c r="V12">
        <f>$P$7*T12</f>
        <v>6.3076733988483125E-2</v>
      </c>
    </row>
    <row r="16" spans="1:22" x14ac:dyDescent="0.35">
      <c r="A16" t="s">
        <v>20</v>
      </c>
    </row>
    <row r="17" spans="1:17" x14ac:dyDescent="0.35">
      <c r="A17" t="s">
        <v>21</v>
      </c>
    </row>
    <row r="18" spans="1:17" x14ac:dyDescent="0.35">
      <c r="Q18">
        <f>0.0981/AVERAGE(L2:L9) * 100</f>
        <v>37.18995591009547</v>
      </c>
    </row>
    <row r="24" spans="1:17" x14ac:dyDescent="0.35">
      <c r="A24" t="s">
        <v>15</v>
      </c>
    </row>
    <row r="25" spans="1:17" x14ac:dyDescent="0.35">
      <c r="A25" t="s">
        <v>18</v>
      </c>
    </row>
    <row r="39" spans="3:5" x14ac:dyDescent="0.35">
      <c r="C39" t="s">
        <v>17</v>
      </c>
      <c r="D39" t="s">
        <v>6</v>
      </c>
      <c r="E39" t="s">
        <v>22</v>
      </c>
    </row>
    <row r="40" spans="3:5" x14ac:dyDescent="0.35">
      <c r="C40">
        <v>1</v>
      </c>
      <c r="D40">
        <v>0.12391536576135177</v>
      </c>
      <c r="E40">
        <v>8.8393960665533275E-2</v>
      </c>
    </row>
    <row r="41" spans="3:5" x14ac:dyDescent="0.35">
      <c r="C41">
        <v>2</v>
      </c>
      <c r="D41">
        <v>0.17755735149617499</v>
      </c>
      <c r="E41">
        <v>6.5543115005146174E-2</v>
      </c>
    </row>
    <row r="42" spans="3:5" x14ac:dyDescent="0.35">
      <c r="C42">
        <v>3</v>
      </c>
      <c r="D42">
        <v>0.21172653876727618</v>
      </c>
      <c r="E42">
        <v>0.13397265178367623</v>
      </c>
    </row>
    <row r="43" spans="3:5" x14ac:dyDescent="0.35">
      <c r="C43">
        <v>4</v>
      </c>
      <c r="D43">
        <v>0.27099262690093123</v>
      </c>
      <c r="E43">
        <v>0.14019325052395984</v>
      </c>
    </row>
    <row r="44" spans="3:5" x14ac:dyDescent="0.35">
      <c r="C44">
        <v>5</v>
      </c>
      <c r="D44">
        <v>0.29135824792661985</v>
      </c>
      <c r="E44">
        <v>9.6880146920974852E-2</v>
      </c>
    </row>
    <row r="45" spans="3:5" x14ac:dyDescent="0.35">
      <c r="C45">
        <v>6</v>
      </c>
      <c r="D45">
        <v>0.35183825873029567</v>
      </c>
      <c r="E45">
        <v>0.11123802106595573</v>
      </c>
    </row>
    <row r="46" spans="3:5" x14ac:dyDescent="0.35">
      <c r="C46">
        <v>7</v>
      </c>
      <c r="D46">
        <v>0.40299799999999997</v>
      </c>
      <c r="E46">
        <v>3.8761894877572915E-2</v>
      </c>
    </row>
    <row r="47" spans="3:5" x14ac:dyDescent="0.35">
      <c r="C47">
        <v>8</v>
      </c>
      <c r="D47">
        <v>0.39407759999999997</v>
      </c>
      <c r="E47">
        <v>1.736300385474818E-2</v>
      </c>
    </row>
  </sheetData>
  <sortState xmlns:xlrd2="http://schemas.microsoft.com/office/spreadsheetml/2017/richdata2" ref="A2:I5">
    <sortCondition ref="A5"/>
  </sortState>
  <pageMargins left="0.7" right="0.7" top="0.78740157499999996" bottom="0.78740157499999996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A5C3-A4DD-4DFD-8E04-0458D367DF0C}">
  <dimension ref="A1:J27"/>
  <sheetViews>
    <sheetView zoomScale="110" workbookViewId="0">
      <selection activeCell="J4" sqref="J4"/>
    </sheetView>
  </sheetViews>
  <sheetFormatPr baseColWidth="10" defaultColWidth="10.90625" defaultRowHeight="14.5" x14ac:dyDescent="0.35"/>
  <cols>
    <col min="1" max="1" width="10.54296875" bestFit="1" customWidth="1"/>
    <col min="8" max="8" width="7.54296875" bestFit="1" customWidth="1"/>
  </cols>
  <sheetData>
    <row r="1" spans="1:10" x14ac:dyDescent="0.3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19</v>
      </c>
    </row>
    <row r="2" spans="1:10" x14ac:dyDescent="0.35">
      <c r="A2">
        <v>5</v>
      </c>
      <c r="C2">
        <v>0.51528499999999999</v>
      </c>
      <c r="D2">
        <v>0.44409999999999999</v>
      </c>
      <c r="E2">
        <v>0.39801599999999998</v>
      </c>
      <c r="G2">
        <f t="shared" ref="G2:G8" si="0">AVERAGE(B2:F2)</f>
        <v>0.45246699999999995</v>
      </c>
      <c r="H2">
        <f>_xlfn.STDEV.S(B2:F2)/SQRT(COUNT(B2:F2))</f>
        <v>3.4110162742698041E-2</v>
      </c>
    </row>
    <row r="3" spans="1:10" x14ac:dyDescent="0.35">
      <c r="A3">
        <v>7</v>
      </c>
      <c r="B3">
        <v>0.452959</v>
      </c>
      <c r="C3">
        <v>0.44464199999999998</v>
      </c>
      <c r="D3">
        <v>0.32279200000000002</v>
      </c>
      <c r="E3">
        <v>0.32541700000000001</v>
      </c>
      <c r="F3">
        <v>0.52616099999999999</v>
      </c>
      <c r="G3">
        <f t="shared" si="0"/>
        <v>0.41439419999999999</v>
      </c>
      <c r="H3">
        <f t="shared" ref="H3:H8" si="1">_xlfn.STDEV.S(B3:F3)/SQRT(COUNT(B3:F3))</f>
        <v>3.9498035363040543E-2</v>
      </c>
    </row>
    <row r="4" spans="1:10" x14ac:dyDescent="0.35">
      <c r="A4">
        <v>9</v>
      </c>
      <c r="B4">
        <v>0.43523800000000001</v>
      </c>
      <c r="E4">
        <v>0.62816799999999995</v>
      </c>
      <c r="F4">
        <v>0.440112</v>
      </c>
      <c r="G4">
        <f t="shared" si="0"/>
        <v>0.50117266666666671</v>
      </c>
      <c r="H4">
        <f t="shared" si="1"/>
        <v>6.3513253171636627E-2</v>
      </c>
      <c r="J4">
        <f>0.221/AVERAGE(G2:G8) * 100</f>
        <v>43.849331260141483</v>
      </c>
    </row>
    <row r="5" spans="1:10" x14ac:dyDescent="0.35">
      <c r="A5">
        <v>11</v>
      </c>
      <c r="B5">
        <v>0.44471300000000002</v>
      </c>
      <c r="C5">
        <v>0.29188399999999998</v>
      </c>
      <c r="D5">
        <v>0.51676500000000003</v>
      </c>
      <c r="G5">
        <f t="shared" si="0"/>
        <v>0.41778733333333334</v>
      </c>
      <c r="H5">
        <f t="shared" si="1"/>
        <v>6.6298842836390634E-2</v>
      </c>
    </row>
    <row r="6" spans="1:10" x14ac:dyDescent="0.35">
      <c r="A6">
        <v>13</v>
      </c>
      <c r="B6">
        <v>0.61795699999999998</v>
      </c>
      <c r="C6">
        <v>0.22229599999999999</v>
      </c>
      <c r="D6">
        <v>0.39006200000000002</v>
      </c>
      <c r="E6">
        <v>0.18539</v>
      </c>
      <c r="F6">
        <v>0.69771000000000005</v>
      </c>
      <c r="G6">
        <f t="shared" si="0"/>
        <v>0.42268299999999998</v>
      </c>
      <c r="H6">
        <f t="shared" si="1"/>
        <v>0.10278590201579205</v>
      </c>
    </row>
    <row r="7" spans="1:10" x14ac:dyDescent="0.35">
      <c r="A7">
        <v>15</v>
      </c>
      <c r="B7">
        <v>0.29437799999999997</v>
      </c>
      <c r="C7">
        <v>0.721692</v>
      </c>
      <c r="D7">
        <v>0.17932899999999999</v>
      </c>
      <c r="E7">
        <v>0.29067300000000001</v>
      </c>
      <c r="G7">
        <f t="shared" si="0"/>
        <v>0.37151800000000001</v>
      </c>
      <c r="H7">
        <f t="shared" si="1"/>
        <v>0.11973753784214872</v>
      </c>
    </row>
    <row r="8" spans="1:10" x14ac:dyDescent="0.35">
      <c r="A8">
        <v>17</v>
      </c>
      <c r="B8">
        <v>0.74142799999999998</v>
      </c>
      <c r="C8">
        <v>0.88883299999999998</v>
      </c>
      <c r="D8">
        <v>1.062119</v>
      </c>
      <c r="E8">
        <v>1.099491</v>
      </c>
      <c r="G8">
        <f t="shared" si="0"/>
        <v>0.94796775</v>
      </c>
      <c r="H8">
        <f t="shared" si="1"/>
        <v>8.2737229706840776E-2</v>
      </c>
    </row>
    <row r="14" spans="1:10" x14ac:dyDescent="0.35">
      <c r="A14" t="s">
        <v>15</v>
      </c>
    </row>
    <row r="20" spans="1:3" x14ac:dyDescent="0.35">
      <c r="A20" t="s">
        <v>16</v>
      </c>
      <c r="B20" t="s">
        <v>6</v>
      </c>
      <c r="C20" t="s">
        <v>19</v>
      </c>
    </row>
    <row r="21" spans="1:3" x14ac:dyDescent="0.35">
      <c r="A21">
        <v>5</v>
      </c>
      <c r="B21">
        <v>0.45246700000000001</v>
      </c>
      <c r="C21">
        <v>3.4110162742698041E-2</v>
      </c>
    </row>
    <row r="22" spans="1:3" x14ac:dyDescent="0.35">
      <c r="A22">
        <v>7</v>
      </c>
      <c r="B22">
        <v>0.41439419999999999</v>
      </c>
      <c r="C22">
        <v>3.9498035363040543E-2</v>
      </c>
    </row>
    <row r="23" spans="1:3" x14ac:dyDescent="0.35">
      <c r="A23">
        <v>9</v>
      </c>
      <c r="B23">
        <v>0.50117266666666671</v>
      </c>
      <c r="C23">
        <v>6.3513253171636627E-2</v>
      </c>
    </row>
    <row r="24" spans="1:3" x14ac:dyDescent="0.35">
      <c r="A24">
        <v>11</v>
      </c>
      <c r="B24">
        <v>0.41778733333333334</v>
      </c>
      <c r="C24">
        <v>6.6298842836390634E-2</v>
      </c>
    </row>
    <row r="25" spans="1:3" x14ac:dyDescent="0.35">
      <c r="A25">
        <v>13</v>
      </c>
      <c r="B25">
        <v>0.42268299999999998</v>
      </c>
      <c r="C25">
        <v>0.10278590201579205</v>
      </c>
    </row>
    <row r="26" spans="1:3" x14ac:dyDescent="0.35">
      <c r="A26">
        <v>15</v>
      </c>
      <c r="B26">
        <v>0.37151800000000001</v>
      </c>
      <c r="C26">
        <v>0.11973753784214872</v>
      </c>
    </row>
    <row r="27" spans="1:3" x14ac:dyDescent="0.35">
      <c r="A27">
        <v>17</v>
      </c>
      <c r="B27">
        <v>0.94796775</v>
      </c>
      <c r="C27">
        <v>8.2737229706840776E-2</v>
      </c>
    </row>
  </sheetData>
  <pageMargins left="0.7" right="0.7" top="0.78740157499999996" bottom="0.78740157499999996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10EE-F399-4AB5-8E4F-13EBDDA7D08A}">
  <dimension ref="A1:J11"/>
  <sheetViews>
    <sheetView topLeftCell="C1" workbookViewId="0">
      <selection activeCell="H9" sqref="H9"/>
    </sheetView>
  </sheetViews>
  <sheetFormatPr baseColWidth="10" defaultColWidth="8.7265625" defaultRowHeight="14.5" x14ac:dyDescent="0.35"/>
  <sheetData>
    <row r="1" spans="1:10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19</v>
      </c>
    </row>
    <row r="2" spans="1:10" x14ac:dyDescent="0.35">
      <c r="A2" t="s">
        <v>29</v>
      </c>
      <c r="C2">
        <v>0.25949359827803142</v>
      </c>
      <c r="D2">
        <v>5.2323263444942827E-2</v>
      </c>
      <c r="G2">
        <f>AVERAGE(B2:F2)</f>
        <v>0.15590843086148712</v>
      </c>
      <c r="H2">
        <f>_xlfn.STDEV.S(B2:F2)/SQRT(COUNT(B2:F2))</f>
        <v>0.1035851674165443</v>
      </c>
    </row>
    <row r="3" spans="1:10" x14ac:dyDescent="0.35">
      <c r="A3" t="s">
        <v>30</v>
      </c>
      <c r="B3">
        <v>0.21691769074000969</v>
      </c>
      <c r="C3">
        <v>3.1648538026857409E-2</v>
      </c>
      <c r="D3">
        <v>0.2115270979629936</v>
      </c>
      <c r="G3">
        <f>AVERAGE(B3:F3)</f>
        <v>0.15336444224328691</v>
      </c>
      <c r="H3">
        <f>_xlfn.STDEV.S(B3:F3)/SQRT(COUNT(B3:F3))</f>
        <v>6.0877843881659684E-2</v>
      </c>
    </row>
    <row r="4" spans="1:10" x14ac:dyDescent="0.35">
      <c r="A4" t="s">
        <v>31</v>
      </c>
      <c r="B4">
        <v>0.177788</v>
      </c>
      <c r="C4">
        <v>0.14180499999999999</v>
      </c>
      <c r="D4">
        <v>0.23824500000000001</v>
      </c>
      <c r="E4">
        <v>0.17516699999999999</v>
      </c>
      <c r="F4">
        <v>0.14178199999999999</v>
      </c>
      <c r="G4">
        <f>AVERAGE(B4:F4)</f>
        <v>0.17495739999999999</v>
      </c>
      <c r="H4">
        <f>_xlfn.STDEV.S(B4:F4)/SQRT(COUNT(B4:F4))</f>
        <v>1.7625358625003935E-2</v>
      </c>
      <c r="J4">
        <f xml:space="preserve"> (1- G10/G9)*100</f>
        <v>1.6317197242914472</v>
      </c>
    </row>
    <row r="8" spans="1:10" x14ac:dyDescent="0.3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6</v>
      </c>
      <c r="H8" t="s">
        <v>19</v>
      </c>
    </row>
    <row r="9" spans="1:10" x14ac:dyDescent="0.35">
      <c r="A9" t="s">
        <v>29</v>
      </c>
      <c r="C9">
        <f>C2*0.226</f>
        <v>5.8645553210835102E-2</v>
      </c>
      <c r="D9">
        <f>D2*0.226</f>
        <v>1.1825057538557079E-2</v>
      </c>
      <c r="G9">
        <f>AVERAGE(B9:F9)</f>
        <v>3.5235305374696088E-2</v>
      </c>
      <c r="H9">
        <f>_xlfn.STDEV.S(B9:F9)/SQRT(COUNT(B9:F9))</f>
        <v>2.3410247836139011E-2</v>
      </c>
    </row>
    <row r="10" spans="1:10" x14ac:dyDescent="0.35">
      <c r="A10" t="s">
        <v>30</v>
      </c>
      <c r="B10">
        <f t="shared" ref="B10:D11" si="0">B3*0.226</f>
        <v>4.902339810724219E-2</v>
      </c>
      <c r="C10">
        <f t="shared" si="0"/>
        <v>7.1525695940697744E-3</v>
      </c>
      <c r="D10">
        <f t="shared" si="0"/>
        <v>4.7805124139636557E-2</v>
      </c>
      <c r="G10">
        <f>AVERAGE(B10:F10)</f>
        <v>3.4660363946982846E-2</v>
      </c>
      <c r="H10">
        <f>_xlfn.STDEV.S(B10:F10)/SQRT(COUNT(B10:F10))</f>
        <v>1.3758392717255086E-2</v>
      </c>
      <c r="J10">
        <f>G11/G10</f>
        <v>1.1407950724487981</v>
      </c>
    </row>
    <row r="11" spans="1:10" x14ac:dyDescent="0.35">
      <c r="A11" t="s">
        <v>31</v>
      </c>
      <c r="B11">
        <f t="shared" si="0"/>
        <v>4.0180088000000003E-2</v>
      </c>
      <c r="C11">
        <f t="shared" si="0"/>
        <v>3.2047929999999995E-2</v>
      </c>
      <c r="D11">
        <f t="shared" si="0"/>
        <v>5.3843370000000002E-2</v>
      </c>
      <c r="E11">
        <f>E4*0.226</f>
        <v>3.9587742000000002E-2</v>
      </c>
      <c r="F11">
        <f>F4*0.226</f>
        <v>3.2042731999999997E-2</v>
      </c>
      <c r="G11">
        <f>AVERAGE(B11:F11)</f>
        <v>3.9540372400000003E-2</v>
      </c>
      <c r="H11">
        <f>_xlfn.STDEV.S(B11:F11)/SQRT(COUNT(B11:F11))</f>
        <v>3.9833310492508852E-3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094358-f49f-4903-9951-2bd60ed1e8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B6FBD693F94D441BE35DA53BF3C1728" ma:contentTypeVersion="19" ma:contentTypeDescription="Ein neues Dokument erstellen." ma:contentTypeScope="" ma:versionID="c9ddd89921c46e7ef0d932556f499b5a">
  <xsd:schema xmlns:xsd="http://www.w3.org/2001/XMLSchema" xmlns:xs="http://www.w3.org/2001/XMLSchema" xmlns:p="http://schemas.microsoft.com/office/2006/metadata/properties" xmlns:ns3="22094358-f49f-4903-9951-2bd60ed1e8da" xmlns:ns4="0f1158cf-1025-4976-b1c4-a5cbb1573bbf" targetNamespace="http://schemas.microsoft.com/office/2006/metadata/properties" ma:root="true" ma:fieldsID="b13bf7bdbe08973623516c04bc011c46" ns3:_="" ns4:_="">
    <xsd:import namespace="22094358-f49f-4903-9951-2bd60ed1e8da"/>
    <xsd:import namespace="0f1158cf-1025-4976-b1c4-a5cbb1573b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94358-f49f-4903-9951-2bd60ed1e8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158cf-1025-4976-b1c4-a5cbb1573b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8B682D-E0D1-41C2-B04F-01A24878A74F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0f1158cf-1025-4976-b1c4-a5cbb1573bbf"/>
    <ds:schemaRef ds:uri="22094358-f49f-4903-9951-2bd60ed1e8d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E7656CA-5827-4D30-9811-58891D65FB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4CCB36-BF32-4C9A-8516-9A71BC4BD4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94358-f49f-4903-9951-2bd60ed1e8da"/>
    <ds:schemaRef ds:uri="0f1158cf-1025-4976-b1c4-a5cbb1573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2830bad-22b2-42bc-aa5d-ef8782b5981b}" enabled="0" method="" siteId="{c2830bad-22b2-42bc-aa5d-ef8782b5981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Parameters to vary</vt:lpstr>
      <vt:lpstr>all plates, 0.5 mm, description</vt:lpstr>
      <vt:lpstr>Angle i.e. width</vt:lpstr>
      <vt:lpstr>magnetic disc radius</vt:lpstr>
      <vt:lpstr>magnetic disc polarity</vt:lpstr>
      <vt:lpstr>dist. magnets, in accel dir</vt:lpstr>
      <vt:lpstr>magn_amt toy data</vt:lpstr>
      <vt:lpstr>magn_amt</vt:lpstr>
      <vt:lpstr>dist_mag_plate_edge</vt:lpstr>
      <vt:lpstr>material 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Aditya</dc:creator>
  <cp:lastModifiedBy>Arnav Aditya</cp:lastModifiedBy>
  <cp:lastPrinted>2026-10-02T20:03:17Z</cp:lastPrinted>
  <dcterms:created xsi:type="dcterms:W3CDTF">2026-01-19T11:49:21Z</dcterms:created>
  <dcterms:modified xsi:type="dcterms:W3CDTF">2026-10-02T20:04:50Z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0x0101008B6FBD693F94D441BE35DA53BF3C1728</vt:lpwstr>
  </property>
</Properties>
</file>